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defaultThemeVersion="124226"/>
  <mc:AlternateContent xmlns:mc="http://schemas.openxmlformats.org/markup-compatibility/2006">
    <mc:Choice Requires="x15">
      <x15ac:absPath xmlns:x15ac="http://schemas.microsoft.com/office/spreadsheetml/2010/11/ac" url="L:\2021 Implementation of Administrative code-audit review\Data Input Worksheet\2021 DIW - Final\"/>
    </mc:Choice>
  </mc:AlternateContent>
  <xr:revisionPtr revIDLastSave="0" documentId="13_ncr:1_{7C2D6B42-0331-48A3-A1DF-33E5E5485976}" xr6:coauthVersionLast="47" xr6:coauthVersionMax="47" xr10:uidLastSave="{00000000-0000-0000-0000-000000000000}"/>
  <bookViews>
    <workbookView xWindow="57480" yWindow="-120" windowWidth="29040" windowHeight="15840" tabRatio="708" xr2:uid="{00000000-000D-0000-FFFF-FFFF00000000}"/>
  </bookViews>
  <sheets>
    <sheet name="Instructions" sheetId="81" r:id="rId1"/>
    <sheet name="Unit Data from Audit Worksheet" sheetId="1" r:id="rId2"/>
    <sheet name="TD Info Completed by Auditor" sheetId="53" r:id="rId3"/>
    <sheet name="Import" sheetId="28" state="hidden" r:id="rId4"/>
    <sheet name="Performance  Indicators Print" sheetId="80" r:id="rId5"/>
    <sheet name="PI series #" sheetId="73" state="hidden" r:id="rId6"/>
    <sheet name="RSS" sheetId="30" state="hidden" r:id="rId7"/>
    <sheet name="Debt Service Funds (H)" sheetId="41" state="hidden" r:id="rId8"/>
    <sheet name="UAL" sheetId="75" state="hidden" r:id="rId9"/>
    <sheet name="2020 Data(H)" sheetId="74" state="hidden" r:id="rId10"/>
    <sheet name="2019 Data(H)" sheetId="42" state="hidden" r:id="rId11"/>
    <sheet name="Tax Reval Rate" sheetId="72" state="hidden" r:id="rId12"/>
    <sheet name="Unit Names(H)" sheetId="29" state="hidden" r:id="rId13"/>
    <sheet name="Electric trans" sheetId="71" state="hidden" r:id="rId14"/>
  </sheets>
  <externalReferences>
    <externalReference r:id="rId15"/>
  </externalReferences>
  <definedNames>
    <definedName name="Audit_Dtl">[1]Database!$AC$3:$AP$413</definedName>
    <definedName name="errorCount">'TD Info Completed by Auditor'!$U$5</definedName>
    <definedName name="_xlnm.Print_Area" localSheetId="9">'2020 Data(H)'!$B$297:$E$320</definedName>
    <definedName name="_xlnm.Print_Area" localSheetId="0">Instructions!$B$1:$B$50</definedName>
    <definedName name="_xlnm.Print_Area" localSheetId="4">'Performance  Indicators Print'!$A$1:$H$9</definedName>
    <definedName name="_xlnm.Print_Area" localSheetId="5">'PI series #'!$A$1:$I$48</definedName>
    <definedName name="_xlnm.Print_Area" localSheetId="1">'Unit Data from Audit Worksheet'!$A$7:$D$297</definedName>
    <definedName name="Print_Selection_Auditor">'TD Info Completed by Auditor'!$A$1:$N$94</definedName>
    <definedName name="Print_Selection_Internal">#REF!</definedName>
    <definedName name="_xlnm.Print_Titles" localSheetId="4">'Performance  Indicators Print'!$3:$5</definedName>
    <definedName name="_xlnm.Print_Titles" localSheetId="5">'PI series #'!$1:$4</definedName>
    <definedName name="_xlnm.Print_Titles" localSheetId="1">'Unit Data from Audit Worksheet'!$5:$5</definedName>
    <definedName name="showError">'TD Info Completed by Auditor'!$W$5</definedName>
    <definedName name="TD_IMPORT_RANGE" localSheetId="0">#REF!</definedName>
    <definedName name="TD_IMPORT_RANGE">#REF!</definedName>
    <definedName name="Temp">[1]Database!$BF$3:$EG$3</definedName>
    <definedName name="Unit_Nam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10" i="28" l="1"/>
  <c r="E85" i="53"/>
  <c r="E83" i="53"/>
  <c r="E81" i="53"/>
  <c r="F66" i="53"/>
  <c r="F64" i="53"/>
  <c r="F62" i="53"/>
  <c r="E251" i="28"/>
  <c r="E250" i="28"/>
  <c r="T11" i="29" l="1"/>
  <c r="U11" i="29"/>
  <c r="T12" i="29"/>
  <c r="U12" i="29"/>
  <c r="T13" i="29"/>
  <c r="U13" i="29"/>
  <c r="T14" i="29"/>
  <c r="U14" i="29"/>
  <c r="T15" i="29"/>
  <c r="U15" i="29"/>
  <c r="T16" i="29"/>
  <c r="U16" i="29"/>
  <c r="T17" i="29"/>
  <c r="U17" i="29"/>
  <c r="O12" i="29"/>
  <c r="P12" i="29"/>
  <c r="O13" i="29"/>
  <c r="P13" i="29"/>
  <c r="O14" i="29"/>
  <c r="P14" i="29"/>
  <c r="O15" i="29"/>
  <c r="P15" i="29"/>
  <c r="O16" i="29"/>
  <c r="P16" i="29"/>
  <c r="O17" i="29"/>
  <c r="P17" i="29"/>
  <c r="E257" i="28"/>
  <c r="E93" i="1"/>
  <c r="E97" i="1"/>
  <c r="E96" i="1"/>
  <c r="E95" i="1"/>
  <c r="E94" i="1"/>
  <c r="E92" i="1"/>
  <c r="E91" i="1"/>
  <c r="E90" i="1"/>
  <c r="E260" i="28"/>
  <c r="E259" i="28"/>
  <c r="E258" i="28"/>
  <c r="E256" i="28"/>
  <c r="E255" i="28"/>
  <c r="L255" i="28" s="1"/>
  <c r="E253" i="28"/>
  <c r="E252" i="28"/>
  <c r="E249" i="28"/>
  <c r="E248" i="28"/>
  <c r="E247" i="28"/>
  <c r="E246" i="28"/>
  <c r="T35" i="29" l="1"/>
  <c r="U35" i="29"/>
  <c r="O11" i="29"/>
  <c r="P11" i="29"/>
  <c r="O35" i="29"/>
  <c r="P35" i="29"/>
  <c r="T9" i="29"/>
  <c r="U9" i="29"/>
  <c r="T10" i="29"/>
  <c r="U10" i="29"/>
  <c r="O9" i="29"/>
  <c r="P9" i="29"/>
  <c r="O10" i="29"/>
  <c r="P10" i="29"/>
  <c r="T6" i="29"/>
  <c r="U6" i="29"/>
  <c r="T7" i="29"/>
  <c r="U7" i="29"/>
  <c r="T8" i="29"/>
  <c r="U8" i="29"/>
  <c r="O6" i="29"/>
  <c r="P6" i="29"/>
  <c r="O7" i="29"/>
  <c r="P7" i="29"/>
  <c r="O8" i="29"/>
  <c r="P8" i="29"/>
  <c r="T3" i="29"/>
  <c r="U3" i="29"/>
  <c r="T4" i="29"/>
  <c r="U4" i="29"/>
  <c r="T5" i="29"/>
  <c r="U5" i="29"/>
  <c r="O3" i="29"/>
  <c r="P3" i="29"/>
  <c r="O4" i="29"/>
  <c r="P4" i="29"/>
  <c r="O5" i="29"/>
  <c r="P5" i="29"/>
  <c r="O2" i="29"/>
  <c r="P2" i="29"/>
  <c r="T2" i="29"/>
  <c r="U2" i="29"/>
  <c r="E100" i="1" l="1"/>
  <c r="A327" i="1" l="1"/>
  <c r="V93" i="42" l="1"/>
  <c r="U93" i="42"/>
  <c r="T93" i="42"/>
  <c r="S93" i="42"/>
  <c r="R93" i="42"/>
  <c r="Q93" i="42"/>
  <c r="P93" i="42"/>
  <c r="O93" i="42"/>
  <c r="N93" i="42"/>
  <c r="M93" i="42"/>
  <c r="L93" i="42"/>
  <c r="K93" i="42"/>
  <c r="J93" i="42"/>
  <c r="I93" i="42"/>
  <c r="H93" i="42"/>
  <c r="G93" i="42"/>
  <c r="F93" i="42"/>
  <c r="V92" i="42"/>
  <c r="U92" i="42"/>
  <c r="T92" i="42"/>
  <c r="S92" i="42"/>
  <c r="R92" i="42"/>
  <c r="Q92" i="42"/>
  <c r="P92" i="42"/>
  <c r="O92" i="42"/>
  <c r="N92" i="42"/>
  <c r="M92" i="42"/>
  <c r="L92" i="42"/>
  <c r="K92" i="42"/>
  <c r="J92" i="42"/>
  <c r="I92" i="42"/>
  <c r="H92" i="42"/>
  <c r="G92" i="42"/>
  <c r="F92" i="42"/>
  <c r="V91" i="42"/>
  <c r="U91" i="42"/>
  <c r="T91" i="42"/>
  <c r="S91" i="42"/>
  <c r="R91" i="42"/>
  <c r="Q91" i="42"/>
  <c r="P91" i="42"/>
  <c r="O91" i="42"/>
  <c r="N91" i="42"/>
  <c r="M91" i="42"/>
  <c r="L91" i="42"/>
  <c r="K91" i="42"/>
  <c r="J91" i="42"/>
  <c r="I91" i="42"/>
  <c r="H91" i="42"/>
  <c r="G91" i="42"/>
  <c r="F91" i="42"/>
  <c r="V90" i="42"/>
  <c r="U90" i="42"/>
  <c r="T90" i="42"/>
  <c r="S90" i="42"/>
  <c r="R90" i="42"/>
  <c r="Q90" i="42"/>
  <c r="P90" i="42"/>
  <c r="O90" i="42"/>
  <c r="N90" i="42"/>
  <c r="M90" i="42"/>
  <c r="L90" i="42"/>
  <c r="K90" i="42"/>
  <c r="J90" i="42"/>
  <c r="I90" i="42"/>
  <c r="H90" i="42"/>
  <c r="G90" i="42"/>
  <c r="F90" i="42"/>
  <c r="V89" i="42"/>
  <c r="U89" i="42"/>
  <c r="T89" i="42"/>
  <c r="S89" i="42"/>
  <c r="R89" i="42"/>
  <c r="Q89" i="42"/>
  <c r="P89" i="42"/>
  <c r="O89" i="42"/>
  <c r="N89" i="42"/>
  <c r="M89" i="42"/>
  <c r="L89" i="42"/>
  <c r="K89" i="42"/>
  <c r="J89" i="42"/>
  <c r="I89" i="42"/>
  <c r="H89" i="42"/>
  <c r="G89" i="42"/>
  <c r="F89" i="42"/>
  <c r="V88" i="42"/>
  <c r="U88" i="42"/>
  <c r="T88" i="42"/>
  <c r="S88" i="42"/>
  <c r="R88" i="42"/>
  <c r="Q88" i="42"/>
  <c r="P88" i="42"/>
  <c r="O88" i="42"/>
  <c r="N88" i="42"/>
  <c r="M88" i="42"/>
  <c r="L88" i="42"/>
  <c r="K88" i="42"/>
  <c r="J88" i="42"/>
  <c r="I88" i="42"/>
  <c r="H88" i="42"/>
  <c r="G88" i="42"/>
  <c r="F88" i="42"/>
  <c r="V87" i="42"/>
  <c r="U87" i="42"/>
  <c r="T87" i="42"/>
  <c r="S87" i="42"/>
  <c r="R87" i="42"/>
  <c r="Q87" i="42"/>
  <c r="P87" i="42"/>
  <c r="O87" i="42"/>
  <c r="N87" i="42"/>
  <c r="M87" i="42"/>
  <c r="L87" i="42"/>
  <c r="K87" i="42"/>
  <c r="J87" i="42"/>
  <c r="I87" i="42"/>
  <c r="H87" i="42"/>
  <c r="G87" i="42"/>
  <c r="F87" i="42"/>
  <c r="V86" i="42"/>
  <c r="U86" i="42"/>
  <c r="T86" i="42"/>
  <c r="S86" i="42"/>
  <c r="R86" i="42"/>
  <c r="Q86" i="42"/>
  <c r="P86" i="42"/>
  <c r="O86" i="42"/>
  <c r="N86" i="42"/>
  <c r="M86" i="42"/>
  <c r="L86" i="42"/>
  <c r="K86" i="42"/>
  <c r="J86" i="42"/>
  <c r="I86" i="42"/>
  <c r="H86" i="42"/>
  <c r="G86" i="42"/>
  <c r="F86" i="42"/>
  <c r="V85" i="42"/>
  <c r="U85" i="42"/>
  <c r="T85" i="42"/>
  <c r="S85" i="42"/>
  <c r="R85" i="42"/>
  <c r="Q85" i="42"/>
  <c r="P85" i="42"/>
  <c r="O85" i="42"/>
  <c r="N85" i="42"/>
  <c r="M85" i="42"/>
  <c r="L85" i="42"/>
  <c r="K85" i="42"/>
  <c r="J85" i="42"/>
  <c r="I85" i="42"/>
  <c r="H85" i="42"/>
  <c r="G85" i="42"/>
  <c r="F85" i="42"/>
  <c r="V84" i="42"/>
  <c r="U84" i="42"/>
  <c r="T84" i="42"/>
  <c r="S84" i="42"/>
  <c r="R84" i="42"/>
  <c r="Q84" i="42"/>
  <c r="P84" i="42"/>
  <c r="O84" i="42"/>
  <c r="N84" i="42"/>
  <c r="M84" i="42"/>
  <c r="L84" i="42"/>
  <c r="K84" i="42"/>
  <c r="J84" i="42"/>
  <c r="I84" i="42"/>
  <c r="H84" i="42"/>
  <c r="G84" i="42"/>
  <c r="F84" i="42"/>
  <c r="V83" i="42"/>
  <c r="U83" i="42"/>
  <c r="T83" i="42"/>
  <c r="S83" i="42"/>
  <c r="R83" i="42"/>
  <c r="Q83" i="42"/>
  <c r="P83" i="42"/>
  <c r="O83" i="42"/>
  <c r="N83" i="42"/>
  <c r="M83" i="42"/>
  <c r="L83" i="42"/>
  <c r="K83" i="42"/>
  <c r="J83" i="42"/>
  <c r="I83" i="42"/>
  <c r="H83" i="42"/>
  <c r="G83" i="42"/>
  <c r="F83" i="42"/>
  <c r="V82" i="42"/>
  <c r="U82" i="42"/>
  <c r="T82" i="42"/>
  <c r="S82" i="42"/>
  <c r="R82" i="42"/>
  <c r="Q82" i="42"/>
  <c r="P82" i="42"/>
  <c r="O82" i="42"/>
  <c r="N82" i="42"/>
  <c r="M82" i="42"/>
  <c r="L82" i="42"/>
  <c r="K82" i="42"/>
  <c r="J82" i="42"/>
  <c r="I82" i="42"/>
  <c r="H82" i="42"/>
  <c r="G82" i="42"/>
  <c r="F82" i="42"/>
  <c r="V81" i="42"/>
  <c r="U81" i="42"/>
  <c r="T81" i="42"/>
  <c r="S81" i="42"/>
  <c r="R81" i="42"/>
  <c r="Q81" i="42"/>
  <c r="P81" i="42"/>
  <c r="O81" i="42"/>
  <c r="N81" i="42"/>
  <c r="M81" i="42"/>
  <c r="L81" i="42"/>
  <c r="K81" i="42"/>
  <c r="J81" i="42"/>
  <c r="I81" i="42"/>
  <c r="H81" i="42"/>
  <c r="G81" i="42"/>
  <c r="F81" i="42"/>
  <c r="V80" i="42"/>
  <c r="U80" i="42"/>
  <c r="T80" i="42"/>
  <c r="S80" i="42"/>
  <c r="R80" i="42"/>
  <c r="Q80" i="42"/>
  <c r="P80" i="42"/>
  <c r="O80" i="42"/>
  <c r="N80" i="42"/>
  <c r="M80" i="42"/>
  <c r="L80" i="42"/>
  <c r="K80" i="42"/>
  <c r="J80" i="42"/>
  <c r="I80" i="42"/>
  <c r="H80" i="42"/>
  <c r="G80" i="42"/>
  <c r="F80" i="42"/>
  <c r="V79" i="42"/>
  <c r="U79" i="42"/>
  <c r="T79" i="42"/>
  <c r="S79" i="42"/>
  <c r="R79" i="42"/>
  <c r="Q79" i="42"/>
  <c r="P79" i="42"/>
  <c r="O79" i="42"/>
  <c r="N79" i="42"/>
  <c r="M79" i="42"/>
  <c r="L79" i="42"/>
  <c r="K79" i="42"/>
  <c r="J79" i="42"/>
  <c r="I79" i="42"/>
  <c r="H79" i="42"/>
  <c r="G79" i="42"/>
  <c r="F79" i="42"/>
  <c r="V78" i="42"/>
  <c r="U78" i="42"/>
  <c r="T78" i="42"/>
  <c r="S78" i="42"/>
  <c r="R78" i="42"/>
  <c r="Q78" i="42"/>
  <c r="P78" i="42"/>
  <c r="O78" i="42"/>
  <c r="N78" i="42"/>
  <c r="M78" i="42"/>
  <c r="L78" i="42"/>
  <c r="K78" i="42"/>
  <c r="J78" i="42"/>
  <c r="I78" i="42"/>
  <c r="H78" i="42"/>
  <c r="G78" i="42"/>
  <c r="F78" i="42"/>
  <c r="V77" i="42"/>
  <c r="U77" i="42"/>
  <c r="T77" i="42"/>
  <c r="S77" i="42"/>
  <c r="R77" i="42"/>
  <c r="Q77" i="42"/>
  <c r="P77" i="42"/>
  <c r="O77" i="42"/>
  <c r="N77" i="42"/>
  <c r="M77" i="42"/>
  <c r="L77" i="42"/>
  <c r="K77" i="42"/>
  <c r="J77" i="42"/>
  <c r="I77" i="42"/>
  <c r="H77" i="42"/>
  <c r="G77" i="42"/>
  <c r="F77" i="42"/>
  <c r="V76" i="42"/>
  <c r="U76" i="42"/>
  <c r="T76" i="42"/>
  <c r="S76" i="42"/>
  <c r="R76" i="42"/>
  <c r="Q76" i="42"/>
  <c r="P76" i="42"/>
  <c r="O76" i="42"/>
  <c r="N76" i="42"/>
  <c r="M76" i="42"/>
  <c r="L76" i="42"/>
  <c r="K76" i="42"/>
  <c r="J76" i="42"/>
  <c r="I76" i="42"/>
  <c r="H76" i="42"/>
  <c r="G76" i="42"/>
  <c r="F76" i="42"/>
  <c r="V75" i="42"/>
  <c r="U75" i="42"/>
  <c r="T75" i="42"/>
  <c r="S75" i="42"/>
  <c r="R75" i="42"/>
  <c r="Q75" i="42"/>
  <c r="P75" i="42"/>
  <c r="O75" i="42"/>
  <c r="N75" i="42"/>
  <c r="M75" i="42"/>
  <c r="L75" i="42"/>
  <c r="K75" i="42"/>
  <c r="J75" i="42"/>
  <c r="I75" i="42"/>
  <c r="H75" i="42"/>
  <c r="G75" i="42"/>
  <c r="F75" i="42"/>
  <c r="V74" i="42"/>
  <c r="U74" i="42"/>
  <c r="T74" i="42"/>
  <c r="S74" i="42"/>
  <c r="R74" i="42"/>
  <c r="Q74" i="42"/>
  <c r="P74" i="42"/>
  <c r="O74" i="42"/>
  <c r="N74" i="42"/>
  <c r="M74" i="42"/>
  <c r="L74" i="42"/>
  <c r="K74" i="42"/>
  <c r="J74" i="42"/>
  <c r="I74" i="42"/>
  <c r="H74" i="42"/>
  <c r="G74" i="42"/>
  <c r="F74" i="42"/>
  <c r="V73" i="42"/>
  <c r="U73" i="42"/>
  <c r="T73" i="42"/>
  <c r="S73" i="42"/>
  <c r="R73" i="42"/>
  <c r="Q73" i="42"/>
  <c r="P73" i="42"/>
  <c r="O73" i="42"/>
  <c r="N73" i="42"/>
  <c r="M73" i="42"/>
  <c r="L73" i="42"/>
  <c r="K73" i="42"/>
  <c r="J73" i="42"/>
  <c r="I73" i="42"/>
  <c r="H73" i="42"/>
  <c r="G73" i="42"/>
  <c r="F73" i="42"/>
  <c r="V72" i="42"/>
  <c r="U72" i="42"/>
  <c r="T72" i="42"/>
  <c r="S72" i="42"/>
  <c r="R72" i="42"/>
  <c r="Q72" i="42"/>
  <c r="P72" i="42"/>
  <c r="O72" i="42"/>
  <c r="N72" i="42"/>
  <c r="M72" i="42"/>
  <c r="L72" i="42"/>
  <c r="K72" i="42"/>
  <c r="J72" i="42"/>
  <c r="I72" i="42"/>
  <c r="H72" i="42"/>
  <c r="G72" i="42"/>
  <c r="F72" i="42"/>
  <c r="V71" i="42"/>
  <c r="U71" i="42"/>
  <c r="T71" i="42"/>
  <c r="S71" i="42"/>
  <c r="R71" i="42"/>
  <c r="Q71" i="42"/>
  <c r="P71" i="42"/>
  <c r="O71" i="42"/>
  <c r="N71" i="42"/>
  <c r="M71" i="42"/>
  <c r="L71" i="42"/>
  <c r="K71" i="42"/>
  <c r="J71" i="42"/>
  <c r="I71" i="42"/>
  <c r="H71" i="42"/>
  <c r="G71" i="42"/>
  <c r="F71" i="42"/>
  <c r="V70" i="42"/>
  <c r="U70" i="42"/>
  <c r="U95" i="42" s="1"/>
  <c r="U97" i="42" s="1"/>
  <c r="T70" i="42"/>
  <c r="S70" i="42"/>
  <c r="R70" i="42"/>
  <c r="R95" i="42" s="1"/>
  <c r="Q70" i="42"/>
  <c r="P70" i="42"/>
  <c r="O70" i="42"/>
  <c r="N70" i="42"/>
  <c r="M70" i="42"/>
  <c r="M95" i="42" s="1"/>
  <c r="M97" i="42" s="1"/>
  <c r="L70" i="42"/>
  <c r="K70" i="42"/>
  <c r="J70" i="42"/>
  <c r="J95" i="42" s="1"/>
  <c r="I70" i="42"/>
  <c r="H70" i="42"/>
  <c r="G70" i="42"/>
  <c r="F70" i="42"/>
  <c r="V69" i="42"/>
  <c r="V95" i="42" s="1"/>
  <c r="V97" i="42" s="1"/>
  <c r="U69" i="42"/>
  <c r="T69" i="42"/>
  <c r="T95" i="42" s="1"/>
  <c r="T97" i="42" s="1"/>
  <c r="S69" i="42"/>
  <c r="S95" i="42" s="1"/>
  <c r="R69" i="42"/>
  <c r="Q69" i="42"/>
  <c r="Q95" i="42" s="1"/>
  <c r="P69" i="42"/>
  <c r="P95" i="42" s="1"/>
  <c r="P97" i="42" s="1"/>
  <c r="O69" i="42"/>
  <c r="O95" i="42" s="1"/>
  <c r="N69" i="42"/>
  <c r="N95" i="42" s="1"/>
  <c r="M69" i="42"/>
  <c r="L69" i="42"/>
  <c r="L95" i="42" s="1"/>
  <c r="L97" i="42" s="1"/>
  <c r="K69" i="42"/>
  <c r="K95" i="42" s="1"/>
  <c r="J69" i="42"/>
  <c r="I69" i="42"/>
  <c r="I95" i="42" s="1"/>
  <c r="H69" i="42"/>
  <c r="H95" i="42" s="1"/>
  <c r="G69" i="42"/>
  <c r="G95" i="42" s="1"/>
  <c r="F69" i="42"/>
  <c r="F95" i="42" s="1"/>
  <c r="H58" i="42"/>
  <c r="V56" i="42"/>
  <c r="V58" i="42" s="1"/>
  <c r="U56" i="42"/>
  <c r="U58" i="42" s="1"/>
  <c r="T56" i="42"/>
  <c r="T58" i="42" s="1"/>
  <c r="S56" i="42"/>
  <c r="R56" i="42"/>
  <c r="R97" i="42" s="1"/>
  <c r="Q56" i="42"/>
  <c r="Q97" i="42" s="1"/>
  <c r="O56" i="42"/>
  <c r="O58" i="42" s="1"/>
  <c r="N56" i="42"/>
  <c r="N97" i="42" s="1"/>
  <c r="M56" i="42"/>
  <c r="M58" i="42" s="1"/>
  <c r="L56" i="42"/>
  <c r="L58" i="42" s="1"/>
  <c r="K56" i="42"/>
  <c r="K97" i="42" s="1"/>
  <c r="J56" i="42"/>
  <c r="J97" i="42" s="1"/>
  <c r="I56" i="42"/>
  <c r="I97" i="42" s="1"/>
  <c r="H56" i="42"/>
  <c r="H97" i="42" s="1"/>
  <c r="G56" i="42"/>
  <c r="F56" i="42"/>
  <c r="F58" i="42" s="1"/>
  <c r="S97" i="42" l="1"/>
  <c r="G97" i="42"/>
  <c r="N58" i="42"/>
  <c r="G58" i="42"/>
  <c r="F97" i="42"/>
  <c r="R58" i="42"/>
  <c r="O97" i="42"/>
  <c r="J58" i="42"/>
  <c r="S58" i="42"/>
  <c r="Q58" i="42"/>
  <c r="I58" i="42"/>
  <c r="K58" i="42"/>
  <c r="D27" i="73"/>
  <c r="D29" i="73"/>
  <c r="D31" i="73"/>
  <c r="D33" i="73"/>
  <c r="D35" i="73"/>
  <c r="D37" i="73"/>
  <c r="D39" i="73"/>
  <c r="D41" i="73"/>
  <c r="D43" i="73"/>
  <c r="D45" i="73"/>
  <c r="B4" i="80" l="1"/>
  <c r="H53" i="53" l="1"/>
  <c r="G160" i="1" l="1"/>
  <c r="G140" i="1"/>
  <c r="F323" i="1"/>
  <c r="E323" i="1"/>
  <c r="F322" i="1"/>
  <c r="E322" i="1"/>
  <c r="F321" i="1"/>
  <c r="E321" i="1"/>
  <c r="F320" i="1"/>
  <c r="E320" i="1"/>
  <c r="F319" i="1"/>
  <c r="E319" i="1"/>
  <c r="G172" i="1"/>
  <c r="H160" i="1"/>
  <c r="I140" i="1"/>
  <c r="H140" i="1"/>
  <c r="E127" i="1"/>
  <c r="E126" i="1"/>
  <c r="E125" i="1"/>
  <c r="E124" i="1"/>
  <c r="E123" i="1"/>
  <c r="E120" i="1"/>
  <c r="E119" i="1"/>
  <c r="E118" i="1"/>
  <c r="E117" i="1"/>
  <c r="E116" i="1"/>
  <c r="E115" i="1"/>
  <c r="E114" i="1"/>
  <c r="E113" i="1"/>
  <c r="E112" i="1"/>
  <c r="E111" i="1"/>
  <c r="E110" i="1"/>
  <c r="E109" i="1"/>
  <c r="E108" i="1"/>
  <c r="E107" i="1"/>
  <c r="E106" i="1"/>
  <c r="E105" i="1"/>
  <c r="E104" i="1"/>
  <c r="E103" i="1"/>
  <c r="E56" i="1"/>
  <c r="E55" i="1"/>
  <c r="E54" i="1"/>
  <c r="E53" i="1"/>
  <c r="E52" i="1"/>
  <c r="E51" i="1"/>
  <c r="E50" i="1"/>
  <c r="E49" i="1"/>
  <c r="E57" i="1"/>
  <c r="E48" i="1"/>
  <c r="E47" i="1"/>
  <c r="E46" i="1"/>
  <c r="G9" i="1"/>
  <c r="E96" i="28" l="1"/>
  <c r="L96" i="28" s="1"/>
  <c r="E97" i="28"/>
  <c r="L97" i="28" s="1"/>
  <c r="E98" i="28"/>
  <c r="L98" i="28" s="1"/>
  <c r="A97" i="28"/>
  <c r="B97" i="28"/>
  <c r="C97" i="28"/>
  <c r="E47" i="28"/>
  <c r="L47" i="28" s="1"/>
  <c r="A47" i="28"/>
  <c r="B47" i="28"/>
  <c r="C47" i="28"/>
  <c r="J299" i="28" l="1"/>
  <c r="J298" i="28"/>
  <c r="J301" i="28"/>
  <c r="J300" i="28" l="1"/>
  <c r="J302" i="28" s="1"/>
  <c r="A96" i="28"/>
  <c r="B96" i="28"/>
  <c r="C96" i="28"/>
  <c r="A98" i="28"/>
  <c r="B98" i="28"/>
  <c r="C98" i="28"/>
  <c r="E93" i="28"/>
  <c r="L93" i="28" s="1"/>
  <c r="E92" i="28"/>
  <c r="L92" i="28" s="1"/>
  <c r="A93" i="28"/>
  <c r="W93" i="28" s="1"/>
  <c r="B93" i="28"/>
  <c r="C93" i="28"/>
  <c r="C92" i="28"/>
  <c r="B92" i="28"/>
  <c r="A92" i="28"/>
  <c r="W92" i="28" s="1"/>
  <c r="E38" i="28"/>
  <c r="L38" i="28" s="1"/>
  <c r="E39" i="28"/>
  <c r="L39" i="28" s="1"/>
  <c r="E40" i="28"/>
  <c r="L40" i="28" s="1"/>
  <c r="E41" i="28"/>
  <c r="L41" i="28" s="1"/>
  <c r="E42" i="28"/>
  <c r="L42" i="28" s="1"/>
  <c r="E43" i="28"/>
  <c r="L43" i="28" s="1"/>
  <c r="E44" i="28"/>
  <c r="L44" i="28" s="1"/>
  <c r="E45" i="28"/>
  <c r="L45" i="28" s="1"/>
  <c r="E46" i="28"/>
  <c r="L46" i="28" s="1"/>
  <c r="E48" i="28"/>
  <c r="L48" i="28" s="1"/>
  <c r="E49" i="28"/>
  <c r="L49" i="28" s="1"/>
  <c r="E50" i="28"/>
  <c r="L50" i="28" s="1"/>
  <c r="E51" i="28"/>
  <c r="L51" i="28" s="1"/>
  <c r="A49" i="28"/>
  <c r="B49" i="28"/>
  <c r="C49" i="28"/>
  <c r="A50" i="28"/>
  <c r="B50" i="28"/>
  <c r="C50" i="28"/>
  <c r="A51" i="28"/>
  <c r="B51" i="28"/>
  <c r="C51" i="28"/>
  <c r="A38" i="28"/>
  <c r="B38" i="28"/>
  <c r="C38" i="28"/>
  <c r="A39" i="28"/>
  <c r="B39" i="28"/>
  <c r="C39" i="28"/>
  <c r="A40" i="28"/>
  <c r="B40" i="28"/>
  <c r="C40" i="28"/>
  <c r="A41" i="28"/>
  <c r="B41" i="28"/>
  <c r="C41" i="28"/>
  <c r="A42" i="28"/>
  <c r="B42" i="28"/>
  <c r="C42" i="28"/>
  <c r="A43" i="28"/>
  <c r="B43" i="28"/>
  <c r="C43" i="28"/>
  <c r="A44" i="28"/>
  <c r="B44" i="28"/>
  <c r="C44" i="28"/>
  <c r="A45" i="28"/>
  <c r="B45" i="28"/>
  <c r="C45" i="28"/>
  <c r="A46" i="28"/>
  <c r="B46" i="28"/>
  <c r="C46" i="28"/>
  <c r="A48" i="28"/>
  <c r="B48" i="28"/>
  <c r="C48" i="28"/>
  <c r="E113" i="28" l="1"/>
  <c r="L113" i="28" s="1"/>
  <c r="E114" i="28"/>
  <c r="L114" i="28" s="1"/>
  <c r="E104" i="28"/>
  <c r="L104" i="28" s="1"/>
  <c r="E105" i="28"/>
  <c r="L105" i="28" s="1"/>
  <c r="E106" i="28"/>
  <c r="L106" i="28" s="1"/>
  <c r="E107" i="28"/>
  <c r="L107" i="28" s="1"/>
  <c r="E108" i="28"/>
  <c r="L108" i="28" s="1"/>
  <c r="E109" i="28"/>
  <c r="L109" i="28" s="1"/>
  <c r="E99" i="28"/>
  <c r="L99" i="28" s="1"/>
  <c r="E100" i="28"/>
  <c r="L100" i="28" s="1"/>
  <c r="E101" i="28"/>
  <c r="L101" i="28" s="1"/>
  <c r="E102" i="28"/>
  <c r="L102" i="28" s="1"/>
  <c r="A113" i="28"/>
  <c r="B113" i="28"/>
  <c r="C113" i="28"/>
  <c r="A114" i="28"/>
  <c r="B114" i="28"/>
  <c r="C114" i="28"/>
  <c r="A109" i="28"/>
  <c r="B109" i="28"/>
  <c r="C109" i="28"/>
  <c r="A104" i="28"/>
  <c r="B104" i="28"/>
  <c r="C104" i="28"/>
  <c r="A105" i="28"/>
  <c r="B105" i="28"/>
  <c r="C105" i="28"/>
  <c r="A106" i="28"/>
  <c r="B106" i="28"/>
  <c r="C106" i="28"/>
  <c r="A107" i="28"/>
  <c r="B107" i="28"/>
  <c r="C107" i="28"/>
  <c r="A108" i="28"/>
  <c r="B108" i="28"/>
  <c r="C108" i="28"/>
  <c r="A99" i="28"/>
  <c r="B99" i="28"/>
  <c r="C99" i="28"/>
  <c r="A100" i="28"/>
  <c r="B100" i="28"/>
  <c r="C100" i="28"/>
  <c r="A101" i="28"/>
  <c r="B101" i="28"/>
  <c r="C101" i="28"/>
  <c r="A102" i="28"/>
  <c r="B102" i="28"/>
  <c r="C102" i="28"/>
  <c r="E85" i="28" l="1"/>
  <c r="L85" i="28" s="1"/>
  <c r="E86" i="28"/>
  <c r="L86" i="28" s="1"/>
  <c r="E87" i="28"/>
  <c r="L87" i="28" s="1"/>
  <c r="E88" i="28"/>
  <c r="L88" i="28" s="1"/>
  <c r="A85" i="28"/>
  <c r="W85" i="28" s="1"/>
  <c r="B85" i="28"/>
  <c r="C85" i="28"/>
  <c r="A86" i="28"/>
  <c r="W86" i="28" s="1"/>
  <c r="B86" i="28"/>
  <c r="C86" i="28"/>
  <c r="A87" i="28"/>
  <c r="W87" i="28" s="1"/>
  <c r="B87" i="28"/>
  <c r="C87" i="28"/>
  <c r="A88" i="28"/>
  <c r="W88" i="28" s="1"/>
  <c r="B88" i="28"/>
  <c r="C88" i="28"/>
  <c r="E296" i="1"/>
  <c r="E295" i="1"/>
  <c r="E294" i="1"/>
  <c r="E293" i="1"/>
  <c r="E292" i="1"/>
  <c r="E291" i="1"/>
  <c r="E290" i="1"/>
  <c r="E289" i="1"/>
  <c r="E286" i="1"/>
  <c r="E284" i="1"/>
  <c r="E282" i="1"/>
  <c r="E279" i="1"/>
  <c r="E278" i="1"/>
  <c r="E277" i="1"/>
  <c r="E274" i="1"/>
  <c r="E273" i="1"/>
  <c r="E272" i="1"/>
  <c r="E271" i="1"/>
  <c r="E270" i="1"/>
  <c r="E268" i="1"/>
  <c r="E267" i="1"/>
  <c r="E266" i="1"/>
  <c r="E265" i="1"/>
  <c r="E262" i="1"/>
  <c r="E260" i="1"/>
  <c r="E259" i="1"/>
  <c r="E258" i="1"/>
  <c r="E257" i="1"/>
  <c r="E255" i="1"/>
  <c r="E254" i="1"/>
  <c r="E253" i="1"/>
  <c r="E248" i="1"/>
  <c r="E247" i="1"/>
  <c r="E246" i="1"/>
  <c r="E245" i="1"/>
  <c r="E242" i="1"/>
  <c r="E241" i="1"/>
  <c r="E240" i="1"/>
  <c r="E239" i="1"/>
  <c r="E236" i="1"/>
  <c r="E235" i="1"/>
  <c r="E234" i="1"/>
  <c r="E233" i="1"/>
  <c r="E229" i="1"/>
  <c r="E228" i="1"/>
  <c r="E221" i="1"/>
  <c r="E220" i="1"/>
  <c r="E216" i="1"/>
  <c r="E214" i="1"/>
  <c r="E212" i="1"/>
  <c r="E210" i="1"/>
  <c r="E209" i="1"/>
  <c r="E208" i="1"/>
  <c r="E206" i="1"/>
  <c r="E205" i="1"/>
  <c r="E204" i="1"/>
  <c r="E199" i="1"/>
  <c r="E198" i="1"/>
  <c r="E197" i="1"/>
  <c r="E196" i="1"/>
  <c r="E195" i="1"/>
  <c r="E194" i="1"/>
  <c r="E193" i="1"/>
  <c r="E192" i="1"/>
  <c r="E191" i="1"/>
  <c r="E190" i="1"/>
  <c r="E189" i="1"/>
  <c r="E188" i="1"/>
  <c r="E187" i="1"/>
  <c r="E185" i="1"/>
  <c r="E184" i="1"/>
  <c r="E183" i="1"/>
  <c r="E182" i="1"/>
  <c r="E181" i="1"/>
  <c r="E179" i="1"/>
  <c r="E178" i="1"/>
  <c r="E177" i="1"/>
  <c r="E176" i="1"/>
  <c r="E175" i="1"/>
  <c r="E174" i="1"/>
  <c r="E173" i="1"/>
  <c r="E172" i="1"/>
  <c r="E171" i="1"/>
  <c r="E168" i="1"/>
  <c r="E167" i="1"/>
  <c r="E166" i="1"/>
  <c r="E165" i="1"/>
  <c r="E164" i="1"/>
  <c r="E163" i="1"/>
  <c r="E162" i="1"/>
  <c r="E161" i="1"/>
  <c r="E160" i="1"/>
  <c r="E159" i="1"/>
  <c r="E158" i="1"/>
  <c r="E157" i="1"/>
  <c r="E156" i="1"/>
  <c r="E155" i="1"/>
  <c r="E154" i="1"/>
  <c r="E153" i="1"/>
  <c r="E152" i="1"/>
  <c r="E151" i="1"/>
  <c r="E149" i="1"/>
  <c r="E148" i="1"/>
  <c r="E147" i="1"/>
  <c r="E146" i="1"/>
  <c r="E145" i="1"/>
  <c r="E144" i="1"/>
  <c r="E143" i="1"/>
  <c r="E142" i="1"/>
  <c r="E141" i="1"/>
  <c r="E140" i="1"/>
  <c r="E139" i="1"/>
  <c r="E138" i="1"/>
  <c r="E137" i="1"/>
  <c r="E136" i="1"/>
  <c r="E135" i="1"/>
  <c r="E134" i="1"/>
  <c r="E133" i="1"/>
  <c r="E132" i="1"/>
  <c r="E131" i="1"/>
  <c r="E101" i="1"/>
  <c r="E98" i="1"/>
  <c r="E89" i="1"/>
  <c r="E87" i="1"/>
  <c r="E86" i="1"/>
  <c r="E85" i="1"/>
  <c r="E84" i="1"/>
  <c r="E83" i="1"/>
  <c r="E82" i="1"/>
  <c r="E81" i="1"/>
  <c r="E80" i="1"/>
  <c r="E79" i="1"/>
  <c r="E78" i="1"/>
  <c r="E77" i="1"/>
  <c r="E73" i="1"/>
  <c r="E72" i="1"/>
  <c r="G89" i="1" s="1"/>
  <c r="E71" i="1"/>
  <c r="E70" i="1"/>
  <c r="E69" i="1"/>
  <c r="E68" i="1"/>
  <c r="E67" i="1"/>
  <c r="E66" i="1"/>
  <c r="E65" i="1"/>
  <c r="E64" i="1"/>
  <c r="E63" i="1"/>
  <c r="E62" i="1"/>
  <c r="E61" i="1"/>
  <c r="E60" i="1"/>
  <c r="E59" i="1"/>
  <c r="E42" i="1"/>
  <c r="E41" i="1"/>
  <c r="E39" i="1"/>
  <c r="E38" i="1"/>
  <c r="E37" i="1"/>
  <c r="E36" i="1"/>
  <c r="E35" i="1"/>
  <c r="E34" i="1"/>
  <c r="E33" i="1"/>
  <c r="E32" i="1"/>
  <c r="E31" i="1"/>
  <c r="E30" i="1"/>
  <c r="E29" i="1"/>
  <c r="E28" i="1"/>
  <c r="E26" i="1"/>
  <c r="E25" i="1"/>
  <c r="E23" i="1"/>
  <c r="E22" i="1"/>
  <c r="E21" i="1"/>
  <c r="E20" i="1"/>
  <c r="E19" i="1"/>
  <c r="E18" i="1"/>
  <c r="E17" i="1"/>
  <c r="E16" i="1"/>
  <c r="E15" i="1"/>
  <c r="E14" i="1"/>
  <c r="E13" i="1"/>
  <c r="E12" i="1"/>
  <c r="E11" i="1"/>
  <c r="E10" i="1"/>
  <c r="E9" i="1"/>
  <c r="E8" i="1"/>
  <c r="E7" i="1"/>
  <c r="H38" i="1" l="1"/>
  <c r="G38" i="1" s="1"/>
  <c r="A95" i="28"/>
  <c r="B95" i="28"/>
  <c r="C95" i="28"/>
  <c r="E95" i="28"/>
  <c r="L95" i="28" s="1"/>
  <c r="A103" i="28"/>
  <c r="B103" i="28"/>
  <c r="C103" i="28"/>
  <c r="E103" i="28"/>
  <c r="L103" i="28" s="1"/>
  <c r="A110" i="28"/>
  <c r="B110" i="28"/>
  <c r="C110" i="28"/>
  <c r="L110" i="28"/>
  <c r="A111" i="28"/>
  <c r="B111" i="28"/>
  <c r="C111" i="28"/>
  <c r="E111" i="28"/>
  <c r="L111" i="28" s="1"/>
  <c r="A112" i="28"/>
  <c r="B112" i="28"/>
  <c r="C112" i="28"/>
  <c r="E112" i="28"/>
  <c r="L112" i="28" s="1"/>
  <c r="E94" i="28"/>
  <c r="L94" i="28" s="1"/>
  <c r="C94" i="28"/>
  <c r="B94" i="28"/>
  <c r="A94" i="28"/>
  <c r="M23" i="73" l="1"/>
  <c r="D23" i="73" s="1"/>
  <c r="C281" i="28"/>
  <c r="G87" i="53" l="1"/>
  <c r="L266" i="28" l="1"/>
  <c r="L267" i="28"/>
  <c r="L268" i="28"/>
  <c r="E244" i="28"/>
  <c r="L252" i="28"/>
  <c r="C252" i="28"/>
  <c r="A252" i="28"/>
  <c r="W252" i="28" s="1"/>
  <c r="G273" i="1" l="1"/>
  <c r="E290" i="28"/>
  <c r="E278" i="28" l="1"/>
  <c r="E281" i="28" l="1"/>
  <c r="E287" i="28"/>
  <c r="C290" i="28" l="1"/>
  <c r="L290" i="28"/>
  <c r="A290" i="28"/>
  <c r="E90" i="28"/>
  <c r="L90" i="28" s="1"/>
  <c r="C90" i="28"/>
  <c r="B90" i="28"/>
  <c r="A90" i="28"/>
  <c r="W90" i="28" s="1"/>
  <c r="E81" i="28"/>
  <c r="L81" i="28" s="1"/>
  <c r="E82" i="28"/>
  <c r="L82" i="28" s="1"/>
  <c r="E83" i="28"/>
  <c r="L83" i="28" s="1"/>
  <c r="E84" i="28"/>
  <c r="L84" i="28" s="1"/>
  <c r="B81" i="28"/>
  <c r="C81" i="28"/>
  <c r="B82" i="28"/>
  <c r="C82" i="28"/>
  <c r="B83" i="28"/>
  <c r="C83" i="28"/>
  <c r="B84" i="28"/>
  <c r="C84" i="28"/>
  <c r="A81" i="28"/>
  <c r="W81" i="28" s="1"/>
  <c r="A82" i="28"/>
  <c r="W82" i="28" s="1"/>
  <c r="A83" i="28"/>
  <c r="W83" i="28" s="1"/>
  <c r="A84" i="28"/>
  <c r="W84" i="28" s="1"/>
  <c r="AT354" i="74" l="1"/>
  <c r="AU354" i="74"/>
  <c r="AV354" i="74"/>
  <c r="AW354" i="74"/>
  <c r="AX354" i="74"/>
  <c r="AY354" i="74"/>
  <c r="AZ354" i="74"/>
  <c r="BA354" i="74"/>
  <c r="BB354" i="74"/>
  <c r="BC354" i="74"/>
  <c r="BD354" i="74"/>
  <c r="BE354" i="74"/>
  <c r="BF354" i="74"/>
  <c r="BG354" i="74"/>
  <c r="BH354" i="74"/>
  <c r="BI354" i="74"/>
  <c r="BJ354" i="74"/>
  <c r="BK354" i="74"/>
  <c r="BL354" i="74"/>
  <c r="BM354" i="74"/>
  <c r="BN354" i="74"/>
  <c r="BO354" i="74"/>
  <c r="BP354" i="74"/>
  <c r="BQ354" i="74"/>
  <c r="BR354" i="74"/>
  <c r="BS354" i="74"/>
  <c r="BT354" i="74"/>
  <c r="BU354" i="74"/>
  <c r="BV354" i="74"/>
  <c r="BW354" i="74"/>
  <c r="BX354" i="74"/>
  <c r="BY354" i="74"/>
  <c r="BZ354" i="74"/>
  <c r="CA354" i="74"/>
  <c r="CB354" i="74"/>
  <c r="AT353" i="74"/>
  <c r="AU353" i="74"/>
  <c r="AV353" i="74"/>
  <c r="AW353" i="74"/>
  <c r="AX353" i="74"/>
  <c r="AY353" i="74"/>
  <c r="AZ353" i="74"/>
  <c r="BA353" i="74"/>
  <c r="BB353" i="74"/>
  <c r="BC353" i="74"/>
  <c r="BD353" i="74"/>
  <c r="BE353" i="74"/>
  <c r="BF353" i="74"/>
  <c r="BG353" i="74"/>
  <c r="BH353" i="74"/>
  <c r="BI353" i="74"/>
  <c r="BJ353" i="74"/>
  <c r="BK353" i="74"/>
  <c r="BL353" i="74"/>
  <c r="BM353" i="74"/>
  <c r="BN353" i="74"/>
  <c r="BO353" i="74"/>
  <c r="BP353" i="74"/>
  <c r="BQ353" i="74"/>
  <c r="BR353" i="74"/>
  <c r="BS353" i="74"/>
  <c r="BT353" i="74"/>
  <c r="BU353" i="74"/>
  <c r="BV353" i="74"/>
  <c r="BW353" i="74"/>
  <c r="BX353" i="74"/>
  <c r="BY353" i="74"/>
  <c r="BZ353" i="74"/>
  <c r="CA353" i="74"/>
  <c r="CB353" i="74"/>
  <c r="AT352" i="74"/>
  <c r="AU352" i="74"/>
  <c r="AV352" i="74"/>
  <c r="AW352" i="74"/>
  <c r="AX352" i="74"/>
  <c r="AY352" i="74"/>
  <c r="AZ352" i="74"/>
  <c r="BA352" i="74"/>
  <c r="BB352" i="74"/>
  <c r="BC352" i="74"/>
  <c r="BD352" i="74"/>
  <c r="BE352" i="74"/>
  <c r="BF352" i="74"/>
  <c r="BG352" i="74"/>
  <c r="BH352" i="74"/>
  <c r="BI352" i="74"/>
  <c r="BJ352" i="74"/>
  <c r="BK352" i="74"/>
  <c r="BL352" i="74"/>
  <c r="BM352" i="74"/>
  <c r="BN352" i="74"/>
  <c r="BO352" i="74"/>
  <c r="BP352" i="74"/>
  <c r="BQ352" i="74"/>
  <c r="BR352" i="74"/>
  <c r="BS352" i="74"/>
  <c r="BT352" i="74"/>
  <c r="BU352" i="74"/>
  <c r="BV352" i="74"/>
  <c r="BW352" i="74"/>
  <c r="BX352" i="74"/>
  <c r="BY352" i="74"/>
  <c r="BZ352" i="74"/>
  <c r="CA352" i="74"/>
  <c r="CB352" i="74"/>
  <c r="AT349" i="74"/>
  <c r="AU349" i="74"/>
  <c r="AV349" i="74"/>
  <c r="AW349" i="74"/>
  <c r="AX349" i="74"/>
  <c r="AY349" i="74"/>
  <c r="AZ349" i="74"/>
  <c r="BA349" i="74"/>
  <c r="BB349" i="74"/>
  <c r="BC349" i="74"/>
  <c r="BD349" i="74"/>
  <c r="BE349" i="74"/>
  <c r="BF349" i="74"/>
  <c r="BG349" i="74"/>
  <c r="BH349" i="74"/>
  <c r="BI349" i="74"/>
  <c r="BJ349" i="74"/>
  <c r="BK349" i="74"/>
  <c r="BL349" i="74"/>
  <c r="BM349" i="74"/>
  <c r="BN349" i="74"/>
  <c r="BO349" i="74"/>
  <c r="BP349" i="74"/>
  <c r="BQ349" i="74"/>
  <c r="BR349" i="74"/>
  <c r="BS349" i="74"/>
  <c r="BT349" i="74"/>
  <c r="BU349" i="74"/>
  <c r="BV349" i="74"/>
  <c r="BW349" i="74"/>
  <c r="BX349" i="74"/>
  <c r="BY349" i="74"/>
  <c r="BZ349" i="74"/>
  <c r="CA349" i="74"/>
  <c r="CB349" i="74"/>
  <c r="AT351" i="74"/>
  <c r="AU351" i="74"/>
  <c r="AV351" i="74"/>
  <c r="AW351" i="74"/>
  <c r="AX351" i="74"/>
  <c r="AY351" i="74"/>
  <c r="AZ351" i="74"/>
  <c r="BA351" i="74"/>
  <c r="BB351" i="74"/>
  <c r="BC351" i="74"/>
  <c r="BD351" i="74"/>
  <c r="BE351" i="74"/>
  <c r="BF351" i="74"/>
  <c r="BG351" i="74"/>
  <c r="BH351" i="74"/>
  <c r="BI351" i="74"/>
  <c r="BJ351" i="74"/>
  <c r="BK351" i="74"/>
  <c r="BL351" i="74"/>
  <c r="BM351" i="74"/>
  <c r="BN351" i="74"/>
  <c r="BO351" i="74"/>
  <c r="BP351" i="74"/>
  <c r="BQ351" i="74"/>
  <c r="BR351" i="74"/>
  <c r="BS351" i="74"/>
  <c r="BT351" i="74"/>
  <c r="BU351" i="74"/>
  <c r="BV351" i="74"/>
  <c r="BW351" i="74"/>
  <c r="BX351" i="74"/>
  <c r="BY351" i="74"/>
  <c r="BZ351" i="74"/>
  <c r="CA351" i="74"/>
  <c r="CB351" i="74"/>
  <c r="AT348" i="74"/>
  <c r="AU348" i="74"/>
  <c r="AV348" i="74"/>
  <c r="AW348" i="74"/>
  <c r="AX348" i="74"/>
  <c r="AY348" i="74"/>
  <c r="AZ348" i="74"/>
  <c r="BA348" i="74"/>
  <c r="BB348" i="74"/>
  <c r="BC348" i="74"/>
  <c r="BD348" i="74"/>
  <c r="BE348" i="74"/>
  <c r="BF348" i="74"/>
  <c r="BG348" i="74"/>
  <c r="BH348" i="74"/>
  <c r="BI348" i="74"/>
  <c r="BJ348" i="74"/>
  <c r="BK348" i="74"/>
  <c r="BL348" i="74"/>
  <c r="BM348" i="74"/>
  <c r="BN348" i="74"/>
  <c r="BO348" i="74"/>
  <c r="BP348" i="74"/>
  <c r="BQ348" i="74"/>
  <c r="BR348" i="74"/>
  <c r="BS348" i="74"/>
  <c r="BT348" i="74"/>
  <c r="BU348" i="74"/>
  <c r="BV348" i="74"/>
  <c r="BW348" i="74"/>
  <c r="BX348" i="74"/>
  <c r="BY348" i="74"/>
  <c r="BZ348" i="74"/>
  <c r="CA348" i="74"/>
  <c r="CB348" i="74"/>
  <c r="G199" i="1" l="1"/>
  <c r="G183" i="1"/>
  <c r="G132" i="1"/>
  <c r="H74" i="53" l="1"/>
  <c r="H72" i="53"/>
  <c r="H70" i="53"/>
  <c r="H68" i="53"/>
  <c r="H66" i="53"/>
  <c r="H64" i="53"/>
  <c r="H62" i="53"/>
  <c r="H60" i="53"/>
  <c r="H55" i="53"/>
  <c r="H51" i="53"/>
  <c r="H49" i="53"/>
  <c r="H47" i="53"/>
  <c r="H45" i="53"/>
  <c r="H43" i="53"/>
  <c r="H41" i="53"/>
  <c r="H57" i="53"/>
  <c r="H78" i="53"/>
  <c r="H76" i="53"/>
  <c r="G180" i="1" l="1"/>
  <c r="D25" i="73"/>
  <c r="D17" i="73"/>
  <c r="C17" i="73"/>
  <c r="B17" i="73"/>
  <c r="B11" i="73"/>
  <c r="C11" i="73"/>
  <c r="D11" i="73"/>
  <c r="E243" i="28" l="1"/>
  <c r="L243" i="28" s="1"/>
  <c r="B20" i="71" s="1"/>
  <c r="C243" i="28"/>
  <c r="A243" i="28"/>
  <c r="B2" i="71"/>
  <c r="B8" i="71" l="1"/>
  <c r="B12" i="71"/>
  <c r="W243" i="28"/>
  <c r="L253" i="28"/>
  <c r="C253" i="28"/>
  <c r="A253" i="28"/>
  <c r="D40" i="73" l="1"/>
  <c r="F40" i="73" s="1"/>
  <c r="W253" i="28"/>
  <c r="G222" i="1"/>
  <c r="C258" i="28"/>
  <c r="C257" i="28"/>
  <c r="C256" i="28"/>
  <c r="C255" i="28"/>
  <c r="C260" i="28"/>
  <c r="C259" i="28"/>
  <c r="C254" i="28"/>
  <c r="C251" i="28"/>
  <c r="C250" i="28"/>
  <c r="C249" i="28"/>
  <c r="C248" i="28"/>
  <c r="L244" i="28" l="1"/>
  <c r="H244" i="28"/>
  <c r="A244" i="28"/>
  <c r="C244" i="28"/>
  <c r="H229" i="28"/>
  <c r="A229" i="28"/>
  <c r="B229" i="28"/>
  <c r="C229" i="28"/>
  <c r="E229" i="28"/>
  <c r="L229" i="28" s="1"/>
  <c r="F19" i="71" s="1"/>
  <c r="H191" i="28"/>
  <c r="H192" i="28"/>
  <c r="H193" i="28"/>
  <c r="E191" i="28"/>
  <c r="L191" i="28" s="1"/>
  <c r="E192" i="28"/>
  <c r="L192" i="28" s="1"/>
  <c r="E193" i="28"/>
  <c r="L193" i="28" s="1"/>
  <c r="B191" i="28"/>
  <c r="C191" i="28"/>
  <c r="B192" i="28"/>
  <c r="C192" i="28"/>
  <c r="B193" i="28"/>
  <c r="C193" i="28"/>
  <c r="A191" i="28"/>
  <c r="A192" i="28"/>
  <c r="A193" i="28"/>
  <c r="H160" i="28"/>
  <c r="E161" i="28"/>
  <c r="L161" i="28" s="1"/>
  <c r="A161" i="28"/>
  <c r="B161" i="28"/>
  <c r="C161" i="28"/>
  <c r="E68" i="28"/>
  <c r="L68" i="28" s="1"/>
  <c r="E67" i="28"/>
  <c r="L67" i="28" s="1"/>
  <c r="C68" i="28"/>
  <c r="C67" i="28"/>
  <c r="B68" i="28"/>
  <c r="B67" i="28"/>
  <c r="A68" i="28"/>
  <c r="A67" i="28"/>
  <c r="L247" i="28"/>
  <c r="L246" i="28"/>
  <c r="E254" i="28"/>
  <c r="C247" i="28"/>
  <c r="C246" i="28"/>
  <c r="A258" i="28"/>
  <c r="A257" i="28"/>
  <c r="A256" i="28"/>
  <c r="A255" i="28"/>
  <c r="A260" i="28"/>
  <c r="A259" i="28"/>
  <c r="A254" i="28"/>
  <c r="A251" i="28"/>
  <c r="A250" i="28"/>
  <c r="A249" i="28"/>
  <c r="A248" i="28"/>
  <c r="A247" i="28"/>
  <c r="A246" i="28"/>
  <c r="K44" i="73" l="1"/>
  <c r="L9" i="80"/>
  <c r="D28" i="73"/>
  <c r="F28" i="73" s="1"/>
  <c r="D30" i="73"/>
  <c r="F30" i="73" s="1"/>
  <c r="D42" i="73"/>
  <c r="F42" i="73" s="1"/>
  <c r="W246" i="28"/>
  <c r="W260" i="28"/>
  <c r="W192" i="28"/>
  <c r="W247" i="28"/>
  <c r="W255" i="28"/>
  <c r="W191" i="28"/>
  <c r="W248" i="28"/>
  <c r="W249" i="28"/>
  <c r="W257" i="28"/>
  <c r="W254" i="28"/>
  <c r="W250" i="28"/>
  <c r="W258" i="28"/>
  <c r="W161" i="28"/>
  <c r="W244" i="28"/>
  <c r="W259" i="28"/>
  <c r="W193" i="28"/>
  <c r="W256" i="28"/>
  <c r="W251" i="28"/>
  <c r="L254" i="28"/>
  <c r="L259" i="28"/>
  <c r="L258" i="28"/>
  <c r="L260" i="28"/>
  <c r="L248" i="28"/>
  <c r="L249" i="28"/>
  <c r="L250" i="28"/>
  <c r="L256" i="28"/>
  <c r="L251" i="28"/>
  <c r="L257" i="28"/>
  <c r="M44" i="73" l="1"/>
  <c r="D44" i="73" s="1"/>
  <c r="N9" i="80"/>
  <c r="L44" i="73"/>
  <c r="M9" i="80"/>
  <c r="D8" i="80"/>
  <c r="F8" i="80" s="1"/>
  <c r="D26" i="73"/>
  <c r="F26" i="73" s="1"/>
  <c r="D48" i="73"/>
  <c r="F48" i="73" s="1"/>
  <c r="D38" i="73"/>
  <c r="F38" i="73" s="1"/>
  <c r="D32" i="73"/>
  <c r="F32" i="73" s="1"/>
  <c r="D9" i="80" l="1"/>
  <c r="B2" i="73"/>
  <c r="C9" i="73" s="1"/>
  <c r="C8" i="73" l="1"/>
  <c r="C6" i="73"/>
  <c r="L14" i="73"/>
  <c r="L13" i="73"/>
  <c r="L20" i="73"/>
  <c r="L19" i="73"/>
  <c r="L18" i="73"/>
  <c r="L12" i="73"/>
  <c r="H28" i="53"/>
  <c r="E27" i="53"/>
  <c r="G11" i="53" l="1"/>
  <c r="G88" i="53" s="1"/>
  <c r="E97" i="53"/>
  <c r="G89" i="53" l="1"/>
  <c r="E286" i="28" l="1"/>
  <c r="L286" i="28" s="1"/>
  <c r="Q286" i="28" s="1"/>
  <c r="L287" i="28"/>
  <c r="Q287" i="28" s="1"/>
  <c r="E288" i="28"/>
  <c r="L288" i="28" s="1"/>
  <c r="Q288" i="28" s="1"/>
  <c r="E289" i="28"/>
  <c r="L289" i="28" s="1"/>
  <c r="Q289" i="28" s="1"/>
  <c r="E285" i="28"/>
  <c r="L285" i="28" s="1"/>
  <c r="Q285" i="28" s="1"/>
  <c r="A286" i="28"/>
  <c r="A287" i="28"/>
  <c r="A288" i="28"/>
  <c r="A289" i="28"/>
  <c r="A285" i="28"/>
  <c r="G310" i="1"/>
  <c r="F283" i="28" s="1"/>
  <c r="G311" i="1"/>
  <c r="F284" i="28" s="1"/>
  <c r="F281" i="28"/>
  <c r="G309" i="1"/>
  <c r="F282" i="28" s="1"/>
  <c r="G305" i="1"/>
  <c r="F278" i="28" s="1"/>
  <c r="G306" i="1"/>
  <c r="F279" i="28" s="1"/>
  <c r="G307" i="1"/>
  <c r="F280" i="28" s="1"/>
  <c r="G304" i="1"/>
  <c r="F277" i="28" s="1"/>
  <c r="C286" i="28" l="1"/>
  <c r="C287" i="28"/>
  <c r="C288" i="28"/>
  <c r="C289" i="28"/>
  <c r="C285" i="28"/>
  <c r="G263" i="1" l="1"/>
  <c r="G157" i="1"/>
  <c r="G19" i="1"/>
  <c r="F289" i="28"/>
  <c r="F288" i="28"/>
  <c r="F287" i="28"/>
  <c r="F286" i="28"/>
  <c r="F285" i="28"/>
  <c r="G147" i="1" l="1"/>
  <c r="G166" i="1" l="1"/>
  <c r="G165" i="1"/>
  <c r="G164" i="1"/>
  <c r="G163" i="1"/>
  <c r="G162" i="1"/>
  <c r="G161" i="1"/>
  <c r="G155" i="1"/>
  <c r="G146" i="1"/>
  <c r="G145" i="1"/>
  <c r="G144" i="1"/>
  <c r="G143" i="1"/>
  <c r="G142" i="1"/>
  <c r="G141" i="1"/>
  <c r="Y276" i="28" l="1"/>
  <c r="D3" i="1" l="1"/>
  <c r="B5" i="80" l="1"/>
  <c r="L4" i="28"/>
  <c r="B3" i="71"/>
  <c r="B13" i="71"/>
  <c r="B3" i="73"/>
  <c r="Y266" i="28"/>
  <c r="B9" i="73" l="1"/>
  <c r="K36" i="73"/>
  <c r="D36" i="73"/>
  <c r="F36" i="73" s="1"/>
  <c r="L11" i="73"/>
  <c r="L17" i="73"/>
  <c r="B8" i="73"/>
  <c r="B6" i="73"/>
  <c r="K18" i="73"/>
  <c r="K17" i="73"/>
  <c r="K14" i="73"/>
  <c r="K20" i="73"/>
  <c r="K12" i="73"/>
  <c r="K11" i="73"/>
  <c r="K19" i="73"/>
  <c r="K13" i="73"/>
  <c r="M17" i="73"/>
  <c r="M11" i="73"/>
  <c r="Y268" i="28"/>
  <c r="Y267" i="28"/>
  <c r="B18" i="73" l="1"/>
  <c r="B20" i="73"/>
  <c r="B19" i="73"/>
  <c r="B12" i="73"/>
  <c r="B14" i="73"/>
  <c r="B13" i="73"/>
  <c r="C20" i="73"/>
  <c r="C19" i="73"/>
  <c r="C18" i="73"/>
  <c r="C12" i="73"/>
  <c r="C14" i="73"/>
  <c r="C13" i="73"/>
  <c r="N236" i="28" l="1"/>
  <c r="X276" i="28"/>
  <c r="W124" i="28"/>
  <c r="W125" i="28"/>
  <c r="W126" i="28"/>
  <c r="W127" i="28"/>
  <c r="W128" i="28"/>
  <c r="W129" i="28"/>
  <c r="W221" i="28"/>
  <c r="W266" i="28"/>
  <c r="W267" i="28"/>
  <c r="W268" i="28"/>
  <c r="W276" i="28"/>
  <c r="W291" i="28"/>
  <c r="W4" i="28"/>
  <c r="E232" i="28"/>
  <c r="L232" i="28" s="1"/>
  <c r="H4" i="30" l="1"/>
  <c r="F4" i="30"/>
  <c r="B4" i="30"/>
  <c r="F295" i="28"/>
  <c r="E295" i="28"/>
  <c r="C295" i="28"/>
  <c r="B295" i="28"/>
  <c r="A295" i="28"/>
  <c r="E284" i="28"/>
  <c r="C284" i="28"/>
  <c r="A284" i="28"/>
  <c r="E283" i="28"/>
  <c r="C283" i="28"/>
  <c r="A283" i="28"/>
  <c r="E282" i="28"/>
  <c r="C282" i="28"/>
  <c r="A282" i="28"/>
  <c r="A281" i="28"/>
  <c r="E280" i="28"/>
  <c r="C280" i="28"/>
  <c r="A280" i="28"/>
  <c r="E279" i="28"/>
  <c r="C279" i="28"/>
  <c r="A279" i="28"/>
  <c r="C278" i="28"/>
  <c r="A278" i="28"/>
  <c r="E277" i="28"/>
  <c r="L277" i="28" s="1"/>
  <c r="Q277" i="28" s="1"/>
  <c r="C277" i="28"/>
  <c r="A277" i="28"/>
  <c r="H245" i="28"/>
  <c r="E245" i="28"/>
  <c r="L245" i="28" s="1"/>
  <c r="C245" i="28"/>
  <c r="A245" i="28"/>
  <c r="E242" i="28"/>
  <c r="L242" i="28" s="1"/>
  <c r="C242" i="28"/>
  <c r="A242" i="28"/>
  <c r="H241" i="28"/>
  <c r="E241" i="28"/>
  <c r="L241" i="28" s="1"/>
  <c r="C241" i="28"/>
  <c r="B241" i="28"/>
  <c r="A241" i="28"/>
  <c r="H240" i="28"/>
  <c r="E240" i="28"/>
  <c r="L240" i="28" s="1"/>
  <c r="C240" i="28"/>
  <c r="B240" i="28"/>
  <c r="A240" i="28"/>
  <c r="E239" i="28"/>
  <c r="L239" i="28" s="1"/>
  <c r="C239" i="28"/>
  <c r="B239" i="28"/>
  <c r="A239" i="28"/>
  <c r="E238" i="28"/>
  <c r="L238" i="28" s="1"/>
  <c r="C238" i="28"/>
  <c r="B238" i="28"/>
  <c r="A238" i="28"/>
  <c r="E237" i="28"/>
  <c r="L237" i="28" s="1"/>
  <c r="C237" i="28"/>
  <c r="B237" i="28"/>
  <c r="A237" i="28"/>
  <c r="E236" i="28"/>
  <c r="L236" i="28" s="1"/>
  <c r="C236" i="28"/>
  <c r="B236" i="28"/>
  <c r="A236" i="28"/>
  <c r="E235" i="28"/>
  <c r="L235" i="28" s="1"/>
  <c r="C235" i="28"/>
  <c r="B235" i="28"/>
  <c r="A235" i="28"/>
  <c r="E234" i="28"/>
  <c r="L234" i="28" s="1"/>
  <c r="C234" i="28"/>
  <c r="B234" i="28"/>
  <c r="A234" i="28"/>
  <c r="E233" i="28"/>
  <c r="L233" i="28" s="1"/>
  <c r="C233" i="28"/>
  <c r="B233" i="28"/>
  <c r="A233" i="28"/>
  <c r="H232" i="28"/>
  <c r="C232" i="28"/>
  <c r="B232" i="28"/>
  <c r="A232" i="28"/>
  <c r="H231" i="28"/>
  <c r="E231" i="28"/>
  <c r="C231" i="28"/>
  <c r="B231" i="28"/>
  <c r="A231" i="28"/>
  <c r="H230" i="28"/>
  <c r="E230" i="28"/>
  <c r="L230" i="28" s="1"/>
  <c r="C230" i="28"/>
  <c r="B230" i="28"/>
  <c r="A230" i="28"/>
  <c r="H228" i="28"/>
  <c r="E228" i="28"/>
  <c r="L228" i="28" s="1"/>
  <c r="C228" i="28"/>
  <c r="B228" i="28"/>
  <c r="A228" i="28"/>
  <c r="H227" i="28"/>
  <c r="E227" i="28"/>
  <c r="L227" i="28" s="1"/>
  <c r="C227" i="28"/>
  <c r="B227" i="28"/>
  <c r="A227" i="28"/>
  <c r="H226" i="28"/>
  <c r="E226" i="28"/>
  <c r="L226" i="28" s="1"/>
  <c r="C226" i="28"/>
  <c r="B226" i="28"/>
  <c r="A226" i="28"/>
  <c r="E225" i="28"/>
  <c r="L225" i="28" s="1"/>
  <c r="C225" i="28"/>
  <c r="B225" i="28"/>
  <c r="A225" i="28"/>
  <c r="H224" i="28"/>
  <c r="E224" i="28"/>
  <c r="L224" i="28" s="1"/>
  <c r="C224" i="28"/>
  <c r="B224" i="28"/>
  <c r="A224" i="28"/>
  <c r="H223" i="28"/>
  <c r="E223" i="28"/>
  <c r="L223" i="28" s="1"/>
  <c r="C223" i="28"/>
  <c r="B223" i="28"/>
  <c r="A223" i="28"/>
  <c r="H222" i="28"/>
  <c r="E222" i="28"/>
  <c r="L222" i="28" s="1"/>
  <c r="C222" i="28"/>
  <c r="B222" i="28"/>
  <c r="A222" i="28"/>
  <c r="E221" i="28"/>
  <c r="L221" i="28" s="1"/>
  <c r="C221" i="28"/>
  <c r="E220" i="28"/>
  <c r="L220" i="28" s="1"/>
  <c r="C220" i="28"/>
  <c r="B220" i="28"/>
  <c r="A220" i="28"/>
  <c r="H219" i="28"/>
  <c r="E219" i="28"/>
  <c r="L219" i="28" s="1"/>
  <c r="C219" i="28"/>
  <c r="B219" i="28"/>
  <c r="A219" i="28"/>
  <c r="H218" i="28"/>
  <c r="E218" i="28"/>
  <c r="L218" i="28" s="1"/>
  <c r="C218" i="28"/>
  <c r="B218" i="28"/>
  <c r="A218" i="28"/>
  <c r="H217" i="28"/>
  <c r="E217" i="28"/>
  <c r="L217" i="28" s="1"/>
  <c r="C217" i="28"/>
  <c r="B217" i="28"/>
  <c r="A217" i="28"/>
  <c r="E216" i="28"/>
  <c r="L216" i="28" s="1"/>
  <c r="C216" i="28"/>
  <c r="B216" i="28"/>
  <c r="A216" i="28"/>
  <c r="E215" i="28"/>
  <c r="L215" i="28" s="1"/>
  <c r="C215" i="28"/>
  <c r="B215" i="28"/>
  <c r="A215" i="28"/>
  <c r="H214" i="28"/>
  <c r="E214" i="28"/>
  <c r="L214" i="28" s="1"/>
  <c r="C214" i="28"/>
  <c r="B214" i="28"/>
  <c r="A214" i="28"/>
  <c r="H213" i="28"/>
  <c r="E213" i="28"/>
  <c r="L213" i="28" s="1"/>
  <c r="C213" i="28"/>
  <c r="B213" i="28"/>
  <c r="A213" i="28"/>
  <c r="H212" i="28"/>
  <c r="E212" i="28"/>
  <c r="L212" i="28" s="1"/>
  <c r="C212" i="28"/>
  <c r="B212" i="28"/>
  <c r="A212" i="28"/>
  <c r="H211" i="28"/>
  <c r="E211" i="28"/>
  <c r="L211" i="28" s="1"/>
  <c r="C211" i="28"/>
  <c r="B211" i="28"/>
  <c r="A211" i="28"/>
  <c r="H210" i="28"/>
  <c r="E210" i="28"/>
  <c r="L210" i="28" s="1"/>
  <c r="C210" i="28"/>
  <c r="B210" i="28"/>
  <c r="A210" i="28"/>
  <c r="H209" i="28"/>
  <c r="E209" i="28"/>
  <c r="L209" i="28" s="1"/>
  <c r="C209" i="28"/>
  <c r="B209" i="28"/>
  <c r="A209" i="28"/>
  <c r="H208" i="28"/>
  <c r="E208" i="28"/>
  <c r="L208" i="28" s="1"/>
  <c r="C208" i="28"/>
  <c r="B208" i="28"/>
  <c r="A208" i="28"/>
  <c r="H207" i="28"/>
  <c r="E207" i="28"/>
  <c r="L207" i="28" s="1"/>
  <c r="C207" i="28"/>
  <c r="B207" i="28"/>
  <c r="A207" i="28"/>
  <c r="H206" i="28"/>
  <c r="E206" i="28"/>
  <c r="L206" i="28" s="1"/>
  <c r="C206" i="28"/>
  <c r="B206" i="28"/>
  <c r="A206" i="28"/>
  <c r="H205" i="28"/>
  <c r="E205" i="28"/>
  <c r="L205" i="28" s="1"/>
  <c r="C205" i="28"/>
  <c r="B205" i="28"/>
  <c r="A205" i="28"/>
  <c r="H204" i="28"/>
  <c r="E204" i="28"/>
  <c r="L204" i="28" s="1"/>
  <c r="C204" i="28"/>
  <c r="B204" i="28"/>
  <c r="A204" i="28"/>
  <c r="H203" i="28"/>
  <c r="E203" i="28"/>
  <c r="L203" i="28" s="1"/>
  <c r="C203" i="28"/>
  <c r="B203" i="28"/>
  <c r="A203" i="28"/>
  <c r="H202" i="28"/>
  <c r="E202" i="28"/>
  <c r="L202" i="28" s="1"/>
  <c r="C202" i="28"/>
  <c r="B202" i="28"/>
  <c r="A202" i="28"/>
  <c r="H201" i="28"/>
  <c r="E201" i="28"/>
  <c r="L201" i="28" s="1"/>
  <c r="C201" i="28"/>
  <c r="B201" i="28"/>
  <c r="A201" i="28"/>
  <c r="H200" i="28"/>
  <c r="E200" i="28"/>
  <c r="L200" i="28" s="1"/>
  <c r="C200" i="28"/>
  <c r="B200" i="28"/>
  <c r="A200" i="28"/>
  <c r="H199" i="28"/>
  <c r="E199" i="28"/>
  <c r="L199" i="28" s="1"/>
  <c r="C199" i="28"/>
  <c r="B199" i="28"/>
  <c r="A199" i="28"/>
  <c r="H198" i="28"/>
  <c r="E198" i="28"/>
  <c r="L198" i="28" s="1"/>
  <c r="C198" i="28"/>
  <c r="B198" i="28"/>
  <c r="A198" i="28"/>
  <c r="H197" i="28"/>
  <c r="E197" i="28"/>
  <c r="L197" i="28" s="1"/>
  <c r="C197" i="28"/>
  <c r="B197" i="28"/>
  <c r="A197" i="28"/>
  <c r="H196" i="28"/>
  <c r="E196" i="28"/>
  <c r="L196" i="28" s="1"/>
  <c r="C196" i="28"/>
  <c r="B196" i="28"/>
  <c r="A196" i="28"/>
  <c r="H195" i="28"/>
  <c r="C195" i="28"/>
  <c r="B195" i="28"/>
  <c r="A195" i="28"/>
  <c r="H194" i="28"/>
  <c r="C194" i="28"/>
  <c r="B194" i="28"/>
  <c r="A194" i="28"/>
  <c r="H190" i="28"/>
  <c r="E190" i="28"/>
  <c r="L190" i="28" s="1"/>
  <c r="C190" i="28"/>
  <c r="B190" i="28"/>
  <c r="A190" i="28"/>
  <c r="H189" i="28"/>
  <c r="E189" i="28"/>
  <c r="L189" i="28" s="1"/>
  <c r="C189" i="28"/>
  <c r="B189" i="28"/>
  <c r="A189" i="28"/>
  <c r="H188" i="28"/>
  <c r="E188" i="28"/>
  <c r="L188" i="28" s="1"/>
  <c r="C188" i="28"/>
  <c r="B188" i="28"/>
  <c r="A188" i="28"/>
  <c r="E187" i="28"/>
  <c r="L187" i="28" s="1"/>
  <c r="C187" i="28"/>
  <c r="B187" i="28"/>
  <c r="A187" i="28"/>
  <c r="H186" i="28"/>
  <c r="E186" i="28"/>
  <c r="L186" i="28" s="1"/>
  <c r="C186" i="28"/>
  <c r="B186" i="28"/>
  <c r="A186" i="28"/>
  <c r="H185" i="28"/>
  <c r="E185" i="28"/>
  <c r="L185" i="28" s="1"/>
  <c r="C185" i="28"/>
  <c r="B185" i="28"/>
  <c r="A185" i="28"/>
  <c r="H184" i="28"/>
  <c r="E184" i="28"/>
  <c r="L184" i="28" s="1"/>
  <c r="C184" i="28"/>
  <c r="B184" i="28"/>
  <c r="A184" i="28"/>
  <c r="H183" i="28"/>
  <c r="E183" i="28"/>
  <c r="L183" i="28" s="1"/>
  <c r="C183" i="28"/>
  <c r="B183" i="28"/>
  <c r="A183" i="28"/>
  <c r="H182" i="28"/>
  <c r="E182" i="28"/>
  <c r="L182" i="28" s="1"/>
  <c r="C182" i="28"/>
  <c r="B182" i="28"/>
  <c r="A182" i="28"/>
  <c r="H181" i="28"/>
  <c r="E181" i="28"/>
  <c r="L181" i="28" s="1"/>
  <c r="C181" i="28"/>
  <c r="B181" i="28"/>
  <c r="A181" i="28"/>
  <c r="H180" i="28"/>
  <c r="E180" i="28"/>
  <c r="L180" i="28" s="1"/>
  <c r="C180" i="28"/>
  <c r="B180" i="28"/>
  <c r="A180" i="28"/>
  <c r="H179" i="28"/>
  <c r="E179" i="28"/>
  <c r="L179" i="28" s="1"/>
  <c r="C179" i="28"/>
  <c r="B179" i="28"/>
  <c r="A179" i="28"/>
  <c r="H178" i="28"/>
  <c r="E178" i="28"/>
  <c r="L178" i="28" s="1"/>
  <c r="C178" i="28"/>
  <c r="B178" i="28"/>
  <c r="A178" i="28"/>
  <c r="H177" i="28"/>
  <c r="E177" i="28"/>
  <c r="L177" i="28" s="1"/>
  <c r="F14" i="71" s="1"/>
  <c r="C177" i="28"/>
  <c r="B177" i="28"/>
  <c r="A177" i="28"/>
  <c r="H176" i="28"/>
  <c r="E176" i="28"/>
  <c r="L176" i="28" s="1"/>
  <c r="C176" i="28"/>
  <c r="B176" i="28"/>
  <c r="A176" i="28"/>
  <c r="H175" i="28"/>
  <c r="E175" i="28"/>
  <c r="L175" i="28" s="1"/>
  <c r="C175" i="28"/>
  <c r="B175" i="28"/>
  <c r="A175" i="28"/>
  <c r="H174" i="28"/>
  <c r="E174" i="28"/>
  <c r="L174" i="28" s="1"/>
  <c r="C174" i="28"/>
  <c r="B174" i="28"/>
  <c r="A174" i="28"/>
  <c r="H173" i="28"/>
  <c r="E173" i="28"/>
  <c r="L173" i="28" s="1"/>
  <c r="C173" i="28"/>
  <c r="B173" i="28"/>
  <c r="A173" i="28"/>
  <c r="H172" i="28"/>
  <c r="E172" i="28"/>
  <c r="L172" i="28" s="1"/>
  <c r="C172" i="28"/>
  <c r="B172" i="28"/>
  <c r="A172" i="28"/>
  <c r="H171" i="28"/>
  <c r="E171" i="28"/>
  <c r="L171" i="28" s="1"/>
  <c r="C171" i="28"/>
  <c r="B171" i="28"/>
  <c r="A171" i="28"/>
  <c r="H170" i="28"/>
  <c r="E170" i="28"/>
  <c r="L170" i="28" s="1"/>
  <c r="C170" i="28"/>
  <c r="B170" i="28"/>
  <c r="A170" i="28"/>
  <c r="H169" i="28"/>
  <c r="E169" i="28"/>
  <c r="L169" i="28" s="1"/>
  <c r="C169" i="28"/>
  <c r="B169" i="28"/>
  <c r="A169" i="28"/>
  <c r="H168" i="28"/>
  <c r="E168" i="28"/>
  <c r="L168" i="28" s="1"/>
  <c r="C168" i="28"/>
  <c r="B168" i="28"/>
  <c r="A168" i="28"/>
  <c r="H167" i="28"/>
  <c r="E167" i="28"/>
  <c r="L167" i="28" s="1"/>
  <c r="C167" i="28"/>
  <c r="B167" i="28"/>
  <c r="A167" i="28"/>
  <c r="H166" i="28"/>
  <c r="E166" i="28"/>
  <c r="L166" i="28" s="1"/>
  <c r="C166" i="28"/>
  <c r="B166" i="28"/>
  <c r="A166" i="28"/>
  <c r="H165" i="28"/>
  <c r="E165" i="28"/>
  <c r="L165" i="28" s="1"/>
  <c r="C165" i="28"/>
  <c r="B165" i="28"/>
  <c r="A165" i="28"/>
  <c r="H164" i="28"/>
  <c r="E164" i="28"/>
  <c r="L164" i="28" s="1"/>
  <c r="C164" i="28"/>
  <c r="B164" i="28"/>
  <c r="A164" i="28"/>
  <c r="H163" i="28"/>
  <c r="E163" i="28"/>
  <c r="L163" i="28" s="1"/>
  <c r="C163" i="28"/>
  <c r="B163" i="28"/>
  <c r="A163" i="28"/>
  <c r="H162" i="28"/>
  <c r="E162" i="28"/>
  <c r="L162" i="28" s="1"/>
  <c r="C162" i="28"/>
  <c r="B162" i="28"/>
  <c r="A162" i="28"/>
  <c r="E160" i="28"/>
  <c r="L160" i="28" s="1"/>
  <c r="C160" i="28"/>
  <c r="B160" i="28"/>
  <c r="A160" i="28"/>
  <c r="H159" i="28"/>
  <c r="E159" i="28"/>
  <c r="L159" i="28" s="1"/>
  <c r="C159" i="28"/>
  <c r="B159" i="28"/>
  <c r="A159" i="28"/>
  <c r="H158" i="28"/>
  <c r="E158" i="28"/>
  <c r="L158" i="28" s="1"/>
  <c r="C158" i="28"/>
  <c r="B158" i="28"/>
  <c r="A158" i="28"/>
  <c r="H157" i="28"/>
  <c r="E157" i="28"/>
  <c r="L157" i="28" s="1"/>
  <c r="C157" i="28"/>
  <c r="B157" i="28"/>
  <c r="A157" i="28"/>
  <c r="H156" i="28"/>
  <c r="E156" i="28"/>
  <c r="L156" i="28" s="1"/>
  <c r="C156" i="28"/>
  <c r="B156" i="28"/>
  <c r="A156" i="28"/>
  <c r="H155" i="28"/>
  <c r="E155" i="28"/>
  <c r="L155" i="28" s="1"/>
  <c r="C155" i="28"/>
  <c r="B155" i="28"/>
  <c r="A155" i="28"/>
  <c r="H154" i="28"/>
  <c r="E154" i="28"/>
  <c r="L154" i="28" s="1"/>
  <c r="C154" i="28"/>
  <c r="B154" i="28"/>
  <c r="A154" i="28"/>
  <c r="H153" i="28"/>
  <c r="E153" i="28"/>
  <c r="L153" i="28" s="1"/>
  <c r="C153" i="28"/>
  <c r="B153" i="28"/>
  <c r="A153" i="28"/>
  <c r="H152" i="28"/>
  <c r="E152" i="28"/>
  <c r="L152" i="28" s="1"/>
  <c r="C152" i="28"/>
  <c r="B152" i="28"/>
  <c r="A152" i="28"/>
  <c r="H151" i="28"/>
  <c r="E151" i="28"/>
  <c r="L151" i="28" s="1"/>
  <c r="C151" i="28"/>
  <c r="B151" i="28"/>
  <c r="A151" i="28"/>
  <c r="H150" i="28"/>
  <c r="E150" i="28"/>
  <c r="L150" i="28" s="1"/>
  <c r="C150" i="28"/>
  <c r="B150" i="28"/>
  <c r="A150" i="28"/>
  <c r="H149" i="28"/>
  <c r="E149" i="28"/>
  <c r="L149" i="28" s="1"/>
  <c r="C149" i="28"/>
  <c r="B149" i="28"/>
  <c r="A149" i="28"/>
  <c r="H148" i="28"/>
  <c r="E148" i="28"/>
  <c r="L148" i="28" s="1"/>
  <c r="C148" i="28"/>
  <c r="B148" i="28"/>
  <c r="A148" i="28"/>
  <c r="H147" i="28"/>
  <c r="E147" i="28"/>
  <c r="L147" i="28" s="1"/>
  <c r="C147" i="28"/>
  <c r="B147" i="28"/>
  <c r="A147" i="28"/>
  <c r="H146" i="28"/>
  <c r="E146" i="28"/>
  <c r="L146" i="28" s="1"/>
  <c r="C146" i="28"/>
  <c r="B146" i="28"/>
  <c r="A146" i="28"/>
  <c r="H145" i="28"/>
  <c r="E145" i="28"/>
  <c r="L145" i="28" s="1"/>
  <c r="C145" i="28"/>
  <c r="B145" i="28"/>
  <c r="A145" i="28"/>
  <c r="H144" i="28"/>
  <c r="E144" i="28"/>
  <c r="L144" i="28" s="1"/>
  <c r="C144" i="28"/>
  <c r="B144" i="28"/>
  <c r="A144" i="28"/>
  <c r="H143" i="28"/>
  <c r="C143" i="28"/>
  <c r="B143" i="28"/>
  <c r="A143" i="28"/>
  <c r="H142" i="28"/>
  <c r="E142" i="28"/>
  <c r="L142" i="28" s="1"/>
  <c r="C142" i="28"/>
  <c r="B142" i="28"/>
  <c r="A142" i="28"/>
  <c r="H141" i="28"/>
  <c r="E141" i="28"/>
  <c r="L141" i="28" s="1"/>
  <c r="C141" i="28"/>
  <c r="B141" i="28"/>
  <c r="A141" i="28"/>
  <c r="H140" i="28"/>
  <c r="E140" i="28"/>
  <c r="L140" i="28" s="1"/>
  <c r="C140" i="28"/>
  <c r="B140" i="28"/>
  <c r="A140" i="28"/>
  <c r="E139" i="28"/>
  <c r="L139" i="28" s="1"/>
  <c r="C139" i="28"/>
  <c r="B139" i="28"/>
  <c r="A139" i="28"/>
  <c r="H138" i="28"/>
  <c r="E138" i="28"/>
  <c r="L138" i="28" s="1"/>
  <c r="C138" i="28"/>
  <c r="B138" i="28"/>
  <c r="A138" i="28"/>
  <c r="H137" i="28"/>
  <c r="E137" i="28"/>
  <c r="L137" i="28" s="1"/>
  <c r="C137" i="28"/>
  <c r="B137" i="28"/>
  <c r="A137" i="28"/>
  <c r="E136" i="28"/>
  <c r="L136" i="28" s="1"/>
  <c r="C136" i="28"/>
  <c r="B136" i="28"/>
  <c r="A136" i="28"/>
  <c r="H135" i="28"/>
  <c r="E135" i="28"/>
  <c r="L135" i="28" s="1"/>
  <c r="C135" i="28"/>
  <c r="B135" i="28"/>
  <c r="A135" i="28"/>
  <c r="H134" i="28"/>
  <c r="E134" i="28"/>
  <c r="L134" i="28" s="1"/>
  <c r="C134" i="28"/>
  <c r="B134" i="28"/>
  <c r="A134" i="28"/>
  <c r="H133" i="28"/>
  <c r="E133" i="28"/>
  <c r="L133" i="28" s="1"/>
  <c r="C133" i="28"/>
  <c r="B133" i="28"/>
  <c r="A133" i="28"/>
  <c r="H132" i="28"/>
  <c r="E132" i="28"/>
  <c r="L132" i="28" s="1"/>
  <c r="C132" i="28"/>
  <c r="B132" i="28"/>
  <c r="A132" i="28"/>
  <c r="H131" i="28"/>
  <c r="E131" i="28"/>
  <c r="L131" i="28" s="1"/>
  <c r="C131" i="28"/>
  <c r="B131" i="28"/>
  <c r="A131" i="28"/>
  <c r="H130" i="28"/>
  <c r="E130" i="28"/>
  <c r="L130" i="28" s="1"/>
  <c r="C130" i="28"/>
  <c r="B130" i="28"/>
  <c r="A130" i="28"/>
  <c r="E129" i="28"/>
  <c r="L129" i="28" s="1"/>
  <c r="C129" i="28"/>
  <c r="B129" i="28"/>
  <c r="E128" i="28"/>
  <c r="L128" i="28" s="1"/>
  <c r="C128" i="28"/>
  <c r="B128" i="28"/>
  <c r="E127" i="28"/>
  <c r="L127" i="28" s="1"/>
  <c r="C127" i="28"/>
  <c r="B127" i="28"/>
  <c r="E126" i="28"/>
  <c r="L126" i="28" s="1"/>
  <c r="C126" i="28"/>
  <c r="B126" i="28"/>
  <c r="E125" i="28"/>
  <c r="L125" i="28" s="1"/>
  <c r="C125" i="28"/>
  <c r="B125" i="28"/>
  <c r="C124" i="28"/>
  <c r="B124" i="28"/>
  <c r="E123" i="28"/>
  <c r="L123" i="28" s="1"/>
  <c r="C123" i="28"/>
  <c r="B123" i="28"/>
  <c r="A123" i="28"/>
  <c r="H122" i="28"/>
  <c r="E122" i="28"/>
  <c r="L122" i="28" s="1"/>
  <c r="C122" i="28"/>
  <c r="B122" i="28"/>
  <c r="A122" i="28"/>
  <c r="E121" i="28"/>
  <c r="L121" i="28" s="1"/>
  <c r="C121" i="28"/>
  <c r="B121" i="28"/>
  <c r="A121" i="28"/>
  <c r="H120" i="28"/>
  <c r="E120" i="28"/>
  <c r="L120" i="28" s="1"/>
  <c r="C120" i="28"/>
  <c r="B120" i="28"/>
  <c r="A120" i="28"/>
  <c r="H119" i="28"/>
  <c r="E119" i="28"/>
  <c r="L119" i="28" s="1"/>
  <c r="C119" i="28"/>
  <c r="B119" i="28"/>
  <c r="A119" i="28"/>
  <c r="E118" i="28"/>
  <c r="L118" i="28" s="1"/>
  <c r="C118" i="28"/>
  <c r="B118" i="28"/>
  <c r="A118" i="28"/>
  <c r="H117" i="28"/>
  <c r="E117" i="28"/>
  <c r="L117" i="28" s="1"/>
  <c r="C117" i="28"/>
  <c r="B117" i="28"/>
  <c r="A117" i="28"/>
  <c r="H116" i="28"/>
  <c r="E116" i="28"/>
  <c r="L116" i="28" s="1"/>
  <c r="C116" i="28"/>
  <c r="B116" i="28"/>
  <c r="A116" i="28"/>
  <c r="H115" i="28"/>
  <c r="E115" i="28"/>
  <c r="L115" i="28" s="1"/>
  <c r="C115" i="28"/>
  <c r="A115" i="28"/>
  <c r="H91" i="28"/>
  <c r="C91" i="28"/>
  <c r="B91" i="28"/>
  <c r="A91" i="28"/>
  <c r="H89" i="28"/>
  <c r="E89" i="28"/>
  <c r="L89" i="28" s="1"/>
  <c r="C89" i="28"/>
  <c r="B89" i="28"/>
  <c r="A89" i="28"/>
  <c r="H80" i="28"/>
  <c r="E80" i="28"/>
  <c r="L80" i="28" s="1"/>
  <c r="C80" i="28"/>
  <c r="B80" i="28"/>
  <c r="A80" i="28"/>
  <c r="H79" i="28"/>
  <c r="E79" i="28"/>
  <c r="L79" i="28" s="1"/>
  <c r="C79" i="28"/>
  <c r="B79" i="28"/>
  <c r="A79" i="28"/>
  <c r="H78" i="28"/>
  <c r="E78" i="28"/>
  <c r="L78" i="28" s="1"/>
  <c r="C78" i="28"/>
  <c r="B78" i="28"/>
  <c r="A78" i="28"/>
  <c r="H77" i="28"/>
  <c r="E77" i="28"/>
  <c r="L77" i="28" s="1"/>
  <c r="C77" i="28"/>
  <c r="B77" i="28"/>
  <c r="A77" i="28"/>
  <c r="H76" i="28"/>
  <c r="E76" i="28"/>
  <c r="L76" i="28" s="1"/>
  <c r="C76" i="28"/>
  <c r="B76" i="28"/>
  <c r="A76" i="28"/>
  <c r="H75" i="28"/>
  <c r="E75" i="28"/>
  <c r="L75" i="28" s="1"/>
  <c r="C75" i="28"/>
  <c r="B75" i="28"/>
  <c r="A75" i="28"/>
  <c r="H74" i="28"/>
  <c r="E74" i="28"/>
  <c r="L74" i="28" s="1"/>
  <c r="C74" i="28"/>
  <c r="B74" i="28"/>
  <c r="A74" i="28"/>
  <c r="H73" i="28"/>
  <c r="E73" i="28"/>
  <c r="L73" i="28" s="1"/>
  <c r="C73" i="28"/>
  <c r="B73" i="28"/>
  <c r="A73" i="28"/>
  <c r="H72" i="28"/>
  <c r="E72" i="28"/>
  <c r="L72" i="28" s="1"/>
  <c r="C72" i="28"/>
  <c r="B72" i="28"/>
  <c r="A72" i="28"/>
  <c r="H71" i="28"/>
  <c r="E71" i="28"/>
  <c r="L71" i="28" s="1"/>
  <c r="C71" i="28"/>
  <c r="B71" i="28"/>
  <c r="A71" i="28"/>
  <c r="H70" i="28"/>
  <c r="E70" i="28"/>
  <c r="L70" i="28" s="1"/>
  <c r="C70" i="28"/>
  <c r="B70" i="28"/>
  <c r="A70" i="28"/>
  <c r="H69" i="28"/>
  <c r="E69" i="28"/>
  <c r="L69" i="28" s="1"/>
  <c r="C69" i="28"/>
  <c r="B69" i="28"/>
  <c r="A69" i="28"/>
  <c r="H66" i="28"/>
  <c r="E66" i="28"/>
  <c r="L66" i="28" s="1"/>
  <c r="C66" i="28"/>
  <c r="B66" i="28"/>
  <c r="A66" i="28"/>
  <c r="H65" i="28"/>
  <c r="E65" i="28"/>
  <c r="L65" i="28" s="1"/>
  <c r="C65" i="28"/>
  <c r="B65" i="28"/>
  <c r="A65" i="28"/>
  <c r="H64" i="28"/>
  <c r="E64" i="28"/>
  <c r="L64" i="28" s="1"/>
  <c r="C64" i="28"/>
  <c r="B64" i="28"/>
  <c r="A64" i="28"/>
  <c r="H63" i="28"/>
  <c r="E63" i="28"/>
  <c r="L63" i="28" s="1"/>
  <c r="C63" i="28"/>
  <c r="B63" i="28"/>
  <c r="A63" i="28"/>
  <c r="H62" i="28"/>
  <c r="E62" i="28"/>
  <c r="L62" i="28" s="1"/>
  <c r="C62" i="28"/>
  <c r="B62" i="28"/>
  <c r="A62" i="28"/>
  <c r="H61" i="28"/>
  <c r="E61" i="28"/>
  <c r="L61" i="28" s="1"/>
  <c r="C61" i="28"/>
  <c r="B61" i="28"/>
  <c r="A61" i="28"/>
  <c r="H60" i="28"/>
  <c r="E60" i="28"/>
  <c r="L60" i="28" s="1"/>
  <c r="C60" i="28"/>
  <c r="B60" i="28"/>
  <c r="A60" i="28"/>
  <c r="H59" i="28"/>
  <c r="E59" i="28"/>
  <c r="L59" i="28" s="1"/>
  <c r="C59" i="28"/>
  <c r="B59" i="28"/>
  <c r="A59" i="28"/>
  <c r="H58" i="28"/>
  <c r="E58" i="28"/>
  <c r="L58" i="28" s="1"/>
  <c r="C58" i="28"/>
  <c r="B58" i="28"/>
  <c r="A58" i="28"/>
  <c r="H57" i="28"/>
  <c r="E57" i="28"/>
  <c r="L57" i="28" s="1"/>
  <c r="C57" i="28"/>
  <c r="B57" i="28"/>
  <c r="A57" i="28"/>
  <c r="H56" i="28"/>
  <c r="E56" i="28"/>
  <c r="L56" i="28" s="1"/>
  <c r="C56" i="28"/>
  <c r="B56" i="28"/>
  <c r="A56" i="28"/>
  <c r="H55" i="28"/>
  <c r="E55" i="28"/>
  <c r="L55" i="28" s="1"/>
  <c r="C55" i="28"/>
  <c r="B55" i="28"/>
  <c r="A55" i="28"/>
  <c r="E54" i="28"/>
  <c r="L54" i="28" s="1"/>
  <c r="C54" i="28"/>
  <c r="B54" i="28"/>
  <c r="A54" i="28"/>
  <c r="H53" i="28"/>
  <c r="E53" i="28"/>
  <c r="L53" i="28" s="1"/>
  <c r="C53" i="28"/>
  <c r="B53" i="28"/>
  <c r="A53" i="28"/>
  <c r="H52" i="28"/>
  <c r="E52" i="28"/>
  <c r="L52" i="28" s="1"/>
  <c r="C52" i="28"/>
  <c r="B52" i="28"/>
  <c r="A52" i="28"/>
  <c r="H37" i="28"/>
  <c r="E37" i="28"/>
  <c r="L37" i="28" s="1"/>
  <c r="C37" i="28"/>
  <c r="B37" i="28"/>
  <c r="A37" i="28"/>
  <c r="H36" i="28"/>
  <c r="E36" i="28"/>
  <c r="L36" i="28" s="1"/>
  <c r="C36" i="28"/>
  <c r="B36" i="28"/>
  <c r="A36" i="28"/>
  <c r="H35" i="28"/>
  <c r="E35" i="28"/>
  <c r="L35" i="28" s="1"/>
  <c r="C35" i="28"/>
  <c r="B35" i="28"/>
  <c r="A35" i="28"/>
  <c r="H34" i="28"/>
  <c r="E34" i="28"/>
  <c r="L34" i="28" s="1"/>
  <c r="C34" i="28"/>
  <c r="B34" i="28"/>
  <c r="A34" i="28"/>
  <c r="H33" i="28"/>
  <c r="E33" i="28"/>
  <c r="L33" i="28" s="1"/>
  <c r="C33" i="28"/>
  <c r="B33" i="28"/>
  <c r="A33" i="28"/>
  <c r="H32" i="28"/>
  <c r="E32" i="28"/>
  <c r="L32" i="28" s="1"/>
  <c r="C32" i="28"/>
  <c r="B32" i="28"/>
  <c r="A32" i="28"/>
  <c r="H31" i="28"/>
  <c r="E31" i="28"/>
  <c r="L31" i="28" s="1"/>
  <c r="C31" i="28"/>
  <c r="B31" i="28"/>
  <c r="A31" i="28"/>
  <c r="H30" i="28"/>
  <c r="E30" i="28"/>
  <c r="L30" i="28" s="1"/>
  <c r="C30" i="28"/>
  <c r="B30" i="28"/>
  <c r="A30" i="28"/>
  <c r="H29" i="28"/>
  <c r="E29" i="28"/>
  <c r="L29" i="28" s="1"/>
  <c r="C29" i="28"/>
  <c r="B29" i="28"/>
  <c r="A29" i="28"/>
  <c r="H28" i="28"/>
  <c r="E28" i="28"/>
  <c r="L28" i="28" s="1"/>
  <c r="C28" i="28"/>
  <c r="B28" i="28"/>
  <c r="A28" i="28"/>
  <c r="H27" i="28"/>
  <c r="E27" i="28"/>
  <c r="L27" i="28" s="1"/>
  <c r="C27" i="28"/>
  <c r="B27" i="28"/>
  <c r="A27" i="28"/>
  <c r="H26" i="28"/>
  <c r="E26" i="28"/>
  <c r="L26" i="28" s="1"/>
  <c r="C26" i="28"/>
  <c r="B26" i="28"/>
  <c r="A26" i="28"/>
  <c r="H25" i="28"/>
  <c r="E25" i="28"/>
  <c r="L25" i="28" s="1"/>
  <c r="C25" i="28"/>
  <c r="B25" i="28"/>
  <c r="A25" i="28"/>
  <c r="H24" i="28"/>
  <c r="E24" i="28"/>
  <c r="L24" i="28" s="1"/>
  <c r="C24" i="28"/>
  <c r="B24" i="28"/>
  <c r="A24" i="28"/>
  <c r="H23" i="28"/>
  <c r="E23" i="28"/>
  <c r="L23" i="28" s="1"/>
  <c r="C23" i="28"/>
  <c r="B23" i="28"/>
  <c r="A23" i="28"/>
  <c r="H22" i="28"/>
  <c r="E22" i="28"/>
  <c r="L22" i="28" s="1"/>
  <c r="C22" i="28"/>
  <c r="B22" i="28"/>
  <c r="A22" i="28"/>
  <c r="H21" i="28"/>
  <c r="E21" i="28"/>
  <c r="L21" i="28" s="1"/>
  <c r="C21" i="28"/>
  <c r="B21" i="28"/>
  <c r="A21" i="28"/>
  <c r="H20" i="28"/>
  <c r="E20" i="28"/>
  <c r="L20" i="28" s="1"/>
  <c r="C20" i="28"/>
  <c r="B20" i="28"/>
  <c r="A20" i="28"/>
  <c r="H19" i="28"/>
  <c r="E19" i="28"/>
  <c r="L19" i="28" s="1"/>
  <c r="C19" i="28"/>
  <c r="B19" i="28"/>
  <c r="A19" i="28"/>
  <c r="H18" i="28"/>
  <c r="E18" i="28"/>
  <c r="L18" i="28" s="1"/>
  <c r="C18" i="28"/>
  <c r="B18" i="28"/>
  <c r="A18" i="28"/>
  <c r="H17" i="28"/>
  <c r="E17" i="28"/>
  <c r="C17" i="28"/>
  <c r="B17" i="28"/>
  <c r="A17" i="28"/>
  <c r="E16" i="28"/>
  <c r="L16" i="28" s="1"/>
  <c r="C16" i="28"/>
  <c r="B16" i="28"/>
  <c r="A16" i="28"/>
  <c r="E15" i="28"/>
  <c r="L15" i="28" s="1"/>
  <c r="C15" i="28"/>
  <c r="B15" i="28"/>
  <c r="A15" i="28"/>
  <c r="E14" i="28"/>
  <c r="L14" i="28" s="1"/>
  <c r="C14" i="28"/>
  <c r="B14" i="28"/>
  <c r="A14" i="28"/>
  <c r="E13" i="28"/>
  <c r="L13" i="28" s="1"/>
  <c r="C13" i="28"/>
  <c r="B13" i="28"/>
  <c r="A13" i="28"/>
  <c r="E12" i="28"/>
  <c r="L12" i="28" s="1"/>
  <c r="C12" i="28"/>
  <c r="B12" i="28"/>
  <c r="A12" i="28"/>
  <c r="E11" i="28"/>
  <c r="L11" i="28" s="1"/>
  <c r="C11" i="28"/>
  <c r="B11" i="28"/>
  <c r="A11" i="28"/>
  <c r="H10" i="28"/>
  <c r="C10" i="28"/>
  <c r="B10" i="28"/>
  <c r="A10" i="28"/>
  <c r="H9" i="28"/>
  <c r="E9" i="28"/>
  <c r="L9" i="28" s="1"/>
  <c r="C9" i="28"/>
  <c r="B9" i="28"/>
  <c r="A9" i="28"/>
  <c r="H8" i="28"/>
  <c r="E8" i="28"/>
  <c r="L8" i="28" s="1"/>
  <c r="C8" i="28"/>
  <c r="B8" i="28"/>
  <c r="A8" i="28"/>
  <c r="H7" i="28"/>
  <c r="G7" i="28"/>
  <c r="E7" i="28"/>
  <c r="C7" i="28"/>
  <c r="B7" i="28"/>
  <c r="A7" i="28"/>
  <c r="H6" i="28"/>
  <c r="E6" i="28"/>
  <c r="L6" i="28" s="1"/>
  <c r="C6" i="28"/>
  <c r="B6" i="28"/>
  <c r="A6" i="28"/>
  <c r="H5" i="28"/>
  <c r="E5" i="28"/>
  <c r="L5" i="28" s="1"/>
  <c r="C5" i="28"/>
  <c r="B5" i="28"/>
  <c r="A5" i="28"/>
  <c r="C2" i="28"/>
  <c r="G302" i="1"/>
  <c r="G298" i="1"/>
  <c r="H295" i="1"/>
  <c r="G295" i="1" s="1"/>
  <c r="H294" i="1"/>
  <c r="G294" i="1" s="1"/>
  <c r="H293" i="1"/>
  <c r="G293" i="1" s="1"/>
  <c r="G292" i="1"/>
  <c r="G291" i="1"/>
  <c r="G290" i="1"/>
  <c r="G289" i="1"/>
  <c r="G282" i="1"/>
  <c r="G279" i="1"/>
  <c r="G278" i="1"/>
  <c r="G277" i="1"/>
  <c r="H274" i="1"/>
  <c r="G274" i="1" s="1"/>
  <c r="H273" i="1"/>
  <c r="H272" i="1"/>
  <c r="G271" i="1"/>
  <c r="H268" i="1"/>
  <c r="G268" i="1" s="1"/>
  <c r="H267" i="1"/>
  <c r="G267" i="1"/>
  <c r="H266" i="1"/>
  <c r="G266" i="1"/>
  <c r="G265" i="1"/>
  <c r="L260" i="1"/>
  <c r="G260" i="1"/>
  <c r="G259" i="1"/>
  <c r="G258" i="1"/>
  <c r="G257" i="1"/>
  <c r="G255" i="1"/>
  <c r="F249" i="1"/>
  <c r="G248" i="1"/>
  <c r="G247" i="1"/>
  <c r="G246" i="1"/>
  <c r="G245" i="1"/>
  <c r="F243" i="1"/>
  <c r="G242" i="1"/>
  <c r="G241" i="1"/>
  <c r="G240" i="1"/>
  <c r="G239" i="1"/>
  <c r="F237" i="1"/>
  <c r="E195" i="28"/>
  <c r="L195" i="28" s="1"/>
  <c r="E194" i="28"/>
  <c r="L194" i="28" s="1"/>
  <c r="G221" i="1"/>
  <c r="G216" i="1"/>
  <c r="G212" i="1"/>
  <c r="G210" i="1"/>
  <c r="G209" i="1"/>
  <c r="G206" i="1"/>
  <c r="G205" i="1"/>
  <c r="H198" i="1"/>
  <c r="G198" i="1" s="1"/>
  <c r="G197" i="1"/>
  <c r="G196" i="1"/>
  <c r="G195" i="1"/>
  <c r="G194" i="1"/>
  <c r="G193" i="1"/>
  <c r="G192" i="1"/>
  <c r="G191" i="1"/>
  <c r="G190" i="1"/>
  <c r="G189" i="1"/>
  <c r="G188" i="1"/>
  <c r="H182" i="1"/>
  <c r="G182" i="1" s="1"/>
  <c r="G181" i="1"/>
  <c r="G179" i="1"/>
  <c r="G178" i="1"/>
  <c r="G177" i="1"/>
  <c r="G175" i="1"/>
  <c r="G174" i="1"/>
  <c r="G173" i="1"/>
  <c r="H168" i="1"/>
  <c r="G168" i="1" s="1"/>
  <c r="G154" i="1"/>
  <c r="G152" i="1"/>
  <c r="G151" i="1"/>
  <c r="H149" i="1"/>
  <c r="G149" i="1"/>
  <c r="H183" i="1"/>
  <c r="E124" i="28"/>
  <c r="L124" i="28" s="1"/>
  <c r="G138" i="1"/>
  <c r="G136" i="1"/>
  <c r="G116" i="28"/>
  <c r="G101" i="1"/>
  <c r="G98" i="1"/>
  <c r="H87" i="1"/>
  <c r="G87" i="1" s="1"/>
  <c r="G85" i="1"/>
  <c r="G82" i="1"/>
  <c r="G80" i="1"/>
  <c r="G79" i="1"/>
  <c r="H72" i="1"/>
  <c r="G72" i="1"/>
  <c r="H89" i="1"/>
  <c r="G71" i="1"/>
  <c r="G70" i="1"/>
  <c r="G69" i="1"/>
  <c r="G68" i="1"/>
  <c r="G67" i="1"/>
  <c r="G66" i="1"/>
  <c r="G65" i="1"/>
  <c r="G64" i="1"/>
  <c r="G63" i="1"/>
  <c r="G62" i="1"/>
  <c r="G61" i="1"/>
  <c r="G60" i="1"/>
  <c r="G59" i="1"/>
  <c r="G42" i="1"/>
  <c r="G39" i="1"/>
  <c r="O34" i="28"/>
  <c r="H37" i="1"/>
  <c r="G37" i="1" s="1"/>
  <c r="O33" i="28"/>
  <c r="G35" i="1"/>
  <c r="G34" i="1"/>
  <c r="G33" i="1"/>
  <c r="G32" i="1"/>
  <c r="G31" i="1"/>
  <c r="G30" i="1"/>
  <c r="G29" i="1"/>
  <c r="G28" i="1"/>
  <c r="G26" i="1"/>
  <c r="G25" i="1"/>
  <c r="H23" i="1"/>
  <c r="G23" i="1" s="1"/>
  <c r="O21" i="28"/>
  <c r="O20" i="28"/>
  <c r="G20" i="1"/>
  <c r="G18" i="1"/>
  <c r="G11" i="1"/>
  <c r="G10" i="1"/>
  <c r="G8" i="1"/>
  <c r="G7" i="1"/>
  <c r="L291" i="28"/>
  <c r="Y291" i="28" s="1"/>
  <c r="D34" i="73" l="1"/>
  <c r="F34" i="73" s="1"/>
  <c r="M20" i="73"/>
  <c r="F20" i="73" s="1"/>
  <c r="M14" i="73"/>
  <c r="D14" i="73" s="1"/>
  <c r="D9" i="73"/>
  <c r="D8" i="73"/>
  <c r="D6" i="73"/>
  <c r="M12" i="73"/>
  <c r="F12" i="73" s="1"/>
  <c r="M19" i="73"/>
  <c r="D19" i="73" s="1"/>
  <c r="F19" i="73" s="1"/>
  <c r="G124" i="28"/>
  <c r="F124" i="28"/>
  <c r="K15" i="73"/>
  <c r="K5" i="73"/>
  <c r="E6" i="73" s="1"/>
  <c r="L264" i="28"/>
  <c r="D10" i="73"/>
  <c r="F10" i="73" s="1"/>
  <c r="L263" i="28"/>
  <c r="L262" i="28"/>
  <c r="M13" i="73"/>
  <c r="W180" i="28"/>
  <c r="W198" i="28"/>
  <c r="W280" i="28"/>
  <c r="W7" i="28"/>
  <c r="W56" i="28"/>
  <c r="W64" i="28"/>
  <c r="W74" i="28"/>
  <c r="W91" i="28"/>
  <c r="W116" i="28"/>
  <c r="W121" i="28"/>
  <c r="W132" i="28"/>
  <c r="W137" i="28"/>
  <c r="W142" i="28"/>
  <c r="W147" i="28"/>
  <c r="W155" i="28"/>
  <c r="W169" i="28"/>
  <c r="W177" i="28"/>
  <c r="W185" i="28"/>
  <c r="W190" i="28"/>
  <c r="W203" i="28"/>
  <c r="W211" i="28"/>
  <c r="W216" i="28"/>
  <c r="W225" i="28"/>
  <c r="W231" i="28"/>
  <c r="W283" i="28"/>
  <c r="W150" i="28"/>
  <c r="W18" i="28"/>
  <c r="W26" i="28"/>
  <c r="W34" i="28"/>
  <c r="W61" i="28"/>
  <c r="W71" i="28"/>
  <c r="W79" i="28"/>
  <c r="W123" i="28"/>
  <c r="W144" i="28"/>
  <c r="W152" i="28"/>
  <c r="W160" i="28"/>
  <c r="W166" i="28"/>
  <c r="W174" i="28"/>
  <c r="W182" i="28"/>
  <c r="W195" i="28"/>
  <c r="W200" i="28"/>
  <c r="W208" i="28"/>
  <c r="W218" i="28"/>
  <c r="W222" i="28"/>
  <c r="W227" i="28"/>
  <c r="W233" i="28"/>
  <c r="W235" i="28"/>
  <c r="W237" i="28"/>
  <c r="W239" i="28"/>
  <c r="W278" i="28"/>
  <c r="W206" i="28"/>
  <c r="W16" i="28"/>
  <c r="W37" i="28"/>
  <c r="W23" i="28"/>
  <c r="W53" i="28"/>
  <c r="W58" i="28"/>
  <c r="W66" i="28"/>
  <c r="W139" i="28"/>
  <c r="W149" i="28"/>
  <c r="W157" i="28"/>
  <c r="W163" i="28"/>
  <c r="W171" i="28"/>
  <c r="W179" i="28"/>
  <c r="W187" i="28"/>
  <c r="W197" i="28"/>
  <c r="W205" i="28"/>
  <c r="W213" i="28"/>
  <c r="W241" i="28"/>
  <c r="W245" i="28"/>
  <c r="W281" i="28"/>
  <c r="W32" i="28"/>
  <c r="W6" i="28"/>
  <c r="W9" i="28"/>
  <c r="W20" i="28"/>
  <c r="W28" i="28"/>
  <c r="W36" i="28"/>
  <c r="W55" i="28"/>
  <c r="W63" i="28"/>
  <c r="W73" i="28"/>
  <c r="W89" i="28"/>
  <c r="W120" i="28"/>
  <c r="W131" i="28"/>
  <c r="W141" i="28"/>
  <c r="W146" i="28"/>
  <c r="W154" i="28"/>
  <c r="W168" i="28"/>
  <c r="W176" i="28"/>
  <c r="W184" i="28"/>
  <c r="W189" i="28"/>
  <c r="W202" i="28"/>
  <c r="W210" i="28"/>
  <c r="W220" i="28"/>
  <c r="W224" i="28"/>
  <c r="W230" i="28"/>
  <c r="W284" i="28"/>
  <c r="W24" i="28"/>
  <c r="W54" i="28"/>
  <c r="W59" i="28"/>
  <c r="W69" i="28"/>
  <c r="W77" i="28"/>
  <c r="W214" i="28"/>
  <c r="W242" i="28"/>
  <c r="W12" i="28"/>
  <c r="W21" i="28"/>
  <c r="W29" i="28"/>
  <c r="W118" i="28"/>
  <c r="W11" i="28"/>
  <c r="W13" i="28"/>
  <c r="W15" i="28"/>
  <c r="W17" i="28"/>
  <c r="W25" i="28"/>
  <c r="W33" i="28"/>
  <c r="W60" i="28"/>
  <c r="W70" i="28"/>
  <c r="W78" i="28"/>
  <c r="W115" i="28"/>
  <c r="W122" i="28"/>
  <c r="W136" i="28"/>
  <c r="W151" i="28"/>
  <c r="W159" i="28"/>
  <c r="W165" i="28"/>
  <c r="W173" i="28"/>
  <c r="W181" i="28"/>
  <c r="W199" i="28"/>
  <c r="W207" i="28"/>
  <c r="W215" i="28"/>
  <c r="W217" i="28"/>
  <c r="W226" i="28"/>
  <c r="W279" i="28"/>
  <c r="W135" i="28"/>
  <c r="W164" i="28"/>
  <c r="W172" i="28"/>
  <c r="W14" i="28"/>
  <c r="W31" i="28"/>
  <c r="W76" i="28"/>
  <c r="W134" i="28"/>
  <c r="W22" i="28"/>
  <c r="W30" i="28"/>
  <c r="W52" i="28"/>
  <c r="W57" i="28"/>
  <c r="W65" i="28"/>
  <c r="W75" i="28"/>
  <c r="W117" i="28"/>
  <c r="W133" i="28"/>
  <c r="W138" i="28"/>
  <c r="W143" i="28"/>
  <c r="W148" i="28"/>
  <c r="W156" i="28"/>
  <c r="W162" i="28"/>
  <c r="W170" i="28"/>
  <c r="W178" i="28"/>
  <c r="W186" i="28"/>
  <c r="W194" i="28"/>
  <c r="W196" i="28"/>
  <c r="W204" i="28"/>
  <c r="W212" i="28"/>
  <c r="W232" i="28"/>
  <c r="W234" i="28"/>
  <c r="W236" i="28"/>
  <c r="W238" i="28"/>
  <c r="W240" i="28"/>
  <c r="W282" i="28"/>
  <c r="W158" i="28"/>
  <c r="W10" i="28"/>
  <c r="W5" i="28"/>
  <c r="W8" i="28"/>
  <c r="W19" i="28"/>
  <c r="W27" i="28"/>
  <c r="W35" i="28"/>
  <c r="W62" i="28"/>
  <c r="W72" i="28"/>
  <c r="W80" i="28"/>
  <c r="W119" i="28"/>
  <c r="W130" i="28"/>
  <c r="W140" i="28"/>
  <c r="W145" i="28"/>
  <c r="W153" i="28"/>
  <c r="W167" i="28"/>
  <c r="W175" i="28"/>
  <c r="W183" i="28"/>
  <c r="W188" i="28"/>
  <c r="W201" i="28"/>
  <c r="W209" i="28"/>
  <c r="W219" i="28"/>
  <c r="W223" i="28"/>
  <c r="W228" i="28"/>
  <c r="W277" i="28"/>
  <c r="L231" i="28"/>
  <c r="Y231" i="28" s="1"/>
  <c r="L7" i="28"/>
  <c r="L17" i="28"/>
  <c r="F233" i="28"/>
  <c r="Y233" i="28"/>
  <c r="Y277" i="28"/>
  <c r="O151" i="28"/>
  <c r="L279" i="28"/>
  <c r="L282" i="28"/>
  <c r="Q282" i="28" s="1"/>
  <c r="L280" i="28"/>
  <c r="X233" i="28"/>
  <c r="L283" i="28"/>
  <c r="Q283" i="28" s="1"/>
  <c r="L278" i="28"/>
  <c r="L281" i="28"/>
  <c r="Y170" i="28"/>
  <c r="L284" i="28"/>
  <c r="Q284" i="28" s="1"/>
  <c r="X266" i="28"/>
  <c r="X267" i="28"/>
  <c r="E143" i="28"/>
  <c r="L143" i="28" s="1"/>
  <c r="M18" i="73" s="1"/>
  <c r="F18" i="73" s="1"/>
  <c r="E230" i="1"/>
  <c r="E10" i="28"/>
  <c r="L10" i="28" s="1"/>
  <c r="L261" i="28" s="1"/>
  <c r="G12" i="1"/>
  <c r="Y66" i="28"/>
  <c r="G13" i="1"/>
  <c r="G14" i="1"/>
  <c r="G15" i="1"/>
  <c r="G16" i="1"/>
  <c r="G17" i="1"/>
  <c r="E91" i="28"/>
  <c r="L91" i="28" s="1"/>
  <c r="O133" i="28"/>
  <c r="E237" i="1"/>
  <c r="O65" i="28"/>
  <c r="O19" i="28"/>
  <c r="E243" i="1"/>
  <c r="X268" i="28"/>
  <c r="Y55" i="28"/>
  <c r="F9" i="28"/>
  <c r="Y136" i="28"/>
  <c r="E249" i="1"/>
  <c r="H199" i="1"/>
  <c r="F230" i="1"/>
  <c r="F250" i="1" s="1"/>
  <c r="Y156" i="28"/>
  <c r="K9" i="73" l="1"/>
  <c r="F9" i="73" s="1"/>
  <c r="D20" i="73"/>
  <c r="G143" i="28"/>
  <c r="F143" i="28"/>
  <c r="D12" i="73"/>
  <c r="F14" i="73"/>
  <c r="D13" i="73"/>
  <c r="F13" i="73" s="1"/>
  <c r="D15" i="73"/>
  <c r="F15" i="73" s="1"/>
  <c r="K8" i="73"/>
  <c r="L8" i="73" s="1"/>
  <c r="E8" i="73"/>
  <c r="K6" i="73"/>
  <c r="L6" i="73" s="1"/>
  <c r="L265" i="28"/>
  <c r="B19" i="71"/>
  <c r="B21" i="71" s="1"/>
  <c r="G19" i="71" s="1"/>
  <c r="B9" i="71"/>
  <c r="F27" i="71" s="1"/>
  <c r="X231" i="28"/>
  <c r="F34" i="28"/>
  <c r="G178" i="28"/>
  <c r="Q178" i="28" s="1"/>
  <c r="Q138" i="28"/>
  <c r="F80" i="28"/>
  <c r="Q153" i="28"/>
  <c r="G153" i="28" s="1"/>
  <c r="Q120" i="28"/>
  <c r="G120" i="28" s="1"/>
  <c r="F164" i="28"/>
  <c r="Q55" i="28"/>
  <c r="G55" i="28" s="1"/>
  <c r="F131" i="28"/>
  <c r="Q168" i="28"/>
  <c r="G168" i="28" s="1"/>
  <c r="Y280" i="28"/>
  <c r="Q280" i="28"/>
  <c r="Y281" i="28"/>
  <c r="Q281" i="28"/>
  <c r="Q151" i="28"/>
  <c r="Y237" i="28"/>
  <c r="Y279" i="28"/>
  <c r="Q279" i="28"/>
  <c r="Y122" i="28"/>
  <c r="Q122" i="28"/>
  <c r="G122" i="28" s="1"/>
  <c r="Y238" i="28"/>
  <c r="Y239" i="28"/>
  <c r="Y278" i="28"/>
  <c r="Q278" i="28"/>
  <c r="Q131" i="28"/>
  <c r="G131" i="28" s="1"/>
  <c r="F162" i="28"/>
  <c r="Y162" i="28"/>
  <c r="F148" i="28"/>
  <c r="Y148" i="28"/>
  <c r="Y283" i="28"/>
  <c r="X151" i="28"/>
  <c r="Y151" i="28"/>
  <c r="Y73" i="28"/>
  <c r="X129" i="28"/>
  <c r="Y129" i="28"/>
  <c r="F214" i="28"/>
  <c r="Y214" i="28"/>
  <c r="F18" i="28"/>
  <c r="Y18" i="28"/>
  <c r="F142" i="28"/>
  <c r="Y142" i="28"/>
  <c r="X21" i="28"/>
  <c r="Y21" i="28"/>
  <c r="F213" i="28"/>
  <c r="Y213" i="28"/>
  <c r="X241" i="28"/>
  <c r="Y241" i="28"/>
  <c r="F76" i="28"/>
  <c r="Y76" i="28"/>
  <c r="F25" i="28"/>
  <c r="Y25" i="28"/>
  <c r="X201" i="28"/>
  <c r="Y201" i="28"/>
  <c r="X117" i="28"/>
  <c r="Y117" i="28"/>
  <c r="F228" i="28"/>
  <c r="Y228" i="28"/>
  <c r="X178" i="28"/>
  <c r="Y178" i="28"/>
  <c r="X78" i="28"/>
  <c r="Y78" i="28"/>
  <c r="X5" i="28"/>
  <c r="Y5" i="28"/>
  <c r="X150" i="28"/>
  <c r="Y150" i="28"/>
  <c r="F140" i="28"/>
  <c r="Y140" i="28"/>
  <c r="F138" i="28"/>
  <c r="Y138" i="28"/>
  <c r="X127" i="28"/>
  <c r="Y127" i="28"/>
  <c r="X242" i="28"/>
  <c r="Y242" i="28"/>
  <c r="F63" i="28"/>
  <c r="Y63" i="28"/>
  <c r="X216" i="28"/>
  <c r="Y216" i="28"/>
  <c r="X58" i="28"/>
  <c r="Y58" i="28"/>
  <c r="X206" i="28"/>
  <c r="Y206" i="28"/>
  <c r="F137" i="28"/>
  <c r="Y137" i="28"/>
  <c r="X16" i="28"/>
  <c r="Y16" i="28"/>
  <c r="X219" i="28"/>
  <c r="Y219" i="28"/>
  <c r="X208" i="28"/>
  <c r="Y208" i="28"/>
  <c r="F235" i="28"/>
  <c r="Y235" i="28"/>
  <c r="X72" i="28"/>
  <c r="Y72" i="28"/>
  <c r="F169" i="28"/>
  <c r="Y169" i="28"/>
  <c r="Y180" i="28"/>
  <c r="X74" i="28"/>
  <c r="Y74" i="28"/>
  <c r="F227" i="28"/>
  <c r="Y227" i="28"/>
  <c r="F184" i="28"/>
  <c r="Y184" i="28"/>
  <c r="Y284" i="28"/>
  <c r="F135" i="28"/>
  <c r="Y135" i="28"/>
  <c r="X245" i="28"/>
  <c r="Y245" i="28"/>
  <c r="F130" i="28"/>
  <c r="Y130" i="28"/>
  <c r="F224" i="28"/>
  <c r="Y224" i="28"/>
  <c r="X133" i="28"/>
  <c r="Y133" i="28"/>
  <c r="X197" i="28"/>
  <c r="Y197" i="28"/>
  <c r="X222" i="28"/>
  <c r="Y222" i="28"/>
  <c r="X36" i="28"/>
  <c r="Y36" i="28"/>
  <c r="X190" i="28"/>
  <c r="Y190" i="28"/>
  <c r="X53" i="28"/>
  <c r="Y53" i="28"/>
  <c r="X198" i="28"/>
  <c r="Y198" i="28"/>
  <c r="F223" i="28"/>
  <c r="Y223" i="28"/>
  <c r="X132" i="28"/>
  <c r="Y132" i="28"/>
  <c r="X14" i="28"/>
  <c r="Y14" i="28"/>
  <c r="X167" i="28"/>
  <c r="Y167" i="28"/>
  <c r="X185" i="28"/>
  <c r="Y185" i="28"/>
  <c r="X200" i="28"/>
  <c r="Y200" i="28"/>
  <c r="Y65" i="28"/>
  <c r="F177" i="28"/>
  <c r="Y177" i="28"/>
  <c r="F218" i="28"/>
  <c r="Y218" i="28"/>
  <c r="X17" i="28"/>
  <c r="Y17" i="28"/>
  <c r="F212" i="28"/>
  <c r="Y212" i="28"/>
  <c r="F77" i="28"/>
  <c r="Y77" i="28"/>
  <c r="F226" i="28"/>
  <c r="Y226" i="28"/>
  <c r="X80" i="28"/>
  <c r="Y80" i="28"/>
  <c r="X210" i="28"/>
  <c r="Y210" i="28"/>
  <c r="F9" i="30"/>
  <c r="H9" i="30" s="1"/>
  <c r="Y57" i="28"/>
  <c r="X179" i="28"/>
  <c r="Y179" i="28"/>
  <c r="X33" i="28"/>
  <c r="Y33" i="28"/>
  <c r="F174" i="28"/>
  <c r="Y174" i="28"/>
  <c r="X20" i="28"/>
  <c r="Y20" i="28"/>
  <c r="X160" i="28"/>
  <c r="Y160" i="28"/>
  <c r="X195" i="28"/>
  <c r="Y195" i="28"/>
  <c r="F144" i="28"/>
  <c r="Y144" i="28"/>
  <c r="Y183" i="28"/>
  <c r="F116" i="28"/>
  <c r="Y116" i="28"/>
  <c r="X194" i="28"/>
  <c r="Y194" i="28"/>
  <c r="X199" i="28"/>
  <c r="Y199" i="28"/>
  <c r="X118" i="28"/>
  <c r="Y118" i="28"/>
  <c r="X24" i="28"/>
  <c r="Y24" i="28"/>
  <c r="X131" i="28"/>
  <c r="Y131" i="28"/>
  <c r="F20" i="30"/>
  <c r="Y60" i="28"/>
  <c r="X164" i="28"/>
  <c r="Y164" i="28"/>
  <c r="X12" i="28"/>
  <c r="Y12" i="28"/>
  <c r="F211" i="28"/>
  <c r="Y211" i="28"/>
  <c r="Y79" i="28"/>
  <c r="X165" i="28"/>
  <c r="Y165" i="28"/>
  <c r="X34" i="28"/>
  <c r="Y34" i="28"/>
  <c r="F8" i="28"/>
  <c r="Y8" i="28"/>
  <c r="X230" i="28"/>
  <c r="Y230" i="28"/>
  <c r="X204" i="28"/>
  <c r="Y204" i="28"/>
  <c r="X157" i="28"/>
  <c r="Y157" i="28"/>
  <c r="X75" i="28"/>
  <c r="Y75" i="28"/>
  <c r="X155" i="28"/>
  <c r="Y155" i="28"/>
  <c r="X32" i="28"/>
  <c r="Y32" i="28"/>
  <c r="X119" i="28"/>
  <c r="Y119" i="28"/>
  <c r="X7" i="28"/>
  <c r="Y7" i="28"/>
  <c r="X196" i="28"/>
  <c r="Y196" i="28"/>
  <c r="X69" i="28"/>
  <c r="Y69" i="28"/>
  <c r="X215" i="28"/>
  <c r="Y215" i="28"/>
  <c r="F62" i="28"/>
  <c r="Y62" i="28"/>
  <c r="X202" i="28"/>
  <c r="Y202" i="28"/>
  <c r="X52" i="28"/>
  <c r="Y52" i="28"/>
  <c r="X171" i="28"/>
  <c r="Y171" i="28"/>
  <c r="X15" i="28"/>
  <c r="Y15" i="28"/>
  <c r="F146" i="28"/>
  <c r="Y146" i="28"/>
  <c r="X9" i="28"/>
  <c r="Y9" i="28"/>
  <c r="F149" i="28"/>
  <c r="Y149" i="28"/>
  <c r="Y282" i="28"/>
  <c r="X126" i="28"/>
  <c r="Y126" i="28"/>
  <c r="F175" i="28"/>
  <c r="Y175" i="28"/>
  <c r="F64" i="28"/>
  <c r="Y64" i="28"/>
  <c r="X124" i="28"/>
  <c r="Y124" i="28"/>
  <c r="F145" i="28"/>
  <c r="Y145" i="28"/>
  <c r="F35" i="28"/>
  <c r="Y35" i="28"/>
  <c r="X70" i="28"/>
  <c r="Y70" i="28"/>
  <c r="F221" i="28"/>
  <c r="Y221" i="28"/>
  <c r="X220" i="28"/>
  <c r="Y220" i="28"/>
  <c r="F182" i="28"/>
  <c r="Y182" i="28"/>
  <c r="F31" i="28"/>
  <c r="Y31" i="28"/>
  <c r="X121" i="28"/>
  <c r="Y121" i="28"/>
  <c r="X203" i="28"/>
  <c r="Y203" i="28"/>
  <c r="X225" i="28"/>
  <c r="Y225" i="28"/>
  <c r="X232" i="28"/>
  <c r="Y232" i="28"/>
  <c r="X153" i="28"/>
  <c r="Y153" i="28"/>
  <c r="F71" i="28"/>
  <c r="Y71" i="28"/>
  <c r="X152" i="28"/>
  <c r="Y152" i="28"/>
  <c r="F6" i="28"/>
  <c r="Y6" i="28"/>
  <c r="F186" i="28"/>
  <c r="Y186" i="28"/>
  <c r="F59" i="28"/>
  <c r="Y59" i="28"/>
  <c r="F181" i="28"/>
  <c r="Y181" i="28"/>
  <c r="F27" i="28"/>
  <c r="Y27" i="28"/>
  <c r="X189" i="28"/>
  <c r="Y189" i="28"/>
  <c r="F30" i="28"/>
  <c r="Y30" i="28"/>
  <c r="X163" i="28"/>
  <c r="Y163" i="28"/>
  <c r="X13" i="28"/>
  <c r="Y13" i="28"/>
  <c r="F141" i="28"/>
  <c r="Y141" i="28"/>
  <c r="X240" i="28"/>
  <c r="Y240" i="28"/>
  <c r="F139" i="28"/>
  <c r="Y139" i="28"/>
  <c r="F236" i="28"/>
  <c r="Y236" i="28"/>
  <c r="X61" i="28"/>
  <c r="Y61" i="28"/>
  <c r="X158" i="28"/>
  <c r="Y158" i="28"/>
  <c r="F56" i="28"/>
  <c r="Y56" i="28"/>
  <c r="F29" i="28"/>
  <c r="Y29" i="28"/>
  <c r="X120" i="28"/>
  <c r="Y120" i="28"/>
  <c r="F217" i="28"/>
  <c r="Y217" i="28"/>
  <c r="X168" i="28"/>
  <c r="Y168" i="28"/>
  <c r="F172" i="28"/>
  <c r="Y172" i="28"/>
  <c r="X128" i="28"/>
  <c r="Y128" i="28"/>
  <c r="X125" i="28"/>
  <c r="Y125" i="28"/>
  <c r="X187" i="28"/>
  <c r="Y187" i="28"/>
  <c r="F28" i="28"/>
  <c r="Y28" i="28"/>
  <c r="X209" i="28"/>
  <c r="Y209" i="28"/>
  <c r="X207" i="28"/>
  <c r="Y207" i="28"/>
  <c r="X188" i="28"/>
  <c r="Y188" i="28"/>
  <c r="X115" i="28"/>
  <c r="Y115" i="28"/>
  <c r="X166" i="28"/>
  <c r="Y166" i="28"/>
  <c r="X123" i="28"/>
  <c r="Y123" i="28"/>
  <c r="F23" i="28"/>
  <c r="Y23" i="28"/>
  <c r="X205" i="28"/>
  <c r="Y205" i="28"/>
  <c r="X176" i="28"/>
  <c r="Y176" i="28"/>
  <c r="X54" i="28"/>
  <c r="Y54" i="28"/>
  <c r="X173" i="28"/>
  <c r="Y173" i="28"/>
  <c r="X19" i="28"/>
  <c r="Y19" i="28"/>
  <c r="F159" i="28"/>
  <c r="Y159" i="28"/>
  <c r="F22" i="28"/>
  <c r="Y22" i="28"/>
  <c r="F154" i="28"/>
  <c r="Y154" i="28"/>
  <c r="X11" i="28"/>
  <c r="Y11" i="28"/>
  <c r="X89" i="28"/>
  <c r="Y89" i="28"/>
  <c r="F134" i="28"/>
  <c r="Y134" i="28"/>
  <c r="X234" i="28"/>
  <c r="Y234" i="28"/>
  <c r="X26" i="28"/>
  <c r="Y26" i="28"/>
  <c r="F147" i="28"/>
  <c r="Y147" i="28"/>
  <c r="F37" i="28"/>
  <c r="Y37" i="28"/>
  <c r="X4" i="28"/>
  <c r="Y4" i="28"/>
  <c r="X122" i="28"/>
  <c r="F122" i="28"/>
  <c r="X278" i="28"/>
  <c r="X283" i="28"/>
  <c r="X280" i="28"/>
  <c r="X279" i="28"/>
  <c r="X291" i="28"/>
  <c r="X281" i="28"/>
  <c r="X284" i="28"/>
  <c r="X282" i="28"/>
  <c r="F11" i="30"/>
  <c r="H11" i="30" s="1"/>
  <c r="F61" i="28"/>
  <c r="F17" i="30"/>
  <c r="F171" i="28"/>
  <c r="X277" i="28"/>
  <c r="F60" i="28"/>
  <c r="F26" i="28"/>
  <c r="F24" i="28"/>
  <c r="X238" i="28"/>
  <c r="X237" i="28"/>
  <c r="X239" i="28"/>
  <c r="X18" i="28"/>
  <c r="X130" i="28"/>
  <c r="X212" i="28"/>
  <c r="F52" i="28"/>
  <c r="F7" i="30"/>
  <c r="H7" i="30" s="1"/>
  <c r="F73" i="28"/>
  <c r="X116" i="28"/>
  <c r="F120" i="28"/>
  <c r="X35" i="28"/>
  <c r="X57" i="28"/>
  <c r="X139" i="28"/>
  <c r="X223" i="28"/>
  <c r="X137" i="28"/>
  <c r="F8" i="30"/>
  <c r="F53" i="28"/>
  <c r="X138" i="28"/>
  <c r="F57" i="28"/>
  <c r="X186" i="28"/>
  <c r="X56" i="28"/>
  <c r="D1" i="28"/>
  <c r="G151" i="28"/>
  <c r="X60" i="28"/>
  <c r="H239" i="28"/>
  <c r="Q239" i="28" s="1"/>
  <c r="F14" i="30"/>
  <c r="X227" i="28"/>
  <c r="X62" i="28"/>
  <c r="X140" i="28"/>
  <c r="X182" i="28"/>
  <c r="X147" i="28"/>
  <c r="X141" i="28"/>
  <c r="G164" i="28"/>
  <c r="Q164" i="28" s="1"/>
  <c r="X148" i="28"/>
  <c r="X218" i="28"/>
  <c r="X28" i="28"/>
  <c r="X64" i="28"/>
  <c r="X226" i="28"/>
  <c r="X156" i="28"/>
  <c r="X31" i="28"/>
  <c r="X170" i="28"/>
  <c r="X77" i="28"/>
  <c r="X217" i="28"/>
  <c r="X174" i="28"/>
  <c r="X134" i="28"/>
  <c r="X214" i="28"/>
  <c r="X23" i="28"/>
  <c r="F170" i="28"/>
  <c r="X162" i="28"/>
  <c r="X181" i="28"/>
  <c r="X27" i="28"/>
  <c r="X235" i="28"/>
  <c r="X22" i="28"/>
  <c r="X65" i="28"/>
  <c r="X146" i="28"/>
  <c r="X169" i="28"/>
  <c r="X76" i="28"/>
  <c r="X142" i="28"/>
  <c r="X25" i="28"/>
  <c r="F234" i="28"/>
  <c r="X8" i="28"/>
  <c r="X224" i="28"/>
  <c r="X154" i="28"/>
  <c r="X73" i="28"/>
  <c r="X211" i="28"/>
  <c r="X236" i="28"/>
  <c r="X144" i="28"/>
  <c r="X228" i="28"/>
  <c r="X183" i="28"/>
  <c r="X37" i="28"/>
  <c r="F151" i="28"/>
  <c r="Y143" i="28"/>
  <c r="X221" i="28"/>
  <c r="X135" i="28"/>
  <c r="X59" i="28"/>
  <c r="X184" i="28"/>
  <c r="X63" i="28"/>
  <c r="X149" i="28"/>
  <c r="X180" i="28"/>
  <c r="X175" i="28"/>
  <c r="X29" i="28"/>
  <c r="X172" i="28"/>
  <c r="H225" i="28"/>
  <c r="Q225" i="28" s="1"/>
  <c r="X213" i="28"/>
  <c r="X136" i="28"/>
  <c r="X55" i="28"/>
  <c r="X66" i="28"/>
  <c r="F58" i="28"/>
  <c r="X145" i="28"/>
  <c r="X159" i="28"/>
  <c r="X30" i="28"/>
  <c r="X6" i="28"/>
  <c r="X177" i="28"/>
  <c r="X79" i="28"/>
  <c r="X71" i="28"/>
  <c r="F17" i="28"/>
  <c r="F5" i="28"/>
  <c r="F179" i="28"/>
  <c r="F55" i="28"/>
  <c r="G34" i="28"/>
  <c r="Q34" i="28" s="1"/>
  <c r="G65" i="28"/>
  <c r="Q65" i="28" s="1"/>
  <c r="F66" i="28"/>
  <c r="F65" i="28"/>
  <c r="F21" i="28"/>
  <c r="E250" i="1"/>
  <c r="H238" i="28"/>
  <c r="Q238" i="28" s="1"/>
  <c r="G21" i="28"/>
  <c r="Q21" i="28" s="1"/>
  <c r="G179" i="28"/>
  <c r="Q179" i="28" s="1"/>
  <c r="F185" i="28"/>
  <c r="F188" i="28"/>
  <c r="F133" i="28"/>
  <c r="G133" i="28"/>
  <c r="Q133" i="28" s="1"/>
  <c r="F153" i="28"/>
  <c r="F117" i="28"/>
  <c r="F168" i="28"/>
  <c r="F167" i="28"/>
  <c r="F29" i="30"/>
  <c r="F75" i="28"/>
  <c r="F74" i="28"/>
  <c r="F28" i="30"/>
  <c r="H28" i="30" s="1"/>
  <c r="F33" i="28"/>
  <c r="F7" i="28"/>
  <c r="G163" i="28"/>
  <c r="Q163" i="28" s="1"/>
  <c r="F163" i="28"/>
  <c r="F79" i="28"/>
  <c r="G79" i="28"/>
  <c r="Q79" i="28" s="1"/>
  <c r="G80" i="28"/>
  <c r="Q80" i="28" s="1"/>
  <c r="G33" i="28"/>
  <c r="Q33" i="28" s="1"/>
  <c r="F72" i="28"/>
  <c r="F26" i="30"/>
  <c r="H26" i="30" s="1"/>
  <c r="F178" i="28"/>
  <c r="H220" i="28"/>
  <c r="Q220" i="28" s="1"/>
  <c r="F219" i="28"/>
  <c r="H237" i="28"/>
  <c r="Q237" i="28" s="1"/>
  <c r="F230" i="28"/>
  <c r="F10" i="30"/>
  <c r="F222" i="28"/>
  <c r="D18" i="73" l="1"/>
  <c r="F32" i="71"/>
  <c r="F23" i="71"/>
  <c r="F29" i="71" s="1"/>
  <c r="G239" i="28"/>
  <c r="G237" i="28"/>
  <c r="X10" i="28"/>
  <c r="Y10" i="28"/>
  <c r="F91" i="28"/>
  <c r="Y91" i="28"/>
  <c r="G238" i="28"/>
  <c r="F239" i="28"/>
  <c r="F10" i="28"/>
  <c r="X91" i="28"/>
  <c r="X143" i="28"/>
  <c r="F225" i="28"/>
  <c r="F238" i="28"/>
  <c r="F30" i="30"/>
  <c r="H29" i="30"/>
  <c r="H30" i="30" s="1"/>
  <c r="F220" i="28"/>
  <c r="F12" i="30"/>
  <c r="H10" i="30"/>
  <c r="H12" i="30" s="1"/>
  <c r="F237" i="28"/>
  <c r="D46" i="73" l="1"/>
  <c r="F46" i="73" s="1"/>
  <c r="F30" i="71"/>
  <c r="L295" i="28"/>
  <c r="J295" i="28"/>
  <c r="H32" i="30"/>
  <c r="F15" i="30"/>
  <c r="F18" i="30" s="1"/>
  <c r="F32" i="30"/>
  <c r="C22" i="30" l="1"/>
  <c r="F21" i="30"/>
  <c r="C21" i="30"/>
  <c r="F23" i="73" l="1"/>
</calcChain>
</file>

<file path=xl/sharedStrings.xml><?xml version="1.0" encoding="utf-8"?>
<sst xmlns="http://schemas.openxmlformats.org/spreadsheetml/2006/main" count="3462" uniqueCount="2079">
  <si>
    <t xml:space="preserve">Unit Number:      </t>
  </si>
  <si>
    <t>Description of Requested Amount from Audited Financial Statements</t>
  </si>
  <si>
    <t>Capital Assets for Governmental Activities</t>
  </si>
  <si>
    <t>Buildings</t>
  </si>
  <si>
    <t>Plant / distributions systems / water lines</t>
  </si>
  <si>
    <t>Infrastructure(other infrastructure)</t>
  </si>
  <si>
    <t xml:space="preserve">Electric Fund </t>
  </si>
  <si>
    <t>Construction in progress</t>
  </si>
  <si>
    <t>Capital Assets for Electric Fund</t>
  </si>
  <si>
    <t>Gross value:</t>
  </si>
  <si>
    <t>Notes to the Financial Statements -Summary Changes in Long-Term Liability</t>
  </si>
  <si>
    <t>Statement of Revenue, Expenditures and Changes in Fund Balance - Governmental Funds
 - All Governmental Funds</t>
  </si>
  <si>
    <t xml:space="preserve">     not necessarily the statistical section.</t>
  </si>
  <si>
    <t>Notes</t>
  </si>
  <si>
    <t>Buildings annual depreciation</t>
  </si>
  <si>
    <t>Building accumulated depreciation</t>
  </si>
  <si>
    <t>Plant / distributions systems / water lines annual depreciation</t>
  </si>
  <si>
    <t>Plant / distributions systems / water lines accumulated depreciation</t>
  </si>
  <si>
    <t>Infrastructure(other infrastructure) annual depreciation</t>
  </si>
  <si>
    <t>Infrastructure(other infrastructure) accumulated depreciation</t>
  </si>
  <si>
    <t>Total Assets Gross value of assets being depreciated for Electric Fund</t>
  </si>
  <si>
    <t>Total accumulated depreciation for Electric Fund assets</t>
  </si>
  <si>
    <t>receiving operating revenues or paying operating expenditures. Eliminate internal balances within this activity group.</t>
  </si>
  <si>
    <t xml:space="preserve">receiving operating revenues or paying operating expenditures. </t>
  </si>
  <si>
    <t xml:space="preserve">and wastewater funds into one activity for purposes of this worksheet.  Exclude stormwater funds.  Only fill out this section if </t>
  </si>
  <si>
    <t>Notes to the Financial Statements - Other Post-employment benefits (OPEB) Note</t>
  </si>
  <si>
    <t>(The OPEB amounts requested are normally in the OPEB note - however, many of them can also be found on the Required Supplementary Information Schedule for OPEB that follows the Notes.)</t>
  </si>
  <si>
    <t>Notes to the Financial Statements -Transfer Note</t>
  </si>
  <si>
    <t>Notes to the Financial Statements -Fund Balance Note</t>
  </si>
  <si>
    <t>Notes to the Financial Statements - Capital Asset Information</t>
  </si>
  <si>
    <t>Upload Amounts</t>
  </si>
  <si>
    <t xml:space="preserve"> </t>
  </si>
  <si>
    <t>Accumulated depreciation:</t>
  </si>
  <si>
    <t>Total Accumulated depreciation</t>
  </si>
  <si>
    <t>Total Annual depreciation</t>
  </si>
  <si>
    <t>Total Net Water and Sewer Capital Assets</t>
  </si>
  <si>
    <t xml:space="preserve">Fiscal Year </t>
  </si>
  <si>
    <t>Water Sewer Dashboard</t>
  </si>
  <si>
    <t>NC County and Municipal Financial Information</t>
  </si>
  <si>
    <t>All other depreciable capital assets</t>
  </si>
  <si>
    <t>All other depreciable capital assets annual depreciation</t>
  </si>
  <si>
    <t>All other depreciable capital assets accumulated depreciation</t>
  </si>
  <si>
    <t>Description</t>
  </si>
  <si>
    <t>Account #</t>
  </si>
  <si>
    <t>Fiscal Year Reviewer Corrections</t>
  </si>
  <si>
    <t>Fiscal Year Unit Input</t>
  </si>
  <si>
    <t xml:space="preserve">                    FINISHED</t>
  </si>
  <si>
    <t>IMPORT</t>
  </si>
  <si>
    <t>Annual depreciation expense:</t>
  </si>
  <si>
    <t>Errors</t>
  </si>
  <si>
    <t>Other Financial Information</t>
  </si>
  <si>
    <t>Yes</t>
  </si>
  <si>
    <t>No</t>
  </si>
  <si>
    <t>Property Tax Increase for Year Audited</t>
  </si>
  <si>
    <t>Property Tax Increase for budget year after fiscal year being reported</t>
  </si>
  <si>
    <t>Cash &amp; Tax Memo</t>
  </si>
  <si>
    <t>Dashboard</t>
  </si>
  <si>
    <t>Water Sewer Memo</t>
  </si>
  <si>
    <t>Electric Memo</t>
  </si>
  <si>
    <t>Review Summary</t>
  </si>
  <si>
    <t>Error Detection</t>
  </si>
  <si>
    <t>Water Sewer Memo,
Dashboard,
Water Sewer Dashboard</t>
  </si>
  <si>
    <t>Water Sewer Memo, Water Sewer Dashboard</t>
  </si>
  <si>
    <t>Electric Memo,
Dashboard</t>
  </si>
  <si>
    <t>Water Sewer Memo, Water Sewer Dashboard, Dashboard</t>
  </si>
  <si>
    <t>Electrical Memo</t>
  </si>
  <si>
    <t>Dashboard,
Electric Memo</t>
  </si>
  <si>
    <t>Cash &amp; Tax Memo,
Dashboard</t>
  </si>
  <si>
    <t>Dashboard,
Water Sewer Memo</t>
  </si>
  <si>
    <t>Review Summary - FBA</t>
  </si>
  <si>
    <t>General Info used to evaluate health of unit</t>
  </si>
  <si>
    <t>Fiduciary Funds</t>
  </si>
  <si>
    <t>Calculation</t>
  </si>
  <si>
    <t>Total</t>
  </si>
  <si>
    <t>Without Including Restricted Cash</t>
  </si>
  <si>
    <t>Fund Balance Available for Appropriation - G.S. §159-8(a)</t>
  </si>
  <si>
    <t>Unrestricted Cash and Investments ………………………………..…………………..</t>
  </si>
  <si>
    <t>Restricted cash and investments (This would normally include Powell Bill, Bond Proceeds, consolidated funds such as capital reserve funds or tax revaluation funds)</t>
  </si>
  <si>
    <t>Encumbrances at June 30 (listed in the notes)……………………………...…………………………</t>
  </si>
  <si>
    <t>Unavailable or Unearned Revenues Arising from Cash Receipts ……………………………</t>
  </si>
  <si>
    <t>ü</t>
  </si>
  <si>
    <t>Fund Balance Available for Appropriation ……………………………………………………….</t>
  </si>
  <si>
    <t>Total Fund Balance (From Audited Financial Statements) ……………………………………..………………….</t>
  </si>
  <si>
    <t>Total Restricted by State Statue………………………………………….…………………………………………..</t>
  </si>
  <si>
    <t>Restricted by State Statute Presented on Financial Statements</t>
  </si>
  <si>
    <t>Less</t>
  </si>
  <si>
    <t>Non Spendable -  Inventory, Prepaids, or Other ……………………………………………...…………………..</t>
  </si>
  <si>
    <t>Restricted - Stabilization by State Statute (LGC calculation) …………………….………………..</t>
  </si>
  <si>
    <t>Restricted - Stabilization by State Statute (From Audited Financial Statements) ……………………….…………….…………………………</t>
  </si>
  <si>
    <t>Analysis</t>
  </si>
  <si>
    <t>Without Including</t>
  </si>
  <si>
    <t xml:space="preserve"> Total </t>
  </si>
  <si>
    <t>Expenditures - General Fund</t>
  </si>
  <si>
    <t>Total Expenditures - General Fund ………………………………..………………………………..</t>
  </si>
  <si>
    <t>Adjustments</t>
  </si>
  <si>
    <t xml:space="preserve">    Transfers Out …………………………...…………………………………...…….</t>
  </si>
  <si>
    <t xml:space="preserve">    Issuance of Capital Leases &amp; Installment Purchases ……………...………….</t>
  </si>
  <si>
    <t>Total Expenditures (As Adjusted) ………………………………...…………………….</t>
  </si>
  <si>
    <t xml:space="preserve">    Fund Balance Available  as % of Expenditures …………………………..........</t>
  </si>
  <si>
    <t xml:space="preserve"> Restricted Cash</t>
  </si>
  <si>
    <t>WS - Change in Net Position</t>
  </si>
  <si>
    <t>Electric - Change in Net Position</t>
  </si>
  <si>
    <t>WS - Total Net Position</t>
  </si>
  <si>
    <t>Gov - Net Investment in Capital Assets</t>
  </si>
  <si>
    <t>Gov - Restricted Net Position</t>
  </si>
  <si>
    <t>Gov - Unrestricted Net Position</t>
  </si>
  <si>
    <t>Electric - Unrestricted Net Position</t>
  </si>
  <si>
    <t>Electric - Total Net Position</t>
  </si>
  <si>
    <t>Gov - Any Adj. to Beginning Net Position</t>
  </si>
  <si>
    <t>WS - Any Adj. to Beginning Net Position</t>
  </si>
  <si>
    <t>Electric - Any Adj. to Beginning Net Position</t>
  </si>
  <si>
    <t>How Data is used</t>
  </si>
  <si>
    <t>Statutory Calculation of Fund Balance Available for Appropriation At June 30 for the General Fund
Restricted - Stabilization by State Statute</t>
  </si>
  <si>
    <t>WS - Total Assets and deferred outflows</t>
  </si>
  <si>
    <t>Electric - Total Assets and deferred outflows</t>
  </si>
  <si>
    <t>Gov - Total Assets and deferred outflows</t>
  </si>
  <si>
    <t>Gov - Total Liabilities and total deferred inflows</t>
  </si>
  <si>
    <t>Gov - Unearned Revenues included in Select Current Liabilities</t>
  </si>
  <si>
    <t>Gen Fund - Total Assets and deferred outflows</t>
  </si>
  <si>
    <t>Gen  Fund - Current  Liabilities</t>
  </si>
  <si>
    <t>Gen Fund - deferred inflows derived from Cash Receipts</t>
  </si>
  <si>
    <t>Gen Fund - Deferred inflows Not from Cash Receipts</t>
  </si>
  <si>
    <t>WS - Total Liabilities and deferred inflows</t>
  </si>
  <si>
    <t>Electric - Select Current Liabilities</t>
  </si>
  <si>
    <t>Electric - Unearned Revenues included in Select Current Liabilities</t>
  </si>
  <si>
    <t>Electric - Total Liabilities and deferred inflows</t>
  </si>
  <si>
    <t>New Questions  -  Please read and answer if applicable</t>
  </si>
  <si>
    <t>Government Wide Statements - Net Position Statement - Governmental Activities Column</t>
  </si>
  <si>
    <t>Statement</t>
  </si>
  <si>
    <t>Net Position-Governmental Activities</t>
  </si>
  <si>
    <t>Total Assets and deferred outflows</t>
  </si>
  <si>
    <t>Total Liabilities and total deferred inflows</t>
  </si>
  <si>
    <t xml:space="preserve"> Total Net investment in capital assets</t>
  </si>
  <si>
    <t xml:space="preserve"> Total Net Position, Restricted</t>
  </si>
  <si>
    <t>Government Wide Statements-Net Position-Business Activities Column</t>
  </si>
  <si>
    <t>All restricted Cash and investments</t>
  </si>
  <si>
    <t>Net Position-Business Activities</t>
  </si>
  <si>
    <t>Government Wide Statements - Statement of Activities  - Governmental Activities Column</t>
  </si>
  <si>
    <t xml:space="preserve">Total Interest expense on Long-Term Debt </t>
  </si>
  <si>
    <t>Total Expenses</t>
  </si>
  <si>
    <t xml:space="preserve">Charges for services </t>
  </si>
  <si>
    <t>Operating grants and contributions</t>
  </si>
  <si>
    <t>Capital grants and contributions</t>
  </si>
  <si>
    <t>Total Transfers out</t>
  </si>
  <si>
    <t>Statement of Activities - Governmental</t>
  </si>
  <si>
    <t>Fund Statements - General Fund Balance Sheet</t>
  </si>
  <si>
    <t>All restricted cash and investments</t>
  </si>
  <si>
    <t xml:space="preserve">Fund balance, Restricted for Stabilization by State Statute </t>
  </si>
  <si>
    <t>Fund balance, Nonspendable-  inventory/prepaids/etc.</t>
  </si>
  <si>
    <t>General Fund-Balance Sheet</t>
  </si>
  <si>
    <t>Total revenues</t>
  </si>
  <si>
    <t xml:space="preserve">    General Fund Only - Statement of Revenue, Expenditures and Changes in Fund Balance </t>
  </si>
  <si>
    <t>General Fund-Rev, Exp. Change in Fund Balance</t>
  </si>
  <si>
    <t>Total Liabilities and deferred inflows</t>
  </si>
  <si>
    <t>Total Net position</t>
  </si>
  <si>
    <t xml:space="preserve">Statement of Net Position - Electric Fund </t>
  </si>
  <si>
    <t>Amount of inventories and prepaids</t>
  </si>
  <si>
    <t>Total liabilities and total deferred inflows</t>
  </si>
  <si>
    <t>Total net position</t>
  </si>
  <si>
    <t>Total Operating revenues</t>
  </si>
  <si>
    <t>Depreciation and amortization expense</t>
  </si>
  <si>
    <t>Total Operating expenses</t>
  </si>
  <si>
    <t>Interest expense</t>
  </si>
  <si>
    <t>Charges for services</t>
  </si>
  <si>
    <t>Electrical power purchases</t>
  </si>
  <si>
    <t>Fiduciary Statements</t>
  </si>
  <si>
    <t>Cash and Investment Note</t>
  </si>
  <si>
    <t>OPEB Note</t>
  </si>
  <si>
    <t>Transfer Note</t>
  </si>
  <si>
    <t>Fund Balance Note</t>
  </si>
  <si>
    <t>Amount of the Water Sewer Fund Balance appropriated in next year's budget?</t>
  </si>
  <si>
    <t>Analysis of Current Tax Levy Schedule</t>
  </si>
  <si>
    <t>Accumulated depreciation</t>
  </si>
  <si>
    <t>Gov.-Capital Assets Schedule in the Notes</t>
  </si>
  <si>
    <t>WS-Capital Assets Schedule in the Notes</t>
  </si>
  <si>
    <t>WS Capital Assets Schedule-Gross Value</t>
  </si>
  <si>
    <t>WS Capital Assets Schedule-Annual Depreciation</t>
  </si>
  <si>
    <t>WS Capital Assets Schedule-Accumulated Depreciation</t>
  </si>
  <si>
    <t>Electric Assets</t>
  </si>
  <si>
    <t>Electric Accumulated Depreciation</t>
  </si>
  <si>
    <t>Budget Actual Statement for Water Sewer Fund-Modified Accrual Basis</t>
  </si>
  <si>
    <t>Liabilities……………………………………………………………….………………………….</t>
  </si>
  <si>
    <t>Statement of Revenues, Expenses, and Changes in Fund Net Position</t>
  </si>
  <si>
    <t>Gov - Restricted Cash &amp; Investments</t>
  </si>
  <si>
    <t>GA-Total Unrestricted Cash &amp; Investments</t>
  </si>
  <si>
    <t>Gov - Internal Balance</t>
  </si>
  <si>
    <t>Bus - Unrestricted Cash &amp; Investments</t>
  </si>
  <si>
    <t>Bus - Restricted Cash &amp; Investments</t>
  </si>
  <si>
    <t>Gov - Interest Exp on LT Debt</t>
  </si>
  <si>
    <t>Gov - Total Expenses</t>
  </si>
  <si>
    <t>Gov - Charges for Services</t>
  </si>
  <si>
    <t>Gov - Operating grants and contributions</t>
  </si>
  <si>
    <t>Gov - Capital grants and contributions</t>
  </si>
  <si>
    <t>Gov - Total General Revenues</t>
  </si>
  <si>
    <t>Gov - Total Transfers In</t>
  </si>
  <si>
    <t>Gov - Total Transfers Out</t>
  </si>
  <si>
    <t>Gov - Special &amp; Extraordinary Items</t>
  </si>
  <si>
    <t>Gov - Change in Net Position</t>
  </si>
  <si>
    <t>Gen Fund - Unrestricted Cash &amp; Investments</t>
  </si>
  <si>
    <t>Gen Fund - Restricted Cash &amp; Investments</t>
  </si>
  <si>
    <t>Gen Fund - Liabilities from Restricted Assets</t>
  </si>
  <si>
    <t>Gen Fund - RSS</t>
  </si>
  <si>
    <t>Gen Fund - Nonspendable</t>
  </si>
  <si>
    <t>Gen Fund - Powell Bill in FB</t>
  </si>
  <si>
    <t>Gen Fund - Total Fund Balance per report</t>
  </si>
  <si>
    <t>Gen Fund - Intergov Rev</t>
  </si>
  <si>
    <t>Gen Fund - Total Revenue</t>
  </si>
  <si>
    <t>Gen Fund - Debt Annual P &amp; I</t>
  </si>
  <si>
    <t xml:space="preserve">Gen Fund - Total Expenditures </t>
  </si>
  <si>
    <t>Gen Fund - Transfers In</t>
  </si>
  <si>
    <t>Gen Fund - Transfers Out</t>
  </si>
  <si>
    <t xml:space="preserve">Gen Fund - Proceeds from LTD </t>
  </si>
  <si>
    <t>Gen Fund - Other items</t>
  </si>
  <si>
    <t>Gen Fund - Positive debt refund</t>
  </si>
  <si>
    <t>Gen fund - Negative debt refund</t>
  </si>
  <si>
    <t>Gen Fund - Change in Fund Balance</t>
  </si>
  <si>
    <t>Gen Fund - Any Adj. to Beginning Net Assets</t>
  </si>
  <si>
    <t>Gov - Debt P &amp; I</t>
  </si>
  <si>
    <t>WS - Unrestricted Cash &amp; Investments</t>
  </si>
  <si>
    <t>WS - Customer AR Net</t>
  </si>
  <si>
    <t>WS - Inventories &amp; Prepaids in Curr Assets</t>
  </si>
  <si>
    <t>WS - Unearned revenue</t>
  </si>
  <si>
    <t>WS - Unrestricted Net Position</t>
  </si>
  <si>
    <t>Electric - Unrestricted Cash &amp; Investments</t>
  </si>
  <si>
    <t>Electric - Customer AR Net</t>
  </si>
  <si>
    <t>Electric - Inventories &amp; Prepaids in Curr Assets</t>
  </si>
  <si>
    <t>WS - Charges for Services</t>
  </si>
  <si>
    <t>WS - Total Operating Revenue</t>
  </si>
  <si>
    <t>WS - Depreciation &amp; Amortization Exp.</t>
  </si>
  <si>
    <t>WS - Total Operating Expenses</t>
  </si>
  <si>
    <t>WS - Interest Expense</t>
  </si>
  <si>
    <t>WS - Total Non-Operating Revenues</t>
  </si>
  <si>
    <t>WS - Total Non-Operating Expenses</t>
  </si>
  <si>
    <t>WS - Capital Contributions</t>
  </si>
  <si>
    <t>WS - Total Transfer In</t>
  </si>
  <si>
    <t>WS - Total Transfer Out</t>
  </si>
  <si>
    <t>Electric - Charges for Services</t>
  </si>
  <si>
    <t>Electric - Total Operating Revenues</t>
  </si>
  <si>
    <t>Electric - Electrical Power Purchases</t>
  </si>
  <si>
    <t>Electric - Depreciation and Amortization Exp.</t>
  </si>
  <si>
    <t>Electric - Total Operating Expenses</t>
  </si>
  <si>
    <t>Electric - Interest Expense</t>
  </si>
  <si>
    <t>Electric - Total Non-Operating Revenues</t>
  </si>
  <si>
    <t>Electric - Total Non-Operating Expenses</t>
  </si>
  <si>
    <t>Electric - Capital Contributions</t>
  </si>
  <si>
    <t>Electric - Total Transfers In</t>
  </si>
  <si>
    <t>WS - Cash Flow from Operating Activities</t>
  </si>
  <si>
    <t>WS - Principal Paid - Cash Flow</t>
  </si>
  <si>
    <t>WS - Capital Outlay - Cashflow</t>
  </si>
  <si>
    <t>Electric - Cash Flow from Operating Activities</t>
  </si>
  <si>
    <t>Electric - Capital Outlay - Cash Flow</t>
  </si>
  <si>
    <t>Electric - Principal Paid - Cash Flow</t>
  </si>
  <si>
    <t>Fiduciary - Cash and Investments</t>
  </si>
  <si>
    <t>Cash and Investment - Bond Proceeds - all Funds</t>
  </si>
  <si>
    <t>Gov - Debt Liability</t>
  </si>
  <si>
    <t>Gov - Principal Paid</t>
  </si>
  <si>
    <t>Electric - Debt Liability</t>
  </si>
  <si>
    <t>OPEB- ARC</t>
  </si>
  <si>
    <t>OPEB- Obligation</t>
  </si>
  <si>
    <t>OPEB- Actuarial Value of Assets</t>
  </si>
  <si>
    <t>OPEB- UAAL</t>
  </si>
  <si>
    <t>OPEB- UAAL % of Payroll</t>
  </si>
  <si>
    <t>Transfer from General to Debt Fund</t>
  </si>
  <si>
    <t>Transfer from General Fund to Electric</t>
  </si>
  <si>
    <t>Transfer from Electric to General Fund</t>
  </si>
  <si>
    <t>Gen Fund - Encumbrances</t>
  </si>
  <si>
    <t>Amt of the WS Fund Balance approp. in next year's budget</t>
  </si>
  <si>
    <t>Amt of the GF Fund Bal. approp. in next year's budget</t>
  </si>
  <si>
    <t>Tax Collection Rate - Unit Wide</t>
  </si>
  <si>
    <t>Tax collection Rate - Excluding Vehicles</t>
  </si>
  <si>
    <t>Tax Collection Rate - Vehicles</t>
  </si>
  <si>
    <t>Current year's levy -- Excluding motor vehicles</t>
  </si>
  <si>
    <t>Current year's levy -- Motor vehicles (only)</t>
  </si>
  <si>
    <t>Uncollected Taxes - Curr Year's Levy Exclude Motor Vehicles</t>
  </si>
  <si>
    <t>Uncollected Taxes - Curr Year's Levy Motor Vehicles</t>
  </si>
  <si>
    <t>Comb-Proprietary Funds- Inventories &amp; Prepaids in Curr Assets</t>
  </si>
  <si>
    <t>GA-Total Depreciable capital assets, gross</t>
  </si>
  <si>
    <t>WS Cap Asset - Buildings</t>
  </si>
  <si>
    <t>WS Cap Asset - Plant/Distributions/Lines</t>
  </si>
  <si>
    <t>WS Cap Asset - Infrastructure</t>
  </si>
  <si>
    <t>WS Cap Asset- All other Depreciable Assets</t>
  </si>
  <si>
    <t>WS Annual Dep - Buildings</t>
  </si>
  <si>
    <t>WS Annual Dep - Plant/Distributions/Lines</t>
  </si>
  <si>
    <t>WS Annual Dep - Infrastructure</t>
  </si>
  <si>
    <t>WS Annual Dep - All Other Depreciable Assets</t>
  </si>
  <si>
    <t>WS Acc Dep - Buildings</t>
  </si>
  <si>
    <t>WS Acc Dep - Plant/Distributions/Lines</t>
  </si>
  <si>
    <t>WS Acc Dep - Infrastructure</t>
  </si>
  <si>
    <t>WS Acc Dep - All Other Depreciable Assets</t>
  </si>
  <si>
    <t>Electric Cap Asset - Gross Value of Non-Depreciated Assets</t>
  </si>
  <si>
    <t>Units with Electric Operations have $.07, $.08, $.09</t>
  </si>
  <si>
    <t>Units with Water Sewer Operations have $.01</t>
  </si>
  <si>
    <t>CCH Unit Type</t>
  </si>
  <si>
    <t>CCH Unit Code</t>
  </si>
  <si>
    <t>Were WS rates raised in next year's budget</t>
  </si>
  <si>
    <t>Were WS rates raised during the audited fiscal period</t>
  </si>
  <si>
    <t>Prior Year Amts.</t>
  </si>
  <si>
    <t>Unit Number</t>
  </si>
  <si>
    <t>CCH 4</t>
  </si>
  <si>
    <t>CCH 5</t>
  </si>
  <si>
    <t>CCH 6</t>
  </si>
  <si>
    <t>CCH 7</t>
  </si>
  <si>
    <t>CCH 9</t>
  </si>
  <si>
    <t>CCH 11</t>
  </si>
  <si>
    <t>CCH 12</t>
  </si>
  <si>
    <t>CCH 13</t>
  </si>
  <si>
    <t>C-EF- Current liabilities (Inc. Def Rev, Excl. BANs &amp; Comp Abs)</t>
  </si>
  <si>
    <t>CCH 14</t>
  </si>
  <si>
    <t>CCH 16</t>
  </si>
  <si>
    <t>CCH 17</t>
  </si>
  <si>
    <t>CCH 19</t>
  </si>
  <si>
    <t>CCH 20</t>
  </si>
  <si>
    <t>CCH 21</t>
  </si>
  <si>
    <t>CCH 22</t>
  </si>
  <si>
    <t>CCH 23</t>
  </si>
  <si>
    <t>CCH 31</t>
  </si>
  <si>
    <t xml:space="preserve">Combined Totals of all Proprietary Funds - Depreciation &amp; Amortization Expense </t>
  </si>
  <si>
    <t>CCH 32</t>
  </si>
  <si>
    <t>Combined Totals of all Proprietary Funds - Cash Flow from Operating</t>
  </si>
  <si>
    <t>CCH 33</t>
  </si>
  <si>
    <t>Hospital-EF- Unrestricted Cash &amp; Invest</t>
  </si>
  <si>
    <t>CCH 34</t>
  </si>
  <si>
    <t>CCH 35</t>
  </si>
  <si>
    <t>CCH 36</t>
  </si>
  <si>
    <t xml:space="preserve">Hospital-EF- Total LT Debt (non current portion only) (BS) </t>
  </si>
  <si>
    <t>CCH 37</t>
  </si>
  <si>
    <t>CCH 38</t>
  </si>
  <si>
    <t>Hospital-EF- Principal Paid on LTD (SCF)</t>
  </si>
  <si>
    <t>CCH 39</t>
  </si>
  <si>
    <t>Hospital-EF- Net Patient Revenue (IS)</t>
  </si>
  <si>
    <t>CCH 40</t>
  </si>
  <si>
    <t>Hospital-EF- Interest expenses (IS)</t>
  </si>
  <si>
    <t>CCH 41</t>
  </si>
  <si>
    <t>WS-EF- Current Assets (unrestricted, excl. inventory and prepaids)</t>
  </si>
  <si>
    <t>CCH 43</t>
  </si>
  <si>
    <t>CCH 44</t>
  </si>
  <si>
    <t>CCH 45</t>
  </si>
  <si>
    <t>CCH 46</t>
  </si>
  <si>
    <t>CCH 47</t>
  </si>
  <si>
    <t>CCH 48</t>
  </si>
  <si>
    <t>CCH 49</t>
  </si>
  <si>
    <t>CCH 50</t>
  </si>
  <si>
    <t>CCH 51</t>
  </si>
  <si>
    <t>CCH 52</t>
  </si>
  <si>
    <t>CCH 53</t>
  </si>
  <si>
    <t>CCH 54</t>
  </si>
  <si>
    <t>CCH 55</t>
  </si>
  <si>
    <t>CCH 61</t>
  </si>
  <si>
    <t>CCH 80</t>
  </si>
  <si>
    <t>CCH 81</t>
  </si>
  <si>
    <t>CCH 82</t>
  </si>
  <si>
    <t>CCH 83</t>
  </si>
  <si>
    <t>CCH 84</t>
  </si>
  <si>
    <t>CCH 85</t>
  </si>
  <si>
    <t>CCH 88</t>
  </si>
  <si>
    <t>CCH 89</t>
  </si>
  <si>
    <t>CCH 90</t>
  </si>
  <si>
    <t>CCH 91</t>
  </si>
  <si>
    <t>CCH 92</t>
  </si>
  <si>
    <t>CCH 93</t>
  </si>
  <si>
    <t>CCH 94</t>
  </si>
  <si>
    <t>CCH 97</t>
  </si>
  <si>
    <t>CCH 98</t>
  </si>
  <si>
    <t>CCH 99</t>
  </si>
  <si>
    <t>CCH 100</t>
  </si>
  <si>
    <t>CCH 101</t>
  </si>
  <si>
    <t>CCH 102</t>
  </si>
  <si>
    <t>CCH 103</t>
  </si>
  <si>
    <t>Hospital-EF- Capital Outlays</t>
  </si>
  <si>
    <t>CCH 104</t>
  </si>
  <si>
    <t>CCH 107</t>
  </si>
  <si>
    <t>CCH 108</t>
  </si>
  <si>
    <t xml:space="preserve">Counties Only- Local Current Expense to BOEs </t>
  </si>
  <si>
    <t>CCH 147</t>
  </si>
  <si>
    <t xml:space="preserve">Counties Only- Capital Outlay Contribution to BOEs </t>
  </si>
  <si>
    <t>CCH 148</t>
  </si>
  <si>
    <t xml:space="preserve">BOE Only-- Local Current Exp. Revenue from County. </t>
  </si>
  <si>
    <t>CCH 149</t>
  </si>
  <si>
    <t xml:space="preserve">BOE- Only-- Capital outlay revenue from county (GF, SRF, CPF) </t>
  </si>
  <si>
    <t>CCH 150</t>
  </si>
  <si>
    <t>CCH 171</t>
  </si>
  <si>
    <t>CCH 191</t>
  </si>
  <si>
    <t>CCH 192</t>
  </si>
  <si>
    <t>Combined Totals of all Proprietary Funds - Capital Contributions</t>
  </si>
  <si>
    <t>CCH 193</t>
  </si>
  <si>
    <t>Hospital-EF- Capital contributions (only positive)</t>
  </si>
  <si>
    <t>CCH 194</t>
  </si>
  <si>
    <t>GF- Total cash &amp; investments (restricted &amp; unrestricted)</t>
  </si>
  <si>
    <t>CCH 231</t>
  </si>
  <si>
    <t>All cash and investments (unit-wide, w/ fiduciary fds, &amp; restricted cash)</t>
  </si>
  <si>
    <t>CCH 251</t>
  </si>
  <si>
    <t>CCH 252</t>
  </si>
  <si>
    <t>CCH 253</t>
  </si>
  <si>
    <t>CCH 254</t>
  </si>
  <si>
    <t>CCH 255</t>
  </si>
  <si>
    <t>BOE Only- Timber Receipts Revenue</t>
  </si>
  <si>
    <t>CCH 274</t>
  </si>
  <si>
    <t>CCH 294</t>
  </si>
  <si>
    <t>Public Housing Authority- HUD Capital grants amount (SCF, don't include operating grants)</t>
  </si>
  <si>
    <t>CCH 314</t>
  </si>
  <si>
    <t>Public Housing Authority- Amount paid for capital asset acquisition (SCF)</t>
  </si>
  <si>
    <t>CCH 315</t>
  </si>
  <si>
    <t>Public Housing Authority - Operating income (loss)</t>
  </si>
  <si>
    <t>CCH 316</t>
  </si>
  <si>
    <t>CCH 320</t>
  </si>
  <si>
    <t>CCH 321</t>
  </si>
  <si>
    <t>CCH 322</t>
  </si>
  <si>
    <t>CCH 323</t>
  </si>
  <si>
    <t>CCH 324</t>
  </si>
  <si>
    <t>CCH 325</t>
  </si>
  <si>
    <t>CCH 326</t>
  </si>
  <si>
    <t>CCH 327</t>
  </si>
  <si>
    <t>CCH 328</t>
  </si>
  <si>
    <t>CCH 330</t>
  </si>
  <si>
    <t>CCH 331</t>
  </si>
  <si>
    <t>CCH 332</t>
  </si>
  <si>
    <t>CCH 333</t>
  </si>
  <si>
    <t>CCH 334</t>
  </si>
  <si>
    <t>CCH 335</t>
  </si>
  <si>
    <t>CCH 336</t>
  </si>
  <si>
    <t>CCH 337</t>
  </si>
  <si>
    <t>CCH 338</t>
  </si>
  <si>
    <t>CCH 339</t>
  </si>
  <si>
    <t>CCH 340</t>
  </si>
  <si>
    <t>CCH 341</t>
  </si>
  <si>
    <t>CCH 342</t>
  </si>
  <si>
    <t>CCH 343</t>
  </si>
  <si>
    <t>CCH 344</t>
  </si>
  <si>
    <t>CCH 346</t>
  </si>
  <si>
    <t>CCH 347</t>
  </si>
  <si>
    <t>CCH 349</t>
  </si>
  <si>
    <t>CCH 350</t>
  </si>
  <si>
    <t>CCH 351</t>
  </si>
  <si>
    <t>CCH 352</t>
  </si>
  <si>
    <t>CCH 353</t>
  </si>
  <si>
    <t>CCH 354</t>
  </si>
  <si>
    <t>CCH 357</t>
  </si>
  <si>
    <t>CCH 359</t>
  </si>
  <si>
    <t>CCH 360</t>
  </si>
  <si>
    <t>CCH 361</t>
  </si>
  <si>
    <t>CCH 362</t>
  </si>
  <si>
    <t>CCH 363</t>
  </si>
  <si>
    <t>CCH 364</t>
  </si>
  <si>
    <t>CCH 365</t>
  </si>
  <si>
    <t>CCH 366</t>
  </si>
  <si>
    <t>CCH 367</t>
  </si>
  <si>
    <t>CCH 368</t>
  </si>
  <si>
    <t>CCH 369</t>
  </si>
  <si>
    <t>CCH 370</t>
  </si>
  <si>
    <t>CCH 371</t>
  </si>
  <si>
    <t>CCH 373</t>
  </si>
  <si>
    <t>CCH 375</t>
  </si>
  <si>
    <t>CCH 376</t>
  </si>
  <si>
    <t>CCH 377</t>
  </si>
  <si>
    <t>CCH 378</t>
  </si>
  <si>
    <t>CCH 379</t>
  </si>
  <si>
    <t>CCH 380</t>
  </si>
  <si>
    <t>CCH 381</t>
  </si>
  <si>
    <t>CCH 382</t>
  </si>
  <si>
    <t>CCH 383</t>
  </si>
  <si>
    <t>CCH 384</t>
  </si>
  <si>
    <t>CCH 385</t>
  </si>
  <si>
    <t>CCH 386</t>
  </si>
  <si>
    <t>CCH 387</t>
  </si>
  <si>
    <t>CCH 388</t>
  </si>
  <si>
    <t>CCH 389</t>
  </si>
  <si>
    <t>CCH 391</t>
  </si>
  <si>
    <t>CCH 500</t>
  </si>
  <si>
    <t>CCH 501</t>
  </si>
  <si>
    <t>CCH 502</t>
  </si>
  <si>
    <t>CCH 503</t>
  </si>
  <si>
    <t>CCH 504</t>
  </si>
  <si>
    <t>CCH 505</t>
  </si>
  <si>
    <t>CCH 506</t>
  </si>
  <si>
    <t>CCH 507</t>
  </si>
  <si>
    <t>CCH 508</t>
  </si>
  <si>
    <t>CCH 509</t>
  </si>
  <si>
    <t>CCH 510</t>
  </si>
  <si>
    <t>CCH 511</t>
  </si>
  <si>
    <t>CCH 512</t>
  </si>
  <si>
    <t>CCH 513</t>
  </si>
  <si>
    <t>CCH 514</t>
  </si>
  <si>
    <t>CCH 515</t>
  </si>
  <si>
    <t>CCH 516</t>
  </si>
  <si>
    <t>CCH 517</t>
  </si>
  <si>
    <t>CCH 518</t>
  </si>
  <si>
    <t>CCH 519</t>
  </si>
  <si>
    <t>CCH 520</t>
  </si>
  <si>
    <t>CCH 521</t>
  </si>
  <si>
    <t>CCH 522</t>
  </si>
  <si>
    <t>CCH 523</t>
  </si>
  <si>
    <t>CCH 524</t>
  </si>
  <si>
    <t>CCH 525</t>
  </si>
  <si>
    <t>CCH 526</t>
  </si>
  <si>
    <t>CCH 527</t>
  </si>
  <si>
    <t>CCH 528</t>
  </si>
  <si>
    <t>CCH 529</t>
  </si>
  <si>
    <t>CCH 530</t>
  </si>
  <si>
    <t>CCH 531</t>
  </si>
  <si>
    <t>CCH 532</t>
  </si>
  <si>
    <t>CCH 533</t>
  </si>
  <si>
    <t>CCH 534</t>
  </si>
  <si>
    <t>CCH 535</t>
  </si>
  <si>
    <t>CCH 536</t>
  </si>
  <si>
    <t>CCH 537</t>
  </si>
  <si>
    <t>CCH 538</t>
  </si>
  <si>
    <t>CCH 539</t>
  </si>
  <si>
    <t>CCH 540</t>
  </si>
  <si>
    <t>CCH 541</t>
  </si>
  <si>
    <t>CCH 542</t>
  </si>
  <si>
    <t>CCH 543</t>
  </si>
  <si>
    <t>CCH 544</t>
  </si>
  <si>
    <t>CCH 545</t>
  </si>
  <si>
    <t>CCH 546</t>
  </si>
  <si>
    <t>CCH 547</t>
  </si>
  <si>
    <t>Hospital - No Budget required</t>
  </si>
  <si>
    <t>CCH 993</t>
  </si>
  <si>
    <t>Hospital - No Contract required</t>
  </si>
  <si>
    <t>CCH 994</t>
  </si>
  <si>
    <t>Units with Electric Operations have. 07,. 08,. 09</t>
  </si>
  <si>
    <t>CCH 995</t>
  </si>
  <si>
    <t>Units with Water Sewer Operations have. 01</t>
  </si>
  <si>
    <t>CCH 996</t>
  </si>
  <si>
    <t>CCH 998</t>
  </si>
  <si>
    <t>CCH 999</t>
  </si>
  <si>
    <t>Select Your Unit's Name from the drop down box in cell D2</t>
  </si>
  <si>
    <t>Dashboard,
Water Sewer Dashboard</t>
  </si>
  <si>
    <t>Water Sewer Memo,
Water Sewer Dashboard</t>
  </si>
  <si>
    <t>Notes to the Financial Statements - Law Enforcement Officers' Special Separation Allowance Note</t>
  </si>
  <si>
    <t>LEO Note</t>
  </si>
  <si>
    <t>Notes to the Financial Statements -Cash and Investments - Bond/Debt Proceeds</t>
  </si>
  <si>
    <t>Amount of Inventories and Prepaid expenses in current assets</t>
  </si>
  <si>
    <t>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t>
  </si>
  <si>
    <t>Debt Refunding - Net refunding proceeds against debt payoff and if negative place results on this line.</t>
  </si>
  <si>
    <t xml:space="preserve">All other items on this statement that were not included in total revenues, total expenditures, transfers in or out, or proceeds from long-term debt above.  </t>
  </si>
  <si>
    <t>Debt Refunding - Net refunding proceeds against debt payoff and if positive place results on this line.</t>
  </si>
  <si>
    <t>Electric - Total Transfers Out(to all funds)</t>
  </si>
  <si>
    <t>Fund Statements - all Governmental Funds</t>
  </si>
  <si>
    <t>Information</t>
  </si>
  <si>
    <t>If your unit is not on the Drop Down list in cell D2 please select the blank space at the top of the drop down list in cell D2 and enter your units name here and complete the worksheet</t>
  </si>
  <si>
    <t>Unit paid to Officers under LEO</t>
  </si>
  <si>
    <t xml:space="preserve">OPEB 
1-implicit rate only  
2-no benefit 
3-benfit 
4- state health plan  </t>
  </si>
  <si>
    <t>Law Enforcement Officers - Actuarial value of Assets</t>
  </si>
  <si>
    <t>Pension Notes</t>
  </si>
  <si>
    <t>Note this number is adjusted for any negative internal balances</t>
  </si>
  <si>
    <t>Formula Results</t>
  </si>
  <si>
    <t>If unit does not answer you do not have to pursue</t>
  </si>
  <si>
    <t>GW-positive internal balance</t>
  </si>
  <si>
    <t>GW-negative internal balance</t>
  </si>
  <si>
    <t>Gov Acc Dep - Capital Assets</t>
  </si>
  <si>
    <t xml:space="preserve">WS Cap Asset - Land &amp; other Non-Construction </t>
  </si>
  <si>
    <t>WS Cap Asset - Construction in Progress</t>
  </si>
  <si>
    <t>Electric Cap Asset - Gross Value of Depreciable Capital Assets</t>
  </si>
  <si>
    <t>Electric Acc Dep - Capital Assets</t>
  </si>
  <si>
    <t>WS-EF- Total LT Debt (ST &amp;LT; normal exclusions)</t>
  </si>
  <si>
    <t>WS-revenues and other financing sources over expenditures and other uses-excl. transfers, capital Cont.</t>
  </si>
  <si>
    <t>If unit did not answer you do not need to pursue.</t>
  </si>
  <si>
    <t>Error Amounts</t>
  </si>
  <si>
    <t>Error Count</t>
  </si>
  <si>
    <t xml:space="preserve">Review Summary </t>
  </si>
  <si>
    <t>Review Summary; Electric Memo</t>
  </si>
  <si>
    <t>Advance To: Interfund loan receivable-portion of repayment plan longer than 12 months</t>
  </si>
  <si>
    <t>GF-Advance To - Asset</t>
  </si>
  <si>
    <t>WS -  Advance To - Asset</t>
  </si>
  <si>
    <t>WS - Advance From - Liability</t>
  </si>
  <si>
    <t>EF - Advance To - Asset</t>
  </si>
  <si>
    <t>EF - Advance from - Liability</t>
  </si>
  <si>
    <t>Gen Fund - Total Expenditures</t>
  </si>
  <si>
    <t>Gen Fund - Proceeds from LTD</t>
  </si>
  <si>
    <t>CCH 548</t>
  </si>
  <si>
    <t>CCH 549</t>
  </si>
  <si>
    <t>Debt Service payments made from Bond investments</t>
  </si>
  <si>
    <t>CCH 550</t>
  </si>
  <si>
    <t>CCH 551</t>
  </si>
  <si>
    <t>CCH 552</t>
  </si>
  <si>
    <t>not currently used</t>
  </si>
  <si>
    <t>CCH 553</t>
  </si>
  <si>
    <t>Single Audit Only - total amount of federal awards and grants expended as found on SEFSA</t>
  </si>
  <si>
    <t>CCH 554</t>
  </si>
  <si>
    <t>Single Audit Only - Total amount of federal awards and grants that were audited as major as found on SEFSA</t>
  </si>
  <si>
    <t>CCH 555</t>
  </si>
  <si>
    <t>Single Audit Only - total amount of state awards and grants expended as found on SEFSA</t>
  </si>
  <si>
    <t>CCH 556</t>
  </si>
  <si>
    <t>Single Audit Only - Total amount of state awards and grants that were audited as major as found on SEFSA</t>
  </si>
  <si>
    <t>CCH 557</t>
  </si>
  <si>
    <t>CCH 558</t>
  </si>
  <si>
    <t>CCH 559</t>
  </si>
  <si>
    <t>CCH 560</t>
  </si>
  <si>
    <t>CCH 561</t>
  </si>
  <si>
    <t>CCH 562</t>
  </si>
  <si>
    <t>CCH 563</t>
  </si>
  <si>
    <t>CCH 564</t>
  </si>
  <si>
    <t>CCH 565</t>
  </si>
  <si>
    <t>CCH 566</t>
  </si>
  <si>
    <t>CCH 567</t>
  </si>
  <si>
    <t>CCH 568</t>
  </si>
  <si>
    <t>CCH 569</t>
  </si>
  <si>
    <t>CCH 570</t>
  </si>
  <si>
    <t>CCH 571</t>
  </si>
  <si>
    <t>CCH 572</t>
  </si>
  <si>
    <t>CCH 573</t>
  </si>
  <si>
    <t>CCH 574</t>
  </si>
  <si>
    <t>CCH 992</t>
  </si>
  <si>
    <t>Fiscal Review</t>
  </si>
  <si>
    <t>Operations</t>
  </si>
  <si>
    <t>Government Wide Statements - Statement of Activities  - Business Type Activities Column</t>
  </si>
  <si>
    <t>Reporting</t>
  </si>
  <si>
    <t>Statement of Activities - Business Activities</t>
  </si>
  <si>
    <t>Total Expenses - Exclude Transfers</t>
  </si>
  <si>
    <t>Business Type - Total Expenses</t>
  </si>
  <si>
    <t>Business Type - Change in Net Position</t>
  </si>
  <si>
    <t>Reviewer if you need to change what the unit entered, do so directly in cell to the right.  Enter "1" to the right if the unit has defined benefit other than the ones adm.   Leave blank if the unit does not answer</t>
  </si>
  <si>
    <t>Indicate if your water/sewer system:
50 - Became Operational
51 - Ceased Operations
52 - No Change</t>
  </si>
  <si>
    <t>50 - Became Operational</t>
  </si>
  <si>
    <t>51 - Ceased Operations</t>
  </si>
  <si>
    <t>52 - No Change</t>
  </si>
  <si>
    <t>Status of Water Sewer</t>
  </si>
  <si>
    <t>Hospital-EF - Patient A/Rec, net</t>
  </si>
  <si>
    <t>Hospital-EF- Total Gross Capital Assets (BS), w/o acc. dep.</t>
  </si>
  <si>
    <t xml:space="preserve">Hospital-EF- Unrestricted Fund Equity/Net Assets </t>
  </si>
  <si>
    <t>Hospital-EF - Total Operating Revenues</t>
  </si>
  <si>
    <t xml:space="preserve">Hospital-EF- Total Operating Expenses. May include Interest Exp. </t>
  </si>
  <si>
    <t>CCH 575</t>
  </si>
  <si>
    <t>CCH 576</t>
  </si>
  <si>
    <t>Yes  or "1" indicates unit has defined benefit other than the ones adm. By the state</t>
  </si>
  <si>
    <t>CCH 577</t>
  </si>
  <si>
    <t>WS-Advance From - Liability</t>
  </si>
  <si>
    <t>CCH 578</t>
  </si>
  <si>
    <t>WS-Advance To - Asset</t>
  </si>
  <si>
    <t>CCH 579</t>
  </si>
  <si>
    <t>EF-Advance From - Liability</t>
  </si>
  <si>
    <t>CCH 580</t>
  </si>
  <si>
    <t>EF-Advance To - Asset</t>
  </si>
  <si>
    <t>CCH 581</t>
  </si>
  <si>
    <t>TDA- Government Wide current and long-term debt</t>
  </si>
  <si>
    <t>CCH 582</t>
  </si>
  <si>
    <t>Bus- Total Expenses</t>
  </si>
  <si>
    <t>CCH 583</t>
  </si>
  <si>
    <t>Bus-Total Revenues</t>
  </si>
  <si>
    <t>CCH 584</t>
  </si>
  <si>
    <t>County only-timber receipts sent to the schools</t>
  </si>
  <si>
    <t>CCH 585</t>
  </si>
  <si>
    <t>GF - Advance from</t>
  </si>
  <si>
    <t>CCH 586</t>
  </si>
  <si>
    <t>Local Curr Exp trx to Fund 8</t>
  </si>
  <si>
    <t>CCH 587</t>
  </si>
  <si>
    <t>Capital Outlay trx to Fund 8</t>
  </si>
  <si>
    <t>CCH 588</t>
  </si>
  <si>
    <t>County-supplemental school tax reported in Agency fund</t>
  </si>
  <si>
    <t>CCH 589</t>
  </si>
  <si>
    <t xml:space="preserve">This is a description question that is retained on the data input tab - This information is not uploaded to CCH or our data base </t>
  </si>
  <si>
    <t>CCH 590</t>
  </si>
  <si>
    <t>Statement of Activities                               (all governmental and business funds)</t>
  </si>
  <si>
    <t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t>
  </si>
  <si>
    <t>https://www.nctreasurer.com/slg/lfm/financial-analysis/Pages/Analysis-by-Population.aspx</t>
  </si>
  <si>
    <t>Interest income from statement of activities</t>
  </si>
  <si>
    <t>Long-Term Liability Note - Governmental Activities</t>
  </si>
  <si>
    <t>Amount the unit paid out in benefits under LEO special separation allowance to retired law enforcement officers this fiscal year if you report under GASB 68 or GASB 73.</t>
  </si>
  <si>
    <t>The total LEO pension liability if you report under GASB 68 or GASB 73.</t>
  </si>
  <si>
    <t>Total LEO pension liability under GASB 68 or 73</t>
  </si>
  <si>
    <t>Unit paid to Officers under LEO under 68 or 73</t>
  </si>
  <si>
    <t>LEO Plan fiduciary net position</t>
  </si>
  <si>
    <t>If you have LEO pension assets and are reporting under GASB 68 please enter "Plan Fiduciary Net Position" which can be found on your RSI schedules and the Notes.</t>
  </si>
  <si>
    <t>Health benefits - total OPEB liability</t>
  </si>
  <si>
    <t>Health benefits- OPEB plan fiduciary net position</t>
  </si>
  <si>
    <t>Vision benefits - total OPEB liability</t>
  </si>
  <si>
    <t>Vision benefits - OPEB plan fiduciary net position</t>
  </si>
  <si>
    <t>Dental benefits - OPEB plan fiduciary net position</t>
  </si>
  <si>
    <t>Other benefits - total OPEB liability</t>
  </si>
  <si>
    <t>Other benefits - OPEB plan fiduciary net position</t>
  </si>
  <si>
    <t xml:space="preserve">For Internal Control Uses Only:
1) NO IC Issues
2) Immaterial IC Issues
3) Unit Visit needed, no UL
4) Unit Letter for IC
5) Consider placing/remaining on Unit Assistance List
6) Consider taking off Unit Assistance List
7) Communication to DPI
</t>
  </si>
  <si>
    <t>Unit was issued:
1) No UL
2) No UL but visit is needed
3) UL with response
4) UL no response required
5) SUL requiring written response
6) Communication to DPI</t>
  </si>
  <si>
    <t>OPEB
 Note or RSI</t>
  </si>
  <si>
    <t>Financial opinion - enter "1" for clean Opinion or "2" for other than clean opinion</t>
  </si>
  <si>
    <t>Dental benefits - total OPEB liability</t>
  </si>
  <si>
    <t>Notes or formulas</t>
  </si>
  <si>
    <t>OPEB
RSI</t>
  </si>
  <si>
    <t>LEO
RSI</t>
  </si>
  <si>
    <t>Do you expect to issue debt requiring LGC approval within 12 months from the date that the audit is submitted - select "1" for year and "2" for no</t>
  </si>
  <si>
    <t>Do you expect to issue debt requiring LGC approval within 12 months from the date that the audit is submitted - select "1" for yes and "2" for no</t>
  </si>
  <si>
    <t>Debt Issued within next 12 months</t>
  </si>
  <si>
    <t/>
  </si>
  <si>
    <t>Health benefits - plan's fiduary net postion as a % of total OPEB liability</t>
  </si>
  <si>
    <t>Vision benefits - plan's fiduary net postion as a % of total OPEB liability</t>
  </si>
  <si>
    <t>Dental benefits - plan's fiduary net postion as a % of total OPEB liability</t>
  </si>
  <si>
    <t>Other benefits - plan's fiduary net postion as a % of total OPEB liability</t>
  </si>
  <si>
    <t>LEOSSA – What is the plan’s fiduciary net position as a percentage of the total pension liability?  Please enter as percentage value; for example, 83.5% should be entered as 83.5.  If assets have not been set aside in a trust, please enter 0.0</t>
  </si>
  <si>
    <t>FS., OPEB  note or RSI</t>
  </si>
  <si>
    <t>Compliance opinion - enter "1" for clean Opinion or "2" for other than clean opinion</t>
  </si>
  <si>
    <t>FS., Pension note or RSI</t>
  </si>
  <si>
    <t>Notes to the Financial Statements - Pension Note</t>
  </si>
  <si>
    <t>FS., OPEB note or RSI</t>
  </si>
  <si>
    <t>Does the County collect real estate property taxes on your behalf? Select "1" for "yes and "2" for "No"</t>
  </si>
  <si>
    <t>Not loaded to CCH</t>
  </si>
  <si>
    <t>County collects real estate property on your behalf</t>
  </si>
  <si>
    <t>Net Pension Liability</t>
  </si>
  <si>
    <t>Determination of Fiscal Health</t>
  </si>
  <si>
    <t>Fund Balance, Unassigned</t>
  </si>
  <si>
    <t>Debt Service Fund</t>
  </si>
  <si>
    <t>Please enter the Total Fund Balance for any Debt Service Funds</t>
  </si>
  <si>
    <t>Water Sewer Net Position Statement</t>
  </si>
  <si>
    <t>Total Fund Balance</t>
  </si>
  <si>
    <t>Quick Ratio</t>
  </si>
  <si>
    <t>General fund:</t>
  </si>
  <si>
    <t>Electric Fund:</t>
  </si>
  <si>
    <t>Water Sewer Funds:</t>
  </si>
  <si>
    <t>Current Liabilities - bond anticipation notes</t>
  </si>
  <si>
    <t xml:space="preserve">Current Liabilities - closure/Postclosure </t>
  </si>
  <si>
    <t>Current Liabilities - OPEB</t>
  </si>
  <si>
    <t>Current Liabilities - current liabilities payable from restricted assets</t>
  </si>
  <si>
    <t>Current Liabilities - current pension liabilities</t>
  </si>
  <si>
    <t>Current Liabilities - current compensated absences</t>
  </si>
  <si>
    <t>WS-Current Liabilities - current pension liabilities</t>
  </si>
  <si>
    <t>WS-Current Liabilities - current liabilities payable from restricted assets</t>
  </si>
  <si>
    <t>Total Current Liabilities including current portion of long-term debt</t>
  </si>
  <si>
    <t>WS - Total Current Liabilities including current portion of long-term debt</t>
  </si>
  <si>
    <t>WS-Current Liabilities - bond anticipation notes</t>
  </si>
  <si>
    <t>WS-Current Liabilities - current compensated absences</t>
  </si>
  <si>
    <t>WS-Current Liabilities - OPEB</t>
  </si>
  <si>
    <t>Electric - Total Current Liabilities including current portion of long-term debt</t>
  </si>
  <si>
    <t>Electric-Current Liabilities - bond anticipation notes</t>
  </si>
  <si>
    <t>Electric-Current Liabilities - current compensated absences</t>
  </si>
  <si>
    <t>Electric-Current Liabilities - current pension liabilities</t>
  </si>
  <si>
    <t>Electric-Current Liabilities - current liabilities payable from restricted assets</t>
  </si>
  <si>
    <t>Electric-Current Liabilities - OPEB</t>
  </si>
  <si>
    <t xml:space="preserve"> GF - Fund balance, Assigned </t>
  </si>
  <si>
    <t>GF - Fund Balance, Unassigned</t>
  </si>
  <si>
    <t>Debt Service Funds Total Fund Balance</t>
  </si>
  <si>
    <t>Acct #</t>
  </si>
  <si>
    <t>Fund balance, Assigned (total of all assigned components)</t>
  </si>
  <si>
    <t>Amount of the General Fund Balance appropriated in next year's budget. As reported on the General Fund Balance Sheet.</t>
  </si>
  <si>
    <t>Unit Data From Audit Worksheet</t>
  </si>
  <si>
    <t>Cherokee</t>
  </si>
  <si>
    <t>Chowan</t>
  </si>
  <si>
    <t>Durham</t>
  </si>
  <si>
    <t>Gaston</t>
  </si>
  <si>
    <t>Henderson</t>
  </si>
  <si>
    <t>Macon</t>
  </si>
  <si>
    <t>McDowell</t>
  </si>
  <si>
    <t>Mecklenburg</t>
  </si>
  <si>
    <t xml:space="preserve">New Hanover </t>
  </si>
  <si>
    <t>Pitt</t>
  </si>
  <si>
    <t>Rockingham</t>
  </si>
  <si>
    <t>Rutherford</t>
  </si>
  <si>
    <t>Wake</t>
  </si>
  <si>
    <t>Chapel Hill</t>
  </si>
  <si>
    <t>Charlotte</t>
  </si>
  <si>
    <t>Durham City</t>
  </si>
  <si>
    <t>Fuquay Varina</t>
  </si>
  <si>
    <t>Greensboro</t>
  </si>
  <si>
    <t>Greenville</t>
  </si>
  <si>
    <t>High Point</t>
  </si>
  <si>
    <t>Wake Forest</t>
  </si>
  <si>
    <t>Wilmington</t>
  </si>
  <si>
    <t>Winston-Salem</t>
  </si>
  <si>
    <t>Unit #</t>
  </si>
  <si>
    <t>CCH # 647</t>
  </si>
  <si>
    <t>MANDATORY</t>
  </si>
  <si>
    <t>All Fields Must Be Completed</t>
  </si>
  <si>
    <t>Title of Official</t>
  </si>
  <si>
    <t>Date                        (Enter as "MM/DD/YYYY")</t>
  </si>
  <si>
    <t>Telephone number</t>
  </si>
  <si>
    <t>E-mail address</t>
  </si>
  <si>
    <t>GF Exp and Tran out</t>
  </si>
  <si>
    <t>WS debt service</t>
  </si>
  <si>
    <t>100+98</t>
  </si>
  <si>
    <t>44-510</t>
  </si>
  <si>
    <t>WS Current asset</t>
  </si>
  <si>
    <t>532+20+509-533-508</t>
  </si>
  <si>
    <t>WS Days in Sales</t>
  </si>
  <si>
    <t xml:space="preserve">Electric Days in Sales </t>
  </si>
  <si>
    <t>81*365/88</t>
  </si>
  <si>
    <t>91*365/97</t>
  </si>
  <si>
    <t>First name of finance officer or interim finance officer (please enter “vacant” for first or last name if the position is currently vacant)</t>
  </si>
  <si>
    <t>Last name of finance officer or interim finance officer (please enter “vacant” for first or last name if the position is currently vacant)</t>
  </si>
  <si>
    <t>Has the finance officer been formally appointed by the local government, public authority, or designated official?  (Y/N)</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</si>
  <si>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</si>
  <si>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</si>
  <si>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Permanent</t>
  </si>
  <si>
    <t>REQUIRED</t>
  </si>
  <si>
    <t>RSS-Accounts used to calculate the RSS are shaded in Green</t>
  </si>
  <si>
    <t>WS-Total Current Assets as presented on the Statement of Net Position</t>
  </si>
  <si>
    <t>Units that have a Tourism Development Authority reported in their audit report</t>
  </si>
  <si>
    <t>Do you use prepared food/occupancy tax revenue stream to support debt?  Select "1" for Yes and "2" for No</t>
  </si>
  <si>
    <t>Total OPEB benefits - total OPEB liability
If you do not provide benefit, please enter 0</t>
  </si>
  <si>
    <t>Total OPEB benefits- OPEB plan fiduciary net position
If no fiduciary net position, enter 0</t>
  </si>
  <si>
    <t xml:space="preserve">Total Current assets as listed on the Electric Net Position Statement.  
</t>
  </si>
  <si>
    <t>Unit was issued:
1) No UL
2) No UL but visit is needed
3) UL with response
4) SUL requiring written response
5) Communication to DPI</t>
  </si>
  <si>
    <t>OPEB-Plan's fiduciary net position as a % of total OPEB liability</t>
  </si>
  <si>
    <t>Do you use prepared food/occupancy tax revenue stream to support debt.  Yes =1 No=2</t>
  </si>
  <si>
    <t>(654-655-579-510)/(633-634-635-636-637-638-578)</t>
  </si>
  <si>
    <t>First name of finance officer or interim finance officer (please enter “vacant” for first name if the position is currently vacant)</t>
  </si>
  <si>
    <t>Last name of finance officer or interim finance officer (please enter “vacant” for last name if the position is currently vacant)</t>
  </si>
  <si>
    <t>Is the finance officer serving in a permanent role or an interim role? (select permanent/interim/vacant)</t>
  </si>
  <si>
    <t>Please enter any current liabilities that are payable from restricted assets and included in account 626 above</t>
  </si>
  <si>
    <t>Errors :  The cell to the left indicates the number of error messages on the data input tab</t>
  </si>
  <si>
    <t xml:space="preserve"> Statement of Cash Flows</t>
  </si>
  <si>
    <t>The Official should be the Finance Officer or interim Finance Officer as designated by the Board.</t>
  </si>
  <si>
    <t>Name of Finance Officer</t>
  </si>
  <si>
    <t>Capital</t>
  </si>
  <si>
    <t>Interim</t>
  </si>
  <si>
    <t>Vacant</t>
  </si>
  <si>
    <t>Is the finance officer serving in a permanent role or an interim role. (permanent/interim/vacant)</t>
  </si>
  <si>
    <t>Has the finance officer been formally appointed by the local government, public authority, or designated official.  (Y/N)</t>
  </si>
  <si>
    <t>Date on which the local government, public authority, or designated official appointed the finance officer. (If the date of appointment by the board is difficult to find you may enter January 1 and the year)</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</si>
  <si>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</si>
  <si>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</si>
  <si>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 xml:space="preserve">Has the finance officer or interim finance officer submitted (or has ensured the submission of) all required and applicable reports, including but not limited to, the annual audit report (N.C.G.S. 159-34), the semi-annual report on cash and investments (“LGC-203”)(N.C.G.S. 159-33), and the annual financial information report (“AFIR”)(N.C.G.S. 159-33.1) during the fiscal year corresponding to the audit report being submitted. (Y/N)
</t>
  </si>
  <si>
    <t>Indian Beach</t>
  </si>
  <si>
    <t>Jackson</t>
  </si>
  <si>
    <t>Kingstown</t>
  </si>
  <si>
    <t>Lilesville</t>
  </si>
  <si>
    <t>Lillington</t>
  </si>
  <si>
    <t>Lincolnton</t>
  </si>
  <si>
    <t>Linden</t>
  </si>
  <si>
    <t>Littleton</t>
  </si>
  <si>
    <t>Locust</t>
  </si>
  <si>
    <t>Long View</t>
  </si>
  <si>
    <t>Louisburg</t>
  </si>
  <si>
    <t>Love Valley</t>
  </si>
  <si>
    <t>Lucama</t>
  </si>
  <si>
    <t>Lumber Bridge</t>
  </si>
  <si>
    <t>Lumberton</t>
  </si>
  <si>
    <t>Macclesfield</t>
  </si>
  <si>
    <t>Madison</t>
  </si>
  <si>
    <t>Maggie Valley</t>
  </si>
  <si>
    <t>Magnolia</t>
  </si>
  <si>
    <t>Maiden</t>
  </si>
  <si>
    <t>Manteo</t>
  </si>
  <si>
    <t>Marietta</t>
  </si>
  <si>
    <t>Marion</t>
  </si>
  <si>
    <t>Mars Hill</t>
  </si>
  <si>
    <t>Marshall</t>
  </si>
  <si>
    <t>Marshville</t>
  </si>
  <si>
    <t>Marvin</t>
  </si>
  <si>
    <t>Matthews</t>
  </si>
  <si>
    <t>Maxton</t>
  </si>
  <si>
    <t>Mayodan</t>
  </si>
  <si>
    <t>Maysville</t>
  </si>
  <si>
    <t>Mcadenville</t>
  </si>
  <si>
    <t>Mcdonald</t>
  </si>
  <si>
    <t>Mcfarlan</t>
  </si>
  <si>
    <t>Mebane</t>
  </si>
  <si>
    <t>Mesic</t>
  </si>
  <si>
    <t>Hospital-EF- Change in Net Assets</t>
  </si>
  <si>
    <t>Amount of the Water Sewer Fund Balance appropriated in next year's budget</t>
  </si>
  <si>
    <t>Supplemental School Tax</t>
  </si>
  <si>
    <t>LGC Records indicate that your unit has an operational Water and/or Sewer system and needs to complete the Water Sewer Questions</t>
  </si>
  <si>
    <t>For Internal Control Issues Only
1) no IC issues 
2)Immaterial IC issues
3) Unit letter for IC 
4) Consider placing on Unit Assistance List due to IC issues
5) Communication with DPI</t>
  </si>
  <si>
    <t xml:space="preserve">In your professional opinion do you believe the unit of government can best be served by:
1 - No UL
2 - UL requiring a written response from the unit
3 - UL no written  response required from unit - schedule a staff followup
4-  UL requires a written reponse from unit and a staff followup
5 - Special unit letter requiring a written response
6- Communication to DPI
</t>
  </si>
  <si>
    <t>Electric cash flow - debt service</t>
  </si>
  <si>
    <t>Dashboard; Determination of Fiscal Health</t>
  </si>
  <si>
    <t>WS-Any current assets that are restricted (Cash, Accounts Rec., etc..) and included in account 654 above</t>
  </si>
  <si>
    <t>Electric-Any current assets that are restricted (Cash, Accounts Rec., etc..) and included in account 657 above</t>
  </si>
  <si>
    <t>WS-Any current assets that are restricted (Cash, Accounts Rec., etc..)</t>
  </si>
  <si>
    <t>LEO - plan's fiduciary net position as a % of total pension liability</t>
  </si>
  <si>
    <t>Single Audit Only - Type of compliance report(s) issued:  #1- all unmodified; #2- at least one other (qualified, adverse)</t>
  </si>
  <si>
    <t>Single Audit Only - Coronavirus Relief Fund expenditures (21.019)</t>
  </si>
  <si>
    <t xml:space="preserve">Single Audit Only - Other CARES Act /Coronavirus funding </t>
  </si>
  <si>
    <t>The below information must be completed 
in order to process your audit report.</t>
  </si>
  <si>
    <t>Net OPEB Liability RHBF</t>
  </si>
  <si>
    <t>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t>
  </si>
  <si>
    <t>Important Notes to the Preparer</t>
  </si>
  <si>
    <t>The Unit Data from Audit Worksheet contains edits that will display error messages if these edit tests are not passed.  Please make sure that your worksheet is error free.  The worksheet may be returned to the unit to correct any errors that have not been resolved.</t>
  </si>
  <si>
    <t>Data documenting the unit's compliance with General Statue 159-25 is captured in account numbers 947, 948, 949, 950, 952, 954, 956, and 958.</t>
  </si>
  <si>
    <t>Links to Websites that provide financial data and ratios for Municipalities and Counties</t>
  </si>
  <si>
    <t>Instructions for the Unit Data from Audit Worksheet</t>
  </si>
  <si>
    <t xml:space="preserve">The worksheet requests information for every possible service we collect data on; however, you only need to complete sections that apply to your unit.  For example, the Water Sewer, Electric and OPEB sections may be skipped if you do not have these funds or benefits.   The Water Sewer Questions are only for Water Sewer Funds that are operating as a proprietary fund.  Also, please note that all numbers on the financial statements will not be entered on this worksheet, as we are only requesting information used in the communications described above. </t>
  </si>
  <si>
    <t xml:space="preserve">Date                   </t>
  </si>
  <si>
    <t>The staff of the Local Government Commission is requesting the following information to ensure that our records are current and to determine if units are aware of and in compliance with their statutory responsibilities so that we can better assist and meet the needs of all local governments and public authorities.  G.S. 159-25.  By providing the information below, the submitter is verifying that the answers have been provided and verified by the finance officer.</t>
  </si>
  <si>
    <t>Finance Officer Verification of Unit Data from Audit Worksheet</t>
  </si>
  <si>
    <t xml:space="preserve">Data reported in the “Unit Data from Audit” worksheet must be verified by the finance officer and confirmed to be prepared in accordance with the instructions and in agreement with the unit’s audited financial statements. By providing the information below, the submitter is verifying that the finance officer has ensured that the data meets these requirements. 
</t>
  </si>
  <si>
    <t>GF FBA Less Powell Bill</t>
  </si>
  <si>
    <t>GF FBA% of Exp less Powell Bill</t>
  </si>
  <si>
    <t>(506+536-4-5-6-11)+647/(532+20+509-533-508)</t>
  </si>
  <si>
    <t>(506+536-4-5-6-11)+647</t>
  </si>
  <si>
    <t>Available Fund Balance + debt service fund balance less Powell Bill / Total Expenditures and Transfers-out less bond proceeds</t>
  </si>
  <si>
    <t>N/A</t>
  </si>
  <si>
    <t>NC DEPARTMENT OF STATE TREASURER- STATE AND LOCAL GOVERNMENT FINANCE DIVISION
 AUDIT REPORT TRANSMITTAL DOCUMENT
PORTAL ADDRESS: https://nctreasurerslgfd.leapfile.net</t>
  </si>
  <si>
    <t>Transmittal Instructions</t>
  </si>
  <si>
    <t>Please see the INSTRUCTIONS worksheet before completing this form</t>
  </si>
  <si>
    <t>Please have the completed audit report available to complete this form.  ALL questions must be answered before submitting to the portal</t>
  </si>
  <si>
    <t>Section 1: Contact and General Info</t>
  </si>
  <si>
    <r>
      <t>Name of Primary Governmental Unit:</t>
    </r>
    <r>
      <rPr>
        <sz val="10"/>
        <color rgb="FF00B050"/>
        <rFont val="Verdana"/>
        <family val="2"/>
      </rPr>
      <t xml:space="preserve"> </t>
    </r>
    <r>
      <rPr>
        <i/>
        <sz val="10"/>
        <rFont val="Verdana"/>
        <family val="2"/>
      </rPr>
      <t>ie. City of Dogwood = Dogwood</t>
    </r>
  </si>
  <si>
    <t>Carolina County Test #</t>
  </si>
  <si>
    <t>Does this unit have a Tourism Development Authority as a discretely presented component unit?</t>
  </si>
  <si>
    <t>E-mail address to notify the Primary Government Unit that report has been reviewed</t>
  </si>
  <si>
    <t>carolina@county.gov</t>
  </si>
  <si>
    <t xml:space="preserve">Name of Audit Firm </t>
  </si>
  <si>
    <t>Edmondson &amp; Associates</t>
  </si>
  <si>
    <t>Name of Auditor</t>
  </si>
  <si>
    <t>Joe Schmoe</t>
  </si>
  <si>
    <t>E-mail address to notify the Auditor that the report has been reviewed</t>
  </si>
  <si>
    <t>Joe.Schmoe@Edmondson.com</t>
  </si>
  <si>
    <r>
      <t xml:space="preserve">E-mail address to send approved invoices </t>
    </r>
    <r>
      <rPr>
        <i/>
        <sz val="9.5"/>
        <rFont val="Verdana"/>
        <family val="2"/>
      </rPr>
      <t>(should be at the audit firm)</t>
    </r>
  </si>
  <si>
    <t>accounts.recievable@edmundson.com</t>
  </si>
  <si>
    <t>Unit Type</t>
  </si>
  <si>
    <t>Did the Auditor prepare the Unit's financial statements?</t>
  </si>
  <si>
    <r>
      <t xml:space="preserve">Type of Audit </t>
    </r>
    <r>
      <rPr>
        <i/>
        <sz val="10"/>
        <color rgb="FF000000"/>
        <rFont val="Verdana"/>
        <family val="2"/>
      </rPr>
      <t>(Financial Only, Yellow Book, Single Audit)</t>
    </r>
  </si>
  <si>
    <t>Who is the designated person with skills, knowledge and experience (SKE) for the unit?</t>
  </si>
  <si>
    <t>What is the designated SKE's title?</t>
  </si>
  <si>
    <t>Who is the designated SKE's employer?</t>
  </si>
  <si>
    <t>Is the Independent Auditor's Report Opinion Unmodified?</t>
  </si>
  <si>
    <r>
      <t xml:space="preserve">Is there a </t>
    </r>
    <r>
      <rPr>
        <b/>
        <i/>
        <sz val="10"/>
        <color rgb="FF000000"/>
        <rFont val="Verdana"/>
        <family val="2"/>
      </rPr>
      <t>finding</t>
    </r>
    <r>
      <rPr>
        <i/>
        <sz val="10"/>
        <color rgb="FF000000"/>
        <rFont val="Verdana"/>
        <family val="2"/>
      </rPr>
      <t xml:space="preserve"> </t>
    </r>
    <r>
      <rPr>
        <sz val="10"/>
        <color rgb="FF000000"/>
        <rFont val="Verdana"/>
        <family val="2"/>
      </rPr>
      <t xml:space="preserve">for lack of segregation of duties at this unit? </t>
    </r>
  </si>
  <si>
    <r>
      <t>Is there a</t>
    </r>
    <r>
      <rPr>
        <b/>
        <i/>
        <sz val="10"/>
        <color rgb="FF000000"/>
        <rFont val="Verdana"/>
        <family val="2"/>
      </rPr>
      <t xml:space="preserve"> finding</t>
    </r>
    <r>
      <rPr>
        <sz val="10"/>
        <color rgb="FF000000"/>
        <rFont val="Verdana"/>
        <family val="2"/>
      </rPr>
      <t xml:space="preserve"> for lack of technical skills, knowledge and experience (SKE) at this unit?</t>
    </r>
  </si>
  <si>
    <r>
      <t>Is there is a going concern</t>
    </r>
    <r>
      <rPr>
        <i/>
        <sz val="10"/>
        <color rgb="FF000000"/>
        <rFont val="Verdana"/>
        <family val="2"/>
      </rPr>
      <t xml:space="preserve"> </t>
    </r>
    <r>
      <rPr>
        <b/>
        <i/>
        <sz val="10"/>
        <color rgb="FF000000"/>
        <rFont val="Verdana"/>
        <family val="2"/>
      </rPr>
      <t>finding</t>
    </r>
    <r>
      <rPr>
        <sz val="10"/>
        <color rgb="FF000000"/>
        <rFont val="Verdana"/>
        <family val="2"/>
      </rPr>
      <t xml:space="preserve"> noted in the audit report? </t>
    </r>
  </si>
  <si>
    <r>
      <t xml:space="preserve">Number of significant deficiency </t>
    </r>
    <r>
      <rPr>
        <b/>
        <i/>
        <sz val="10"/>
        <color rgb="FF000000"/>
        <rFont val="Verdana"/>
        <family val="2"/>
      </rPr>
      <t>findings</t>
    </r>
    <r>
      <rPr>
        <sz val="10"/>
        <color rgb="FF000000"/>
        <rFont val="Verdana"/>
        <family val="2"/>
      </rPr>
      <t xml:space="preserve"> </t>
    </r>
    <r>
      <rPr>
        <i/>
        <sz val="10"/>
        <color rgb="FF000000"/>
        <rFont val="Verdana"/>
        <family val="2"/>
      </rPr>
      <t>(other than in Questions 15-18 )</t>
    </r>
  </si>
  <si>
    <r>
      <t xml:space="preserve">Number of material weaknesses </t>
    </r>
    <r>
      <rPr>
        <b/>
        <i/>
        <sz val="10"/>
        <color rgb="FF000000"/>
        <rFont val="Verdana"/>
        <family val="2"/>
      </rPr>
      <t>findings</t>
    </r>
    <r>
      <rPr>
        <sz val="10"/>
        <color rgb="FF000000"/>
        <rFont val="Verdana"/>
        <family val="2"/>
      </rPr>
      <t xml:space="preserve"> </t>
    </r>
    <r>
      <rPr>
        <i/>
        <sz val="10"/>
        <color rgb="FF000000"/>
        <rFont val="Verdana"/>
        <family val="2"/>
      </rPr>
      <t>(other than in Questions 15-18)</t>
    </r>
  </si>
  <si>
    <t xml:space="preserve">Is the Finance Officer bonded for at least $50,000? (GS 159-42(h) </t>
  </si>
  <si>
    <t xml:space="preserve">Was a  Management Letter issued? </t>
  </si>
  <si>
    <t>Was an AU-C 260 letter issued?</t>
  </si>
  <si>
    <t>Was an AU-C 265 letter issued?</t>
  </si>
  <si>
    <t>Form completed by:</t>
  </si>
  <si>
    <t>Title:</t>
  </si>
  <si>
    <t>Partner</t>
  </si>
  <si>
    <t>Version:</t>
  </si>
  <si>
    <t>Date:</t>
  </si>
  <si>
    <t>Is the Independent Auditor's Report Opinion Unmodified</t>
  </si>
  <si>
    <t>Is there a finding for lack of segregation of duties at this unit</t>
  </si>
  <si>
    <t>Is there a finding for lack of technical skills, knowledge and experience (SKE) at this unit</t>
  </si>
  <si>
    <t xml:space="preserve">Is there is a going concern finding noted in the audit report </t>
  </si>
  <si>
    <t>Did the Unit have debt service payments deferred or restructured in this fiscal year (does not include refinancings designed to take advantage of lower interest rates)</t>
  </si>
  <si>
    <t>Were debt service payments made late  Deferred payments authorized by LGC or other state agencies should not be counted as late for purposes of this question.</t>
  </si>
  <si>
    <t>Were all bond covenants met</t>
  </si>
  <si>
    <t xml:space="preserve">Is the Finance Officer bonded for at least $50,000 (GS 159-42(h) </t>
  </si>
  <si>
    <t>TD-UL Issued based on report  (Y/N)</t>
  </si>
  <si>
    <t>TD-SUL Issued based on report (Y/N)</t>
  </si>
  <si>
    <t>TD-DPI Issued based on  report (Y/N)</t>
  </si>
  <si>
    <t>TD-Unit Visit Needed based on report (Y/N)</t>
  </si>
  <si>
    <t>TD-Choose one of the following related to Internal Controls:</t>
  </si>
  <si>
    <t># of significant deficiency findings (other than in Questions 15-17 )</t>
  </si>
  <si>
    <t># of material weaknesses findings (other than in Questions 15-17)</t>
  </si>
  <si>
    <t>Unit Name</t>
  </si>
  <si>
    <t>Aberdeen</t>
  </si>
  <si>
    <t>Andrews</t>
  </si>
  <si>
    <t>Anson County</t>
  </si>
  <si>
    <t>Askewville</t>
  </si>
  <si>
    <t>Badin</t>
  </si>
  <si>
    <t>Bath</t>
  </si>
  <si>
    <t>Belhaven</t>
  </si>
  <si>
    <t>Belville</t>
  </si>
  <si>
    <t>Bertie County</t>
  </si>
  <si>
    <t>Bethel</t>
  </si>
  <si>
    <t>Black Creek</t>
  </si>
  <si>
    <t>Boardman</t>
  </si>
  <si>
    <t>Bolton</t>
  </si>
  <si>
    <t>Brevard</t>
  </si>
  <si>
    <t>Castalia</t>
  </si>
  <si>
    <t>Cerro Gordo</t>
  </si>
  <si>
    <t>Chimney Rock</t>
  </si>
  <si>
    <t>Cliffside Sanitary District</t>
  </si>
  <si>
    <t>Colerain</t>
  </si>
  <si>
    <t>Columbia</t>
  </si>
  <si>
    <t>Dobbins Heights</t>
  </si>
  <si>
    <t>Dover</t>
  </si>
  <si>
    <t>Earl</t>
  </si>
  <si>
    <t>East Laurinburg</t>
  </si>
  <si>
    <t>East Spencer</t>
  </si>
  <si>
    <t>Edgecombe County</t>
  </si>
  <si>
    <t>Ellerbe</t>
  </si>
  <si>
    <t>Elm City</t>
  </si>
  <si>
    <t>Enfield</t>
  </si>
  <si>
    <t>Engelhard Sanitary District</t>
  </si>
  <si>
    <t>Everetts</t>
  </si>
  <si>
    <t>Fair Bluff</t>
  </si>
  <si>
    <t>Fairmont</t>
  </si>
  <si>
    <t>Fontana Dam</t>
  </si>
  <si>
    <t>Fork Township Sanitary District</t>
  </si>
  <si>
    <t>Four Oaks</t>
  </si>
  <si>
    <t>Franklinville</t>
  </si>
  <si>
    <t>Fremont</t>
  </si>
  <si>
    <t>Glen Alpine</t>
  </si>
  <si>
    <t>Goldsboro</t>
  </si>
  <si>
    <t>Greenevers</t>
  </si>
  <si>
    <t>Grover</t>
  </si>
  <si>
    <t>Halifax</t>
  </si>
  <si>
    <t>Hamilton</t>
  </si>
  <si>
    <t>Hamlet</t>
  </si>
  <si>
    <t>Hoffman</t>
  </si>
  <si>
    <t>Holly Ridge</t>
  </si>
  <si>
    <t>Hookerton</t>
  </si>
  <si>
    <t>Hyde County</t>
  </si>
  <si>
    <t>Madison County</t>
  </si>
  <si>
    <t>Milton</t>
  </si>
  <si>
    <t>Montreat</t>
  </si>
  <si>
    <t>Mount Olive</t>
  </si>
  <si>
    <t>Navassa</t>
  </si>
  <si>
    <t>Newport</t>
  </si>
  <si>
    <t>Newton Grove</t>
  </si>
  <si>
    <t>Norlina</t>
  </si>
  <si>
    <t>Norman</t>
  </si>
  <si>
    <t>Northampton County</t>
  </si>
  <si>
    <t>Norwood</t>
  </si>
  <si>
    <t>Oak City</t>
  </si>
  <si>
    <t>Orange County</t>
  </si>
  <si>
    <t>Pender County</t>
  </si>
  <si>
    <t>Pikeville</t>
  </si>
  <si>
    <t>Pilot Mountain</t>
  </si>
  <si>
    <t>Polkville</t>
  </si>
  <si>
    <t>Pollocksville</t>
  </si>
  <si>
    <t>Princeville</t>
  </si>
  <si>
    <t>Proctorville</t>
  </si>
  <si>
    <t>Ramseur</t>
  </si>
  <si>
    <t>Ranlo</t>
  </si>
  <si>
    <t>Red Springs</t>
  </si>
  <si>
    <t>Rich Square</t>
  </si>
  <si>
    <t>Robbins</t>
  </si>
  <si>
    <t>Robersonville</t>
  </si>
  <si>
    <t>Ronda</t>
  </si>
  <si>
    <t>Saint Pauls</t>
  </si>
  <si>
    <t>Scotland County</t>
  </si>
  <si>
    <t>Scotland Neck</t>
  </si>
  <si>
    <t>Sedalia</t>
  </si>
  <si>
    <t>Sharpsburg</t>
  </si>
  <si>
    <t>Snow Hill</t>
  </si>
  <si>
    <t>Spring Lake</t>
  </si>
  <si>
    <t>Stanly Water &amp; Sewer Authority</t>
  </si>
  <si>
    <t>Taylorsville</t>
  </si>
  <si>
    <t>Taylortown</t>
  </si>
  <si>
    <t>Tryon</t>
  </si>
  <si>
    <t>Tyrrell County</t>
  </si>
  <si>
    <t>Vanceboro</t>
  </si>
  <si>
    <t>Vass</t>
  </si>
  <si>
    <t>Whitakers</t>
  </si>
  <si>
    <t>Wilkesboro</t>
  </si>
  <si>
    <t>Data not collected in 2020</t>
  </si>
  <si>
    <t>No Revaluation with next two years</t>
  </si>
  <si>
    <t>Unsure</t>
  </si>
  <si>
    <t>Town of</t>
  </si>
  <si>
    <t>Statutory Calculation</t>
  </si>
  <si>
    <t>Actual Financial Reporting (per Audit Report)</t>
  </si>
  <si>
    <t>3% of Gross Capital Assets for the Prior Yr.</t>
  </si>
  <si>
    <t>Gross Capital Assets-Prior Year</t>
  </si>
  <si>
    <t>Results</t>
  </si>
  <si>
    <t>5% of Gross Annual Revenue of the Prior Yr.</t>
  </si>
  <si>
    <t xml:space="preserve">Amount Transferred per Audit </t>
  </si>
  <si>
    <t>Payment in Lieu of Taxes</t>
  </si>
  <si>
    <t>Actual Pilot per Audit</t>
  </si>
  <si>
    <t xml:space="preserve">Calculated Pilot </t>
  </si>
  <si>
    <t xml:space="preserve">PILOT </t>
  </si>
  <si>
    <t>Current property tax rate</t>
  </si>
  <si>
    <t xml:space="preserve">Amount Transferred minus PILOT </t>
  </si>
  <si>
    <t>Compliance</t>
  </si>
  <si>
    <t>Allowable Transfer per statute</t>
  </si>
  <si>
    <t>Is Unit following G.S. 159B-39?</t>
  </si>
  <si>
    <t>Payment in Lieu of Taxes Error:</t>
  </si>
  <si>
    <t>Notes:</t>
  </si>
  <si>
    <t xml:space="preserve">Comments: </t>
  </si>
  <si>
    <t>Electric Transfer Calculation</t>
  </si>
  <si>
    <t>Amount of transfer out to the General Fund that is for Payment in Lieu of Taxes (PILOT)</t>
  </si>
  <si>
    <t>2020-2021</t>
  </si>
  <si>
    <t>Avery, Bladen, Chowan, Craven, Duplin, Guilford, Harnett, Hoke, Jones, Mitchell, Onslow, Pasquotank, Watauga</t>
  </si>
  <si>
    <t>Increase</t>
  </si>
  <si>
    <t>Decrease</t>
  </si>
  <si>
    <t>No Change</t>
  </si>
  <si>
    <t>Performance Indicator</t>
  </si>
  <si>
    <t>This information was not collected in 2020</t>
  </si>
  <si>
    <t>Performance Indicator Worksheet</t>
  </si>
  <si>
    <t>Fiscal Year</t>
  </si>
  <si>
    <t>Unit Number:</t>
  </si>
  <si>
    <t>Explanation of Performance Indicator</t>
  </si>
  <si>
    <t>Equal or greater than 1</t>
  </si>
  <si>
    <t>General Performance Indicators:</t>
  </si>
  <si>
    <t xml:space="preserve">You must include a financial plan to address the progress you have made since you were placed on the UAL in your Response to Audit Findings, Recommendations and Fiscal Issues </t>
  </si>
  <si>
    <t>The unit must address the material and/or significant findings or any other findings that the auditor reported to them.</t>
  </si>
  <si>
    <t>Before December 1 for 2021</t>
  </si>
  <si>
    <t>Less than 3%</t>
  </si>
  <si>
    <t>Any estimated Decrease</t>
  </si>
  <si>
    <t>Unit results</t>
  </si>
  <si>
    <t>Unit Data from Audit Worksheet tab: '(506+536-4-5-6)+647/(532+509+20-533-508)</t>
  </si>
  <si>
    <t>Unit Data from Audit Worksheet tab : (654-655-579-510)/(633-634-635-636-637-638-578)</t>
  </si>
  <si>
    <t>901</t>
  </si>
  <si>
    <t>902</t>
  </si>
  <si>
    <t>903</t>
  </si>
  <si>
    <t>904</t>
  </si>
  <si>
    <t>905</t>
  </si>
  <si>
    <t>967</t>
  </si>
  <si>
    <t>969</t>
  </si>
  <si>
    <t>970</t>
  </si>
  <si>
    <t>971</t>
  </si>
  <si>
    <t>972</t>
  </si>
  <si>
    <t>Date the Auditor presented or plans to present the Audit to the Governing Board</t>
  </si>
  <si>
    <t>Did the audit disclose any statutory violations in the notes that were not covered by findings?  Select Yes or No</t>
  </si>
  <si>
    <t>The Auditor will submit the Audit Report to the LGC by December 1, 2021   Select Yes or No</t>
  </si>
  <si>
    <t>The Performance Indicator Tab in this worksheet has at least one performance indicator of concern (indicated by a red shaded cell)</t>
  </si>
  <si>
    <t>TD Info Completed by Auditor : CCH acct # 979</t>
  </si>
  <si>
    <t>TD Info Completed by Auditor : CCH acct # 977</t>
  </si>
  <si>
    <t>If TD Info Completed by Auditor : CCH accts # 907, 951, 953, 955, 957, 973 had entries they would trigger this indicator</t>
  </si>
  <si>
    <t>Of the transfers-in above in acct # 352, list amount of transfers-in that were used to support Water Sewer operations  (exclude capital transfers)</t>
  </si>
  <si>
    <t>This information was not collected in 2021</t>
  </si>
  <si>
    <t>Unit Data from Audit worksheet tab : (984-985)/985</t>
  </si>
  <si>
    <t>Unit Data from Audit worksheet tab :  CCH acct # 991</t>
  </si>
  <si>
    <t>Unit Data from Audit worksheet tab :  CCH acct # 987</t>
  </si>
  <si>
    <t>TD Info Completed by Auditor : CCH acct # 978</t>
  </si>
  <si>
    <t xml:space="preserve">Electric Transfers-out have exceeded the amounts described in GS 159B-39.  If your unit is a member of the North Carolina Eastern Municipal Power Agency it appears you have violated the GS.  If you are not a member of the Eastern Municipal Power Agency we would like to understand what you are funding with the transfers-out and do you plan to continue this practice.  </t>
  </si>
  <si>
    <t>No over-expenditures</t>
  </si>
  <si>
    <t>The General Fund had a fund balance less than zero - Fund Deficit</t>
  </si>
  <si>
    <t>Unit Data from Audit worksheet tab :  CCH acct # 9</t>
  </si>
  <si>
    <t>In your response letter please review all the Electric performance indicators highlighted in red and provide a detailed financial plan that addresses these Electric issues.</t>
  </si>
  <si>
    <t xml:space="preserve">A Quick ratio less than 1 indicates that the amount the unit owes is larger than their cash investments and receivables.  This can indicate that the Fund may have difficulty in paying its current bills.  If this financial pattern remains the water and/or sewer system may not be sustainable in its current form.  </t>
  </si>
  <si>
    <t xml:space="preserve">This calculation subtracts (operating expenses - depreciation + debt principal paid) from operating revenues.  A negative balance in this indicates that your rate structure is not covering your operating expenses.  </t>
  </si>
  <si>
    <t>As stewards of the public’s resources, the governing body is responsible for ensuring that the audited financial statements are available to the public in a timely manner.  Information in the report is needed by you and your Board for you to take prompt and effective corrective action on any deficiencies noted.  External groups such as the North Carolina General Assembly, federal and State agencies that provide funding, and other public associations need current financial information about your Unit as well.  In your response please provide details on how the unit will provide a timely audit in the future.</t>
  </si>
  <si>
    <t xml:space="preserve">The local government has indicated that they have a significant unbudgeted cost that could significantly impact their operations and/or customer rates.  Please indicate what are the future annual cost and how the unit intends to pay for these cost.  </t>
  </si>
  <si>
    <t>You have indicated that the portion of your landfill that is estimated to close withing the next 5 years will not have the closure/postclosure cost funded.  Please provide in detail how these cost will be paid and by whom.</t>
  </si>
  <si>
    <t>The Auditor has reported findings to the Board.  The unit must provide detailed actions they are taking to correct or mitigate these findings.  Please provide the written policy changes you are making.</t>
  </si>
  <si>
    <t>Please explain where the operating transfers-in are coming from, why they are being made, and if they will be continued.  Please exclude all capital transfers-in.  Only discuss transfers-in that are being used to support the operations of the Water Sewer Fund.  The rate structure of the Water Sewer fund should support the expenses of the Water Sewer Fund without operating subsidies from other funds.</t>
  </si>
  <si>
    <t>hidden data</t>
  </si>
  <si>
    <t>(532+509+20-533-508)</t>
  </si>
  <si>
    <t>GF  FBA without Powell Bill</t>
  </si>
  <si>
    <t>GF FBA% of Exp w/o Powell Bill</t>
  </si>
  <si>
    <t>WS Quick Ratio</t>
  </si>
  <si>
    <t>Operating Net Income (loss) excluding depreciation+ debt service principal</t>
  </si>
  <si>
    <t>Unit data from Audit Worksheet tab ; 84-85-49+331</t>
  </si>
  <si>
    <t>Unit Data from Audit worksheet tab : 80/(85+351-49+331)</t>
  </si>
  <si>
    <t>Unit Data from Audit worksheet tab : 93-94-52+100</t>
  </si>
  <si>
    <t>Elec Quick ratio</t>
  </si>
  <si>
    <t>WS Unrestricted cash / Total expenses less depreciation+depbt service principal</t>
  </si>
  <si>
    <t>WS Operating Net Income (loss) excluding depreciation+ debt service principal</t>
  </si>
  <si>
    <t>80/(85+351-49+331)</t>
  </si>
  <si>
    <t>(657-658-511-581)/(639-640-641-642-643-644-580)</t>
  </si>
  <si>
    <t>Unit Data from Audit worksheet tab : (657-658-511-581)/(639-640-641-642-643-644-580)</t>
  </si>
  <si>
    <t>Elec Operating Net Income (loss) excluding depreciation+ debt service principal</t>
  </si>
  <si>
    <t>Elec Unrestricted cash / Total expenses less depreciation+depbt service principal</t>
  </si>
  <si>
    <t>(90/(364+94-52+100)</t>
  </si>
  <si>
    <t>Unit Data from Audit worksheet tab : (90/(364+94-52+100)</t>
  </si>
  <si>
    <t>TD Auditor</t>
  </si>
  <si>
    <t>Ad valorem tax collected (including motor vehicle and prior years) reported on budget actual statement</t>
  </si>
  <si>
    <t>Ad valorem tax budgeted (including motor vehicle and prior years) reported on budget actual statement</t>
  </si>
  <si>
    <t>Does Unit expect to issue debt next fiscal year</t>
  </si>
  <si>
    <t>Number of significant deficiency findings (other than in Questions 15-18 )</t>
  </si>
  <si>
    <t>Number of material weaknesses findings (other than in Questions 15-18)</t>
  </si>
  <si>
    <t>Auditor indicated that there was at least one Performance indicator of Concern on the PI tab</t>
  </si>
  <si>
    <t>The 2021 Audit Report is expected to be submitted by the date set by the LGC (not the Oct 31st date) according to the Auditor?</t>
  </si>
  <si>
    <t>Result for Performance Indicator Tab</t>
  </si>
  <si>
    <t>Unit Data from Audit worksheet tab :  CCH acct # 989 equaled "No"</t>
  </si>
  <si>
    <t>It is not uncommon for an Electric System with multiple performance indicators of concern to find that a proposed solution to one of the indicators also solves other performance indicators of concern.</t>
  </si>
  <si>
    <t>Unrestricted cash / Total expenses less depreciation+debt service principal</t>
  </si>
  <si>
    <t>Please address each statutory violate providing how the violation occurred  and send a copy of written policy changes that will prevent the violation from happening in the future.</t>
  </si>
  <si>
    <t>Uni Number</t>
  </si>
  <si>
    <t>electric Gross Capital Assets</t>
  </si>
  <si>
    <t>Electric Gross Annual Revenue</t>
  </si>
  <si>
    <t>527+356</t>
  </si>
  <si>
    <t>Tax rate for year audited</t>
  </si>
  <si>
    <t>Electric worksheet</t>
  </si>
  <si>
    <t>In addition to the any significant and material findings the Auditor can describe any additional issues the unit should address that affect the fiscal health or internal controls of the unit that were communicated to the unit during the Audit Presentation.</t>
  </si>
  <si>
    <t>Prior year CCH accounts 527, 356 and 93 along with current CCH account of this Data Input worksheet 648,366, 990 were used in this calculation</t>
  </si>
  <si>
    <t>Location of Documents for the 2021 Audit Submission Process</t>
  </si>
  <si>
    <t>Instructions for Audits with a Fiscal Year Ending Earlier than June 30, 2021</t>
  </si>
  <si>
    <t>Unit Name:</t>
  </si>
  <si>
    <t>A</t>
  </si>
  <si>
    <t>B</t>
  </si>
  <si>
    <t>C</t>
  </si>
  <si>
    <t>D</t>
  </si>
  <si>
    <t>E</t>
  </si>
  <si>
    <t>F</t>
  </si>
  <si>
    <t>G</t>
  </si>
  <si>
    <t>H</t>
  </si>
  <si>
    <t>Total expenditures used to determine a Unit's expenditure group</t>
  </si>
  <si>
    <t>PROPERTY TAX RATES AND REVALUATION SCHEDULES FOR NORTH CAROLINA COUNTIES</t>
  </si>
  <si>
    <t>(All rates per $100 valuation*)</t>
  </si>
  <si>
    <t>Year</t>
  </si>
  <si>
    <t>Next</t>
  </si>
  <si>
    <t>Tax</t>
  </si>
  <si>
    <t>of latest</t>
  </si>
  <si>
    <t>scheduled</t>
  </si>
  <si>
    <t>Counties</t>
  </si>
  <si>
    <t>Rate</t>
  </si>
  <si>
    <t>revaluation</t>
  </si>
  <si>
    <t>ALLEGHANY</t>
  </si>
  <si>
    <t>BUNCOMBE</t>
  </si>
  <si>
    <t>CALDWELL</t>
  </si>
  <si>
    <t>CASWELL</t>
  </si>
  <si>
    <t>CHATHAM</t>
  </si>
  <si>
    <t>CLEVELAND</t>
  </si>
  <si>
    <t>COLUMBUS</t>
  </si>
  <si>
    <t>CURRITUCK</t>
  </si>
  <si>
    <t>DAVIDSON</t>
  </si>
  <si>
    <t>DAVIE</t>
  </si>
  <si>
    <t>FORSYTH</t>
  </si>
  <si>
    <t>GREENE</t>
  </si>
  <si>
    <t>HAYWOOD</t>
  </si>
  <si>
    <t>JACKSON</t>
  </si>
  <si>
    <t>NEW HANOVER</t>
  </si>
  <si>
    <t>ORANGE</t>
  </si>
  <si>
    <t>PERSON</t>
  </si>
  <si>
    <t>POLK</t>
  </si>
  <si>
    <t>STANLY</t>
  </si>
  <si>
    <t>STOKES</t>
  </si>
  <si>
    <t>SURRY</t>
  </si>
  <si>
    <t>SWAIN</t>
  </si>
  <si>
    <t>TRANSYLVANIA</t>
  </si>
  <si>
    <t>UNION</t>
  </si>
  <si>
    <t>WASHINGTON</t>
  </si>
  <si>
    <t>AVERY</t>
  </si>
  <si>
    <t>BLADEN</t>
  </si>
  <si>
    <t>CHOWAN</t>
  </si>
  <si>
    <t>CRAVEN</t>
  </si>
  <si>
    <t>DUPLIN</t>
  </si>
  <si>
    <t>GUILFORD</t>
  </si>
  <si>
    <t>HARNETT</t>
  </si>
  <si>
    <t>HOKE</t>
  </si>
  <si>
    <t>JONES</t>
  </si>
  <si>
    <t>MITCHELL</t>
  </si>
  <si>
    <t>ONSLOW</t>
  </si>
  <si>
    <t>PASQUOTANK</t>
  </si>
  <si>
    <t>WATAUGA</t>
  </si>
  <si>
    <t>ALEXANDER</t>
  </si>
  <si>
    <t>ASHE</t>
  </si>
  <si>
    <t>BRUNSWICK</t>
  </si>
  <si>
    <t>CAMDEN</t>
  </si>
  <si>
    <t>CATAWBA</t>
  </si>
  <si>
    <t>DURHAM</t>
  </si>
  <si>
    <t>GASTON</t>
  </si>
  <si>
    <t>GRAHAM</t>
  </si>
  <si>
    <t>HENDERSON</t>
  </si>
  <si>
    <t>HYDE</t>
  </si>
  <si>
    <t>IREDELL</t>
  </si>
  <si>
    <t>LEE</t>
  </si>
  <si>
    <t>LINCOLN</t>
  </si>
  <si>
    <t>MACON</t>
  </si>
  <si>
    <t>MCDOWELL</t>
  </si>
  <si>
    <t>MECKLENBURG</t>
  </si>
  <si>
    <t>MOORE</t>
  </si>
  <si>
    <t>NORTHAMPTON</t>
  </si>
  <si>
    <t>ROWAN</t>
  </si>
  <si>
    <t>RUTHERFORD</t>
  </si>
  <si>
    <t>WILKES</t>
  </si>
  <si>
    <t>YADKIN</t>
  </si>
  <si>
    <t>CABARRUS</t>
  </si>
  <si>
    <t>CARTERET</t>
  </si>
  <si>
    <t>FRANKLIN</t>
  </si>
  <si>
    <t>HALIFAX</t>
  </si>
  <si>
    <t>PERQUIMANS</t>
  </si>
  <si>
    <t>PITT</t>
  </si>
  <si>
    <t>RICHMOND</t>
  </si>
  <si>
    <t>ROBESON</t>
  </si>
  <si>
    <t>VANCE</t>
  </si>
  <si>
    <t>WAKE</t>
  </si>
  <si>
    <t>WILSON</t>
  </si>
  <si>
    <t>YANCEY</t>
  </si>
  <si>
    <t>ALAMANCE</t>
  </si>
  <si>
    <t>BURKE</t>
  </si>
  <si>
    <t>CUMBERLAND</t>
  </si>
  <si>
    <t>DARE</t>
  </si>
  <si>
    <t>EDGECOMBE</t>
  </si>
  <si>
    <t>GATES</t>
  </si>
  <si>
    <t>JOHNSTON</t>
  </si>
  <si>
    <t>LENOIR</t>
  </si>
  <si>
    <t>MARTIN</t>
  </si>
  <si>
    <t>NASH</t>
  </si>
  <si>
    <t>RANDOLPH</t>
  </si>
  <si>
    <t>TYRRELL</t>
  </si>
  <si>
    <t>WARREN</t>
  </si>
  <si>
    <t>ANSON</t>
  </si>
  <si>
    <t>BEAUFORT</t>
  </si>
  <si>
    <t>CLAY</t>
  </si>
  <si>
    <t>GRANVILLE</t>
  </si>
  <si>
    <t>HERTFORD</t>
  </si>
  <si>
    <t>PENDER</t>
  </si>
  <si>
    <t>ROCKINGHAM</t>
  </si>
  <si>
    <t>SAMPSON</t>
  </si>
  <si>
    <t>SCOTLAND</t>
  </si>
  <si>
    <t>WAYNE</t>
  </si>
  <si>
    <t>BERTIE</t>
  </si>
  <si>
    <t>CHEROKEE</t>
  </si>
  <si>
    <t>MADISON</t>
  </si>
  <si>
    <t>MONTGOMERY</t>
  </si>
  <si>
    <t>PAMLICO</t>
  </si>
  <si>
    <t>Property subject to taxation must be assessed at 100% of appraised value.</t>
  </si>
  <si>
    <t>Revaluations are effective January 1 of year shown.  Real property must be revalued every 8 years but</t>
  </si>
  <si>
    <t>counties may elect to revalue more frequently.</t>
  </si>
  <si>
    <t>Year shown for next scheduled revaluation is the year indicated based on the Octennial Reappraisal Budget Reserve</t>
  </si>
  <si>
    <t>provided to NCDOR as of July 2020.</t>
  </si>
  <si>
    <t>North Carolina Department of Revenue</t>
  </si>
  <si>
    <t>Local Government Division</t>
  </si>
  <si>
    <t>Aug-20</t>
  </si>
  <si>
    <t>The budgeted tax levy for the General fund had more than 3% uncollected for the fiscal year audited - decreases are shown by a negative %</t>
  </si>
  <si>
    <t>The local government had a mandate placed on them by DEQ, a court order or some similar requirement (that has no realistic appeal path) that the financial effect will be greater than 3% of the WS Budget and is not yet budgeted.</t>
  </si>
  <si>
    <t>This tab need to have the most up-to-date UAL list on it at the time it is finalized</t>
  </si>
  <si>
    <t>34% -- Average of similar units is 68%</t>
  </si>
  <si>
    <t>25% -- Average of similar units is 50%</t>
  </si>
  <si>
    <t>71% -- Average of similar units is 142%</t>
  </si>
  <si>
    <t>100 -- Average of similar units is 300%</t>
  </si>
  <si>
    <t>Total of above CCH Accounts</t>
  </si>
  <si>
    <t>Total from Master Upload file</t>
  </si>
  <si>
    <t>Has the finance officer or interim finance officer submitted (or ensured or confirmed submission of) all required and applicable reports including but not limited to  the FY2020 annual audit report (N.C.G.S. 159-34), the semi-annual report on cash and investments (LGC-203) due July 25, 2020 and January 25, 2020 (N.C.G.S. 159-33), and the annual financial information report (AFIR) due by counites and municipalities October 31, 2020 (N.C.G.S. 159-33.1), and any other reports due  during the fiscal year corresponding to the audit report being submitted? (Y/N)</t>
  </si>
  <si>
    <t>84-85+49-331</t>
  </si>
  <si>
    <t xml:space="preserve"> 93-94+52-100</t>
  </si>
  <si>
    <t>School Current Expense Report</t>
  </si>
  <si>
    <t>General Fund-Rev, Exp. Change in Fund Balance or General Fund Budget Actual</t>
  </si>
  <si>
    <t>Local Current Expense sent to Boards of Education (some units present this information in the detailed general fund statements after the notes)
Exclude: amounts for community colleges and 
                  supplemental taxes
Include: amounts spent on resource officers, 
                  nurses and Timber receipts</t>
  </si>
  <si>
    <t xml:space="preserve">How much of the above number in account 147 is from Timber Receipts sent to the schools </t>
  </si>
  <si>
    <t>Amount of Supplemental School Tax revenue recorded in the governmental funds.</t>
  </si>
  <si>
    <t>Amount of Supplemental School Tax revenue recorded in agency funds.</t>
  </si>
  <si>
    <t>All Gov. Funds Rev, Exp. Change in Fund Balance</t>
  </si>
  <si>
    <t>Capital Outlay contributions to the BOEs (include amounts from general fund, capital project funds and any other fund sent to the BOE as part of capital outlay)</t>
  </si>
  <si>
    <t>School Capital Outlay Report to the Legislature</t>
  </si>
  <si>
    <t xml:space="preserve">Amount of Supplemental School Tax revenue recorded in agency funds.
</t>
  </si>
  <si>
    <t># of other matters that auditor asked the unit to respond to.</t>
  </si>
  <si>
    <t>If the answer to Question "975" above is “yes” did the auditor present or plan to present these issues to the governing body in an open meeting and inform the Local Gov. that they are required to submit a " Response to the Auditor's Findings, Recommendations, and Fiscal Matters" within 60 days, to the LGC.   Select Yes, No or N/A.</t>
  </si>
  <si>
    <t>If the unit had PIs of concern, the issues were presented to the board and informed they needed to send Response Letter in 60 days</t>
  </si>
  <si>
    <t>item</t>
  </si>
  <si>
    <t>accounts set-up in 2020 that are equivalent to account 44</t>
  </si>
  <si>
    <t>=654-655-579)</t>
  </si>
  <si>
    <t>accounts set-up in 2020 that are equivalent to account 45</t>
  </si>
  <si>
    <t>=(633-634-635-636-637-638-578)</t>
  </si>
  <si>
    <t>accounts set-up in 2020 that are equivalent to account 47</t>
  </si>
  <si>
    <t>accounts set-up in 2020 that are equivalent to account 48</t>
  </si>
  <si>
    <t>=(657-658-581)</t>
  </si>
  <si>
    <t>=(639-640-641-642-643-644-580)</t>
  </si>
  <si>
    <t>Governmental Activities - Benchmarking Tool uses account 336 in the code to calculate liquidity quick ratio.  Must be included on imported to CCH and SQL database.</t>
  </si>
  <si>
    <t>accounts set-up in 2020 that are equivalent to account 336</t>
  </si>
  <si>
    <t>=626-627-628-629-630-631-632</t>
  </si>
  <si>
    <t>Cell L219 contains formula to sum accounts listed in cell E219</t>
  </si>
  <si>
    <t>Cell L220 contains formula to sum accounts listed in cell E220</t>
  </si>
  <si>
    <t xml:space="preserve">Gov - Select Current Liabilities </t>
  </si>
  <si>
    <t xml:space="preserve">WS - Total Current Assets </t>
  </si>
  <si>
    <t xml:space="preserve">WS - Select Current Liabilities </t>
  </si>
  <si>
    <t xml:space="preserve">Electric - Total Current Assets </t>
  </si>
  <si>
    <t>Total Current assets.  
Include amounts of prepaids and inventory.  
Exclude any current assets identified as restricted.
Exclude "Advance To:-portion of interfund loans with repayment longer than 12 months</t>
  </si>
  <si>
    <t>Current liabilities.  
Include:   Current portions of long-term debt
Exclude:  "Advance From"-portion of interfund loans with repayment longer than 12 months,
                   Bond anticipation notes, 
                   Compensated absences, 
                   Pension liabilities, 
                   Other post-employment liabilities (OPEB), 
                   Closure/postclosure liabilities, 
                   Payables from restricted assets
                   Deferred inflows.</t>
  </si>
  <si>
    <t>Cell L224 contains link that has to be relinked to prior year  "YYYY Data(H)" tab</t>
  </si>
  <si>
    <t>Version Date 5/11/2021</t>
  </si>
  <si>
    <t xml:space="preserve">Fund balance available for appropriation is an important reserve for local governments to provide cash flow during periods of declining revenues and to be used for emergencies and unforeseen expenditures.  Column F to the left indicates the amount of available cash on hand as well as the average for units of your size.  Note one month of expenditures is equal to 8.33%.  In your Response Letter please provide detail plans on how your unit will improve your available fund balance.  Normally, a unit has to either increasing revenues or decreasing expenditures.  </t>
  </si>
  <si>
    <t>This performance indicator calculates the number of months the unit has cash to pay it's annualized expenses (excluding depreciation)  The normal billing cycle is one month and an extra month gives a unit cash balance to handle unusual monthly expenditures.  This 16% would be a bare minimum necessary to keep the fund from experiencing cash flow issues</t>
  </si>
  <si>
    <t>The unit's inability to collect more than 3% of its taxes could be an indicator of negative economic events, inaccurate budgeting, and/or process issues with taxes.  Uncollected revenues at the 3% level represent several pennies of the tax rate.  In your response please explain what was the cause of the inability to collect, will the issues continue into future years and how the unit will deal with the revenue shortfall.</t>
  </si>
  <si>
    <t>The unit had expenditures that exceeded the legal budget ordinance.  This indicates that the unit's purchase order system, contract approval process and / or payment process is not in compliance with North Carolina General Statutes 159.  In your response discuss in detail how this over-expenditure occurred and include the written policy changes that were approved to prevent the statutory violations from happening in the future.</t>
  </si>
  <si>
    <t>The General Fund has a fund deficit which means that the Unit's revenues and other receipts are inadequate to support its operations.  G.S. 159 13(b)(2) requires that the board fund the full amount of a prior fiscal year's deficit in the current fiscal year's budget.  Therefore, this deficit should have been funded immediately after the June 30, fiscal year-end.  The law requires such action be taken to stop any further deterioration of the overall financial condition of the fund.  Please let us know if the deficit was funded in the budget, and what actions the unit plans to take to bring the general fund balance up to an acceptable level.</t>
  </si>
  <si>
    <t>Please explain the purpose for any transfers-out from the electric fund, if the transfers were budget in the next fiscal year and if these transfers will continue into the future.  If your unit is subject to GS 159B-39 how will the unit come into compliance with this statute and the impact to the fund that is receiving the transfers.  GS 159B-39 only applies to members of North Carolina Eastern Municipal Power Agency: Apex, Ayden, Belhaven, Benson, Clayton, Edenton, Elizabeth City, Farmville, Fremont, Greenville, Hamilton, Hertford, Hobgood, Hookerton, Kinston, LaGrange, Laurinburg, Louisburg, Lumberton, New Bern, Pikeville, Red Springs, Robersonville, Rocky Mount, Scotland Neck, Selma, Smithfield, Southport, Tarboro, Wake Forest, Washington, and Wilson.</t>
  </si>
  <si>
    <t>Do you operate a landfill that will be closing  or have a significant portion closing within the next 5 years?  Select "1" for Yes and "2" for No</t>
  </si>
  <si>
    <t>Does the entity have an  effective pre-audit process to ensure that pervasive budgetary over- expenditures do not occur at the budget ordinance level? Select Yes or No</t>
  </si>
  <si>
    <t xml:space="preserve">Does the entity have an  effective pre-audit process to ensure that pervasive budgetary over- expenditures do not occur at the budget ordinance level? </t>
  </si>
  <si>
    <t xml:space="preserve">Estimated cost not yet budgeted of any mandate placed on unit by DEQ, a court order or some similar requirement (that has no realistic appeal path). </t>
  </si>
  <si>
    <t>The Unit had Statutory Violations listed in the Audit Report that should be addressed in the Unit Response Letter</t>
  </si>
  <si>
    <t>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t>
  </si>
  <si>
    <t>Cell L221 contains formula to sum accounts listed in cell E221</t>
  </si>
  <si>
    <t>Cell L222 contains formula to sum accounts listed in cell E222</t>
  </si>
  <si>
    <t>Cell L223 contains formula to sum accounts listed in cell E223</t>
  </si>
  <si>
    <t>Cell L225 contains link that has to be relinked to prior year  "YYYY Data(H)" tab</t>
  </si>
  <si>
    <t>Cell L226 contains link that has to be relinked to prior year "YYYY Data(H)" tab</t>
  </si>
  <si>
    <t>must be populated  in L column for database upload</t>
  </si>
  <si>
    <t>Must be linked to unit number on Unit Datat from Audit Worksheet tab</t>
  </si>
  <si>
    <t xml:space="preserve"> formula in E column - use for handling date from TD Info Completed by Auditor tab uploading to database</t>
  </si>
  <si>
    <t>If unit is an employer participant in one of the State Cost Sharing Plans rows 182 - 184 should be blank.  Unless they have an additional single employer plan.</t>
  </si>
  <si>
    <t>TD</t>
  </si>
  <si>
    <t>Did the Unit have debt service payments deferred or restructured in this fiscal year? (does not include refinancings designed to take advantage of lower interest rates)  Select Yes, No, or NA</t>
  </si>
  <si>
    <t>TD-Did unit have their debt service payments restructured in this fiscal year</t>
  </si>
  <si>
    <t>Total Transfers in - all funds (operating and capital)</t>
  </si>
  <si>
    <t>The Counties listed in cell H256 are scheduled to revalue property listing by 1/1/2022 according to the Dept. of Revenue records.  Please indicate if you expect your revaluation to: 
Enter  "20" for increase, 
            "21" for decrease, 
            "22" for no change,
            "23" if this question is not applicable</t>
  </si>
  <si>
    <t>Did the Unit have any of the following occur:
1.  Bond covenants were not met
2.  Debt service payments made late?  Deferred payments authorized by LGC or other state
     agencies should not be counted as late for purposes of this question.</t>
  </si>
  <si>
    <t>The unit had problems with debt service payments being late and/or did not comply with the bond covenants?</t>
  </si>
  <si>
    <t>TD Info Completed by Auditor : CCH acct # 974</t>
  </si>
  <si>
    <t>Please explain the additional issue(s) the unit needs to address in column H to the right.</t>
  </si>
  <si>
    <r>
      <t xml:space="preserve">Primary Government's  FYE </t>
    </r>
    <r>
      <rPr>
        <i/>
        <sz val="10"/>
        <color rgb="FF000000"/>
        <rFont val="Verdana"/>
        <family val="2"/>
      </rPr>
      <t>(MM/DD/YYYY)</t>
    </r>
  </si>
  <si>
    <r>
      <t xml:space="preserve">Date </t>
    </r>
    <r>
      <rPr>
        <i/>
        <sz val="10"/>
        <color theme="1"/>
        <rFont val="Verdana"/>
        <family val="2"/>
      </rPr>
      <t>(MM/DD/YYYY)</t>
    </r>
  </si>
  <si>
    <t>Hide This Column</t>
  </si>
  <si>
    <t>Muni</t>
  </si>
  <si>
    <t>Muni, county, utility authority</t>
  </si>
  <si>
    <t>Muni, Utility Authority</t>
  </si>
  <si>
    <t>All Units</t>
  </si>
  <si>
    <t>County, Muni</t>
  </si>
  <si>
    <t>County, Muni, Utility Authority</t>
  </si>
  <si>
    <t>all Units</t>
  </si>
  <si>
    <t>County, Muni, Utility Authority - any type that issues debt</t>
  </si>
  <si>
    <t>Muni, Utility Authorities</t>
  </si>
  <si>
    <t>all units</t>
  </si>
  <si>
    <t>As of the creation of this worksheet your unit was on the Unit Assistance List.  Please provide details of what progress you have made to date to improve the issues that placed you on the list and future progress you intend to make.  If you are unaware that you are on the Unit Assistance List please email LGCMonitoring@nctreasurer.com and request a copy of the letter notifying you of your status on the Unit Assistance List.</t>
  </si>
  <si>
    <t>Please indicate the actions the Unit will take to deal with timely debt service payments and/or compliance with bond covenants.</t>
  </si>
  <si>
    <t>Minimum Threshold</t>
  </si>
  <si>
    <t>In your response letter please review all the Water Sewer performance indicators highlighted in red and provide a detailed financial plan that addresses these water sewer issues.  It is not uncommon for a Water Sewer System with multiple performance indicators of concern to find that a proposed solution to one of the indicators also solves other performance indicators of concern.</t>
  </si>
  <si>
    <r>
      <t xml:space="preserve">If any </t>
    </r>
    <r>
      <rPr>
        <i/>
        <sz val="14"/>
        <color theme="1"/>
        <rFont val="Calibri"/>
        <family val="2"/>
        <scheme val="minor"/>
      </rPr>
      <t>Units Results</t>
    </r>
    <r>
      <rPr>
        <sz val="14"/>
        <color theme="1"/>
        <rFont val="Calibri"/>
        <family val="2"/>
        <scheme val="minor"/>
      </rPr>
      <t xml:space="preserve"> in Column F are shaded red then the unit must submit a "Response to the Auditor's Findings, Recommendations, and Fiscal Matters"  within 60 days from the Auditors board presentation.  The Response must address all performance indicators shaded in red.</t>
    </r>
  </si>
  <si>
    <t>Enterprise Funds:</t>
  </si>
  <si>
    <t>Miscellaneous</t>
  </si>
  <si>
    <t>Less than zero is below threshold</t>
  </si>
  <si>
    <t>Enterprise Funds other than WS and Electric</t>
  </si>
  <si>
    <t>Combined Proprietary Funds - Net Position</t>
  </si>
  <si>
    <t>Comb-Proprietary Funds-Current Assets 
Exclude: any restricted assets
                  deferred outflows.</t>
  </si>
  <si>
    <t>Combined Totals of all Proprietary Funds - Total Current Liabilities  
Include:  Current liabilities and current portion of long-term debt 
Exclude:   Bond anticipation notes
                   Compensated Absences
                   Pension liabilities
                   Liabilities payable from restricted assets
                   Other post employment liabilities (OPEB)
                   Deferred inflows</t>
  </si>
  <si>
    <t>Combined Totals of all Proprietary Funds - Revenue, Expenses, Changes in Net Position</t>
  </si>
  <si>
    <t>Combined Totals of all proprietary Funds - Depreciation &amp; Amortization Expense</t>
  </si>
  <si>
    <t>Combined Totals of all Proprietary Funds - Change in net position - (increase in net position is recorded as a positive and a decrease in net position is recorded as a negative)</t>
  </si>
  <si>
    <t>193</t>
  </si>
  <si>
    <t>Combined Proprietary Funds - Change in Cash Flow Statement</t>
  </si>
  <si>
    <t>Local Current Expense Revenue from the County (Enter as a positive) 
Exclude: supplemental taxes
Include: Timber Receipts, amounts spent on 
                  resource officers and nurses, etc.  
                  Amount must agree with the amount
                  reported in the County Audit Report</t>
  </si>
  <si>
    <t xml:space="preserve">Capital Outlay revenue from the County and budgeted by the County as Capital Outlay reported in the School Capital Outlay fund or the local current expense fund.  (capitalization policies might be different between the Schools and County)
</t>
  </si>
  <si>
    <t>County School Capital Outlay Rpt.</t>
  </si>
  <si>
    <t xml:space="preserve">Fund 8 Rev, Exp. Change in Fund Balance Rpt. </t>
  </si>
  <si>
    <t>BOE</t>
  </si>
  <si>
    <t>Hospital</t>
  </si>
  <si>
    <t>Net Position</t>
  </si>
  <si>
    <t>Unrestricted Cash &amp; Investments - all but exclude "Held by Trustee" or "3rd party restricted"</t>
  </si>
  <si>
    <t>Net Patient Accounts Receivable</t>
  </si>
  <si>
    <t>Unrestricted fund equity or net position</t>
  </si>
  <si>
    <t>Revenue, Expenses, Changes in Net Position</t>
  </si>
  <si>
    <t>Net Patient Revenues</t>
  </si>
  <si>
    <t>Total Operating Revenues</t>
  </si>
  <si>
    <t xml:space="preserve">Capital Contributions </t>
  </si>
  <si>
    <t>Change in Net Position</t>
  </si>
  <si>
    <t>Cash Flows</t>
  </si>
  <si>
    <t>Capital Outlays</t>
  </si>
  <si>
    <t>Principal Paid - Long-term Debt</t>
  </si>
  <si>
    <t>Total Long-term debt (non current portion only) - enter as a positive</t>
  </si>
  <si>
    <t>Total Operating Expenses. May include Interest Expense - Enter as a positive</t>
  </si>
  <si>
    <t xml:space="preserve">Interest Expense - Enter as a positive </t>
  </si>
  <si>
    <r>
      <t>Gross Capital Assets-</t>
    </r>
    <r>
      <rPr>
        <b/>
        <sz val="11"/>
        <rFont val="Calibri"/>
        <family val="2"/>
        <scheme val="minor"/>
      </rPr>
      <t>Prior Year</t>
    </r>
  </si>
  <si>
    <r>
      <t>Gross Annual Revenue-</t>
    </r>
    <r>
      <rPr>
        <b/>
        <sz val="11"/>
        <rFont val="Calibri"/>
        <family val="2"/>
        <scheme val="minor"/>
      </rPr>
      <t>Prior Year</t>
    </r>
  </si>
  <si>
    <r>
      <rPr>
        <b/>
        <i/>
        <sz val="11"/>
        <rFont val="Calibri"/>
        <family val="2"/>
        <scheme val="minor"/>
      </rPr>
      <t>Amount Transferred minus PILOT (cell F23)</t>
    </r>
    <r>
      <rPr>
        <i/>
        <sz val="11"/>
        <rFont val="Calibri"/>
        <family val="2"/>
        <scheme val="minor"/>
      </rPr>
      <t xml:space="preserve"> is calculated by taking the Amount Transferred per Audit (cell F14) and subtracting the greater amount of PILOT (cells F19 and G19). When cell F23 exceeds the statutory calculation in cell F27, you will get an error message "No, unit exceeds limit by:"</t>
    </r>
  </si>
  <si>
    <r>
      <rPr>
        <b/>
        <i/>
        <sz val="11"/>
        <rFont val="Calibri"/>
        <family val="2"/>
        <scheme val="minor"/>
      </rPr>
      <t>Payment in Lieu of Taxes Error (cells F32 - F33):</t>
    </r>
    <r>
      <rPr>
        <i/>
        <sz val="11"/>
        <rFont val="Calibri"/>
        <family val="2"/>
        <scheme val="minor"/>
      </rPr>
      <t xml:space="preserve">  When the "Actual Pilot" (cell F19) doesn't agree with the "Calculated Pilot" (cell G19) you will get an error message requiring you to investigate variance.</t>
    </r>
  </si>
  <si>
    <r>
      <t xml:space="preserve">Notes From Auditor
</t>
    </r>
    <r>
      <rPr>
        <sz val="11"/>
        <color theme="1"/>
        <rFont val="Calibri"/>
        <family val="2"/>
        <scheme val="minor"/>
      </rPr>
      <t>The Auditor can use the cells below to provide additional details that are pertinent to the performance indicator.</t>
    </r>
  </si>
  <si>
    <r>
      <rPr>
        <u/>
        <sz val="8"/>
        <color indexed="8"/>
        <rFont val="Calibri"/>
        <family val="2"/>
        <scheme val="minor"/>
      </rPr>
      <t>Current liabilities</t>
    </r>
    <r>
      <rPr>
        <sz val="8"/>
        <color indexed="8"/>
        <rFont val="Calibri"/>
        <family val="2"/>
        <scheme val="minor"/>
      </rPr>
      <t xml:space="preserve">
</t>
    </r>
    <r>
      <rPr>
        <b/>
        <sz val="8"/>
        <color indexed="8"/>
        <rFont val="Calibri"/>
        <family val="2"/>
        <scheme val="minor"/>
      </rPr>
      <t>Include:</t>
    </r>
    <r>
      <rPr>
        <sz val="8"/>
        <color indexed="8"/>
        <rFont val="Calibri"/>
        <family val="2"/>
        <scheme val="minor"/>
      </rPr>
      <t xml:space="preserve">   Current liabilities and current portion of long-term debt. 
</t>
    </r>
    <r>
      <rPr>
        <b/>
        <sz val="8"/>
        <color indexed="8"/>
        <rFont val="Calibri"/>
        <family val="2"/>
        <scheme val="minor"/>
      </rPr>
      <t>Exclude</t>
    </r>
    <r>
      <rPr>
        <sz val="8"/>
        <color indexed="8"/>
        <rFont val="Calibri"/>
        <family val="2"/>
        <scheme val="minor"/>
      </rPr>
      <t xml:space="preserve">:   Bond Anticipation Notes
                  Compensated  Absences
                  Pension liabilities
                  Liabilities payable from restricted assets
                  Other post employment liabilities (OPEB)
                  Deferred inflows.
</t>
    </r>
  </si>
  <si>
    <r>
      <rPr>
        <u/>
        <sz val="8"/>
        <color indexed="8"/>
        <rFont val="Calibri"/>
        <family val="2"/>
        <scheme val="minor"/>
      </rPr>
      <t>Total Current assets</t>
    </r>
    <r>
      <rPr>
        <sz val="8"/>
        <color indexed="8"/>
        <rFont val="Calibri"/>
        <family val="2"/>
        <scheme val="minor"/>
      </rPr>
      <t xml:space="preserve">.  
</t>
    </r>
    <r>
      <rPr>
        <b/>
        <sz val="8"/>
        <rFont val="Calibri"/>
        <family val="2"/>
        <scheme val="minor"/>
      </rPr>
      <t>Exclude</t>
    </r>
    <r>
      <rPr>
        <sz val="8"/>
        <rFont val="Calibri"/>
        <family val="2"/>
        <scheme val="minor"/>
      </rPr>
      <t xml:space="preserve"> any current assets identified as restricted.
</t>
    </r>
    <r>
      <rPr>
        <b/>
        <sz val="8"/>
        <color indexed="17"/>
        <rFont val="Calibri"/>
        <family val="2"/>
        <scheme val="minor"/>
      </rPr>
      <t>Exclude "Advance To": portion of interfund loan with repayment longer than 12 months.</t>
    </r>
  </si>
  <si>
    <r>
      <rPr>
        <u/>
        <sz val="8"/>
        <rFont val="Calibri"/>
        <family val="2"/>
        <scheme val="minor"/>
      </rPr>
      <t>Current liabilities</t>
    </r>
    <r>
      <rPr>
        <sz val="8"/>
        <rFont val="Calibri"/>
        <family val="2"/>
        <scheme val="minor"/>
      </rPr>
      <t xml:space="preserve">.  
</t>
    </r>
    <r>
      <rPr>
        <b/>
        <sz val="8"/>
        <rFont val="Calibri"/>
        <family val="2"/>
        <scheme val="minor"/>
      </rPr>
      <t xml:space="preserve">Include:  </t>
    </r>
    <r>
      <rPr>
        <sz val="8"/>
        <rFont val="Calibri"/>
        <family val="2"/>
        <scheme val="minor"/>
      </rPr>
      <t xml:space="preserve"> Current liabilities and current portions of long-term debt
</t>
    </r>
    <r>
      <rPr>
        <b/>
        <sz val="8"/>
        <rFont val="Calibri"/>
        <family val="2"/>
        <scheme val="minor"/>
      </rPr>
      <t xml:space="preserve">Exclude:  </t>
    </r>
    <r>
      <rPr>
        <b/>
        <sz val="8"/>
        <color indexed="17"/>
        <rFont val="Calibri"/>
        <family val="2"/>
        <scheme val="minor"/>
      </rPr>
      <t xml:space="preserve">"Advance From"-portion of interfund loans with repayment longer than 12 months,
                   Bond anticipation notes, </t>
    </r>
    <r>
      <rPr>
        <sz val="8"/>
        <rFont val="Calibri"/>
        <family val="2"/>
        <scheme val="minor"/>
      </rPr>
      <t xml:space="preserve">
                   Compensated absences, 
                   Pension liabilities, 
                   Other post-employment liabilities (OPEB), 
                   Closure/postclosure liabilities, 
                   Payables from restricted assets
                   Deferred inflows.</t>
    </r>
  </si>
  <si>
    <t>Total Gross Capital Assets - without accumulated depreciation</t>
  </si>
  <si>
    <t>Combined Totals of all Proprietary Funds - Amount of Inventories and Prepaids in current assets</t>
  </si>
  <si>
    <t>Statement of Net Position - combined totals from all Proprietary Funds</t>
  </si>
  <si>
    <t>Mental Health Net Position - Net Investment in Capital Assets</t>
  </si>
  <si>
    <t>Mental Health Net Position - Restricted Net Position</t>
  </si>
  <si>
    <t>Total Transfers in    (Preference is that transfers-in  are not netted against transfers-out)</t>
  </si>
  <si>
    <t>Total Transfers out    (Preference is that transfers-in  are not netted against transfers-out)</t>
  </si>
  <si>
    <t>Mental Health-Balance Sheet - Non GAAP</t>
  </si>
  <si>
    <t>Total Liabilities payable from restricted assets (only complete if this if unit has listed this account in their financial statements for the Mental Health Enterprise Fund Non GAAP and the auditor has listed the cash to be used to pay the liabilities as restricted)</t>
  </si>
  <si>
    <t>Current Liabilities 
Exclude: all deferred inflows
                 current debt service payments
Include: Liabilities payable from restricted assets.</t>
  </si>
  <si>
    <t xml:space="preserve">Mental Health Enterprise Fund Non GAAP deferred inflows or liabilities derived from cash receipts.   </t>
  </si>
  <si>
    <t>Total expenditures  
Exclude: expenditures in the ""other financing sources (uses)"" section.</t>
  </si>
  <si>
    <t xml:space="preserve">All unrestricted cash and investments.  
Exclude restricted cash and cash held by a third party. </t>
  </si>
  <si>
    <t>Total Proceeds from all long-term debt issuances 
Exclude: proceeds from refundings</t>
  </si>
  <si>
    <t>Mental Health Enterprise Fund Non GAAP-Rev, Exp. Change in Fund Balance</t>
  </si>
  <si>
    <t>Mental Health Enterprise Fund Non GAAP -  Total Encumbrances.  You will have to refer to the note disclosure where the amount of encumbrances is listed.</t>
  </si>
  <si>
    <t>Please enter the principal and interest due next fiscal year on existing borrowings.</t>
  </si>
  <si>
    <t>The above questions account for significant and material findings.  Were there any issues or other matters presented to the Governing Board regarding internal controls (additional issues or other matters that were not listed as a material weakness or significant deficiency), that the Governing Board was instructed to include in the unit's "Response to the Auditor's Findings, Recommendations, and Fiscal Matters" Please indicate the number of other issues presented to the board.</t>
  </si>
  <si>
    <t>Please enter your tax rate for ad valorem in effect for fiscal year audited.  Example 60 cents per 100 would be entered as .60</t>
  </si>
  <si>
    <t>Business Type - Total Transfers In</t>
  </si>
  <si>
    <t>Business Type - Total Transfers Out</t>
  </si>
  <si>
    <t>MH Enterprise Fund Non GAAP - Unrestricted Cash &amp; Investments</t>
  </si>
  <si>
    <t>MH Enterprise Fund Non GAAP - Restricted Cash &amp; Investments</t>
  </si>
  <si>
    <t>MH Enterprise Fund Non GAAP- Current  Liabilities</t>
  </si>
  <si>
    <t>MH Enterprise Fund Non GAAP - deferred inflows derived from Cash Receipts</t>
  </si>
  <si>
    <t>MH Enterprise Fund Non GAAP - Liabilities from Restricted Assets</t>
  </si>
  <si>
    <t xml:space="preserve">MH Enterprise Fund Non GAAP - Total Expenditures </t>
  </si>
  <si>
    <t xml:space="preserve">MH- Proceeds from LTD </t>
  </si>
  <si>
    <t>MH Enterprise Fund Non GAAP - Positive debt refund</t>
  </si>
  <si>
    <t>MH Enterprise Fund Non GAAP - Transfers Out</t>
  </si>
  <si>
    <t>MH Enterprise Fund Non GAAP - Encumbrances</t>
  </si>
  <si>
    <t>MH Enterprise Fund P &amp; I Due next year</t>
  </si>
  <si>
    <t>Hospital/MH -EF- Total Gross Capital Assets (BS), w/o acc. dep.</t>
  </si>
  <si>
    <r>
      <t xml:space="preserve">Unit's Share of Net Pension Liability ($s)
- unit of government is a participating employer in the State's </t>
    </r>
    <r>
      <rPr>
        <b/>
        <sz val="11"/>
        <color theme="1"/>
        <rFont val="Calibri"/>
        <family val="2"/>
        <scheme val="minor"/>
      </rPr>
      <t>TSERS</t>
    </r>
    <r>
      <rPr>
        <sz val="11"/>
        <color theme="1"/>
        <rFont val="Calibri"/>
        <family val="2"/>
        <scheme val="minor"/>
      </rPr>
      <t xml:space="preserve"> (Teachers' and State Employees' Retirement System) or the </t>
    </r>
    <r>
      <rPr>
        <b/>
        <sz val="11"/>
        <color theme="1"/>
        <rFont val="Calibri"/>
        <family val="2"/>
        <scheme val="minor"/>
      </rPr>
      <t>LGERS</t>
    </r>
    <r>
      <rPr>
        <sz val="11"/>
        <color theme="1"/>
        <rFont val="Calibri"/>
        <family val="2"/>
        <scheme val="minor"/>
      </rPr>
      <t xml:space="preserve"> (Local Governmental Employees' Retirement System).  </t>
    </r>
  </si>
  <si>
    <r>
      <t xml:space="preserve">Unit's share of Retirement Health Benefit Fund </t>
    </r>
    <r>
      <rPr>
        <sz val="11"/>
        <color rgb="FFFF0000"/>
        <rFont val="Calibri"/>
        <family val="2"/>
        <scheme val="minor"/>
      </rPr>
      <t>Net</t>
    </r>
    <r>
      <rPr>
        <sz val="11"/>
        <color theme="1"/>
        <rFont val="Calibri"/>
        <family val="2"/>
        <scheme val="minor"/>
      </rPr>
      <t xml:space="preserve"> OPEB Liability ($s)
- unit of government is a participating employer in the </t>
    </r>
    <r>
      <rPr>
        <b/>
        <sz val="11"/>
        <color theme="1"/>
        <rFont val="Calibri"/>
        <family val="2"/>
        <scheme val="minor"/>
      </rPr>
      <t>State's RHBF</t>
    </r>
    <r>
      <rPr>
        <sz val="11"/>
        <color theme="1"/>
        <rFont val="Calibri"/>
        <family val="2"/>
        <scheme val="minor"/>
      </rPr>
      <t xml:space="preserve"> </t>
    </r>
  </si>
  <si>
    <r>
      <rPr>
        <sz val="11"/>
        <color rgb="FF0070C0"/>
        <rFont val="Calibri"/>
        <family val="2"/>
        <scheme val="minor"/>
      </rPr>
      <t xml:space="preserve">Please note - Account 621 - if applicable - </t>
    </r>
    <r>
      <rPr>
        <sz val="11"/>
        <rFont val="Calibri"/>
        <family val="2"/>
        <scheme val="minor"/>
      </rPr>
      <t xml:space="preserve">See RSI Schedule of PROPORTIONATE SHARE OF </t>
    </r>
    <r>
      <rPr>
        <b/>
        <sz val="11"/>
        <rFont val="Calibri"/>
        <family val="2"/>
        <scheme val="minor"/>
      </rPr>
      <t>NET</t>
    </r>
    <r>
      <rPr>
        <sz val="11"/>
        <rFont val="Calibri"/>
        <family val="2"/>
        <scheme val="minor"/>
      </rPr>
      <t xml:space="preserve"> OPEB LIABILITY - RETIREE HEALTH BENEFIT FUND REQUIRED SUPPLEMENTARY INFORMATION</t>
    </r>
  </si>
  <si>
    <r>
      <rPr>
        <sz val="11"/>
        <color rgb="FFFF0000"/>
        <rFont val="Calibri"/>
        <family val="2"/>
        <scheme val="minor"/>
      </rPr>
      <t>Total</t>
    </r>
    <r>
      <rPr>
        <sz val="11"/>
        <color theme="1"/>
        <rFont val="Calibri"/>
        <family val="2"/>
        <scheme val="minor"/>
      </rPr>
      <t xml:space="preserve"> OPEB benefits - total OPEB liability
If you do not provide benefit, please enter 0</t>
    </r>
  </si>
  <si>
    <r>
      <rPr>
        <sz val="11"/>
        <color rgb="FF0070C0"/>
        <rFont val="Calibri"/>
        <family val="2"/>
        <scheme val="minor"/>
      </rPr>
      <t xml:space="preserve">Please note - if applicable - </t>
    </r>
    <r>
      <rPr>
        <sz val="11"/>
        <rFont val="Calibri"/>
        <family val="2"/>
        <scheme val="minor"/>
      </rPr>
      <t xml:space="preserve">See RSI SCHEDULE OF CHANGES IN THE </t>
    </r>
    <r>
      <rPr>
        <b/>
        <sz val="11"/>
        <rFont val="Calibri"/>
        <family val="2"/>
        <scheme val="minor"/>
      </rPr>
      <t>TOTAL</t>
    </r>
    <r>
      <rPr>
        <sz val="11"/>
        <rFont val="Calibri"/>
        <family val="2"/>
        <scheme val="minor"/>
      </rPr>
      <t xml:space="preserve"> OPEB LIABILITY AND RELATED RATIOS
</t>
    </r>
    <r>
      <rPr>
        <sz val="11"/>
        <color theme="9" tint="-0.249977111117893"/>
        <rFont val="Calibri"/>
        <family val="2"/>
        <scheme val="minor"/>
      </rPr>
      <t xml:space="preserve"> (Net OPEB should not be reported for account 659)</t>
    </r>
  </si>
  <si>
    <r>
      <rPr>
        <sz val="11"/>
        <color rgb="FFFF0000"/>
        <rFont val="Calibri"/>
        <family val="2"/>
        <scheme val="minor"/>
      </rPr>
      <t>Total</t>
    </r>
    <r>
      <rPr>
        <sz val="11"/>
        <color theme="1"/>
        <rFont val="Calibri"/>
        <family val="2"/>
        <scheme val="minor"/>
      </rPr>
      <t xml:space="preserve"> OPEB benefits- OPEB plan fiduciary net position
If no fiduciary net position, enter 0</t>
    </r>
  </si>
  <si>
    <r>
      <rPr>
        <sz val="11"/>
        <color rgb="FFFF0000"/>
        <rFont val="Calibri"/>
        <family val="2"/>
        <scheme val="minor"/>
      </rPr>
      <t>Total</t>
    </r>
    <r>
      <rPr>
        <sz val="11"/>
        <color theme="1"/>
        <rFont val="Calibri"/>
        <family val="2"/>
        <scheme val="minor"/>
      </rPr>
      <t xml:space="preserve"> OPEB benefits - What is the plan’s fiduciary net position as a percentage of the total OPEB liability?  Please enter as percentage value; for example, 83.5% should be entered as 83.5.  If assets have not been set aside in a trust, please enter 0.0</t>
    </r>
  </si>
  <si>
    <r>
      <t>Date on which the local government, public authority, or designated official appointed the finance officer?</t>
    </r>
    <r>
      <rPr>
        <b/>
        <sz val="11"/>
        <color theme="5" tint="-0.249977111117893"/>
        <rFont val="Calibri"/>
        <family val="2"/>
        <scheme val="minor"/>
      </rPr>
      <t xml:space="preserve"> (If the date of appointment by the board is difficult to find you may enter January 1 and the year)</t>
    </r>
    <r>
      <rPr>
        <sz val="11"/>
        <color theme="1"/>
        <rFont val="Calibri"/>
        <family val="2"/>
        <scheme val="minor"/>
      </rPr>
      <t xml:space="preserve">      </t>
    </r>
    <r>
      <rPr>
        <b/>
        <sz val="11"/>
        <color theme="1"/>
        <rFont val="Calibri"/>
        <family val="2"/>
        <scheme val="minor"/>
      </rPr>
      <t>Date Format  MM/DD/YYYY</t>
    </r>
  </si>
  <si>
    <r>
      <t xml:space="preserve">Instructions:  See Previous Excel tab - </t>
    </r>
    <r>
      <rPr>
        <sz val="11"/>
        <color indexed="8"/>
        <rFont val="Calibri"/>
        <family val="2"/>
        <scheme val="minor"/>
      </rPr>
      <t>Please enter current year audited data in column F</t>
    </r>
  </si>
  <si>
    <r>
      <rPr>
        <u/>
        <sz val="11"/>
        <color indexed="8"/>
        <rFont val="Calibri"/>
        <family val="2"/>
        <scheme val="minor"/>
      </rPr>
      <t xml:space="preserve"> 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cash held by a third party. </t>
    </r>
  </si>
  <si>
    <r>
      <t xml:space="preserve"> </t>
    </r>
    <r>
      <rPr>
        <u/>
        <sz val="11"/>
        <color indexed="8"/>
        <rFont val="Calibri"/>
        <family val="2"/>
        <scheme val="minor"/>
      </rPr>
      <t>All restricted Cash and investments</t>
    </r>
  </si>
  <si>
    <r>
      <t xml:space="preserve">Record any </t>
    </r>
    <r>
      <rPr>
        <b/>
        <u/>
        <sz val="11"/>
        <color indexed="8"/>
        <rFont val="Calibri"/>
        <family val="2"/>
        <scheme val="minor"/>
      </rPr>
      <t>positive</t>
    </r>
    <r>
      <rPr>
        <u/>
        <sz val="11"/>
        <color indexed="8"/>
        <rFont val="Calibri"/>
        <family val="2"/>
        <scheme val="minor"/>
      </rPr>
      <t xml:space="preserve"> Internal balances on the net position statements that appear in the Asset Section of the Net Position Statement</t>
    </r>
  </si>
  <si>
    <r>
      <t>Record any</t>
    </r>
    <r>
      <rPr>
        <b/>
        <u/>
        <sz val="11"/>
        <color indexed="8"/>
        <rFont val="Calibri"/>
        <family val="2"/>
        <scheme val="minor"/>
      </rPr>
      <t xml:space="preserve"> negative</t>
    </r>
    <r>
      <rPr>
        <u/>
        <sz val="11"/>
        <color indexed="8"/>
        <rFont val="Calibri"/>
        <family val="2"/>
        <scheme val="minor"/>
      </rPr>
      <t xml:space="preserve"> Internal balances on the net position statements that appear in the Asset Section of the Net Position Statement.
</t>
    </r>
    <r>
      <rPr>
        <b/>
        <sz val="11"/>
        <color indexed="60"/>
        <rFont val="Calibri"/>
        <family val="2"/>
        <scheme val="minor"/>
      </rPr>
      <t xml:space="preserve">
Enter as a positive</t>
    </r>
  </si>
  <si>
    <r>
      <rPr>
        <u/>
        <sz val="11"/>
        <color indexed="8"/>
        <rFont val="Calibri"/>
        <family val="2"/>
        <scheme val="minor"/>
      </rPr>
      <t xml:space="preserve">Total Current liabilities </t>
    </r>
    <r>
      <rPr>
        <u/>
        <sz val="11"/>
        <color rgb="FFFF0000"/>
        <rFont val="Calibri"/>
        <family val="2"/>
        <scheme val="minor"/>
      </rPr>
      <t>(as reported on Statement of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t>
    </r>
  </si>
  <si>
    <r>
      <t xml:space="preserve">Please enter any bond anticipation notes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</si>
  <si>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compensated absences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</si>
  <si>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pension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</si>
  <si>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OPEB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</si>
  <si>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landfill closure/postclosure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</si>
  <si>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rPr>
        <u/>
        <sz val="11"/>
        <color indexed="8"/>
        <rFont val="Calibri"/>
        <family val="2"/>
        <scheme val="minor"/>
      </rPr>
      <t xml:space="preserve">Unearned revenues that were included in current liabilities in your audit report or entered in acct # 626 above. </t>
    </r>
    <r>
      <rPr>
        <sz val="11"/>
        <color theme="1"/>
        <rFont val="Calibri"/>
        <family val="2"/>
        <scheme val="minor"/>
      </rPr>
      <t xml:space="preserve">
</t>
    </r>
    <r>
      <rPr>
        <b/>
        <sz val="11"/>
        <color indexed="8"/>
        <rFont val="Calibri"/>
        <family val="2"/>
        <scheme val="minor"/>
      </rPr>
      <t xml:space="preserve">Exclude - </t>
    </r>
    <r>
      <rPr>
        <sz val="11"/>
        <color theme="1"/>
        <rFont val="Calibri"/>
        <family val="2"/>
        <scheme val="minor"/>
      </rPr>
      <t>unearned revenues that are listed in deferred inflows.</t>
    </r>
  </si>
  <si>
    <r>
      <t>Total Net Position, Unrestricted -</t>
    </r>
    <r>
      <rPr>
        <u/>
        <sz val="11"/>
        <color indexed="60"/>
        <rFont val="Calibri"/>
        <family val="2"/>
        <scheme val="minor"/>
      </rPr>
      <t xml:space="preserve"> enter negative unrestricted net position as a negative)</t>
    </r>
  </si>
  <si>
    <r>
      <rPr>
        <u/>
        <sz val="11"/>
        <color indexed="8"/>
        <rFont val="Calibri"/>
        <family val="2"/>
        <scheme val="minor"/>
      </rPr>
      <t>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and cash held by a third party. </t>
    </r>
  </si>
  <si>
    <r>
      <rPr>
        <u/>
        <sz val="11"/>
        <color indexed="8"/>
        <rFont val="Calibri"/>
        <family val="2"/>
        <scheme val="minor"/>
      </rPr>
      <t xml:space="preserve">Total General revenues
</t>
    </r>
    <r>
      <rPr>
        <b/>
        <u/>
        <sz val="11"/>
        <color indexed="8"/>
        <rFont val="Calibri"/>
        <family val="2"/>
        <scheme val="minor"/>
      </rPr>
      <t>E</t>
    </r>
    <r>
      <rPr>
        <b/>
        <sz val="11"/>
        <color indexed="8"/>
        <rFont val="Calibri"/>
        <family val="2"/>
        <scheme val="minor"/>
      </rPr>
      <t>xclude:</t>
    </r>
    <r>
      <rPr>
        <sz val="11"/>
        <color indexed="8"/>
        <rFont val="Calibri"/>
        <family val="2"/>
        <scheme val="minor"/>
      </rPr>
      <t xml:space="preserve"> transfers-in or out,
                 special items,
                 extraordinary amounts</t>
    </r>
  </si>
  <si>
    <r>
      <t>Total Transfers in</t>
    </r>
    <r>
      <rPr>
        <sz val="11"/>
        <color theme="1"/>
        <rFont val="Calibri"/>
        <family val="2"/>
        <scheme val="minor"/>
      </rPr>
      <t xml:space="preserve">    </t>
    </r>
    <r>
      <rPr>
        <sz val="11"/>
        <color indexed="60"/>
        <rFont val="Calibri"/>
        <family val="2"/>
        <scheme val="minor"/>
      </rPr>
      <t>(Preference is that transfers-in  are not netted against transfers-out)</t>
    </r>
  </si>
  <si>
    <r>
      <t>Total Transfers out</t>
    </r>
    <r>
      <rPr>
        <sz val="11"/>
        <color theme="1"/>
        <rFont val="Calibri"/>
        <family val="2"/>
        <scheme val="minor"/>
      </rPr>
      <t xml:space="preserve">    </t>
    </r>
    <r>
      <rPr>
        <sz val="11"/>
        <color indexed="60"/>
        <rFont val="Calibri"/>
        <family val="2"/>
        <scheme val="minor"/>
      </rPr>
      <t>(Preference is that transfers-in  are not netted against transfers-out)</t>
    </r>
  </si>
  <si>
    <r>
      <rPr>
        <u/>
        <sz val="11"/>
        <color indexed="8"/>
        <rFont val="Calibri"/>
        <family val="2"/>
        <scheme val="minor"/>
      </rPr>
      <t>Total Special and Extraordinary items</t>
    </r>
    <r>
      <rPr>
        <sz val="11"/>
        <color theme="1"/>
        <rFont val="Calibri"/>
        <family val="2"/>
        <scheme val="minor"/>
      </rPr>
      <t xml:space="preserve">.   </t>
    </r>
    <r>
      <rPr>
        <sz val="11"/>
        <color indexed="60"/>
        <rFont val="Calibri"/>
        <family val="2"/>
        <scheme val="minor"/>
      </rPr>
      <t xml:space="preserve"> (Amounts that increase net position are recorded as positive and amounts that decrease net position are recorded as negative)</t>
    </r>
  </si>
  <si>
    <r>
      <rPr>
        <u/>
        <sz val="11"/>
        <color indexed="8"/>
        <rFont val="Calibri"/>
        <family val="2"/>
        <scheme val="minor"/>
      </rPr>
      <t>Total 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</si>
  <si>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Any adjustment to beginning net position including rounding, prior period adjustments and restatements</t>
    </r>
    <r>
      <rPr>
        <sz val="11"/>
        <color theme="1"/>
        <rFont val="Calibri"/>
        <family val="2"/>
        <scheme val="minor"/>
      </rPr>
      <t xml:space="preserve">.  </t>
    </r>
    <r>
      <rPr>
        <sz val="11"/>
        <color indexed="60"/>
        <rFont val="Calibri"/>
        <family val="2"/>
        <scheme val="minor"/>
      </rPr>
      <t xml:space="preserve"> (Increases to net position are positive; decreases to net position are negative)</t>
    </r>
  </si>
  <si>
    <r>
      <t xml:space="preserve">Amount of interest income and investment income recognized as revenue in your audit report for all governmental and proprietary funds.  </t>
    </r>
    <r>
      <rPr>
        <sz val="11"/>
        <color indexed="60"/>
        <rFont val="Calibri"/>
        <family val="2"/>
        <scheme val="minor"/>
      </rPr>
      <t xml:space="preserve">In the past we have asked you to adjust this number, but this year we would like the number as it appears on your Statement of Activities </t>
    </r>
    <r>
      <rPr>
        <u/>
        <sz val="11"/>
        <color indexed="60"/>
        <rFont val="Calibri"/>
        <family val="2"/>
        <scheme val="minor"/>
      </rPr>
      <t>without</t>
    </r>
    <r>
      <rPr>
        <sz val="11"/>
        <color indexed="60"/>
        <rFont val="Calibri"/>
        <family val="2"/>
        <scheme val="minor"/>
      </rPr>
      <t xml:space="preserve"> adjustment.</t>
    </r>
  </si>
  <si>
    <r>
      <rPr>
        <u/>
        <sz val="11"/>
        <color indexed="8"/>
        <rFont val="Calibri"/>
        <family val="2"/>
        <scheme val="minor"/>
      </rPr>
      <t xml:space="preserve">Total Change in net position Business Type </t>
    </r>
    <r>
      <rPr>
        <sz val="11"/>
        <color theme="1"/>
        <rFont val="Calibri"/>
        <family val="2"/>
        <scheme val="minor"/>
      </rPr>
      <t xml:space="preserve">
</t>
    </r>
    <r>
      <rPr>
        <sz val="11"/>
        <color indexed="60"/>
        <rFont val="Calibri"/>
        <family val="2"/>
        <scheme val="minor"/>
      </rPr>
      <t>(Increase in net position is recorded as a positive and a decrease in net position is recorded as a negative)</t>
    </r>
  </si>
  <si>
    <r>
      <t xml:space="preserve">All unrestricted cash and investments.  
</t>
    </r>
    <r>
      <rPr>
        <b/>
        <sz val="11"/>
        <color indexed="8"/>
        <rFont val="Calibri"/>
        <family val="2"/>
        <scheme val="minor"/>
      </rPr>
      <t>Exclude</t>
    </r>
    <r>
      <rPr>
        <sz val="11"/>
        <color indexed="8"/>
        <rFont val="Calibri"/>
        <family val="2"/>
        <scheme val="minor"/>
      </rPr>
      <t xml:space="preserve"> restricted cash and cash held by a third party. </t>
    </r>
  </si>
  <si>
    <r>
      <rPr>
        <u/>
        <sz val="11"/>
        <color indexed="8"/>
        <rFont val="Calibri"/>
        <family val="2"/>
        <scheme val="minor"/>
      </rPr>
      <t>Total Liabilities payable from restricted assets</t>
    </r>
    <r>
      <rPr>
        <sz val="11"/>
        <color theme="1"/>
        <rFont val="Calibri"/>
        <family val="2"/>
        <scheme val="minor"/>
      </rPr>
      <t xml:space="preserve"> </t>
    </r>
    <r>
      <rPr>
        <sz val="11"/>
        <color indexed="60"/>
        <rFont val="Calibri"/>
        <family val="2"/>
        <scheme val="minor"/>
      </rPr>
      <t>(only complete if this is listed in your financial statements for the general fund and the auditor has listed the cash to be used to pay the liabilities as restricted)</t>
    </r>
  </si>
  <si>
    <r>
      <rPr>
        <u/>
        <sz val="11"/>
        <color indexed="8"/>
        <rFont val="Calibri"/>
        <family val="2"/>
        <scheme val="minor"/>
      </rPr>
      <t>Current Liabilities</t>
    </r>
    <r>
      <rPr>
        <sz val="11"/>
        <color rgb="FFFF0000"/>
        <rFont val="Calibri"/>
        <family val="2"/>
        <scheme val="minor"/>
      </rPr>
      <t xml:space="preserve"> (as reported on the Balance Sheet)</t>
    </r>
    <r>
      <rPr>
        <sz val="11"/>
        <color theme="1"/>
        <rFont val="Calibri"/>
        <family val="2"/>
        <scheme val="minor"/>
      </rPr>
      <t xml:space="preserve">
</t>
    </r>
    <r>
      <rPr>
        <b/>
        <sz val="11"/>
        <color indexed="8"/>
        <rFont val="Calibri"/>
        <family val="2"/>
        <scheme val="minor"/>
      </rPr>
      <t>Exclude</t>
    </r>
    <r>
      <rPr>
        <sz val="11"/>
        <color indexed="60"/>
        <rFont val="Calibri"/>
        <family val="2"/>
        <scheme val="minor"/>
      </rPr>
      <t xml:space="preserve"> </t>
    </r>
    <r>
      <rPr>
        <sz val="11"/>
        <color indexed="8"/>
        <rFont val="Calibri"/>
        <family val="2"/>
        <scheme val="minor"/>
      </rPr>
      <t xml:space="preserve">all deferred inflows. 
</t>
    </r>
    <r>
      <rPr>
        <b/>
        <sz val="11"/>
        <color indexed="8"/>
        <rFont val="Calibri"/>
        <family val="2"/>
        <scheme val="minor"/>
      </rPr>
      <t>Include</t>
    </r>
    <r>
      <rPr>
        <sz val="11"/>
        <color indexed="8"/>
        <rFont val="Calibri"/>
        <family val="2"/>
        <scheme val="minor"/>
      </rPr>
      <t xml:space="preserve"> advance from(long-term portion of interfund loans)</t>
    </r>
  </si>
  <si>
    <r>
      <rPr>
        <u/>
        <sz val="11"/>
        <color indexed="8"/>
        <rFont val="Calibri"/>
        <family val="2"/>
        <scheme val="minor"/>
      </rPr>
      <t>General fund deferred inflows derived from cash receipts</t>
    </r>
    <r>
      <rPr>
        <sz val="11"/>
        <color indexed="8"/>
        <rFont val="Calibri"/>
        <family val="2"/>
        <scheme val="minor"/>
      </rPr>
      <t xml:space="preserve">. 
</t>
    </r>
    <r>
      <rPr>
        <sz val="11"/>
        <color indexed="60"/>
        <rFont val="Calibri"/>
        <family val="2"/>
        <scheme val="minor"/>
      </rPr>
      <t xml:space="preserve"> Prepaid taxes is a common item listed.  Deferred inflows on the face of the statements can include cash and non-cash.  You may have to refer to the note disclosure where the cash and non-cash is broken out.</t>
    </r>
  </si>
  <si>
    <r>
      <rPr>
        <u/>
        <sz val="11"/>
        <color indexed="8"/>
        <rFont val="Calibri"/>
        <family val="2"/>
        <scheme val="minor"/>
      </rPr>
      <t>Total Deferred inflows not derived from cash receipts.</t>
    </r>
    <r>
      <rPr>
        <sz val="11"/>
        <color indexed="8"/>
        <rFont val="Calibri"/>
        <family val="2"/>
        <scheme val="minor"/>
      </rPr>
      <t xml:space="preserve">  </t>
    </r>
    <r>
      <rPr>
        <sz val="11"/>
        <color indexed="60"/>
        <rFont val="Calibri"/>
        <family val="2"/>
        <scheme val="minor"/>
      </rPr>
      <t>Deferred inflows on the face of the statements can include cash and non-cash.  You may have to refer to the note disclosure where the cash and non-cash is broken out.</t>
    </r>
  </si>
  <si>
    <r>
      <rPr>
        <u/>
        <sz val="11"/>
        <color indexed="8"/>
        <rFont val="Calibri"/>
        <family val="2"/>
        <scheme val="minor"/>
      </rPr>
      <t>Fund balance, Restricted for Streets</t>
    </r>
    <r>
      <rPr>
        <sz val="11"/>
        <color theme="1"/>
        <rFont val="Calibri"/>
        <family val="2"/>
        <scheme val="minor"/>
      </rPr>
      <t xml:space="preserve"> (unspent Powell Bill balance).  </t>
    </r>
    <r>
      <rPr>
        <sz val="11"/>
        <color indexed="60"/>
        <rFont val="Calibri"/>
        <family val="2"/>
        <scheme val="minor"/>
      </rPr>
      <t>You may have to refer to the note disclosure where restricted fund balance is described.</t>
    </r>
  </si>
  <si>
    <r>
      <rPr>
        <u/>
        <sz val="11"/>
        <color indexed="8"/>
        <rFont val="Calibri"/>
        <family val="2"/>
        <scheme val="minor"/>
      </rPr>
      <t>Total Fund balance</t>
    </r>
    <r>
      <rPr>
        <sz val="11"/>
        <color theme="1"/>
        <rFont val="Calibri"/>
        <family val="2"/>
        <scheme val="minor"/>
      </rPr>
      <t xml:space="preserve"> </t>
    </r>
    <r>
      <rPr>
        <sz val="11"/>
        <color indexed="60"/>
        <rFont val="Calibri"/>
        <family val="2"/>
        <scheme val="minor"/>
      </rPr>
      <t>(enter fund deficits as negative)</t>
    </r>
  </si>
  <si>
    <r>
      <rPr>
        <b/>
        <sz val="11"/>
        <color indexed="8"/>
        <rFont val="Calibri"/>
        <family val="2"/>
        <scheme val="minor"/>
      </rPr>
      <t>General Fund</t>
    </r>
    <r>
      <rPr>
        <sz val="11"/>
        <color indexed="8"/>
        <rFont val="Calibri"/>
        <family val="2"/>
        <scheme val="minor"/>
      </rPr>
      <t xml:space="preserve"> - Budget Actual Statement</t>
    </r>
  </si>
  <si>
    <r>
      <rPr>
        <u/>
        <sz val="11"/>
        <color indexed="8"/>
        <rFont val="Calibri"/>
        <family val="2"/>
        <scheme val="minor"/>
      </rPr>
      <t>Total Intergovernmental revenue</t>
    </r>
    <r>
      <rPr>
        <sz val="11"/>
        <color theme="1"/>
        <rFont val="Calibri"/>
        <family val="2"/>
        <scheme val="minor"/>
      </rPr>
      <t xml:space="preserve"> 
</t>
    </r>
    <r>
      <rPr>
        <b/>
        <sz val="11"/>
        <color indexed="8"/>
        <rFont val="Calibri"/>
        <family val="2"/>
        <scheme val="minor"/>
      </rPr>
      <t>Include</t>
    </r>
    <r>
      <rPr>
        <sz val="11"/>
        <color indexed="8"/>
        <rFont val="Calibri"/>
        <family val="2"/>
        <scheme val="minor"/>
      </rPr>
      <t xml:space="preserve"> restricted and unrestricted revenues</t>
    </r>
  </si>
  <si>
    <r>
      <rPr>
        <u/>
        <sz val="11"/>
        <color indexed="8"/>
        <rFont val="Calibri"/>
        <family val="2"/>
        <scheme val="minor"/>
      </rPr>
      <t>Debt service expenditures</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principal, interest paid, and bond/debt issuance costs on long-term debt</t>
    </r>
  </si>
  <si>
    <r>
      <rPr>
        <u/>
        <sz val="11"/>
        <rFont val="Calibri"/>
        <family val="2"/>
        <scheme val="minor"/>
      </rPr>
      <t>Total expenditures</t>
    </r>
    <r>
      <rPr>
        <sz val="11"/>
        <rFont val="Calibri"/>
        <family val="2"/>
        <scheme val="minor"/>
      </rPr>
      <t xml:space="preserve">  
</t>
    </r>
    <r>
      <rPr>
        <b/>
        <sz val="11"/>
        <rFont val="Calibri"/>
        <family val="2"/>
        <scheme val="minor"/>
      </rPr>
      <t>Exclude</t>
    </r>
    <r>
      <rPr>
        <sz val="11"/>
        <rFont val="Calibri"/>
        <family val="2"/>
        <scheme val="minor"/>
      </rPr>
      <t xml:space="preserve"> expenditures in the "other financing sources (uses)" section.
</t>
    </r>
  </si>
  <si>
    <r>
      <t xml:space="preserve">Total Transfers in   </t>
    </r>
    <r>
      <rPr>
        <sz val="11"/>
        <color indexed="60"/>
        <rFont val="Calibri"/>
        <family val="2"/>
        <scheme val="minor"/>
      </rPr>
      <t xml:space="preserve"> (Preference is that transfers-in  are not netted against transfers-out)</t>
    </r>
  </si>
  <si>
    <r>
      <t xml:space="preserve">Total Transfers out   </t>
    </r>
    <r>
      <rPr>
        <sz val="11"/>
        <color theme="1"/>
        <rFont val="Calibri"/>
        <family val="2"/>
        <scheme val="minor"/>
      </rPr>
      <t xml:space="preserve"> </t>
    </r>
    <r>
      <rPr>
        <sz val="11"/>
        <color indexed="60"/>
        <rFont val="Calibri"/>
        <family val="2"/>
        <scheme val="minor"/>
      </rPr>
      <t>(Preference is that transfers-in  are not netted against transfers-out)</t>
    </r>
  </si>
  <si>
    <r>
      <rPr>
        <u/>
        <sz val="11"/>
        <rFont val="Calibri"/>
        <family val="2"/>
        <scheme val="minor"/>
      </rPr>
      <t>Total Proceeds from all long-term debt issuances</t>
    </r>
    <r>
      <rPr>
        <sz val="11"/>
        <rFont val="Calibri"/>
        <family val="2"/>
        <scheme val="minor"/>
      </rPr>
      <t xml:space="preserve"> 
</t>
    </r>
    <r>
      <rPr>
        <b/>
        <sz val="11"/>
        <rFont val="Calibri"/>
        <family val="2"/>
        <scheme val="minor"/>
      </rPr>
      <t xml:space="preserve">Exclude </t>
    </r>
    <r>
      <rPr>
        <sz val="11"/>
        <rFont val="Calibri"/>
        <family val="2"/>
        <scheme val="minor"/>
      </rPr>
      <t>proceeds from refundings</t>
    </r>
  </si>
  <si>
    <r>
      <rPr>
        <u/>
        <sz val="11"/>
        <color indexed="8"/>
        <rFont val="Calibri"/>
        <family val="2"/>
        <scheme val="minor"/>
      </rPr>
      <t>Change in fund balance</t>
    </r>
    <r>
      <rPr>
        <sz val="11"/>
        <color theme="1"/>
        <rFont val="Calibri"/>
        <family val="2"/>
        <scheme val="minor"/>
      </rPr>
      <t xml:space="preserve"> - </t>
    </r>
    <r>
      <rPr>
        <sz val="11"/>
        <color indexed="60"/>
        <rFont val="Calibri"/>
        <family val="2"/>
        <scheme val="minor"/>
      </rPr>
      <t>(Increase in Fund balance is recorded as a positive and a decrease in fund balance is recorded as a negative)</t>
    </r>
  </si>
  <si>
    <r>
      <rPr>
        <u/>
        <sz val="11"/>
        <color indexed="8"/>
        <rFont val="Calibri"/>
        <family val="2"/>
        <scheme val="minor"/>
      </rPr>
      <t>Any adjustment to beginning fund balance including rounding, prior period adjustments and restatements.</t>
    </r>
    <r>
      <rPr>
        <sz val="11"/>
        <color theme="1"/>
        <rFont val="Calibri"/>
        <family val="2"/>
        <scheme val="minor"/>
      </rPr>
      <t xml:space="preserve">  </t>
    </r>
    <r>
      <rPr>
        <sz val="11"/>
        <color indexed="60"/>
        <rFont val="Calibri"/>
        <family val="2"/>
        <scheme val="minor"/>
      </rPr>
      <t xml:space="preserve"> (Amounts that increase fund balance are recorded as positive and amounts that decrease fund balance are recorded as negative)</t>
    </r>
  </si>
  <si>
    <r>
      <t xml:space="preserve">Amount of </t>
    </r>
    <r>
      <rPr>
        <u/>
        <sz val="11"/>
        <color indexed="8"/>
        <rFont val="Calibri"/>
        <family val="2"/>
        <scheme val="minor"/>
      </rPr>
      <t>Local Current Expense Funds</t>
    </r>
    <r>
      <rPr>
        <sz val="11"/>
        <color indexed="8"/>
        <rFont val="Calibri"/>
        <family val="2"/>
        <scheme val="minor"/>
      </rPr>
      <t xml:space="preserve"> received from the County transferred to Fund 8 this year.</t>
    </r>
  </si>
  <si>
    <r>
      <t xml:space="preserve">Amount of </t>
    </r>
    <r>
      <rPr>
        <u/>
        <sz val="11"/>
        <color indexed="8"/>
        <rFont val="Calibri"/>
        <family val="2"/>
        <scheme val="minor"/>
      </rPr>
      <t>Capital Outlay Funds</t>
    </r>
    <r>
      <rPr>
        <sz val="11"/>
        <color indexed="8"/>
        <rFont val="Calibri"/>
        <family val="2"/>
        <scheme val="minor"/>
      </rPr>
      <t xml:space="preserve"> received from the County transferred to Fund 8 this year.</t>
    </r>
  </si>
  <si>
    <r>
      <rPr>
        <u/>
        <sz val="11"/>
        <color indexed="8"/>
        <rFont val="Calibri"/>
        <family val="2"/>
        <scheme val="minor"/>
      </rPr>
      <t>Debt service expenditures from all governmental funds</t>
    </r>
    <r>
      <rPr>
        <sz val="11"/>
        <color theme="1"/>
        <rFont val="Calibri"/>
        <family val="2"/>
        <scheme val="minor"/>
      </rPr>
      <t>.  Include principal, interest paid, and debt issuance costs on long-term debt.</t>
    </r>
  </si>
  <si>
    <r>
      <t xml:space="preserve">Total Long-term debt (non current portion only) - </t>
    </r>
    <r>
      <rPr>
        <sz val="11"/>
        <color indexed="10"/>
        <rFont val="Calibri"/>
        <family val="2"/>
        <scheme val="minor"/>
      </rPr>
      <t>enter as a positive</t>
    </r>
  </si>
  <si>
    <r>
      <t xml:space="preserve">Total Operating Expenses. May include Interest Expense - </t>
    </r>
    <r>
      <rPr>
        <sz val="11"/>
        <color indexed="10"/>
        <rFont val="Calibri"/>
        <family val="2"/>
        <scheme val="minor"/>
      </rPr>
      <t>Enter as a positive</t>
    </r>
  </si>
  <si>
    <r>
      <t xml:space="preserve">Interest Expense - </t>
    </r>
    <r>
      <rPr>
        <sz val="11"/>
        <color indexed="10"/>
        <rFont val="Calibri"/>
        <family val="2"/>
        <scheme val="minor"/>
      </rPr>
      <t xml:space="preserve">Enter as a positive </t>
    </r>
  </si>
  <si>
    <r>
      <rPr>
        <b/>
        <sz val="11"/>
        <color indexed="8"/>
        <rFont val="Calibri"/>
        <family val="2"/>
        <scheme val="minor"/>
      </rPr>
      <t>Statement of Net Position - Water and Sewer Operations</t>
    </r>
    <r>
      <rPr>
        <sz val="11"/>
        <color indexed="8"/>
        <rFont val="Calibri"/>
        <family val="2"/>
        <scheme val="minor"/>
      </rPr>
      <t xml:space="preserve"> - If unit maintains separate funds please combine all water, sewer,</t>
    </r>
  </si>
  <si>
    <r>
      <rPr>
        <b/>
        <sz val="11"/>
        <color indexed="8"/>
        <rFont val="Calibri"/>
        <family val="2"/>
        <scheme val="minor"/>
      </rPr>
      <t>Water Sewe</t>
    </r>
    <r>
      <rPr>
        <sz val="11"/>
        <color indexed="8"/>
        <rFont val="Calibri"/>
        <family val="2"/>
        <scheme val="minor"/>
      </rPr>
      <t>r Net Position Statement</t>
    </r>
  </si>
  <si>
    <r>
      <rPr>
        <u/>
        <sz val="11"/>
        <color indexed="8"/>
        <rFont val="Calibri"/>
        <family val="2"/>
        <scheme val="minor"/>
      </rPr>
      <t>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and/or restricted investments.</t>
    </r>
  </si>
  <si>
    <r>
      <rPr>
        <u/>
        <sz val="11"/>
        <color indexed="8"/>
        <rFont val="Calibri"/>
        <family val="2"/>
        <scheme val="minor"/>
      </rPr>
      <t>Customer accounts receivable</t>
    </r>
    <r>
      <rPr>
        <sz val="11"/>
        <color theme="1"/>
        <rFont val="Calibri"/>
        <family val="2"/>
        <scheme val="minor"/>
      </rPr>
      <t xml:space="preserve"> (net of allowance accounts). 
</t>
    </r>
    <r>
      <rPr>
        <b/>
        <sz val="11"/>
        <color indexed="8"/>
        <rFont val="Calibri"/>
        <family val="2"/>
        <scheme val="minor"/>
      </rPr>
      <t>Include</t>
    </r>
    <r>
      <rPr>
        <sz val="11"/>
        <color theme="1"/>
        <rFont val="Calibri"/>
        <family val="2"/>
        <scheme val="minor"/>
      </rPr>
      <t xml:space="preserve"> both billed and unbilled amounts.</t>
    </r>
  </si>
  <si>
    <r>
      <rPr>
        <u/>
        <sz val="11"/>
        <rFont val="Calibri"/>
        <family val="2"/>
        <scheme val="minor"/>
      </rPr>
      <t>Water Sewer - Advance To:</t>
    </r>
    <r>
      <rPr>
        <sz val="11"/>
        <rFont val="Calibri"/>
        <family val="2"/>
        <scheme val="minor"/>
      </rPr>
      <t xml:space="preserve">
Interfund loan receivable-portion of repayment plan longer than 12 months</t>
    </r>
  </si>
  <si>
    <r>
      <rPr>
        <u/>
        <sz val="11"/>
        <color indexed="8"/>
        <rFont val="Calibri"/>
        <family val="2"/>
        <scheme val="minor"/>
      </rPr>
      <t>Total Current assets as listed on the WS Net Position Statement</t>
    </r>
    <r>
      <rPr>
        <sz val="11"/>
        <color indexed="8"/>
        <rFont val="Calibri"/>
        <family val="2"/>
        <scheme val="minor"/>
      </rPr>
      <t xml:space="preserve">.  
</t>
    </r>
  </si>
  <si>
    <r>
      <rPr>
        <u/>
        <sz val="11"/>
        <rFont val="Calibri"/>
        <family val="2"/>
        <scheme val="minor"/>
      </rPr>
      <t xml:space="preserve">Water Sewer - Advance From: 
</t>
    </r>
    <r>
      <rPr>
        <sz val="11"/>
        <rFont val="Calibri"/>
        <family val="2"/>
        <scheme val="minor"/>
      </rPr>
      <t>Interfund loan Payable-portion of repayment plan longer than 12 months</t>
    </r>
  </si>
  <si>
    <r>
      <rPr>
        <u/>
        <sz val="11"/>
        <color indexed="8"/>
        <rFont val="Calibri"/>
        <family val="2"/>
        <scheme val="minor"/>
      </rPr>
      <t>Total Net position, Unrestricted</t>
    </r>
    <r>
      <rPr>
        <sz val="11"/>
        <color theme="1"/>
        <rFont val="Calibri"/>
        <family val="2"/>
        <scheme val="minor"/>
      </rPr>
      <t xml:space="preserve"> - </t>
    </r>
    <r>
      <rPr>
        <sz val="11"/>
        <color indexed="60"/>
        <rFont val="Calibri"/>
        <family val="2"/>
        <scheme val="minor"/>
      </rPr>
      <t>enter negative unrestricted net position as a negative</t>
    </r>
  </si>
  <si>
    <r>
      <rPr>
        <b/>
        <sz val="11"/>
        <color indexed="8"/>
        <rFont val="Calibri"/>
        <family val="2"/>
        <scheme val="minor"/>
      </rPr>
      <t>Electric Fund</t>
    </r>
    <r>
      <rPr>
        <sz val="11"/>
        <color indexed="8"/>
        <rFont val="Calibri"/>
        <family val="2"/>
        <scheme val="minor"/>
      </rPr>
      <t xml:space="preserve"> Net Position Statement</t>
    </r>
  </si>
  <si>
    <r>
      <rPr>
        <u/>
        <sz val="11"/>
        <color indexed="8"/>
        <rFont val="Calibri"/>
        <family val="2"/>
        <scheme val="minor"/>
      </rPr>
      <t>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any restricted cash and investments.</t>
    </r>
  </si>
  <si>
    <r>
      <rPr>
        <u/>
        <sz val="11"/>
        <color indexed="8"/>
        <rFont val="Calibri"/>
        <family val="2"/>
        <scheme val="minor"/>
      </rPr>
      <t>Customer accounts receivable</t>
    </r>
    <r>
      <rPr>
        <sz val="11"/>
        <color theme="1"/>
        <rFont val="Calibri"/>
        <family val="2"/>
        <scheme val="minor"/>
      </rPr>
      <t xml:space="preserve"> (net of allowance accounts)
</t>
    </r>
    <r>
      <rPr>
        <b/>
        <sz val="11"/>
        <color indexed="8"/>
        <rFont val="Calibri"/>
        <family val="2"/>
        <scheme val="minor"/>
      </rPr>
      <t>Include</t>
    </r>
    <r>
      <rPr>
        <sz val="11"/>
        <color theme="1"/>
        <rFont val="Calibri"/>
        <family val="2"/>
        <scheme val="minor"/>
      </rPr>
      <t xml:space="preserve"> billed and unbilled amounts </t>
    </r>
  </si>
  <si>
    <r>
      <rPr>
        <u/>
        <sz val="11"/>
        <rFont val="Calibri"/>
        <family val="2"/>
        <scheme val="minor"/>
      </rPr>
      <t>Electric Fund - Advance To:</t>
    </r>
    <r>
      <rPr>
        <sz val="11"/>
        <rFont val="Calibri"/>
        <family val="2"/>
        <scheme val="minor"/>
      </rPr>
      <t xml:space="preserve">
Interfund loan receivable-portion of repayment plan longer than 12 months</t>
    </r>
  </si>
  <si>
    <r>
      <rPr>
        <u/>
        <sz val="11"/>
        <color indexed="8"/>
        <rFont val="Calibri"/>
        <family val="2"/>
        <scheme val="minor"/>
      </rPr>
      <t>Total Current assets as listed on the Electric Net Position Statement</t>
    </r>
    <r>
      <rPr>
        <sz val="11"/>
        <color indexed="8"/>
        <rFont val="Calibri"/>
        <family val="2"/>
        <scheme val="minor"/>
      </rPr>
      <t xml:space="preserve">.  
</t>
    </r>
  </si>
  <si>
    <r>
      <rPr>
        <u/>
        <sz val="11"/>
        <rFont val="Calibri"/>
        <family val="2"/>
        <scheme val="minor"/>
      </rPr>
      <t>Electric Fund - Advance From:</t>
    </r>
    <r>
      <rPr>
        <sz val="11"/>
        <rFont val="Calibri"/>
        <family val="2"/>
        <scheme val="minor"/>
      </rPr>
      <t xml:space="preserve">
Interfund loans payable-portion of repayment plan longer than 12 months</t>
    </r>
  </si>
  <si>
    <r>
      <rPr>
        <u/>
        <sz val="11"/>
        <color indexed="8"/>
        <rFont val="Calibri"/>
        <family val="2"/>
        <scheme val="minor"/>
      </rPr>
      <t>Total net position, unrestricted</t>
    </r>
    <r>
      <rPr>
        <sz val="11"/>
        <color theme="1"/>
        <rFont val="Calibri"/>
        <family val="2"/>
        <scheme val="minor"/>
      </rPr>
      <t xml:space="preserve"> - </t>
    </r>
    <r>
      <rPr>
        <sz val="11"/>
        <color indexed="60"/>
        <rFont val="Calibri"/>
        <family val="2"/>
        <scheme val="minor"/>
      </rPr>
      <t>Amount of negative unrestricted net position should be entered as a negative amount and the amount of positive unrestricted net position should be entered as a positive amount.</t>
    </r>
  </si>
  <si>
    <r>
      <rPr>
        <b/>
        <sz val="11"/>
        <color indexed="8"/>
        <rFont val="Calibri"/>
        <family val="2"/>
        <scheme val="minor"/>
      </rPr>
      <t>Water Sewer</t>
    </r>
    <r>
      <rPr>
        <sz val="11"/>
        <color indexed="8"/>
        <rFont val="Calibri"/>
        <family val="2"/>
        <scheme val="minor"/>
      </rPr>
      <t xml:space="preserve"> Revenue, Expenses &amp; Changes in Fund Net Position</t>
    </r>
  </si>
  <si>
    <r>
      <rPr>
        <u/>
        <sz val="11"/>
        <color indexed="8"/>
        <rFont val="Calibri"/>
        <family val="2"/>
        <scheme val="minor"/>
      </rPr>
      <t>Charges for services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tap, capacity fees and other misc. income .</t>
    </r>
  </si>
  <si>
    <r>
      <rPr>
        <u/>
        <sz val="11"/>
        <color indexed="8"/>
        <rFont val="Calibri"/>
        <family val="2"/>
        <scheme val="minor"/>
      </rPr>
      <t>Total all non-operating revenues</t>
    </r>
    <r>
      <rPr>
        <sz val="11"/>
        <color indexed="10"/>
        <rFont val="Calibri"/>
        <family val="2"/>
        <scheme val="minor"/>
      </rPr>
      <t xml:space="preserve">  
</t>
    </r>
    <r>
      <rPr>
        <b/>
        <sz val="11"/>
        <color indexed="8"/>
        <rFont val="Calibri"/>
        <family val="2"/>
        <scheme val="minor"/>
      </rPr>
      <t>Exclude</t>
    </r>
    <r>
      <rPr>
        <sz val="11"/>
        <color indexed="8"/>
        <rFont val="Calibri"/>
        <family val="2"/>
        <scheme val="minor"/>
      </rPr>
      <t xml:space="preserve"> Capital contributions.</t>
    </r>
  </si>
  <si>
    <r>
      <rPr>
        <u/>
        <sz val="11"/>
        <color indexed="8"/>
        <rFont val="Calibri"/>
        <family val="2"/>
        <scheme val="minor"/>
      </rPr>
      <t>Total all non-operating expenses</t>
    </r>
    <r>
      <rPr>
        <sz val="11"/>
        <color theme="1"/>
        <rFont val="Calibri"/>
        <family val="2"/>
        <scheme val="minor"/>
      </rPr>
      <t xml:space="preserve">. </t>
    </r>
    <r>
      <rPr>
        <sz val="11"/>
        <color indexed="60"/>
        <rFont val="Calibri"/>
        <family val="2"/>
        <scheme val="minor"/>
      </rPr>
      <t xml:space="preserve"> 
</t>
    </r>
    <r>
      <rPr>
        <b/>
        <sz val="11"/>
        <color indexed="8"/>
        <rFont val="Calibri"/>
        <family val="2"/>
        <scheme val="minor"/>
      </rPr>
      <t>Include</t>
    </r>
    <r>
      <rPr>
        <sz val="11"/>
        <color indexed="8"/>
        <rFont val="Calibri"/>
        <family val="2"/>
        <scheme val="minor"/>
      </rPr>
      <t xml:space="preserve"> any </t>
    </r>
    <r>
      <rPr>
        <b/>
        <sz val="11"/>
        <color indexed="8"/>
        <rFont val="Calibri"/>
        <family val="2"/>
        <scheme val="minor"/>
      </rPr>
      <t>negative</t>
    </r>
    <r>
      <rPr>
        <sz val="11"/>
        <color indexed="8"/>
        <rFont val="Calibri"/>
        <family val="2"/>
        <scheme val="minor"/>
      </rPr>
      <t xml:space="preserve"> special, extraordinary, or capital contribution.</t>
    </r>
  </si>
  <si>
    <r>
      <rPr>
        <u/>
        <sz val="11"/>
        <color indexed="8"/>
        <rFont val="Calibri"/>
        <family val="2"/>
        <scheme val="minor"/>
      </rPr>
      <t>Capital contributions</t>
    </r>
    <r>
      <rPr>
        <sz val="11"/>
        <color theme="1"/>
        <rFont val="Calibri"/>
        <family val="2"/>
        <scheme val="minor"/>
      </rPr>
      <t>.</t>
    </r>
    <r>
      <rPr>
        <sz val="11"/>
        <color indexed="60"/>
        <rFont val="Calibri"/>
        <family val="2"/>
        <scheme val="minor"/>
      </rPr>
      <t xml:space="preserve"> Only include positive capital contributions.  Negative capital contributions should be included with 'Total all non-operating expenses.'</t>
    </r>
  </si>
  <si>
    <r>
      <rPr>
        <u/>
        <sz val="11"/>
        <color indexed="8"/>
        <rFont val="Calibri"/>
        <family val="2"/>
        <scheme val="minor"/>
      </rPr>
      <t>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</si>
  <si>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Increases or (decreases) to beginning water sewer net position due to rounding, prior period adjustments and restatements</t>
    </r>
    <r>
      <rPr>
        <sz val="11"/>
        <color theme="1"/>
        <rFont val="Calibri"/>
        <family val="2"/>
        <scheme val="minor"/>
      </rPr>
      <t xml:space="preserve">.  </t>
    </r>
    <r>
      <rPr>
        <sz val="11"/>
        <color indexed="60"/>
        <rFont val="Calibri"/>
        <family val="2"/>
        <scheme val="minor"/>
      </rPr>
      <t>Increase amounts to beginning net position should be entered as a positive amount and (decreases) should be entered as a negative amount.</t>
    </r>
  </si>
  <si>
    <r>
      <rPr>
        <u/>
        <sz val="11"/>
        <color indexed="8"/>
        <rFont val="Calibri"/>
        <family val="2"/>
        <scheme val="minor"/>
      </rPr>
      <t>Did unit raise Water Sewer rates during the audited fiscal period</t>
    </r>
    <r>
      <rPr>
        <sz val="11"/>
        <color theme="1"/>
        <rFont val="Calibri"/>
        <family val="2"/>
        <scheme val="minor"/>
      </rPr>
      <t>? -</t>
    </r>
    <r>
      <rPr>
        <sz val="11"/>
        <color indexed="60"/>
        <rFont val="Calibri"/>
        <family val="2"/>
        <scheme val="minor"/>
      </rPr>
      <t xml:space="preserve"> answer Yes or No</t>
    </r>
  </si>
  <si>
    <r>
      <rPr>
        <u/>
        <sz val="11"/>
        <color indexed="8"/>
        <rFont val="Calibri"/>
        <family val="2"/>
        <scheme val="minor"/>
      </rPr>
      <t>Did unit raise Water Sewer rates during the budget year following the audited fiscal year</t>
    </r>
    <r>
      <rPr>
        <sz val="11"/>
        <color theme="1"/>
        <rFont val="Calibri"/>
        <family val="2"/>
        <scheme val="minor"/>
      </rPr>
      <t xml:space="preserve">? - </t>
    </r>
    <r>
      <rPr>
        <sz val="11"/>
        <color indexed="60"/>
        <rFont val="Calibri"/>
        <family val="2"/>
        <scheme val="minor"/>
      </rPr>
      <t>answer Yes or No</t>
    </r>
  </si>
  <si>
    <r>
      <rPr>
        <b/>
        <sz val="11"/>
        <color indexed="8"/>
        <rFont val="Calibri"/>
        <family val="2"/>
        <scheme val="minor"/>
      </rPr>
      <t>Electric Fund</t>
    </r>
    <r>
      <rPr>
        <sz val="11"/>
        <color indexed="8"/>
        <rFont val="Calibri"/>
        <family val="2"/>
        <scheme val="minor"/>
      </rPr>
      <t xml:space="preserve"> Revenue, Expenses &amp; Changes in Fund Net Position</t>
    </r>
  </si>
  <si>
    <r>
      <rPr>
        <u/>
        <sz val="11"/>
        <color indexed="8"/>
        <rFont val="Calibri"/>
        <family val="2"/>
        <scheme val="minor"/>
      </rPr>
      <t xml:space="preserve">Total all the non-operating revenues  </t>
    </r>
    <r>
      <rPr>
        <sz val="11"/>
        <color indexed="8"/>
        <rFont val="Calibri"/>
        <family val="2"/>
        <scheme val="minor"/>
      </rPr>
      <t xml:space="preserve">
</t>
    </r>
    <r>
      <rPr>
        <b/>
        <sz val="11"/>
        <color indexed="8"/>
        <rFont val="Calibri"/>
        <family val="2"/>
        <scheme val="minor"/>
      </rPr>
      <t>Exclude</t>
    </r>
    <r>
      <rPr>
        <sz val="11"/>
        <color indexed="8"/>
        <rFont val="Calibri"/>
        <family val="2"/>
        <scheme val="minor"/>
      </rPr>
      <t xml:space="preserve"> Capital Contributions.</t>
    </r>
  </si>
  <si>
    <r>
      <rPr>
        <u/>
        <sz val="11"/>
        <color indexed="8"/>
        <rFont val="Calibri"/>
        <family val="2"/>
        <scheme val="minor"/>
      </rPr>
      <t>Total all non-operating expenses</t>
    </r>
    <r>
      <rPr>
        <sz val="11"/>
        <color theme="1"/>
        <rFont val="Calibri"/>
        <family val="2"/>
        <scheme val="minor"/>
      </rPr>
      <t xml:space="preserve">. </t>
    </r>
    <r>
      <rPr>
        <sz val="11"/>
        <color indexed="60"/>
        <rFont val="Calibri"/>
        <family val="2"/>
        <scheme val="minor"/>
      </rPr>
      <t xml:space="preserve"> 
</t>
    </r>
    <r>
      <rPr>
        <b/>
        <sz val="11"/>
        <color indexed="8"/>
        <rFont val="Calibri"/>
        <family val="2"/>
        <scheme val="minor"/>
      </rPr>
      <t>Include</t>
    </r>
    <r>
      <rPr>
        <sz val="11"/>
        <color indexed="8"/>
        <rFont val="Calibri"/>
        <family val="2"/>
        <scheme val="minor"/>
      </rPr>
      <t xml:space="preserve"> </t>
    </r>
    <r>
      <rPr>
        <b/>
        <sz val="11"/>
        <color indexed="8"/>
        <rFont val="Calibri"/>
        <family val="2"/>
        <scheme val="minor"/>
      </rPr>
      <t>negative</t>
    </r>
    <r>
      <rPr>
        <sz val="11"/>
        <color indexed="8"/>
        <rFont val="Calibri"/>
        <family val="2"/>
        <scheme val="minor"/>
      </rPr>
      <t xml:space="preserve"> special, extraordinary, or capital contribution.</t>
    </r>
  </si>
  <si>
    <r>
      <rPr>
        <u/>
        <sz val="11"/>
        <color indexed="8"/>
        <rFont val="Calibri"/>
        <family val="2"/>
        <scheme val="minor"/>
      </rPr>
      <t>Capi</t>
    </r>
    <r>
      <rPr>
        <u/>
        <sz val="11"/>
        <rFont val="Calibri"/>
        <family val="2"/>
        <scheme val="minor"/>
      </rPr>
      <t>tal Contributions</t>
    </r>
    <r>
      <rPr>
        <sz val="11"/>
        <rFont val="Calibri"/>
        <family val="2"/>
        <scheme val="minor"/>
      </rPr>
      <t xml:space="preserve">.  
</t>
    </r>
    <r>
      <rPr>
        <b/>
        <sz val="11"/>
        <rFont val="Calibri"/>
        <family val="2"/>
        <scheme val="minor"/>
      </rPr>
      <t xml:space="preserve">Include </t>
    </r>
    <r>
      <rPr>
        <sz val="11"/>
        <rFont val="Calibri"/>
        <family val="2"/>
        <scheme val="minor"/>
      </rPr>
      <t>only positive capital Contributions.</t>
    </r>
    <r>
      <rPr>
        <b/>
        <sz val="11"/>
        <rFont val="Calibri"/>
        <family val="2"/>
        <scheme val="minor"/>
      </rPr>
      <t xml:space="preserve">  </t>
    </r>
    <r>
      <rPr>
        <sz val="11"/>
        <color indexed="60"/>
        <rFont val="Calibri"/>
        <family val="2"/>
        <scheme val="minor"/>
      </rPr>
      <t>Negative capital contributions should be included with 'Total all non-operating expenses.'</t>
    </r>
  </si>
  <si>
    <r>
      <rPr>
        <u/>
        <sz val="11"/>
        <color indexed="8"/>
        <rFont val="Calibri"/>
        <family val="2"/>
        <scheme val="minor"/>
      </rPr>
      <t>Total Transfers In</t>
    </r>
    <r>
      <rPr>
        <sz val="11"/>
        <color theme="1"/>
        <rFont val="Calibri"/>
        <family val="2"/>
        <scheme val="minor"/>
      </rPr>
      <t xml:space="preserve"> (From all Funds)</t>
    </r>
  </si>
  <si>
    <r>
      <rPr>
        <u/>
        <sz val="11"/>
        <color indexed="8"/>
        <rFont val="Calibri"/>
        <family val="2"/>
        <scheme val="minor"/>
      </rPr>
      <t>Total Transfers Out</t>
    </r>
    <r>
      <rPr>
        <sz val="11"/>
        <color theme="1"/>
        <rFont val="Calibri"/>
        <family val="2"/>
        <scheme val="minor"/>
      </rPr>
      <t xml:space="preserve"> (To all funds)</t>
    </r>
  </si>
  <si>
    <r>
      <rPr>
        <u/>
        <sz val="11"/>
        <color indexed="8"/>
        <rFont val="Calibri"/>
        <family val="2"/>
        <scheme val="minor"/>
      </rPr>
      <t>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</si>
  <si>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Increases or (decreases) to beginning electric net position due to rounding, prior period adjustments and restatements</t>
    </r>
    <r>
      <rPr>
        <sz val="11"/>
        <color indexed="60"/>
        <rFont val="Calibri"/>
        <family val="2"/>
        <scheme val="minor"/>
      </rPr>
      <t>.  Increase amounts to beginning net position should be entered as a positive amount and (decreases) should be entered as a negative amount.</t>
    </r>
  </si>
  <si>
    <r>
      <rPr>
        <b/>
        <sz val="11"/>
        <color indexed="8"/>
        <rFont val="Calibri"/>
        <family val="2"/>
        <scheme val="minor"/>
      </rPr>
      <t>Water and Sewer Operations</t>
    </r>
    <r>
      <rPr>
        <sz val="11"/>
        <color indexed="8"/>
        <rFont val="Calibri"/>
        <family val="2"/>
        <scheme val="minor"/>
      </rPr>
      <t xml:space="preserve"> - If unit maintains separate funds please combine all water, sewer,</t>
    </r>
  </si>
  <si>
    <r>
      <t xml:space="preserve">and wastewater funds into one activity for purposes of this worksheet.  </t>
    </r>
    <r>
      <rPr>
        <b/>
        <sz val="11"/>
        <color indexed="8"/>
        <rFont val="Calibri"/>
        <family val="2"/>
        <scheme val="minor"/>
      </rPr>
      <t>Exclude stormwater funds</t>
    </r>
    <r>
      <rPr>
        <sz val="11"/>
        <color indexed="8"/>
        <rFont val="Calibri"/>
        <family val="2"/>
        <scheme val="minor"/>
      </rPr>
      <t xml:space="preserve">.  Only fill out this section if </t>
    </r>
  </si>
  <si>
    <r>
      <t xml:space="preserve">Water Sewer </t>
    </r>
    <r>
      <rPr>
        <sz val="11"/>
        <color indexed="8"/>
        <rFont val="Calibri"/>
        <family val="2"/>
        <scheme val="minor"/>
      </rPr>
      <t>Cash Flow Statement</t>
    </r>
  </si>
  <si>
    <r>
      <rPr>
        <u/>
        <sz val="11"/>
        <color indexed="8"/>
        <rFont val="Calibri"/>
        <family val="2"/>
        <scheme val="minor"/>
      </rPr>
      <t xml:space="preserve">Total Cash flow from </t>
    </r>
    <r>
      <rPr>
        <b/>
        <u/>
        <sz val="11"/>
        <color indexed="8"/>
        <rFont val="Calibri"/>
        <family val="2"/>
        <scheme val="minor"/>
      </rPr>
      <t>operating</t>
    </r>
    <r>
      <rPr>
        <u/>
        <sz val="11"/>
        <color indexed="8"/>
        <rFont val="Calibri"/>
        <family val="2"/>
        <scheme val="minor"/>
      </rPr>
      <t xml:space="preserve"> activities</t>
    </r>
    <r>
      <rPr>
        <sz val="11"/>
        <color theme="1"/>
        <rFont val="Calibri"/>
        <family val="2"/>
        <scheme val="minor"/>
      </rPr>
      <t xml:space="preserve">  - </t>
    </r>
    <r>
      <rPr>
        <sz val="11"/>
        <color indexed="60"/>
        <rFont val="Calibri"/>
        <family val="2"/>
        <scheme val="minor"/>
      </rPr>
      <t>(Enter negative cash flows as negative)</t>
    </r>
  </si>
  <si>
    <r>
      <rPr>
        <u/>
        <sz val="11"/>
        <color indexed="8"/>
        <rFont val="Calibri"/>
        <family val="2"/>
        <scheme val="minor"/>
      </rPr>
      <t>Total Capital outlay</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acquisition and construction of capital assets.</t>
    </r>
  </si>
  <si>
    <r>
      <rPr>
        <u/>
        <sz val="11"/>
        <color indexed="8"/>
        <rFont val="Calibri"/>
        <family val="2"/>
        <scheme val="minor"/>
      </rPr>
      <t>Principal paid on long-term debt</t>
    </r>
    <r>
      <rPr>
        <sz val="11"/>
        <color theme="1"/>
        <rFont val="Calibri"/>
        <family val="2"/>
        <scheme val="minor"/>
      </rPr>
      <t xml:space="preserve">.  </t>
    </r>
    <r>
      <rPr>
        <sz val="11"/>
        <color indexed="60"/>
        <rFont val="Calibri"/>
        <family val="2"/>
        <scheme val="minor"/>
      </rPr>
      <t>Amount should be reduced by principal payments for debt refunding.</t>
    </r>
  </si>
  <si>
    <r>
      <t xml:space="preserve">Electric Fund </t>
    </r>
    <r>
      <rPr>
        <sz val="11"/>
        <color indexed="8"/>
        <rFont val="Calibri"/>
        <family val="2"/>
        <scheme val="minor"/>
      </rPr>
      <t>Cash Flow Statement</t>
    </r>
  </si>
  <si>
    <r>
      <rPr>
        <u/>
        <sz val="11"/>
        <color indexed="8"/>
        <rFont val="Calibri"/>
        <family val="2"/>
        <scheme val="minor"/>
      </rPr>
      <t xml:space="preserve">Cash flow from </t>
    </r>
    <r>
      <rPr>
        <b/>
        <u/>
        <sz val="11"/>
        <color indexed="8"/>
        <rFont val="Calibri"/>
        <family val="2"/>
        <scheme val="minor"/>
      </rPr>
      <t>operating</t>
    </r>
    <r>
      <rPr>
        <u/>
        <sz val="11"/>
        <color indexed="8"/>
        <rFont val="Calibri"/>
        <family val="2"/>
        <scheme val="minor"/>
      </rPr>
      <t xml:space="preserve"> activities</t>
    </r>
    <r>
      <rPr>
        <sz val="11"/>
        <color theme="1"/>
        <rFont val="Calibri"/>
        <family val="2"/>
        <scheme val="minor"/>
      </rPr>
      <t xml:space="preserve"> - </t>
    </r>
    <r>
      <rPr>
        <sz val="11"/>
        <color indexed="60"/>
        <rFont val="Calibri"/>
        <family val="2"/>
        <scheme val="minor"/>
      </rPr>
      <t>(enter negative cash flows as negative)</t>
    </r>
  </si>
  <si>
    <r>
      <rPr>
        <u/>
        <sz val="11"/>
        <color indexed="8"/>
        <rFont val="Calibri"/>
        <family val="2"/>
        <scheme val="minor"/>
      </rPr>
      <t>Total Capital outlay.</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acquisition and construction of capital assets.</t>
    </r>
  </si>
  <si>
    <r>
      <rPr>
        <u/>
        <sz val="11"/>
        <color indexed="8"/>
        <rFont val="Calibri"/>
        <family val="2"/>
        <scheme val="minor"/>
      </rPr>
      <t>Cash and investments</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unrestricted and restricted.  
                   cash and investments held 
                   by a third party</t>
    </r>
  </si>
  <si>
    <r>
      <rPr>
        <u/>
        <sz val="11"/>
        <color indexed="8"/>
        <rFont val="Calibri"/>
        <family val="2"/>
        <scheme val="minor"/>
      </rPr>
      <t>Cash and Investment</t>
    </r>
    <r>
      <rPr>
        <sz val="11"/>
        <color indexed="8"/>
        <rFont val="Calibri"/>
        <family val="2"/>
        <scheme val="minor"/>
      </rPr>
      <t xml:space="preserve"> - </t>
    </r>
    <r>
      <rPr>
        <sz val="11"/>
        <color indexed="60"/>
        <rFont val="Calibri"/>
        <family val="2"/>
        <scheme val="minor"/>
      </rPr>
      <t>Please list the book value of any unspent debt proceeds (bonds, installment, etc.) in any funds as of June 30.  This information may be on the face of your statements or in the notes</t>
    </r>
  </si>
  <si>
    <r>
      <t xml:space="preserve">Total Assets </t>
    </r>
    <r>
      <rPr>
        <b/>
        <sz val="11"/>
        <color indexed="8"/>
        <rFont val="Calibri"/>
        <family val="2"/>
        <scheme val="minor"/>
      </rPr>
      <t>being depreciated</t>
    </r>
    <r>
      <rPr>
        <sz val="11"/>
        <color theme="1"/>
        <rFont val="Calibri"/>
        <family val="2"/>
        <scheme val="minor"/>
      </rPr>
      <t xml:space="preserve"> for Governmental Activities:</t>
    </r>
  </si>
  <si>
    <r>
      <rPr>
        <u/>
        <sz val="11"/>
        <color indexed="8"/>
        <rFont val="Calibri"/>
        <family val="2"/>
        <scheme val="minor"/>
      </rPr>
      <t>Gross value.</t>
    </r>
    <r>
      <rPr>
        <sz val="11"/>
        <color theme="1"/>
        <rFont val="Calibri"/>
        <family val="2"/>
        <scheme val="minor"/>
      </rPr>
      <t xml:space="preserve"> </t>
    </r>
    <r>
      <rPr>
        <b/>
        <sz val="11"/>
        <color indexed="8"/>
        <rFont val="Calibri"/>
        <family val="2"/>
        <scheme val="minor"/>
      </rPr>
      <t xml:space="preserve"> 
Exclude</t>
    </r>
    <r>
      <rPr>
        <sz val="11"/>
        <color theme="1"/>
        <rFont val="Calibri"/>
        <family val="2"/>
        <scheme val="minor"/>
      </rPr>
      <t xml:space="preserve"> non-depreciable.</t>
    </r>
  </si>
  <si>
    <r>
      <t xml:space="preserve">Capital Assets for Water and Sewer Activity </t>
    </r>
    <r>
      <rPr>
        <sz val="11"/>
        <color indexed="60"/>
        <rFont val="Calibri"/>
        <family val="2"/>
        <scheme val="minor"/>
      </rPr>
      <t>(If unit maintains separate funds please combine all water, sewer and wastewater funds into one activity for purposes of this worksheet)</t>
    </r>
    <r>
      <rPr>
        <b/>
        <sz val="11"/>
        <color indexed="8"/>
        <rFont val="Calibri"/>
        <family val="2"/>
        <scheme val="minor"/>
      </rPr>
      <t xml:space="preserve">
Exclude </t>
    </r>
    <r>
      <rPr>
        <sz val="11"/>
        <color indexed="8"/>
        <rFont val="Calibri"/>
        <family val="2"/>
        <scheme val="minor"/>
      </rPr>
      <t>Stormwater funds</t>
    </r>
  </si>
  <si>
    <r>
      <t xml:space="preserve">Assets </t>
    </r>
    <r>
      <rPr>
        <b/>
        <sz val="11"/>
        <color indexed="8"/>
        <rFont val="Calibri"/>
        <family val="2"/>
        <scheme val="minor"/>
      </rPr>
      <t>not being depreciated</t>
    </r>
    <r>
      <rPr>
        <sz val="11"/>
        <color theme="1"/>
        <rFont val="Calibri"/>
        <family val="2"/>
        <scheme val="minor"/>
      </rPr>
      <t xml:space="preserve"> for Water and Sewer Activities:</t>
    </r>
  </si>
  <si>
    <r>
      <rPr>
        <u/>
        <sz val="11"/>
        <color indexed="8"/>
        <rFont val="Calibri"/>
        <family val="2"/>
        <scheme val="minor"/>
      </rPr>
      <t>Land and all other non depreciable capital assets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construction in progress</t>
    </r>
  </si>
  <si>
    <r>
      <t>Total Assets not being depreciated for</t>
    </r>
    <r>
      <rPr>
        <b/>
        <u/>
        <sz val="11"/>
        <color indexed="8"/>
        <rFont val="Calibri"/>
        <family val="2"/>
        <scheme val="minor"/>
      </rPr>
      <t xml:space="preserve"> Water and Sewer</t>
    </r>
    <r>
      <rPr>
        <u/>
        <sz val="11"/>
        <color indexed="8"/>
        <rFont val="Calibri"/>
        <family val="2"/>
        <scheme val="minor"/>
      </rPr>
      <t xml:space="preserve"> Activities</t>
    </r>
  </si>
  <si>
    <r>
      <t xml:space="preserve">Assets </t>
    </r>
    <r>
      <rPr>
        <b/>
        <sz val="11"/>
        <color indexed="8"/>
        <rFont val="Calibri"/>
        <family val="2"/>
        <scheme val="minor"/>
      </rPr>
      <t>being depreciated</t>
    </r>
    <r>
      <rPr>
        <sz val="11"/>
        <color theme="1"/>
        <rFont val="Calibri"/>
        <family val="2"/>
        <scheme val="minor"/>
      </rPr>
      <t xml:space="preserve"> for Water and Sewer Activities:</t>
    </r>
  </si>
  <si>
    <r>
      <t xml:space="preserve">Total Gross Value Assets </t>
    </r>
    <r>
      <rPr>
        <b/>
        <sz val="11"/>
        <color indexed="8"/>
        <rFont val="Calibri"/>
        <family val="2"/>
        <scheme val="minor"/>
      </rPr>
      <t>being depreciated</t>
    </r>
    <r>
      <rPr>
        <sz val="11"/>
        <color theme="1"/>
        <rFont val="Calibri"/>
        <family val="2"/>
        <scheme val="minor"/>
      </rPr>
      <t xml:space="preserve"> for Water and Sewer Activities</t>
    </r>
  </si>
  <si>
    <r>
      <t xml:space="preserve">Total Assets Gross value </t>
    </r>
    <r>
      <rPr>
        <b/>
        <u/>
        <sz val="11"/>
        <color indexed="8"/>
        <rFont val="Calibri"/>
        <family val="2"/>
        <scheme val="minor"/>
      </rPr>
      <t>not being depreciated</t>
    </r>
    <r>
      <rPr>
        <u/>
        <sz val="11"/>
        <color indexed="8"/>
        <rFont val="Calibri"/>
        <family val="2"/>
        <scheme val="minor"/>
      </rPr>
      <t xml:space="preserve"> for Electric Fund</t>
    </r>
  </si>
  <si>
    <r>
      <t xml:space="preserve">Long-Term Liability Note - </t>
    </r>
    <r>
      <rPr>
        <b/>
        <sz val="11"/>
        <color indexed="8"/>
        <rFont val="Calibri"/>
        <family val="2"/>
        <scheme val="minor"/>
      </rPr>
      <t>Governmental Activities</t>
    </r>
  </si>
  <si>
    <r>
      <rPr>
        <u/>
        <sz val="11"/>
        <color indexed="8"/>
        <rFont val="Calibri"/>
        <family val="2"/>
        <scheme val="minor"/>
      </rPr>
      <t xml:space="preserve">Decreases made (principal paid) on Long-Term Debt in current fiscal year.  Reduce for </t>
    </r>
    <r>
      <rPr>
        <b/>
        <u/>
        <sz val="11"/>
        <color indexed="8"/>
        <rFont val="Calibri"/>
        <family val="2"/>
        <scheme val="minor"/>
      </rPr>
      <t>debt refunding</t>
    </r>
    <r>
      <rPr>
        <u/>
        <sz val="11"/>
        <color indexed="8"/>
        <rFont val="Calibri"/>
        <family val="2"/>
        <scheme val="minor"/>
      </rPr>
      <t>.</t>
    </r>
  </si>
  <si>
    <r>
      <t xml:space="preserve">Long-Term Liability Note - </t>
    </r>
    <r>
      <rPr>
        <b/>
        <sz val="11"/>
        <color indexed="8"/>
        <rFont val="Calibri"/>
        <family val="2"/>
        <scheme val="minor"/>
      </rPr>
      <t>Water Sewer Activities</t>
    </r>
  </si>
  <si>
    <r>
      <t>Long-Term Liability Note -</t>
    </r>
    <r>
      <rPr>
        <b/>
        <sz val="11"/>
        <color indexed="8"/>
        <rFont val="Calibri"/>
        <family val="2"/>
        <scheme val="minor"/>
      </rPr>
      <t xml:space="preserve"> Electric Activities</t>
    </r>
  </si>
  <si>
    <r>
      <rPr>
        <u/>
        <sz val="11"/>
        <color indexed="8"/>
        <rFont val="Calibri"/>
        <family val="2"/>
        <scheme val="minor"/>
      </rPr>
      <t>Amount of Transfers from the General Fund to the Debt Service Fund</t>
    </r>
    <r>
      <rPr>
        <sz val="11"/>
        <color theme="1"/>
        <rFont val="Calibri"/>
        <family val="2"/>
        <scheme val="minor"/>
      </rPr>
      <t xml:space="preserve"> </t>
    </r>
    <r>
      <rPr>
        <sz val="11"/>
        <color indexed="60"/>
        <rFont val="Calibri"/>
        <family val="2"/>
        <scheme val="minor"/>
      </rPr>
      <t>(Enter as positive)</t>
    </r>
  </si>
  <si>
    <r>
      <rPr>
        <u/>
        <sz val="11"/>
        <color indexed="8"/>
        <rFont val="Calibri"/>
        <family val="2"/>
        <scheme val="minor"/>
      </rPr>
      <t>Amount of Transfers from the General Fund to the Electric Fund</t>
    </r>
    <r>
      <rPr>
        <sz val="11"/>
        <color theme="1"/>
        <rFont val="Calibri"/>
        <family val="2"/>
        <scheme val="minor"/>
      </rPr>
      <t xml:space="preserve">  </t>
    </r>
    <r>
      <rPr>
        <sz val="11"/>
        <color indexed="60"/>
        <rFont val="Calibri"/>
        <family val="2"/>
        <scheme val="minor"/>
      </rPr>
      <t>(Enter as positive)</t>
    </r>
  </si>
  <si>
    <r>
      <rPr>
        <u/>
        <sz val="11"/>
        <color indexed="8"/>
        <rFont val="Calibri"/>
        <family val="2"/>
        <scheme val="minor"/>
      </rPr>
      <t>Amount of Transfers from the Electric Fund to the General Fund</t>
    </r>
    <r>
      <rPr>
        <sz val="11"/>
        <color theme="1"/>
        <rFont val="Calibri"/>
        <family val="2"/>
        <scheme val="minor"/>
      </rPr>
      <t xml:space="preserve">  </t>
    </r>
    <r>
      <rPr>
        <sz val="11"/>
        <color indexed="60"/>
        <rFont val="Calibri"/>
        <family val="2"/>
        <scheme val="minor"/>
      </rPr>
      <t xml:space="preserve">(Enter as positive)
</t>
    </r>
    <r>
      <rPr>
        <b/>
        <sz val="11"/>
        <rFont val="Calibri"/>
        <family val="2"/>
        <scheme val="minor"/>
      </rPr>
      <t>Include</t>
    </r>
    <r>
      <rPr>
        <sz val="11"/>
        <rFont val="Calibri"/>
        <family val="2"/>
        <scheme val="minor"/>
      </rPr>
      <t>:  Payment in Lieu of Taxes (PILOT)</t>
    </r>
  </si>
  <si>
    <r>
      <rPr>
        <u/>
        <sz val="11"/>
        <color indexed="8"/>
        <rFont val="Calibri"/>
        <family val="2"/>
        <scheme val="minor"/>
      </rPr>
      <t>General Fund -  Total Encumbrances.</t>
    </r>
    <r>
      <rPr>
        <sz val="11"/>
        <color theme="1"/>
        <rFont val="Calibri"/>
        <family val="2"/>
        <scheme val="minor"/>
      </rPr>
      <t xml:space="preserve">  </t>
    </r>
    <r>
      <rPr>
        <sz val="11"/>
        <color indexed="60"/>
        <rFont val="Calibri"/>
        <family val="2"/>
        <scheme val="minor"/>
      </rPr>
      <t>You will probably have to refer to the note disclosure where the amount of encumbrances is listed.</t>
    </r>
  </si>
  <si>
    <r>
      <rPr>
        <b/>
        <sz val="11"/>
        <color indexed="8"/>
        <rFont val="Calibri"/>
        <family val="2"/>
        <scheme val="minor"/>
      </rPr>
      <t>Water Sewer</t>
    </r>
    <r>
      <rPr>
        <sz val="11"/>
        <color indexed="8"/>
        <rFont val="Calibri"/>
        <family val="2"/>
        <scheme val="minor"/>
      </rPr>
      <t xml:space="preserve"> - Budget Actual Statement</t>
    </r>
  </si>
  <si>
    <r>
      <rPr>
        <u/>
        <sz val="11"/>
        <color indexed="8"/>
        <rFont val="Calibri"/>
        <family val="2"/>
        <scheme val="minor"/>
      </rPr>
      <t xml:space="preserve">Amount of Water Sewer revenues and other financing sources over expenditures and other uses
</t>
    </r>
    <r>
      <rPr>
        <b/>
        <u/>
        <sz val="11"/>
        <color indexed="8"/>
        <rFont val="Calibri"/>
        <family val="2"/>
        <scheme val="minor"/>
      </rPr>
      <t xml:space="preserve">Exclude:  All transfers and capital contributions
Exclude:  Capital Project funds
</t>
    </r>
    <r>
      <rPr>
        <sz val="11"/>
        <color indexed="60"/>
        <rFont val="Calibri"/>
        <family val="2"/>
        <scheme val="minor"/>
      </rPr>
      <t>This schedule is usually found behind the notes and should be entered as a positive or negative as indicated on your audit report</t>
    </r>
  </si>
  <si>
    <r>
      <rPr>
        <b/>
        <sz val="11"/>
        <color indexed="8"/>
        <rFont val="Calibri"/>
        <family val="2"/>
        <scheme val="minor"/>
      </rPr>
      <t>Water Sewer</t>
    </r>
    <r>
      <rPr>
        <sz val="11"/>
        <color indexed="8"/>
        <rFont val="Calibri"/>
        <family val="2"/>
        <scheme val="minor"/>
      </rPr>
      <t xml:space="preserve"> - Disclosed in the Notes or in the recently approved Budget for next year.</t>
    </r>
  </si>
  <si>
    <r>
      <t xml:space="preserve">Analysis of Current Tax Levy Schedule - Unit-Wide - </t>
    </r>
    <r>
      <rPr>
        <b/>
        <sz val="11"/>
        <color indexed="60"/>
        <rFont val="Calibri"/>
        <family val="2"/>
        <scheme val="minor"/>
      </rPr>
      <t xml:space="preserve">Pull percentages from this LGC-required schedule, </t>
    </r>
  </si>
  <si>
    <r>
      <rPr>
        <u/>
        <sz val="11"/>
        <rFont val="Calibri"/>
        <family val="2"/>
        <scheme val="minor"/>
      </rPr>
      <t>Please enter the Net Current year's levy -- Motor vehicles</t>
    </r>
    <r>
      <rPr>
        <sz val="11"/>
        <rFont val="Calibri"/>
        <family val="2"/>
        <scheme val="minor"/>
      </rPr>
      <t xml:space="preserve"> (only) </t>
    </r>
    <r>
      <rPr>
        <sz val="11"/>
        <color indexed="60"/>
        <rFont val="Calibri"/>
        <family val="2"/>
        <scheme val="minor"/>
      </rPr>
      <t xml:space="preserve">(after adjusting for discoveries and abatements)
</t>
    </r>
    <r>
      <rPr>
        <b/>
        <sz val="11"/>
        <color indexed="8"/>
        <rFont val="Calibri"/>
        <family val="2"/>
        <scheme val="minor"/>
      </rPr>
      <t xml:space="preserve">Exclude </t>
    </r>
    <r>
      <rPr>
        <sz val="11"/>
        <color indexed="8"/>
        <rFont val="Calibri"/>
        <family val="2"/>
        <scheme val="minor"/>
      </rPr>
      <t>supplemental taxes</t>
    </r>
  </si>
  <si>
    <r>
      <t xml:space="preserve">Uncollected Taxes - Curr Year's Levy Exclude Motor Vehicles
</t>
    </r>
    <r>
      <rPr>
        <b/>
        <sz val="11"/>
        <rFont val="Calibri"/>
        <family val="2"/>
        <scheme val="minor"/>
      </rPr>
      <t>Exclude</t>
    </r>
    <r>
      <rPr>
        <sz val="11"/>
        <rFont val="Calibri"/>
        <family val="2"/>
        <scheme val="minor"/>
      </rPr>
      <t xml:space="preserve"> supplemental taxes</t>
    </r>
  </si>
  <si>
    <r>
      <t xml:space="preserve">Uncollected Taxes - Curr Year's Levy Motor Vehicles
</t>
    </r>
    <r>
      <rPr>
        <b/>
        <sz val="11"/>
        <rFont val="Calibri"/>
        <family val="2"/>
        <scheme val="minor"/>
      </rPr>
      <t>Exclude</t>
    </r>
    <r>
      <rPr>
        <sz val="11"/>
        <rFont val="Calibri"/>
        <family val="2"/>
        <scheme val="minor"/>
      </rPr>
      <t xml:space="preserve"> supplemental taxes</t>
    </r>
  </si>
  <si>
    <r>
      <t xml:space="preserve">Tax collection rate- Total Levy UNIT-WIDE
</t>
    </r>
    <r>
      <rPr>
        <b/>
        <sz val="11"/>
        <color indexed="8"/>
        <rFont val="Calibri"/>
        <family val="2"/>
        <scheme val="minor"/>
      </rPr>
      <t>Exclude</t>
    </r>
    <r>
      <rPr>
        <sz val="11"/>
        <color theme="1"/>
        <rFont val="Calibri"/>
        <family val="2"/>
        <scheme val="minor"/>
      </rPr>
      <t xml:space="preserve"> supplemental taxes
(</t>
    </r>
    <r>
      <rPr>
        <sz val="11"/>
        <color indexed="60"/>
        <rFont val="Calibri"/>
        <family val="2"/>
        <scheme val="minor"/>
      </rPr>
      <t>Enter as a percentage with two decimal places)</t>
    </r>
  </si>
  <si>
    <r>
      <rPr>
        <u/>
        <sz val="11"/>
        <rFont val="Calibri"/>
        <family val="2"/>
        <scheme val="minor"/>
      </rPr>
      <t>Tax collection rate - Excluding Registered motor vehicles</t>
    </r>
    <r>
      <rPr>
        <u/>
        <sz val="11"/>
        <color indexed="60"/>
        <rFont val="Calibri"/>
        <family val="2"/>
        <scheme val="minor"/>
      </rPr>
      <t xml:space="preserve">
</t>
    </r>
    <r>
      <rPr>
        <b/>
        <sz val="11"/>
        <rFont val="Calibri"/>
        <family val="2"/>
        <scheme val="minor"/>
      </rPr>
      <t>Exclude</t>
    </r>
    <r>
      <rPr>
        <sz val="11"/>
        <rFont val="Calibri"/>
        <family val="2"/>
        <scheme val="minor"/>
      </rPr>
      <t xml:space="preserve"> supplemental taxes</t>
    </r>
    <r>
      <rPr>
        <sz val="11"/>
        <color indexed="60"/>
        <rFont val="Calibri"/>
        <family val="2"/>
        <scheme val="minor"/>
      </rPr>
      <t xml:space="preserve">
(Enter as a percentage with two decimal places)</t>
    </r>
  </si>
  <si>
    <r>
      <t xml:space="preserve">Tax collection rate - Registered motor vehicles
</t>
    </r>
    <r>
      <rPr>
        <b/>
        <sz val="11"/>
        <color indexed="8"/>
        <rFont val="Calibri"/>
        <family val="2"/>
        <scheme val="minor"/>
      </rPr>
      <t>Exclude</t>
    </r>
    <r>
      <rPr>
        <sz val="11"/>
        <color theme="1"/>
        <rFont val="Calibri"/>
        <family val="2"/>
        <scheme val="minor"/>
      </rPr>
      <t xml:space="preserve"> supplemental taxes
</t>
    </r>
    <r>
      <rPr>
        <sz val="11"/>
        <color indexed="60"/>
        <rFont val="Calibri"/>
        <family val="2"/>
        <scheme val="minor"/>
      </rPr>
      <t>(Enter as a percentage with two decimal places)</t>
    </r>
  </si>
  <si>
    <r>
      <rPr>
        <u/>
        <sz val="11"/>
        <color indexed="8"/>
        <rFont val="Calibri"/>
        <family val="2"/>
        <scheme val="minor"/>
      </rPr>
      <t>Property Tax Increase for Year Audited</t>
    </r>
    <r>
      <rPr>
        <sz val="11"/>
        <color theme="1"/>
        <rFont val="Calibri"/>
        <family val="2"/>
        <scheme val="minor"/>
      </rPr>
      <t xml:space="preserve">- </t>
    </r>
    <r>
      <rPr>
        <sz val="11"/>
        <color indexed="60"/>
        <rFont val="Calibri"/>
        <family val="2"/>
        <scheme val="minor"/>
      </rPr>
      <t xml:space="preserve">enter amount of  increase in cents per $100 - leave blank if no increase 
</t>
    </r>
    <r>
      <rPr>
        <b/>
        <sz val="11"/>
        <color indexed="8"/>
        <rFont val="Calibri"/>
        <family val="2"/>
        <scheme val="minor"/>
      </rPr>
      <t>Exclude</t>
    </r>
    <r>
      <rPr>
        <sz val="11"/>
        <color indexed="8"/>
        <rFont val="Calibri"/>
        <family val="2"/>
        <scheme val="minor"/>
      </rPr>
      <t xml:space="preserve"> supplemental taxes</t>
    </r>
  </si>
  <si>
    <r>
      <rPr>
        <u/>
        <sz val="11"/>
        <color indexed="8"/>
        <rFont val="Calibri"/>
        <family val="2"/>
        <scheme val="minor"/>
      </rPr>
      <t>Property Tax Increase for budget year after fiscal year being reported</t>
    </r>
    <r>
      <rPr>
        <sz val="11"/>
        <color theme="1"/>
        <rFont val="Calibri"/>
        <family val="2"/>
        <scheme val="minor"/>
      </rPr>
      <t xml:space="preserve"> - </t>
    </r>
    <r>
      <rPr>
        <sz val="11"/>
        <color indexed="60"/>
        <rFont val="Calibri"/>
        <family val="2"/>
        <scheme val="minor"/>
      </rPr>
      <t xml:space="preserve">enter amount of increase in cents per $100- leave blank if no increase
</t>
    </r>
    <r>
      <rPr>
        <b/>
        <sz val="11"/>
        <color indexed="8"/>
        <rFont val="Calibri"/>
        <family val="2"/>
        <scheme val="minor"/>
      </rPr>
      <t>Exclude</t>
    </r>
    <r>
      <rPr>
        <sz val="11"/>
        <color indexed="8"/>
        <rFont val="Calibri"/>
        <family val="2"/>
        <scheme val="minor"/>
      </rPr>
      <t xml:space="preserve"> supplemental taxes</t>
    </r>
  </si>
  <si>
    <t>Hospital-EF- Unrestricted Cash &amp; Invest. [Incl.all but Held by Trustee or 3rd party restricted](BS)</t>
  </si>
  <si>
    <t>Unit Data from Audit Worksheet tab: '(506+536-4-5-6-11)+647/(532+509+20-533-508)</t>
  </si>
  <si>
    <t>County only</t>
  </si>
  <si>
    <t>hide for muni, county, utility</t>
  </si>
  <si>
    <t>MH Enterprise Fund Non GAAP - Negative debt refund</t>
  </si>
  <si>
    <t>Mental Health Net Position - Unrestricted Net Position</t>
  </si>
  <si>
    <t>Messages</t>
  </si>
  <si>
    <t>not on 2020 Data</t>
  </si>
  <si>
    <r>
      <t xml:space="preserve">Amount of Ad valorem tax </t>
    </r>
    <r>
      <rPr>
        <b/>
        <sz val="14"/>
        <color theme="1"/>
        <rFont val="Calibri"/>
        <family val="2"/>
        <scheme val="minor"/>
      </rPr>
      <t>collected</t>
    </r>
    <r>
      <rPr>
        <sz val="11"/>
        <color theme="1"/>
        <rFont val="Calibri"/>
        <family val="2"/>
        <scheme val="minor"/>
      </rPr>
      <t xml:space="preserve"> (including motor vehicle and prior years) reported on budget actual statement</t>
    </r>
  </si>
  <si>
    <r>
      <t xml:space="preserve">Amount of Ad valorem tax </t>
    </r>
    <r>
      <rPr>
        <b/>
        <sz val="14"/>
        <color theme="1"/>
        <rFont val="Calibri"/>
        <family val="2"/>
        <scheme val="minor"/>
      </rPr>
      <t>budgeted</t>
    </r>
    <r>
      <rPr>
        <sz val="11"/>
        <color theme="1"/>
        <rFont val="Calibri"/>
        <family val="2"/>
        <scheme val="minor"/>
      </rPr>
      <t xml:space="preserve"> (including motor vehicle and prior years) reported on budget actual statement</t>
    </r>
  </si>
  <si>
    <t>Comb-Proprietary Funds-Current Assets 
Exclude: any restricted assets
                  deferred outflows</t>
  </si>
  <si>
    <t>Mental Health Enterprise Fund Non GAAP (Budget Actual Statements behind the notes)</t>
  </si>
  <si>
    <t>Mental Health or Hospital-EF- Patient Accounts Receivable, Net of Allowance for Bad Debt</t>
  </si>
  <si>
    <r>
      <rPr>
        <u/>
        <sz val="11"/>
        <color indexed="8"/>
        <rFont val="Calibri"/>
        <family val="2"/>
        <scheme val="minor"/>
      </rPr>
      <t>Current liabilities</t>
    </r>
    <r>
      <rPr>
        <u/>
        <sz val="11"/>
        <color rgb="FFFF0000"/>
        <rFont val="Calibri"/>
        <family val="2"/>
        <scheme val="minor"/>
      </rPr>
      <t xml:space="preserve"> (as reported on the Statement of Fund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Enter as positive</t>
    </r>
  </si>
  <si>
    <r>
      <t xml:space="preserve">Please enter any compensated absences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</si>
  <si>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r>
      <t xml:space="preserve">Please enter any bond anticipation notes that are classified as current liabilities and included in account 633 above </t>
    </r>
    <r>
      <rPr>
        <sz val="11"/>
        <color theme="5" tint="-0.249977111117893"/>
        <rFont val="Calibri"/>
        <family val="2"/>
        <scheme val="minor"/>
      </rPr>
      <t xml:space="preserve">(amounts entered should agree to the current amount included in the changes to long-term debt note)
</t>
    </r>
    <r>
      <rPr>
        <sz val="11"/>
        <rFont val="Calibri"/>
        <family val="2"/>
        <scheme val="minor"/>
      </rPr>
      <t>Enter as positive</t>
    </r>
  </si>
  <si>
    <r>
      <t xml:space="preserve">Unearned revenue (arising from cash receipts) that were included in Current Liabilities in the question in account 633 above.
</t>
    </r>
    <r>
      <rPr>
        <sz val="11"/>
        <color theme="1"/>
        <rFont val="Calibri"/>
        <family val="2"/>
        <scheme val="minor"/>
      </rPr>
      <t xml:space="preserve">
Enter as positive</t>
    </r>
  </si>
  <si>
    <r>
      <t xml:space="preserve">Please enter any OPEB liabilities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</si>
  <si>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t>Please enter any current liabilities that are payable from restricted assets and included in account 633 above.
Enter as positive</t>
  </si>
  <si>
    <r>
      <t xml:space="preserve">Please enter any pension liabilities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</si>
  <si>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r>
      <rPr>
        <u/>
        <sz val="11"/>
        <color indexed="8"/>
        <rFont val="Calibri"/>
        <family val="2"/>
        <scheme val="minor"/>
      </rPr>
      <t xml:space="preserve">Current liabilities </t>
    </r>
    <r>
      <rPr>
        <u/>
        <sz val="11"/>
        <color rgb="FFFF0000"/>
        <rFont val="Calibri"/>
        <family val="2"/>
        <scheme val="minor"/>
      </rPr>
      <t>(as reported on the Statement of Fund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Enter as a positive</t>
    </r>
  </si>
  <si>
    <r>
      <t xml:space="preserve">Please enter any bond anticipation notes that are classified as current liabilities and included in account 639 above </t>
    </r>
    <r>
      <rPr>
        <sz val="11"/>
        <color theme="5" tint="-0.249977111117893"/>
        <rFont val="Calibri"/>
        <family val="2"/>
        <scheme val="minor"/>
      </rPr>
      <t xml:space="preserve">(amounts entered should agree to the current amount included in the changes to long-term debt note)
</t>
    </r>
    <r>
      <rPr>
        <sz val="11"/>
        <color indexed="8"/>
        <rFont val="Calibri"/>
        <family val="2"/>
        <scheme val="minor"/>
      </rPr>
      <t>Enter as a positive</t>
    </r>
  </si>
  <si>
    <r>
      <t xml:space="preserve">Please enter any compensated absences that are classified as current liabilities and included in account 639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a positive</t>
    </r>
  </si>
  <si>
    <r>
      <t xml:space="preserve">Please enter any pension liabilities that are classified as current liabilities and included account in 639 above </t>
    </r>
    <r>
      <rPr>
        <sz val="11"/>
        <color theme="5" tint="-0.249977111117893"/>
        <rFont val="Calibri"/>
        <family val="2"/>
        <scheme val="minor"/>
      </rPr>
      <t xml:space="preserve">(amounts entered should agree to the current amount included in the changes to long-term debt note)
</t>
    </r>
    <r>
      <rPr>
        <sz val="11"/>
        <color indexed="8"/>
        <rFont val="Calibri"/>
        <family val="2"/>
        <scheme val="minor"/>
      </rPr>
      <t>Enter as a positive</t>
    </r>
  </si>
  <si>
    <t>Please enter any current liabilities that are payable from restricted assets and included in account 639 above. 
Enter as a positive</t>
  </si>
  <si>
    <r>
      <t xml:space="preserve">Please enter any OPEB liabilities that are classified as current liabilities and included in account 639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a positive</t>
    </r>
  </si>
  <si>
    <t>Unearned revenue (arising from cash receipts) that were included in Current Liabilities in account 639 above.
Enter as a positive</t>
  </si>
  <si>
    <t>If you answered "yes" to question #988 above, will you have the closure/postclosure cost fully funded by the date of closure?  Select "1" for Yes,  "2" for No, or "3" for N/A.</t>
  </si>
  <si>
    <r>
      <rPr>
        <u/>
        <sz val="11"/>
        <rFont val="Calibri"/>
        <family val="2"/>
        <scheme val="minor"/>
      </rPr>
      <t xml:space="preserve">Please enter the </t>
    </r>
    <r>
      <rPr>
        <b/>
        <u/>
        <sz val="11"/>
        <rFont val="Calibri"/>
        <family val="2"/>
        <scheme val="minor"/>
      </rPr>
      <t>Net Current year's levy for property excluding registered motor vehicles</t>
    </r>
    <r>
      <rPr>
        <sz val="11"/>
        <rFont val="Calibri"/>
        <family val="2"/>
        <scheme val="minor"/>
      </rPr>
      <t xml:space="preserve">-- </t>
    </r>
    <r>
      <rPr>
        <sz val="11"/>
        <color indexed="60"/>
        <rFont val="Calibri"/>
        <family val="2"/>
        <scheme val="minor"/>
      </rPr>
      <t>(after adjusting for discoveries and abatements)</t>
    </r>
    <r>
      <rPr>
        <sz val="11"/>
        <rFont val="Calibri"/>
        <family val="2"/>
        <scheme val="minor"/>
      </rPr>
      <t xml:space="preserve">
</t>
    </r>
    <r>
      <rPr>
        <b/>
        <sz val="11"/>
        <rFont val="Calibri"/>
        <family val="2"/>
        <scheme val="minor"/>
      </rPr>
      <t>Exclude</t>
    </r>
    <r>
      <rPr>
        <sz val="11"/>
        <rFont val="Calibri"/>
        <family val="2"/>
        <scheme val="minor"/>
      </rPr>
      <t xml:space="preserve"> Supplemental Taxes</t>
    </r>
  </si>
  <si>
    <t>Leave blank if data not available</t>
  </si>
  <si>
    <t>If you appropriated General Fund Balance in your 2021 budget and your "change in fund balance": (account # 9 above) is negative, please select from the drop down box in column F either "operations" or "capital", whichever best describes what the fund balance was used for.  If you select "Capital" please briefly describe in column G to the right the capital items.</t>
  </si>
  <si>
    <t>Debt Service Fund Balance</t>
  </si>
  <si>
    <t>Is there is a going concern finding noted in the audit report</t>
  </si>
  <si>
    <t>Did unit have problems with debt service payments being late, debt restructured or not meeting bond covenants</t>
  </si>
  <si>
    <t>Were there statutory violations disclosed in the audit</t>
  </si>
  <si>
    <t>Were major funds overspent</t>
  </si>
  <si>
    <t>If you answered "yes" to question CCH #988 above, will you have the closure/postclosure cost fully funded by the date of closure</t>
  </si>
  <si>
    <t>Greater than 16% (2 months)</t>
  </si>
  <si>
    <t>It appears your Water Sewer fund(s) have  transfers-in for the support of operations that are greater than 3% of the total of operating and non-operating expenses.  Please discuss the purpose of such transfers-in and if you plan to continue these transfers-in.</t>
  </si>
  <si>
    <t>Unit Data from Audit worksheet tab :  CCH acct # 986 is greater than (CCH 85+CCH 351)*.03</t>
  </si>
  <si>
    <t>If you encounter an Excel error in the various indicators such as "false", "#DIV/0!" OR "#NA", normally the reason is you did not to answer one of the questions used to calculate the formula - Column G provides the accounts and formula used in the calculation.  If the Unit Results cell is red, please verify that the data is entered correctly in the "Unit Data From Audit Worksheet" or "TD Info Completed by Auditor" as indicated for accounts listed in Column G.</t>
  </si>
  <si>
    <t>Fund balance available for appropriation is an important reserve for local governments to provide cash flow during periods of declining revenues and to be used for emergencies and unforeseen expenditures.  Column F to the left indicates the amount of available cash on hand as well as the average for units of your size.  Note one month of expenditures is equal to 8.33%.  In your Response Letter please provide detail plans on how your unit will improve your available fund balance.  Normally, a unit has to either increase revenues or decrease expenditures.  The Threshold tab in this worksheet discusses the various expenditure groupings.</t>
  </si>
  <si>
    <t xml:space="preserve">If you indicated that you expect a decrease in property value for your next property revaluation.   </t>
  </si>
  <si>
    <t>If you indicated that you expect a decrease in property value for your next property revaluation.   In your Response Letter please discuss the magnitude of the drop in valuation, the overall cause of the drop and how your County plans to recover the lost revenues.</t>
  </si>
  <si>
    <t>If a unit has no performance indicators of concern in column F that would require them to submit a Response to Audit Findings, Recommendations and Fiscal Issues, but they are currently on the  Unit Assistance List, they must still submit a Response to Audit Findings, Recommendations and Fiscal Issues.  Their response should discuss the financial plan they have developed to address the issues that placed them on the Unit Assistance List and the progress they have made to date.</t>
  </si>
  <si>
    <t>On the Unit Assistance List</t>
  </si>
  <si>
    <t>You have indicated that you have a  landfill that will be closing  or have a significant portion closing within the next 5 years  and will have the closure/postclosure cost fully funded by the date of closure.</t>
  </si>
  <si>
    <r>
      <rPr>
        <b/>
        <sz val="11"/>
        <color theme="1"/>
        <rFont val="Calibri"/>
        <family val="2"/>
        <scheme val="minor"/>
      </rPr>
      <t>Water and Sewer Operations</t>
    </r>
    <r>
      <rPr>
        <sz val="11"/>
        <color theme="1"/>
        <rFont val="Calibri"/>
        <family val="2"/>
        <scheme val="minor"/>
      </rPr>
      <t xml:space="preserve"> - If unit maintains separate funds please combine all water, sewer, and wastewater funds into one activity for purposes of this worksheet.  Exclude stormwater funds.  Only fill out this section if receiving operating revenues or paying operating expenditures. Eliminate transfers within this activity group.</t>
    </r>
  </si>
  <si>
    <t xml:space="preserve">Fund balance available for appropriation is an important reserve for local governments to provide cash flow during periods of declining revenues and to be used for emergencies and unforeseen expenditures.  Column F to the left indicates the amount of available cash on hand.  Note one month of expenditures is equal to 8.33%.  In your Response Letter please provide detail plans on how your unit will improve your available fund balance.  Normally, a unit has to either increasing revenues or decreasing expenditures.  </t>
  </si>
  <si>
    <t>Unit Data from Audit Worksheet tab: (13-534)/14</t>
  </si>
  <si>
    <t>Threshold</t>
  </si>
  <si>
    <t>Available Fund Balance + debt service fund balance / Total Expenditures and Transfers-out less bond proceeds</t>
  </si>
  <si>
    <t>Select Unit Name from Drop Down List</t>
  </si>
  <si>
    <t>The General Fund had a fund balance available less than 8% or one month of expenditures</t>
  </si>
  <si>
    <t>Section 1: Data Collection NOTE:  the data submitted below may be used in various published reports</t>
  </si>
  <si>
    <t>The  name of the Primary Government for the file name and in question 1 should not contain the words "Town of", Village of" etc…..The City of Dogwood = Dogwood</t>
  </si>
  <si>
    <t>Copy of final Ual as of 4/23/2021 based on June 30 2020 audited financals</t>
  </si>
  <si>
    <t>Aulander</t>
  </si>
  <si>
    <t>Ayden</t>
  </si>
  <si>
    <t>Bailey</t>
  </si>
  <si>
    <t>Belmont</t>
  </si>
  <si>
    <t>Bunn</t>
  </si>
  <si>
    <t>Casar</t>
  </si>
  <si>
    <t>Chocowinity</t>
  </si>
  <si>
    <t>Clarkton</t>
  </si>
  <si>
    <t>Cofield</t>
  </si>
  <si>
    <t>Conetoe</t>
  </si>
  <si>
    <t>Creswell</t>
  </si>
  <si>
    <t>Dallas</t>
  </si>
  <si>
    <t>Elizabeth City</t>
  </si>
  <si>
    <t>Erwin</t>
  </si>
  <si>
    <t>Eureka</t>
  </si>
  <si>
    <t>Gibson</t>
  </si>
  <si>
    <t>Green Level</t>
  </si>
  <si>
    <t>Hassell</t>
  </si>
  <si>
    <t>Haw River</t>
  </si>
  <si>
    <t>Hertford</t>
  </si>
  <si>
    <t>Micro</t>
  </si>
  <si>
    <t>Middleburg</t>
  </si>
  <si>
    <t>Mint Hill</t>
  </si>
  <si>
    <t>Mount Holly</t>
  </si>
  <si>
    <t>Plymouth</t>
  </si>
  <si>
    <t>Richfield</t>
  </si>
  <si>
    <t>Roseboro</t>
  </si>
  <si>
    <t>Rosman</t>
  </si>
  <si>
    <t>Rowland</t>
  </si>
  <si>
    <t>Roxboro</t>
  </si>
  <si>
    <t>Ruth</t>
  </si>
  <si>
    <t>Siler City</t>
  </si>
  <si>
    <t>Stanley</t>
  </si>
  <si>
    <t>Stonewall</t>
  </si>
  <si>
    <t>Tabor City</t>
  </si>
  <si>
    <t>Teachey</t>
  </si>
  <si>
    <t>Waco</t>
  </si>
  <si>
    <t>Walnut Creek</t>
  </si>
  <si>
    <t>Warrenton</t>
  </si>
  <si>
    <t>White Lake</t>
  </si>
  <si>
    <t>Winton</t>
  </si>
  <si>
    <t>Yanceyville</t>
  </si>
  <si>
    <t>Caswell County</t>
  </si>
  <si>
    <t>Cherokee County</t>
  </si>
  <si>
    <t>Columbus County</t>
  </si>
  <si>
    <t>Davie County</t>
  </si>
  <si>
    <t>Graham County</t>
  </si>
  <si>
    <t>Martin County</t>
  </si>
  <si>
    <t>Person County</t>
  </si>
  <si>
    <t>Bay River Metropolitan Sewer District</t>
  </si>
  <si>
    <t>Brunswick Regional Water Sewer - H2GO</t>
  </si>
  <si>
    <t>Maggie Valley Sanitary District</t>
  </si>
  <si>
    <t>Ocracoke Sanitary District</t>
  </si>
  <si>
    <t>Swan Quarter Sanitary District</t>
  </si>
  <si>
    <t>PERFORMANCE INDICATORS OF CONCERN</t>
  </si>
  <si>
    <t>The self-reported information from your unit's audit report was used to generate the following trends and performance indicators.    We have created this Performance Indicator Tab to make these indicators available to auditors and local governments when your audit is conducted. If any unit's results are shaded red then the unit must submit a "Response to the Auditor's Findings, Recommendations, and Fiscal Matters" within 60 days from the auditor's board presentation.  The response must address all performance indicators shaded in red.</t>
  </si>
  <si>
    <t>Fiscal Year 2021</t>
  </si>
  <si>
    <t>2021</t>
  </si>
  <si>
    <t>GENERAL PERFORMANCE INDICATORS:</t>
  </si>
  <si>
    <t>Target</t>
  </si>
  <si>
    <t>The 2021 Audit Report is expected to be submitted by the date set by the LGC (not the October 31st date) according to the Auditor?</t>
  </si>
  <si>
    <t>As stewards of the public’s resources, the governing body is responsible for ensuring that the audited financial statements are available to the public in a timely manner.  External groups such as the North Carolina General Assembly, federal and State agencies that provide funding, and other public associations need current financial information about your local government as well.</t>
  </si>
  <si>
    <t>This indicator states whether or not your auditor has identified material and/or significant findings or any other findings for your unit.</t>
  </si>
  <si>
    <t>If you encounter an Excel error in the various indicators such as "false", "#DIV/0!" OR "#NA", normally the reason is you did not to answer one of the questions used to calculate the formula - This column provides the accounts and formula used in the calculation.  If the Unit Results cell is red, please verify that the data is entered correctly in the "Unit Data From Audit Worksheet" or "TD Info Completed by Auditor" as indicated for accounts listed in Column G.</t>
  </si>
  <si>
    <t>Print Area is set to exclude column I and J</t>
  </si>
  <si>
    <t>Albemarle Hospital Authority</t>
  </si>
  <si>
    <t>Carolinaeast Health System</t>
  </si>
  <si>
    <t>Carteret County General Hospital</t>
  </si>
  <si>
    <t>Catawba Valley Medical Center</t>
  </si>
  <si>
    <t>Charlotte-Mecklenburg Hospital Authority</t>
  </si>
  <si>
    <t>Cleveland County Healthcare System</t>
  </si>
  <si>
    <t>Columbus County Regional Hospital</t>
  </si>
  <si>
    <t>Duplin General Hospital</t>
  </si>
  <si>
    <t>Granville County Medical Center</t>
  </si>
  <si>
    <t>Harnett Health System, Inc.</t>
  </si>
  <si>
    <t>Haywood Regional Medical Center</t>
  </si>
  <si>
    <t>Henderson County Hospital Corporation</t>
  </si>
  <si>
    <t>J Arthur Dosher Memorial Hospital</t>
  </si>
  <si>
    <t>Johnston Memorial Hospital Authority</t>
  </si>
  <si>
    <t>Nash Healthcare Systems</t>
  </si>
  <si>
    <t>New Hanover Regional Medical Center</t>
  </si>
  <si>
    <t>Northern Hospital District of Surry County</t>
  </si>
  <si>
    <t>Onslow Co Hospital Authority</t>
  </si>
  <si>
    <t>Sampson Regional Medical Center, Inc.</t>
  </si>
  <si>
    <t>Stokes/Reynolds Memorial Hospital</t>
  </si>
  <si>
    <t>Union Regional Medical Center</t>
  </si>
  <si>
    <t>Watauga Medical Center, Inc. dba Appalachian Regional Healthcare System</t>
  </si>
  <si>
    <t>Wilkes Regional Medical Center</t>
  </si>
  <si>
    <t>Data Import 2019</t>
  </si>
  <si>
    <t>Upload to SQL Database</t>
  </si>
  <si>
    <t>Trial Balance</t>
  </si>
  <si>
    <t>CCH Master Chart of Accounts</t>
  </si>
  <si>
    <t>Comb-Proprietary Funds-Current Assets less any restricted assets. Do not include deferred outflows.</t>
  </si>
  <si>
    <t>Comb-Proprietary-Current Assets less restricted assets and deferred outflows</t>
  </si>
  <si>
    <t>Comb-Proprietary Funds - Current Liabilities</t>
  </si>
  <si>
    <t>Hospital/MH -EF - Patient A/Rec, net</t>
  </si>
  <si>
    <t>Hospital-EF- Unrestricted Fund Equity/Net Position</t>
  </si>
  <si>
    <t>Hospital/MH -EF - Total Operating Revenues</t>
  </si>
  <si>
    <t xml:space="preserve">Hospital/MH -EF- Total Operating Expenses. May include Interest Exp. </t>
  </si>
  <si>
    <t>Hospital-EF- Change in Net Position</t>
  </si>
  <si>
    <t>Reviewer if you need to change what the unit entered do so directly in cell K27. Enter "1" to the right if the unit has defined benefit other than the ones adm. By the state - leave blank if they do not</t>
  </si>
  <si>
    <t>CCH 591</t>
  </si>
  <si>
    <t>CCH 592</t>
  </si>
  <si>
    <t>CCH 603</t>
  </si>
  <si>
    <t>CCH 605</t>
  </si>
  <si>
    <t>CCH 606</t>
  </si>
  <si>
    <t>CCH 607</t>
  </si>
  <si>
    <t>CCH 608</t>
  </si>
  <si>
    <t>CCH 609</t>
  </si>
  <si>
    <t>CCH 610</t>
  </si>
  <si>
    <t>CCH 611</t>
  </si>
  <si>
    <t>CCH 612</t>
  </si>
  <si>
    <t>CCH 613</t>
  </si>
  <si>
    <t>CCH 614</t>
  </si>
  <si>
    <t>CCH 615</t>
  </si>
  <si>
    <t>CCH 616</t>
  </si>
  <si>
    <t>CCH 617</t>
  </si>
  <si>
    <t>CCH 618</t>
  </si>
  <si>
    <t>CCH 620</t>
  </si>
  <si>
    <t>Net OPEB Liabilty (RHBF)</t>
  </si>
  <si>
    <t>CCH 621</t>
  </si>
  <si>
    <t>Total Pension Liability</t>
  </si>
  <si>
    <t>CCH 622</t>
  </si>
  <si>
    <t>CCH 625</t>
  </si>
  <si>
    <t>Type of hospital 1=159-39 2=131E 3=131E-40</t>
  </si>
  <si>
    <t>Hospital - Budget required if .02</t>
  </si>
  <si>
    <t>Contract Required if .03</t>
  </si>
  <si>
    <t>Batch total</t>
  </si>
  <si>
    <t>CCH TB check</t>
  </si>
  <si>
    <t xml:space="preserve">                               -  </t>
  </si>
  <si>
    <t>Diffference</t>
  </si>
  <si>
    <t>Notes - do not delete</t>
  </si>
  <si>
    <t>Reported as</t>
  </si>
  <si>
    <t>Bought by</t>
  </si>
  <si>
    <t>taken over</t>
  </si>
  <si>
    <t xml:space="preserve">component unit </t>
  </si>
  <si>
    <t>Corporation</t>
  </si>
  <si>
    <t>by Wake Forest</t>
  </si>
  <si>
    <t>on Craven County</t>
  </si>
  <si>
    <t>Baptist Medical Center</t>
  </si>
  <si>
    <t>2020 Data Import</t>
  </si>
  <si>
    <t>Use on upload template</t>
  </si>
  <si>
    <t>Nash Health Care</t>
  </si>
  <si>
    <t>53950</t>
  </si>
  <si>
    <t>Comb-Proprietary Funds- Current Assets w/o Inv &amp; Ppds</t>
  </si>
  <si>
    <t>Combined Total of all Proprietary Funds - Change in Net Position</t>
  </si>
  <si>
    <t>37</t>
  </si>
  <si>
    <t>38</t>
  </si>
  <si>
    <t>39</t>
  </si>
  <si>
    <t>40</t>
  </si>
  <si>
    <t>41</t>
  </si>
  <si>
    <t>43</t>
  </si>
  <si>
    <t>Electric-EF- Current Assets (unrestricted, excl. inventory and prepaids)</t>
  </si>
  <si>
    <t>54</t>
  </si>
  <si>
    <t>Electric Net Transfers in(out) to GF</t>
  </si>
  <si>
    <t>WS-EF- Total LT Debt (ST &amp;LT; External debt only; No Comp Abs, Pension, OPEB)</t>
  </si>
  <si>
    <t>92</t>
  </si>
  <si>
    <t>Electric - Gross Capital Assets</t>
  </si>
  <si>
    <t>104</t>
  </si>
  <si>
    <t>107</t>
  </si>
  <si>
    <t>108</t>
  </si>
  <si>
    <t>194</t>
  </si>
  <si>
    <t>231</t>
  </si>
  <si>
    <t>274</t>
  </si>
  <si>
    <t>294</t>
  </si>
  <si>
    <t>OPEB- Annual Cost/Expenses</t>
  </si>
  <si>
    <t>326</t>
  </si>
  <si>
    <t>WS- Net Infrastructure Capital Assets</t>
  </si>
  <si>
    <t>WS- Accumulated Infrastructure Deprec Expense. Enter as positive.</t>
  </si>
  <si>
    <t>332</t>
  </si>
  <si>
    <t>333</t>
  </si>
  <si>
    <t>334</t>
  </si>
  <si>
    <t>340</t>
  </si>
  <si>
    <t>Gov- Total Program revenue</t>
  </si>
  <si>
    <t>GA- Total General revenues (No transfers, special, extraordinary items)(SOA)</t>
  </si>
  <si>
    <t>342</t>
  </si>
  <si>
    <t>Gov- Net transfers in (out)</t>
  </si>
  <si>
    <t>346</t>
  </si>
  <si>
    <t>WS - Total Depreciable capital assets</t>
  </si>
  <si>
    <t>347</t>
  </si>
  <si>
    <t>WS - Total Accumulated depreciation</t>
  </si>
  <si>
    <t>WS - Total Non-Operating Revenues-exclude capital contrib.</t>
  </si>
  <si>
    <t>Electric - Total Transfers Out (to all funds)</t>
  </si>
  <si>
    <t>371</t>
  </si>
  <si>
    <t>532</t>
  </si>
  <si>
    <t>533</t>
  </si>
  <si>
    <t>534</t>
  </si>
  <si>
    <t>535</t>
  </si>
  <si>
    <t>536</t>
  </si>
  <si>
    <t>537</t>
  </si>
  <si>
    <t>538</t>
  </si>
  <si>
    <t>539</t>
  </si>
  <si>
    <t>Retiree Premiums pd by unit</t>
  </si>
  <si>
    <t>540</t>
  </si>
  <si>
    <t>541</t>
  </si>
  <si>
    <t>542</t>
  </si>
  <si>
    <t>543</t>
  </si>
  <si>
    <t>Amt interest-investment income for Gov. Prop. Funds</t>
  </si>
  <si>
    <t>544</t>
  </si>
  <si>
    <t>545</t>
  </si>
  <si>
    <t>546</t>
  </si>
  <si>
    <t>547</t>
  </si>
  <si>
    <t xml:space="preserve">OPEB 1-implicit rate only  2-no benefit 3-benfit 4- state health plan  </t>
  </si>
  <si>
    <t>548</t>
  </si>
  <si>
    <t>549</t>
  </si>
  <si>
    <t>The Unfunded actuarially accrued liability for the unit's LEO benefit.</t>
  </si>
  <si>
    <t>550</t>
  </si>
  <si>
    <t>551</t>
  </si>
  <si>
    <t>Internal Control-1) no IC issues 2)Inmaterial 3) Unit letter for IC 4) Unit visit for IC</t>
  </si>
  <si>
    <t>552</t>
  </si>
  <si>
    <t>553</t>
  </si>
  <si>
    <t>554</t>
  </si>
  <si>
    <t>555</t>
  </si>
  <si>
    <t>556</t>
  </si>
  <si>
    <t>557</t>
  </si>
  <si>
    <t>558</t>
  </si>
  <si>
    <t>559</t>
  </si>
  <si>
    <t>560</t>
  </si>
  <si>
    <t>561</t>
  </si>
  <si>
    <t>562</t>
  </si>
  <si>
    <t>563</t>
  </si>
  <si>
    <t>564</t>
  </si>
  <si>
    <t>565</t>
  </si>
  <si>
    <t>566</t>
  </si>
  <si>
    <t>567</t>
  </si>
  <si>
    <t>568</t>
  </si>
  <si>
    <t>569</t>
  </si>
  <si>
    <t>570</t>
  </si>
  <si>
    <t>Charter School Debt issued Outside NC</t>
  </si>
  <si>
    <t>571</t>
  </si>
  <si>
    <t>572</t>
  </si>
  <si>
    <t>573</t>
  </si>
  <si>
    <t>574</t>
  </si>
  <si>
    <t xml:space="preserve">Mental Health - Proceeds from LTD </t>
  </si>
  <si>
    <t>992</t>
  </si>
  <si>
    <t>997</t>
  </si>
  <si>
    <t>County Collects Taxes for Municipality</t>
  </si>
  <si>
    <t>CCH 997</t>
  </si>
  <si>
    <t>import tab only</t>
  </si>
  <si>
    <t>do not upload</t>
  </si>
  <si>
    <t>included in TD Accounts</t>
  </si>
  <si>
    <t>TD - auditor</t>
  </si>
  <si>
    <t>TD -Internal</t>
  </si>
  <si>
    <t>do not delete row</t>
  </si>
  <si>
    <t>total expenditures for FBA Calculation</t>
  </si>
  <si>
    <t>should equal column E on 2021 DIW</t>
  </si>
  <si>
    <t>Not loaded to CCH TB</t>
  </si>
  <si>
    <t xml:space="preserve">Date  </t>
  </si>
  <si>
    <t>Please indicate if you expect your revaluation to increase, decrease, or no change.  If you are not listed please select N/A</t>
  </si>
  <si>
    <t>2020 Data(H)</t>
  </si>
  <si>
    <t>2019 Data(H)</t>
  </si>
  <si>
    <t>Inactive</t>
  </si>
  <si>
    <t>Converted to Johnston Health in 2015</t>
  </si>
  <si>
    <t>???</t>
  </si>
  <si>
    <t>I</t>
  </si>
  <si>
    <t>Do you operate a landfill that will be closing  or have a significant portion closing within the next 5 years</t>
  </si>
  <si>
    <t>New for Fiscal 2021 -  Data Input Workbook incorporates the
Unit Data from Audit Worksheet, TD Info Completed by Auditor Worksheet, Performance Indicators Print Worksheet</t>
  </si>
  <si>
    <r>
      <rPr>
        <b/>
        <i/>
        <sz val="12"/>
        <rFont val="Cambria"/>
        <family val="1"/>
      </rPr>
      <t xml:space="preserve"> Data Input Workbook</t>
    </r>
    <r>
      <rPr>
        <i/>
        <sz val="12"/>
        <rFont val="Cambria"/>
        <family val="1"/>
      </rPr>
      <t xml:space="preserve"> - The newly combined workbook consist of  the Unit Data from Audit Worksheet, the TD Info Completed by Auditor (formerly the Transmittal Document) and the Performance Indicator Print Worksheet.  The Unit Data from Audit Worksheet and the TD Info Completed Auditor Worksheet provides the information that populates the Performance Indicator Print Worksheet. </t>
    </r>
  </si>
  <si>
    <r>
      <rPr>
        <b/>
        <i/>
        <sz val="12"/>
        <rFont val="Cambria"/>
        <family val="1"/>
      </rPr>
      <t xml:space="preserve">Unit Data from Audit Worksheet </t>
    </r>
    <r>
      <rPr>
        <i/>
        <sz val="12"/>
        <rFont val="Cambria"/>
        <family val="1"/>
      </rPr>
      <t xml:space="preserve">- The </t>
    </r>
    <r>
      <rPr>
        <i/>
        <u/>
        <sz val="12"/>
        <color rgb="FFFF0000"/>
        <rFont val="Cambria"/>
        <family val="1"/>
      </rPr>
      <t>self-reported</t>
    </r>
    <r>
      <rPr>
        <i/>
        <sz val="12"/>
        <rFont val="Cambria"/>
        <family val="1"/>
      </rPr>
      <t xml:space="preserve"> data provided in this worksheet is used by staff as the primary tool to determine a unit of government's fiscal health as well as providing information to the North Carolina Legislature, North Carolina Budget and the Governor’s Office and other state agencies.  The North Carolina League of Municipalities and North Carolina Association of County Commissioners also use this information to advocate before the Executive, Legislative and Judicial branches of State Government on behalf of local governments.  </t>
    </r>
    <r>
      <rPr>
        <i/>
        <u/>
        <sz val="12"/>
        <color rgb="FFFF0000"/>
        <rFont val="Cambria"/>
        <family val="1"/>
      </rPr>
      <t>Accuracy in completion of data is important for your local government</t>
    </r>
    <r>
      <rPr>
        <i/>
        <sz val="12"/>
        <color rgb="FFFF0000"/>
        <rFont val="Cambria"/>
        <family val="1"/>
      </rPr>
      <t xml:space="preserve">.  </t>
    </r>
  </si>
  <si>
    <r>
      <rPr>
        <b/>
        <i/>
        <sz val="12"/>
        <rFont val="Cambria"/>
        <family val="1"/>
      </rPr>
      <t>TD Info Completed by Auditor Worksheet</t>
    </r>
    <r>
      <rPr>
        <i/>
        <sz val="12"/>
        <rFont val="Cambria"/>
        <family val="1"/>
      </rPr>
      <t xml:space="preserve"> - The </t>
    </r>
    <r>
      <rPr>
        <i/>
        <u/>
        <sz val="12"/>
        <color rgb="FFFF0000"/>
        <rFont val="Cambria"/>
        <family val="1"/>
      </rPr>
      <t>auditor-prepared</t>
    </r>
    <r>
      <rPr>
        <i/>
        <sz val="12"/>
        <rFont val="Cambria"/>
        <family val="1"/>
      </rPr>
      <t xml:space="preserve"> data provided in this worksheet will summarize findings and provide fiscal information to assist in populating the performance indicators.</t>
    </r>
  </si>
  <si>
    <r>
      <t xml:space="preserve">Performance Indicators Print - </t>
    </r>
    <r>
      <rPr>
        <i/>
        <sz val="12"/>
        <rFont val="Cambria"/>
        <family val="1"/>
      </rPr>
      <t xml:space="preserve">The </t>
    </r>
    <r>
      <rPr>
        <i/>
        <u/>
        <sz val="12"/>
        <color rgb="FFFF0000"/>
        <rFont val="Cambria"/>
        <family val="1"/>
      </rPr>
      <t>self-reported</t>
    </r>
    <r>
      <rPr>
        <i/>
        <sz val="12"/>
        <rFont val="Cambria"/>
        <family val="1"/>
      </rPr>
      <t xml:space="preserve"> financial data and TD information populates the Performance Indicators Worksheet.  These performance indicators are key ratios and trends the Fiscal Management Division of the State Treasurer's Office has monitored for decades.  We created this Performance Indicator Worksheet to make these fiscal measures available to Auditors and Local Governments before submittal of the audit to the Fiscal Management Division.  If the Unit of Government crosses a certain threshold the performance indicator result will turn red and the unit will have to prepare a "Response to the Auditor's Findings, Recommendations, and Fiscal Matter uses" that address </t>
    </r>
    <r>
      <rPr>
        <i/>
        <u/>
        <sz val="12"/>
        <color rgb="FFFF0000"/>
        <rFont val="Cambria"/>
        <family val="1"/>
      </rPr>
      <t>each</t>
    </r>
    <r>
      <rPr>
        <i/>
        <sz val="12"/>
        <rFont val="Cambria"/>
        <family val="1"/>
      </rPr>
      <t xml:space="preserve"> of the Performance Indicators that are red.  Your Auditor will provide you a copy of these performance indicators when the audit is presented to the Governing Board. The Department will have Response Preparation Guidance posted on our website to help units prepare their required responses.</t>
    </r>
  </si>
  <si>
    <r>
      <t xml:space="preserve">All information provided is </t>
    </r>
    <r>
      <rPr>
        <u/>
        <sz val="12"/>
        <color rgb="FFFF0000"/>
        <rFont val="Cambria"/>
        <family val="1"/>
      </rPr>
      <t>self-reported</t>
    </r>
    <r>
      <rPr>
        <sz val="12"/>
        <color rgb="FFFF0000"/>
        <rFont val="Cambria"/>
        <family val="1"/>
      </rPr>
      <t xml:space="preserve"> </t>
    </r>
    <r>
      <rPr>
        <sz val="12"/>
        <color theme="1"/>
        <rFont val="Cambria"/>
        <family val="1"/>
      </rPr>
      <t xml:space="preserve">by the units of local government.  The staff of the State and Local Government Fiscal Management Section does NOT recalculate and is not responsible for incorrectly reported amounts. </t>
    </r>
  </si>
  <si>
    <r>
      <t xml:space="preserve">The data provided in the </t>
    </r>
    <r>
      <rPr>
        <i/>
        <sz val="12"/>
        <color theme="1"/>
        <rFont val="Cambria"/>
        <family val="1"/>
      </rPr>
      <t xml:space="preserve">Unit Data from Audit Worksheet </t>
    </r>
    <r>
      <rPr>
        <sz val="12"/>
        <color theme="1"/>
        <rFont val="Cambria"/>
        <family val="1"/>
      </rPr>
      <t xml:space="preserve">still requires a certification by the Finance Officer that is located at the end of the worksheet in account numbers 960, 962, 964, 966, and 968.  </t>
    </r>
  </si>
  <si>
    <r>
      <t xml:space="preserve">The </t>
    </r>
    <r>
      <rPr>
        <i/>
        <sz val="12"/>
        <color theme="1"/>
        <rFont val="Cambria"/>
        <family val="1"/>
      </rPr>
      <t xml:space="preserve">Resubmission Form </t>
    </r>
    <r>
      <rPr>
        <sz val="12"/>
        <color theme="1"/>
        <rFont val="Cambria"/>
        <family val="1"/>
      </rPr>
      <t xml:space="preserve">provides instructions for reissuing audit reports and modifying data input workbooks.  See the "Resubmitting Audit Reports and Data" section of our website (link below) for detailed instructions and a matrix of the documents to include in a resubmission.   </t>
    </r>
  </si>
  <si>
    <t>https://www.nctreasurer.com/links/state-and-local-government-finance/lgc/local-fiscal-management/annual-audit/submitting-your-0</t>
  </si>
  <si>
    <t>https://efc.sog.unc.edu/resource/north-carolina-water-and-wastewater-rates-dashboard/</t>
  </si>
  <si>
    <r>
      <t xml:space="preserve">The Unit Data from Audit Worksheet must be completed using audited financial statements and submitted with the audit report to the Local Government Commission.  This worksheet is designed so that each unit should be able to complete it in less than an hour, once they have a completed audit report.  Units can always choose to outsource the completion of this worksheet but it must be verified by the finance officer on lines 319-323 of the worksheet.  The worksheet must be </t>
    </r>
    <r>
      <rPr>
        <b/>
        <sz val="12"/>
        <color indexed="8"/>
        <rFont val="Cambria"/>
        <family val="1"/>
      </rPr>
      <t>submitted with the unit’s audit report</t>
    </r>
    <r>
      <rPr>
        <sz val="12"/>
        <color indexed="8"/>
        <rFont val="Cambria"/>
        <family val="1"/>
      </rPr>
      <t>.</t>
    </r>
  </si>
  <si>
    <r>
      <t xml:space="preserve">The worksheet is organized based on how the audit report is laid out.  Titles on this worksheet appear in highlighted colors and correspond to various exhibits, statements, notes and schedules where the requested amounts should be found.  We have also provided the previous year's data in column E so that you can reference last year's amounts to aid in the completion of the worksheet.  </t>
    </r>
    <r>
      <rPr>
        <b/>
        <sz val="12"/>
        <color indexed="8"/>
        <rFont val="Cambria"/>
        <family val="1"/>
      </rPr>
      <t>Please record the numbers in the shaded column F.  Please enter all numbers as positive</t>
    </r>
    <r>
      <rPr>
        <sz val="12"/>
        <color indexed="8"/>
        <rFont val="Cambria"/>
        <family val="1"/>
      </rPr>
      <t xml:space="preserve"> unless specifically stated otherwise in the description of the amount requested.  </t>
    </r>
  </si>
  <si>
    <t>If you have any questions, please call 919-814-4299 or email at LGCAudit@nctreasurer.com</t>
  </si>
  <si>
    <t>Important Notes to the Auditor</t>
  </si>
  <si>
    <t xml:space="preserve">The TD Info Completed by Auditor Worksheet is to be filled out using the completed audit report for the fiscal year 2021. </t>
  </si>
  <si>
    <t>Please remember the original 2021 audit report submission cannot be processed unless we receive the following:</t>
  </si>
  <si>
    <t xml:space="preserve">- PDF file of the Audit Report named “Unit Name 2021 Audit”             </t>
  </si>
  <si>
    <t>- PDF file of all communication letters from the auditor to the unit  named “Unit Name 2021 comm #1”, “Unit Name 2021 comm #2”, etc.</t>
  </si>
  <si>
    <t xml:space="preserve">- Excel file named “Unit Name 2021 Data Input Workbook" </t>
  </si>
  <si>
    <t>We cannot complete our review process when "protection" is placed on the submitted documents.</t>
  </si>
  <si>
    <r>
      <t xml:space="preserve">We have added questions to the  2021 TD Info Completed by Auditor tab to assist our team in routing the audit report through our review process.  Please answer </t>
    </r>
    <r>
      <rPr>
        <b/>
        <i/>
        <u/>
        <sz val="12"/>
        <color rgb="FFFF0000"/>
        <rFont val="Cambria"/>
        <family val="1"/>
      </rPr>
      <t>all</t>
    </r>
    <r>
      <rPr>
        <b/>
        <i/>
        <sz val="12"/>
        <rFont val="Cambria"/>
        <family val="1"/>
      </rPr>
      <t xml:space="preserve"> questions before submitting the Data Input Workbook to the portal.  Incomplete TD Info Completed by Auditor tabs </t>
    </r>
    <r>
      <rPr>
        <b/>
        <sz val="12"/>
        <color theme="1"/>
        <rFont val="Century Schoolbook"/>
        <family val="1"/>
      </rPr>
      <t>will be returned and may delay invoice processing</t>
    </r>
    <r>
      <rPr>
        <sz val="12"/>
        <color theme="1"/>
        <rFont val="Century Schoolbook"/>
        <family val="1"/>
      </rPr>
      <t xml:space="preserve">.  </t>
    </r>
  </si>
  <si>
    <t xml:space="preserve">If you are submitting the audit report for a prior year, please follow the instructions in the last section below. </t>
  </si>
  <si>
    <t xml:space="preserve">The Data Input Workbook can be accessed at the NC Treasurer's website from the "Data Input Workbook" section(see link below). Instructions, Forms, and other Audit Links can be found there under the "Submitting Audit Reports" and "Resubmitting Audit Reports and Data" sections.  </t>
  </si>
  <si>
    <r>
      <t xml:space="preserve">If you are performing an audit for a year earlier than June 30, 2021, please email </t>
    </r>
    <r>
      <rPr>
        <b/>
        <sz val="12"/>
        <color theme="1"/>
        <rFont val="Cambria"/>
        <family val="1"/>
      </rPr>
      <t>LGCAudit@nctreasurer.com</t>
    </r>
    <r>
      <rPr>
        <sz val="12"/>
        <color theme="1"/>
        <rFont val="Cambria"/>
        <family val="1"/>
      </rPr>
      <t>, as you will need to use the appropriate transmittal and data input document for that time period.</t>
    </r>
  </si>
  <si>
    <t>53876</t>
  </si>
  <si>
    <t>53926</t>
  </si>
  <si>
    <t>53880</t>
  </si>
  <si>
    <t>53881</t>
  </si>
  <si>
    <t>53938</t>
  </si>
  <si>
    <t>53884</t>
  </si>
  <si>
    <t>53889</t>
  </si>
  <si>
    <t>53890</t>
  </si>
  <si>
    <t>53897</t>
  </si>
  <si>
    <t>53970</t>
  </si>
  <si>
    <t>53901</t>
  </si>
  <si>
    <t>53902</t>
  </si>
  <si>
    <t>53923</t>
  </si>
  <si>
    <t>53908</t>
  </si>
  <si>
    <t>53913</t>
  </si>
  <si>
    <t>4</t>
  </si>
  <si>
    <t>5</t>
  </si>
  <si>
    <t>6</t>
  </si>
  <si>
    <t>7</t>
  </si>
  <si>
    <t>9</t>
  </si>
  <si>
    <t>11</t>
  </si>
  <si>
    <t>12</t>
  </si>
  <si>
    <t>13</t>
  </si>
  <si>
    <t>14</t>
  </si>
  <si>
    <t>16</t>
  </si>
  <si>
    <t>17</t>
  </si>
  <si>
    <t>19</t>
  </si>
  <si>
    <t>20</t>
  </si>
  <si>
    <t>21</t>
  </si>
  <si>
    <t>22</t>
  </si>
  <si>
    <t>23</t>
  </si>
  <si>
    <t>31</t>
  </si>
  <si>
    <t>32</t>
  </si>
  <si>
    <t>33</t>
  </si>
  <si>
    <t>44</t>
  </si>
  <si>
    <t>45</t>
  </si>
  <si>
    <t>47</t>
  </si>
  <si>
    <t>48</t>
  </si>
  <si>
    <t>49</t>
  </si>
  <si>
    <t>50</t>
  </si>
  <si>
    <t>51</t>
  </si>
  <si>
    <t>52</t>
  </si>
  <si>
    <t>53</t>
  </si>
  <si>
    <t>55</t>
  </si>
  <si>
    <t>61</t>
  </si>
  <si>
    <t>80</t>
  </si>
  <si>
    <t>81</t>
  </si>
  <si>
    <t>82</t>
  </si>
  <si>
    <t>83</t>
  </si>
  <si>
    <t>84</t>
  </si>
  <si>
    <t>85</t>
  </si>
  <si>
    <t>88</t>
  </si>
  <si>
    <t>89</t>
  </si>
  <si>
    <t>90</t>
  </si>
  <si>
    <t>91</t>
  </si>
  <si>
    <t>93</t>
  </si>
  <si>
    <t>94</t>
  </si>
  <si>
    <t>97</t>
  </si>
  <si>
    <t>98</t>
  </si>
  <si>
    <t>99</t>
  </si>
  <si>
    <t>100</t>
  </si>
  <si>
    <t>101</t>
  </si>
  <si>
    <t>102</t>
  </si>
  <si>
    <t>103</t>
  </si>
  <si>
    <t>171</t>
  </si>
  <si>
    <t>191</t>
  </si>
  <si>
    <t>192</t>
  </si>
  <si>
    <t>252</t>
  </si>
  <si>
    <t>253</t>
  </si>
  <si>
    <t>254</t>
  </si>
  <si>
    <t>255</t>
  </si>
  <si>
    <t>320</t>
  </si>
  <si>
    <t>321</t>
  </si>
  <si>
    <t>322</t>
  </si>
  <si>
    <t>323</t>
  </si>
  <si>
    <t>324</t>
  </si>
  <si>
    <t>325</t>
  </si>
  <si>
    <t>327</t>
  </si>
  <si>
    <t>328</t>
  </si>
  <si>
    <t>331</t>
  </si>
  <si>
    <t>335</t>
  </si>
  <si>
    <t>336</t>
  </si>
  <si>
    <t>337</t>
  </si>
  <si>
    <t>338</t>
  </si>
  <si>
    <t>339</t>
  </si>
  <si>
    <t>341</t>
  </si>
  <si>
    <t>343</t>
  </si>
  <si>
    <t>344</t>
  </si>
  <si>
    <t>349</t>
  </si>
  <si>
    <t>350</t>
  </si>
  <si>
    <t>351</t>
  </si>
  <si>
    <t>352</t>
  </si>
  <si>
    <t>353</t>
  </si>
  <si>
    <t>356</t>
  </si>
  <si>
    <t>357</t>
  </si>
  <si>
    <t>359</t>
  </si>
  <si>
    <t>360</t>
  </si>
  <si>
    <t>361</t>
  </si>
  <si>
    <t>362</t>
  </si>
  <si>
    <t>363</t>
  </si>
  <si>
    <t>364</t>
  </si>
  <si>
    <t>365</t>
  </si>
  <si>
    <t>366</t>
  </si>
  <si>
    <t>367</t>
  </si>
  <si>
    <t>Gen Fund - Restricted Cash &amp; Investments (pre-CCH)</t>
  </si>
  <si>
    <t>368</t>
  </si>
  <si>
    <t>369</t>
  </si>
  <si>
    <t>370</t>
  </si>
  <si>
    <t>373</t>
  </si>
  <si>
    <t>375</t>
  </si>
  <si>
    <t>376</t>
  </si>
  <si>
    <t>377</t>
  </si>
  <si>
    <t>378</t>
  </si>
  <si>
    <t>379</t>
  </si>
  <si>
    <t>380</t>
  </si>
  <si>
    <t>381</t>
  </si>
  <si>
    <t>382</t>
  </si>
  <si>
    <t>383</t>
  </si>
  <si>
    <t>384</t>
  </si>
  <si>
    <t>385</t>
  </si>
  <si>
    <t>386</t>
  </si>
  <si>
    <t>387</t>
  </si>
  <si>
    <t>388</t>
  </si>
  <si>
    <t>389</t>
  </si>
  <si>
    <t>391</t>
  </si>
  <si>
    <t>500</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</si>
  <si>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</si>
  <si>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</si>
  <si>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</si>
  <si>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</si>
  <si>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</si>
  <si>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</si>
  <si>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</si>
  <si>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</si>
  <si>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</si>
  <si>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</si>
  <si>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</si>
  <si>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</si>
  <si>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</si>
  <si>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</si>
  <si>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</si>
  <si>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</si>
  <si>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</si>
  <si>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</si>
  <si>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</si>
  <si>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</si>
  <si>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</si>
  <si>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</si>
  <si>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</si>
  <si>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</si>
  <si>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</si>
  <si>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</si>
  <si>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</si>
  <si>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</si>
  <si>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</si>
  <si>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</si>
  <si>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</si>
  <si>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 xml:space="preserve"> 331+89 </t>
  </si>
  <si>
    <t xml:space="preserve">                                            -  </t>
  </si>
  <si>
    <t xml:space="preserve">                                          -  </t>
  </si>
  <si>
    <t xml:space="preserve">                                     -  </t>
  </si>
  <si>
    <t xml:space="preserve">                                           -  </t>
  </si>
  <si>
    <t xml:space="preserve">                                   -  </t>
  </si>
  <si>
    <t xml:space="preserve">                                              -  </t>
  </si>
  <si>
    <t xml:space="preserve">                                               -  </t>
  </si>
  <si>
    <t xml:space="preserve">                                       -  </t>
  </si>
  <si>
    <t xml:space="preserve">                                  -  </t>
  </si>
  <si>
    <t>577</t>
  </si>
  <si>
    <t xml:space="preserve">NC DEPARTMENT OF STATE TREASURER- STATE AND LOCAL GOVERNMENT FINANCE DIVISION
TD Info Completed by Auditor
</t>
  </si>
  <si>
    <t>Formula in cell E250</t>
  </si>
  <si>
    <t>Formula in cell E251</t>
  </si>
  <si>
    <t>The Auditor will submit the Audit Report to the LGC within five months plus one day after the fiscal year end.  (for units with a June 30th fiscal year-end this would be December 1)   Select Yes or No</t>
  </si>
  <si>
    <t>Version Date 9/17/2021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</si>
</sst>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4">
    <numFmt numFmtId="41" formatCode="_(* #,##0_);_(* \(#,##0\);_(* &quot;-&quot;_);_(@_)"/>
    <numFmt numFmtId="44" formatCode="_(&quot;$&quot;* #,##0.00_);_(&quot;$&quot;* \(#,##0.00\);_(&quot;$&quot;* &quot;-&quot;??_);_(@_)"/>
    <numFmt numFmtId="43" formatCode="_(* #,##0.00_);_(* \(#,##0.00\);_(* &quot;-&quot;??_);_(@_)"/>
    <numFmt numFmtId="164" formatCode="_(* #,##0_);_(* \(#,##0\);_(* &quot;-&quot;??_);_(@_)"/>
    <numFmt numFmtId="165" formatCode="_(* #,##0.0_);_(* \(#,##0.0\);_(* &quot;-&quot;??_);_(@_)"/>
    <numFmt numFmtId="166" formatCode="0_);[Red]\(0\)"/>
    <numFmt numFmtId="167" formatCode="_(&quot;$&quot;* #,##0_);_(&quot;$&quot;* \(#,##0\);_(&quot;$&quot;* &quot;-&quot;??_);_(@_)"/>
    <numFmt numFmtId="168" formatCode="0.0"/>
    <numFmt numFmtId="169" formatCode="0_);\(0\)"/>
    <numFmt numFmtId="170" formatCode="0.00_);\(0.00\)"/>
    <numFmt numFmtId="171" formatCode="0.0_);\(0.0\)"/>
    <numFmt numFmtId="172" formatCode="_(* #,##0.0000_);_(* \(#,##0.0000\);_(* &quot;-&quot;??_);_(@_)"/>
    <numFmt numFmtId="173" formatCode="#,##0.0000_);[Red]\(#,##0.0000\)"/>
    <numFmt numFmtId="174" formatCode="#,##0.0_);\(#,##0.0\)"/>
    <numFmt numFmtId="175" formatCode="#,##0.0000_);\(#,##0.0000\)"/>
    <numFmt numFmtId="176" formatCode="_(* #,##0.00_);_(* \(#,##0.00\);_(* &quot;-&quot;_);_(@_)"/>
    <numFmt numFmtId="177" formatCode="_(* #,##0.00%_);[Red]_(* \(#,##0.00%\);_(0.00%_);@"/>
    <numFmt numFmtId="178" formatCode="m/d/yy;@"/>
    <numFmt numFmtId="179" formatCode="mm/dd/yyyy"/>
    <numFmt numFmtId="180" formatCode="#,##0.0"/>
    <numFmt numFmtId="181" formatCode="0.0000"/>
    <numFmt numFmtId="182" formatCode="0.0000_);\(0.0000\)"/>
    <numFmt numFmtId="183" formatCode="#,##0.0_);[Red]\(#,##0.0\)"/>
    <numFmt numFmtId="184" formatCode="_(* #,##0.00000_);_(* \(#,##0.00000\);_(* &quot;-&quot;??_);_(@_)"/>
  </numFmts>
  <fonts count="226" x14ac:knownFonts="1">
    <font>
      <sz val="11"/>
      <color theme="1"/>
      <name val="Calibri"/>
      <family val="2"/>
      <scheme val="minor"/>
    </font>
    <font>
      <sz val="11"/>
      <color indexed="8"/>
      <name val="Calibri"/>
      <family val="2"/>
    </font>
    <font>
      <sz val="11"/>
      <color indexed="10"/>
      <name val="Calibri"/>
      <family val="2"/>
    </font>
    <font>
      <b/>
      <sz val="11"/>
      <color indexed="8"/>
      <name val="Calibri"/>
      <family val="2"/>
    </font>
    <font>
      <sz val="11"/>
      <color indexed="62"/>
      <name val="Calibri"/>
      <family val="2"/>
    </font>
    <font>
      <sz val="11"/>
      <color indexed="60"/>
      <name val="Calibri"/>
      <family val="2"/>
    </font>
    <font>
      <sz val="10"/>
      <name val="Times New Roman"/>
      <family val="1"/>
    </font>
    <font>
      <b/>
      <sz val="12"/>
      <color indexed="8"/>
      <name val="Century Schoolbook"/>
      <family val="1"/>
    </font>
    <font>
      <sz val="11"/>
      <color indexed="9"/>
      <name val="Calibri"/>
      <family val="2"/>
    </font>
    <font>
      <b/>
      <sz val="11"/>
      <color indexed="9"/>
      <name val="Calibri"/>
      <family val="2"/>
    </font>
    <font>
      <sz val="11"/>
      <color indexed="17"/>
      <name val="Calibri"/>
      <family val="2"/>
    </font>
    <font>
      <b/>
      <sz val="11"/>
      <color indexed="63"/>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6"/>
      <name val="Calibri"/>
      <family val="2"/>
    </font>
    <font>
      <b/>
      <sz val="11"/>
      <color indexed="53"/>
      <name val="Calibri"/>
      <family val="2"/>
    </font>
    <font>
      <sz val="11"/>
      <color indexed="53"/>
      <name val="Calibri"/>
      <family val="2"/>
    </font>
    <font>
      <sz val="8"/>
      <name val="Arial"/>
      <family val="2"/>
    </font>
    <font>
      <sz val="8"/>
      <name val="Arial"/>
      <family val="2"/>
    </font>
    <font>
      <sz val="12"/>
      <name val="Garamond"/>
      <family val="1"/>
    </font>
    <font>
      <sz val="12"/>
      <name val="Garamond"/>
      <family val="1"/>
    </font>
    <font>
      <u/>
      <sz val="10"/>
      <color indexed="12"/>
      <name val="Arial"/>
      <family val="2"/>
    </font>
    <font>
      <sz val="10"/>
      <name val="Arial"/>
      <family val="2"/>
    </font>
    <font>
      <sz val="11"/>
      <color indexed="8"/>
      <name val="Century Schoolbook"/>
      <family val="1"/>
    </font>
    <font>
      <sz val="8"/>
      <name val="Arial"/>
      <family val="2"/>
    </font>
    <font>
      <sz val="10"/>
      <name val="Arial"/>
      <family val="2"/>
    </font>
    <font>
      <sz val="12"/>
      <name val="Garamond"/>
      <family val="1"/>
    </font>
    <font>
      <sz val="8"/>
      <name val="Arial"/>
      <family val="2"/>
    </font>
    <font>
      <sz val="10"/>
      <name val="Arial"/>
      <family val="2"/>
    </font>
    <font>
      <sz val="12"/>
      <name val="Garamond"/>
      <family val="1"/>
    </font>
    <font>
      <sz val="11"/>
      <color indexed="8"/>
      <name val="Century Schoolbook"/>
      <family val="2"/>
    </font>
    <font>
      <b/>
      <sz val="22"/>
      <color indexed="8"/>
      <name val="Calibri"/>
      <family val="2"/>
    </font>
    <font>
      <sz val="11"/>
      <color theme="1"/>
      <name val="Calibri"/>
      <family val="2"/>
      <scheme val="minor"/>
    </font>
    <font>
      <sz val="11"/>
      <color theme="1"/>
      <name val="Century Schoolbook"/>
      <family val="2"/>
    </font>
    <font>
      <u/>
      <sz val="11"/>
      <color theme="10"/>
      <name val="Calibri"/>
      <family val="2"/>
      <scheme val="minor"/>
    </font>
    <font>
      <u/>
      <sz val="11"/>
      <color theme="10"/>
      <name val="Calibri"/>
      <family val="2"/>
    </font>
    <font>
      <sz val="12"/>
      <color theme="1"/>
      <name val="Calibri"/>
      <family val="2"/>
      <scheme val="minor"/>
    </font>
    <font>
      <b/>
      <sz val="22"/>
      <color theme="1"/>
      <name val="Calibri"/>
      <family val="2"/>
      <scheme val="minor"/>
    </font>
    <font>
      <b/>
      <sz val="11"/>
      <color theme="1"/>
      <name val="Calibri"/>
      <family val="2"/>
      <scheme val="minor"/>
    </font>
    <font>
      <b/>
      <sz val="14"/>
      <color theme="1"/>
      <name val="Calibri"/>
      <family val="2"/>
      <scheme val="minor"/>
    </font>
    <font>
      <sz val="9"/>
      <color theme="1"/>
      <name val="Calibri"/>
      <family val="2"/>
      <scheme val="minor"/>
    </font>
    <font>
      <b/>
      <sz val="9"/>
      <color rgb="FFFF0000"/>
      <name val="Calibri"/>
      <family val="2"/>
      <scheme val="minor"/>
    </font>
    <font>
      <sz val="11"/>
      <color rgb="FF0070C0"/>
      <name val="Calibri"/>
      <family val="2"/>
      <scheme val="minor"/>
    </font>
    <font>
      <sz val="11"/>
      <color theme="1"/>
      <name val="Century Schoolbook"/>
      <family val="1"/>
    </font>
    <font>
      <sz val="11"/>
      <name val="Calibri"/>
      <family val="2"/>
      <scheme val="minor"/>
    </font>
    <font>
      <sz val="14"/>
      <color theme="1"/>
      <name val="Calibri"/>
      <family val="2"/>
      <scheme val="minor"/>
    </font>
    <font>
      <sz val="12"/>
      <color theme="1"/>
      <name val="Century Schoolbook"/>
      <family val="1"/>
    </font>
    <font>
      <b/>
      <sz val="9"/>
      <color theme="1"/>
      <name val="Calibri"/>
      <family val="2"/>
      <scheme val="minor"/>
    </font>
    <font>
      <b/>
      <sz val="16"/>
      <color theme="1"/>
      <name val="Calibri"/>
      <family val="2"/>
      <scheme val="minor"/>
    </font>
    <font>
      <b/>
      <sz val="10"/>
      <color theme="1"/>
      <name val="Calibri"/>
      <family val="2"/>
      <scheme val="minor"/>
    </font>
    <font>
      <b/>
      <sz val="12"/>
      <color theme="0"/>
      <name val="Calibri"/>
      <family val="2"/>
      <scheme val="minor"/>
    </font>
    <font>
      <b/>
      <sz val="12"/>
      <color theme="1"/>
      <name val="Calibri"/>
      <family val="2"/>
      <scheme val="minor"/>
    </font>
    <font>
      <sz val="10"/>
      <color theme="1"/>
      <name val="Calibri"/>
      <family val="2"/>
      <scheme val="minor"/>
    </font>
    <font>
      <u/>
      <sz val="11"/>
      <color theme="1"/>
      <name val="Calibri"/>
      <family val="2"/>
      <scheme val="minor"/>
    </font>
    <font>
      <sz val="11"/>
      <color indexed="9"/>
      <name val="Calibri"/>
      <family val="2"/>
      <scheme val="minor"/>
    </font>
    <font>
      <sz val="8"/>
      <name val="Calibri"/>
      <family val="2"/>
      <scheme val="minor"/>
    </font>
    <font>
      <sz val="11"/>
      <color rgb="FFC00000"/>
      <name val="Calibri"/>
      <family val="2"/>
      <scheme val="minor"/>
    </font>
    <font>
      <sz val="9"/>
      <color theme="1"/>
      <name val="Century Schoolbook"/>
      <family val="1"/>
    </font>
    <font>
      <sz val="8"/>
      <color theme="1"/>
      <name val="Calibri"/>
      <family val="2"/>
      <scheme val="minor"/>
    </font>
    <font>
      <b/>
      <sz val="11"/>
      <name val="Calibri"/>
      <family val="2"/>
      <scheme val="minor"/>
    </font>
    <font>
      <b/>
      <sz val="11"/>
      <color indexed="8"/>
      <name val="Calibri"/>
      <family val="2"/>
      <scheme val="minor"/>
    </font>
    <font>
      <u/>
      <sz val="11"/>
      <color theme="5" tint="-0.249977111117893"/>
      <name val="Calibri"/>
      <family val="2"/>
      <scheme val="minor"/>
    </font>
    <font>
      <b/>
      <sz val="8"/>
      <color theme="1"/>
      <name val="Calibri"/>
      <family val="2"/>
      <scheme val="minor"/>
    </font>
    <font>
      <sz val="11"/>
      <color indexed="8"/>
      <name val="Calibri"/>
      <family val="2"/>
      <scheme val="minor"/>
    </font>
    <font>
      <sz val="28"/>
      <color theme="1"/>
      <name val="Calibri"/>
      <family val="2"/>
      <scheme val="minor"/>
    </font>
    <font>
      <sz val="9"/>
      <name val="Calibri"/>
      <family val="2"/>
      <scheme val="minor"/>
    </font>
    <font>
      <sz val="9"/>
      <color rgb="FFFF0000"/>
      <name val="Calibri"/>
      <family val="2"/>
      <scheme val="minor"/>
    </font>
    <font>
      <sz val="8"/>
      <name val="Arial"/>
      <family val="2"/>
    </font>
    <font>
      <sz val="10"/>
      <name val="Arial"/>
      <family val="2"/>
    </font>
    <font>
      <sz val="12"/>
      <name val="Garamond"/>
      <family val="1"/>
    </font>
    <font>
      <sz val="11"/>
      <color rgb="FFFF0000"/>
      <name val="Calibri"/>
      <family val="2"/>
      <scheme val="minor"/>
    </font>
    <font>
      <b/>
      <sz val="11"/>
      <color rgb="FFFF0000"/>
      <name val="Calibri"/>
      <family val="2"/>
      <scheme val="minor"/>
    </font>
    <font>
      <b/>
      <sz val="14"/>
      <color theme="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theme="0"/>
      <name val="Calibri"/>
      <family val="2"/>
      <scheme val="minor"/>
    </font>
    <font>
      <b/>
      <sz val="10"/>
      <color indexed="9"/>
      <name val="Arial"/>
      <family val="2"/>
    </font>
    <font>
      <b/>
      <sz val="10"/>
      <name val="Arial"/>
      <family val="2"/>
    </font>
    <font>
      <b/>
      <sz val="10"/>
      <color indexed="12"/>
      <name val="Arial"/>
      <family val="2"/>
    </font>
    <font>
      <sz val="9"/>
      <name val="Arial"/>
      <family val="2"/>
    </font>
    <font>
      <b/>
      <sz val="9"/>
      <color indexed="18"/>
      <name val="Arial"/>
      <family val="2"/>
    </font>
    <font>
      <b/>
      <sz val="9"/>
      <color indexed="9"/>
      <name val="Arial"/>
      <family val="2"/>
    </font>
    <font>
      <b/>
      <sz val="9"/>
      <name val="Arial"/>
      <family val="2"/>
    </font>
    <font>
      <b/>
      <sz val="10"/>
      <color theme="0"/>
      <name val="Arial"/>
      <family val="2"/>
    </font>
    <font>
      <sz val="11"/>
      <color rgb="FF9C6500"/>
      <name val="Calibri"/>
      <family val="2"/>
      <scheme val="minor"/>
    </font>
    <font>
      <sz val="10"/>
      <color indexed="63"/>
      <name val="Arial"/>
      <family val="2"/>
    </font>
    <font>
      <b/>
      <i/>
      <sz val="10"/>
      <color indexed="63"/>
      <name val="Arial"/>
      <family val="2"/>
    </font>
    <font>
      <b/>
      <sz val="10"/>
      <color indexed="8"/>
      <name val="Arial"/>
      <family val="2"/>
    </font>
    <font>
      <i/>
      <sz val="11"/>
      <color rgb="FF7F7F7F"/>
      <name val="Calibri"/>
      <family val="2"/>
      <scheme val="minor"/>
    </font>
    <font>
      <sz val="11"/>
      <color theme="0"/>
      <name val="Century Schoolbook"/>
      <family val="2"/>
    </font>
    <font>
      <sz val="11"/>
      <color rgb="FF9C0006"/>
      <name val="Century Schoolbook"/>
      <family val="2"/>
    </font>
    <font>
      <b/>
      <sz val="11"/>
      <color rgb="FFFA7D00"/>
      <name val="Century Schoolbook"/>
      <family val="2"/>
    </font>
    <font>
      <b/>
      <sz val="11"/>
      <color theme="0"/>
      <name val="Century Schoolbook"/>
      <family val="2"/>
    </font>
    <font>
      <i/>
      <sz val="11"/>
      <color rgb="FF7F7F7F"/>
      <name val="Century Schoolbook"/>
      <family val="2"/>
    </font>
    <font>
      <sz val="11"/>
      <color rgb="FF006100"/>
      <name val="Century Schoolbook"/>
      <family val="2"/>
    </font>
    <font>
      <b/>
      <sz val="15"/>
      <color theme="3"/>
      <name val="Century Schoolbook"/>
      <family val="2"/>
    </font>
    <font>
      <b/>
      <sz val="13"/>
      <color theme="3"/>
      <name val="Century Schoolbook"/>
      <family val="2"/>
    </font>
    <font>
      <b/>
      <sz val="11"/>
      <color theme="3"/>
      <name val="Century Schoolbook"/>
      <family val="2"/>
    </font>
    <font>
      <sz val="11"/>
      <color rgb="FF3F3F76"/>
      <name val="Century Schoolbook"/>
      <family val="2"/>
    </font>
    <font>
      <sz val="11"/>
      <color rgb="FFFA7D00"/>
      <name val="Century Schoolbook"/>
      <family val="2"/>
    </font>
    <font>
      <sz val="11"/>
      <color rgb="FF9C6500"/>
      <name val="Century Schoolbook"/>
      <family val="2"/>
    </font>
    <font>
      <b/>
      <sz val="11"/>
      <color rgb="FF3F3F3F"/>
      <name val="Century Schoolbook"/>
      <family val="2"/>
    </font>
    <font>
      <b/>
      <sz val="18"/>
      <color theme="3"/>
      <name val="Cambria"/>
      <family val="2"/>
      <scheme val="major"/>
    </font>
    <font>
      <b/>
      <sz val="11"/>
      <color theme="1"/>
      <name val="Century Schoolbook"/>
      <family val="2"/>
    </font>
    <font>
      <sz val="11"/>
      <color rgb="FFFF0000"/>
      <name val="Century Schoolbook"/>
      <family val="2"/>
    </font>
    <font>
      <b/>
      <sz val="11"/>
      <color rgb="FF000000"/>
      <name val="Calibri"/>
      <family val="2"/>
      <scheme val="minor"/>
    </font>
    <font>
      <b/>
      <sz val="11"/>
      <color theme="5" tint="-0.249977111117893"/>
      <name val="Calibri"/>
      <family val="2"/>
      <scheme val="minor"/>
    </font>
    <font>
      <sz val="10"/>
      <color rgb="FF000000"/>
      <name val="Times New Roman"/>
      <family val="1"/>
    </font>
    <font>
      <sz val="10"/>
      <color rgb="FF000000"/>
      <name val="Times New Roman"/>
      <family val="1"/>
    </font>
    <font>
      <u/>
      <sz val="10"/>
      <color indexed="12"/>
      <name val="Times New Roman"/>
      <family val="1"/>
    </font>
    <font>
      <u/>
      <sz val="10"/>
      <color theme="10"/>
      <name val="Times New Roman"/>
      <family val="1"/>
    </font>
    <font>
      <b/>
      <sz val="8"/>
      <color theme="0"/>
      <name val="Calibri"/>
      <family val="2"/>
      <scheme val="minor"/>
    </font>
    <font>
      <b/>
      <i/>
      <sz val="12"/>
      <name val="Cambria"/>
      <family val="1"/>
    </font>
    <font>
      <i/>
      <sz val="12"/>
      <name val="Cambria"/>
      <family val="1"/>
    </font>
    <font>
      <i/>
      <sz val="12"/>
      <color rgb="FFFF0000"/>
      <name val="Cambria"/>
      <family val="1"/>
    </font>
    <font>
      <i/>
      <u/>
      <sz val="12"/>
      <color rgb="FFFF0000"/>
      <name val="Cambria"/>
      <family val="1"/>
    </font>
    <font>
      <b/>
      <i/>
      <sz val="14"/>
      <color theme="0"/>
      <name val="Cambria"/>
      <family val="1"/>
    </font>
    <font>
      <sz val="12"/>
      <color theme="0"/>
      <name val="Century Schoolbook"/>
      <family val="1"/>
    </font>
    <font>
      <b/>
      <sz val="12"/>
      <color theme="1"/>
      <name val="Century Schoolbook"/>
      <family val="1"/>
    </font>
    <font>
      <sz val="10"/>
      <color rgb="FF000000"/>
      <name val="Times New Roman"/>
      <family val="1"/>
    </font>
    <font>
      <sz val="10"/>
      <color rgb="FF000000"/>
      <name val="Verdana"/>
      <family val="2"/>
    </font>
    <font>
      <b/>
      <sz val="12"/>
      <color rgb="FF000000"/>
      <name val="Verdana"/>
      <family val="2"/>
    </font>
    <font>
      <sz val="10"/>
      <color theme="0"/>
      <name val="Verdana"/>
      <family val="2"/>
    </font>
    <font>
      <b/>
      <sz val="22"/>
      <color theme="0"/>
      <name val="Verdana"/>
      <family val="2"/>
    </font>
    <font>
      <b/>
      <sz val="10"/>
      <color rgb="FFFF0000"/>
      <name val="Verdana"/>
      <family val="2"/>
    </font>
    <font>
      <b/>
      <sz val="10"/>
      <name val="Verdana"/>
      <family val="2"/>
    </font>
    <font>
      <sz val="10"/>
      <name val="Verdana"/>
      <family val="2"/>
    </font>
    <font>
      <b/>
      <sz val="14"/>
      <color theme="0"/>
      <name val="Verdana"/>
      <family val="2"/>
    </font>
    <font>
      <sz val="14"/>
      <color theme="0"/>
      <name val="Verdana"/>
      <family val="2"/>
    </font>
    <font>
      <sz val="10"/>
      <color theme="0" tint="-0.14999847407452621"/>
      <name val="Verdana"/>
      <family val="2"/>
    </font>
    <font>
      <sz val="10"/>
      <color rgb="FF00B050"/>
      <name val="Verdana"/>
      <family val="2"/>
    </font>
    <font>
      <i/>
      <sz val="10"/>
      <name val="Verdana"/>
      <family val="2"/>
    </font>
    <font>
      <sz val="10"/>
      <color rgb="FFFF0000"/>
      <name val="Verdana"/>
      <family val="2"/>
    </font>
    <font>
      <i/>
      <sz val="10"/>
      <color rgb="FF000000"/>
      <name val="Verdana"/>
      <family val="2"/>
    </font>
    <font>
      <sz val="9.5"/>
      <name val="Verdana"/>
      <family val="2"/>
    </font>
    <font>
      <u/>
      <sz val="10"/>
      <color theme="0"/>
      <name val="Verdana"/>
      <family val="2"/>
    </font>
    <font>
      <i/>
      <sz val="9.5"/>
      <name val="Verdana"/>
      <family val="2"/>
    </font>
    <font>
      <b/>
      <sz val="20"/>
      <color theme="3" tint="0.39997558519241921"/>
      <name val="Verdana"/>
      <family val="2"/>
    </font>
    <font>
      <sz val="10"/>
      <color theme="1"/>
      <name val="Verdana"/>
      <family val="2"/>
    </font>
    <font>
      <b/>
      <i/>
      <sz val="10"/>
      <color rgb="FF000000"/>
      <name val="Verdana"/>
      <family val="2"/>
    </font>
    <font>
      <i/>
      <sz val="10"/>
      <color theme="1"/>
      <name val="Verdana"/>
      <family val="2"/>
    </font>
    <font>
      <sz val="11"/>
      <color theme="1"/>
      <name val="Verdana"/>
      <family val="2"/>
    </font>
    <font>
      <sz val="12"/>
      <color theme="0"/>
      <name val="Verdana"/>
      <family val="2"/>
    </font>
    <font>
      <sz val="16"/>
      <color rgb="FFFF0000"/>
      <name val="Walbaum Display Heavy"/>
      <family val="1"/>
    </font>
    <font>
      <b/>
      <sz val="12"/>
      <name val="Verdana"/>
      <family val="2"/>
    </font>
    <font>
      <sz val="10"/>
      <name val="Arial"/>
      <family val="2"/>
    </font>
    <font>
      <sz val="8"/>
      <color rgb="FF000000"/>
      <name val="Verdana"/>
      <family val="2"/>
    </font>
    <font>
      <b/>
      <sz val="9"/>
      <color rgb="FFFF0000"/>
      <name val="Verdana"/>
      <family val="2"/>
    </font>
    <font>
      <sz val="8"/>
      <name val="Arial"/>
      <family val="2"/>
    </font>
    <font>
      <sz val="12"/>
      <name val="Garamond"/>
      <family val="1"/>
    </font>
    <font>
      <sz val="10"/>
      <color rgb="FF000000"/>
      <name val="Times New Roman"/>
      <family val="1"/>
    </font>
    <font>
      <sz val="11"/>
      <color rgb="FF000000"/>
      <name val="Calibri"/>
      <family val="2"/>
      <scheme val="minor"/>
    </font>
    <font>
      <b/>
      <sz val="8"/>
      <color rgb="FFFF0000"/>
      <name val="Verdana"/>
      <family val="2"/>
    </font>
    <font>
      <b/>
      <sz val="18"/>
      <color rgb="FFFF0000"/>
      <name val="Calibri"/>
      <family val="2"/>
      <scheme val="minor"/>
    </font>
    <font>
      <sz val="11"/>
      <color theme="5" tint="0.79998168889431442"/>
      <name val="Calibri"/>
      <family val="2"/>
      <scheme val="minor"/>
    </font>
    <font>
      <i/>
      <sz val="14"/>
      <color theme="1"/>
      <name val="Calibri"/>
      <family val="2"/>
      <scheme val="minor"/>
    </font>
    <font>
      <i/>
      <sz val="14"/>
      <color theme="3"/>
      <name val="Calibri"/>
      <family val="2"/>
      <scheme val="minor"/>
    </font>
    <font>
      <b/>
      <i/>
      <sz val="11"/>
      <name val="Calibri"/>
      <family val="2"/>
      <scheme val="minor"/>
    </font>
    <font>
      <i/>
      <sz val="11"/>
      <name val="Calibri"/>
      <family val="2"/>
      <scheme val="minor"/>
    </font>
    <font>
      <b/>
      <u/>
      <sz val="12"/>
      <color theme="1"/>
      <name val="Calibri"/>
      <family val="2"/>
      <scheme val="minor"/>
    </font>
    <font>
      <b/>
      <u/>
      <sz val="16"/>
      <color theme="1"/>
      <name val="Calibri"/>
      <family val="2"/>
      <scheme val="minor"/>
    </font>
    <font>
      <b/>
      <u/>
      <sz val="10"/>
      <color theme="1"/>
      <name val="Calibri"/>
      <family val="2"/>
      <scheme val="minor"/>
    </font>
    <font>
      <sz val="10"/>
      <color indexed="8"/>
      <name val="Calibri"/>
      <family val="2"/>
      <scheme val="minor"/>
    </font>
    <font>
      <u/>
      <sz val="10"/>
      <color theme="1"/>
      <name val="Calibri"/>
      <family val="2"/>
      <scheme val="minor"/>
    </font>
    <font>
      <b/>
      <i/>
      <u/>
      <sz val="10"/>
      <color theme="1"/>
      <name val="Calibri"/>
      <family val="2"/>
      <scheme val="minor"/>
    </font>
    <font>
      <b/>
      <sz val="11"/>
      <color rgb="FF0070C0"/>
      <name val="Calibri"/>
      <family val="2"/>
      <scheme val="minor"/>
    </font>
    <font>
      <sz val="8"/>
      <color indexed="8"/>
      <name val="Calibri"/>
      <family val="2"/>
      <scheme val="minor"/>
    </font>
    <font>
      <u/>
      <sz val="8"/>
      <color indexed="8"/>
      <name val="Calibri"/>
      <family val="2"/>
      <scheme val="minor"/>
    </font>
    <font>
      <b/>
      <sz val="8"/>
      <color indexed="8"/>
      <name val="Calibri"/>
      <family val="2"/>
      <scheme val="minor"/>
    </font>
    <font>
      <b/>
      <sz val="8"/>
      <name val="Calibri"/>
      <family val="2"/>
      <scheme val="minor"/>
    </font>
    <font>
      <b/>
      <sz val="8"/>
      <color indexed="17"/>
      <name val="Calibri"/>
      <family val="2"/>
      <scheme val="minor"/>
    </font>
    <font>
      <u/>
      <sz val="8"/>
      <name val="Calibri"/>
      <family val="2"/>
      <scheme val="minor"/>
    </font>
    <font>
      <sz val="11"/>
      <color theme="9" tint="-0.249977111117893"/>
      <name val="Calibri"/>
      <family val="2"/>
      <scheme val="minor"/>
    </font>
    <font>
      <u/>
      <sz val="11"/>
      <color indexed="8"/>
      <name val="Calibri"/>
      <family val="2"/>
      <scheme val="minor"/>
    </font>
    <font>
      <b/>
      <u/>
      <sz val="11"/>
      <color indexed="8"/>
      <name val="Calibri"/>
      <family val="2"/>
      <scheme val="minor"/>
    </font>
    <font>
      <b/>
      <sz val="11"/>
      <color indexed="60"/>
      <name val="Calibri"/>
      <family val="2"/>
      <scheme val="minor"/>
    </font>
    <font>
      <u/>
      <sz val="11"/>
      <color rgb="FFFF0000"/>
      <name val="Calibri"/>
      <family val="2"/>
      <scheme val="minor"/>
    </font>
    <font>
      <sz val="11"/>
      <color theme="5" tint="-0.249977111117893"/>
      <name val="Calibri"/>
      <family val="2"/>
      <scheme val="minor"/>
    </font>
    <font>
      <u/>
      <sz val="11"/>
      <color indexed="60"/>
      <name val="Calibri"/>
      <family val="2"/>
      <scheme val="minor"/>
    </font>
    <font>
      <sz val="11"/>
      <color indexed="60"/>
      <name val="Calibri"/>
      <family val="2"/>
      <scheme val="minor"/>
    </font>
    <font>
      <u/>
      <sz val="11"/>
      <name val="Calibri"/>
      <family val="2"/>
      <scheme val="minor"/>
    </font>
    <font>
      <sz val="11"/>
      <color indexed="10"/>
      <name val="Calibri"/>
      <family val="2"/>
      <scheme val="minor"/>
    </font>
    <font>
      <b/>
      <sz val="11"/>
      <color rgb="FFC00000"/>
      <name val="Calibri"/>
      <family val="2"/>
      <scheme val="minor"/>
    </font>
    <font>
      <b/>
      <sz val="11"/>
      <color theme="2"/>
      <name val="Calibri"/>
      <family val="2"/>
      <scheme val="minor"/>
    </font>
    <font>
      <sz val="11"/>
      <color theme="2"/>
      <name val="Calibri"/>
      <family val="2"/>
      <scheme val="minor"/>
    </font>
    <font>
      <sz val="10"/>
      <color rgb="FFFF0000"/>
      <name val="Calibri"/>
      <family val="2"/>
      <scheme val="minor"/>
    </font>
    <font>
      <b/>
      <u/>
      <sz val="11"/>
      <name val="Calibri"/>
      <family val="2"/>
      <scheme val="minor"/>
    </font>
    <font>
      <sz val="16"/>
      <color rgb="FFFF0000"/>
      <name val="Calibri"/>
      <family val="2"/>
      <scheme val="minor"/>
    </font>
    <font>
      <b/>
      <sz val="20"/>
      <color theme="1"/>
      <name val="Calibri"/>
      <family val="2"/>
      <scheme val="minor"/>
    </font>
    <font>
      <sz val="16"/>
      <color theme="1"/>
      <name val="Calibri"/>
      <family val="2"/>
      <scheme val="minor"/>
    </font>
    <font>
      <b/>
      <sz val="10"/>
      <color theme="1"/>
      <name val="Century Schoolbook"/>
      <family val="2"/>
    </font>
    <font>
      <sz val="10"/>
      <name val="Arial"/>
      <family val="2"/>
    </font>
    <font>
      <sz val="12"/>
      <name val="Century Schoolbook"/>
      <family val="1"/>
    </font>
    <font>
      <sz val="10"/>
      <name val="Century Schoolbook"/>
      <family val="1"/>
    </font>
    <font>
      <b/>
      <sz val="12"/>
      <name val="Century Schoolbook"/>
      <family val="1"/>
    </font>
    <font>
      <sz val="11"/>
      <name val="Century Schoolbook"/>
      <family val="1"/>
    </font>
    <font>
      <u/>
      <sz val="11"/>
      <color theme="1"/>
      <name val="Century Schoolbook"/>
      <family val="1"/>
    </font>
    <font>
      <sz val="11"/>
      <color rgb="FFFF0000"/>
      <name val="Century Schoolbook"/>
      <family val="1"/>
    </font>
    <font>
      <b/>
      <sz val="11"/>
      <color indexed="8"/>
      <name val="Century Schoolbook"/>
      <family val="1"/>
    </font>
    <font>
      <b/>
      <sz val="11"/>
      <color rgb="FF000000"/>
      <name val="Century Schoolbook"/>
      <family val="1"/>
    </font>
    <font>
      <sz val="8"/>
      <color theme="1"/>
      <name val="Century Schoolbook"/>
      <family val="1"/>
    </font>
    <font>
      <i/>
      <sz val="18"/>
      <color theme="0"/>
      <name val="Cambria"/>
      <family val="1"/>
      <scheme val="major"/>
    </font>
    <font>
      <sz val="12"/>
      <color theme="1"/>
      <name val="Cambria"/>
      <family val="1"/>
    </font>
    <font>
      <u/>
      <sz val="12"/>
      <color rgb="FFFF0000"/>
      <name val="Cambria"/>
      <family val="1"/>
    </font>
    <font>
      <sz val="12"/>
      <color rgb="FFFF0000"/>
      <name val="Cambria"/>
      <family val="1"/>
    </font>
    <font>
      <i/>
      <sz val="12"/>
      <color theme="1"/>
      <name val="Cambria"/>
      <family val="1"/>
    </font>
    <font>
      <u/>
      <sz val="12"/>
      <color theme="10"/>
      <name val="Cambria"/>
      <family val="1"/>
    </font>
    <font>
      <sz val="11"/>
      <color theme="1"/>
      <name val="Cambria"/>
      <family val="1"/>
    </font>
    <font>
      <u/>
      <sz val="11"/>
      <color theme="10"/>
      <name val="Cambria"/>
      <family val="1"/>
    </font>
    <font>
      <b/>
      <sz val="12"/>
      <color indexed="8"/>
      <name val="Cambria"/>
      <family val="1"/>
    </font>
    <font>
      <sz val="12"/>
      <color indexed="8"/>
      <name val="Cambria"/>
      <family val="1"/>
    </font>
    <font>
      <b/>
      <i/>
      <u/>
      <sz val="12"/>
      <color rgb="FFFF0000"/>
      <name val="Cambria"/>
      <family val="1"/>
    </font>
    <font>
      <b/>
      <sz val="12"/>
      <color theme="1"/>
      <name val="Cambria"/>
      <family val="1"/>
    </font>
    <font>
      <b/>
      <sz val="11"/>
      <name val="Verdana"/>
      <family val="2"/>
    </font>
    <font>
      <b/>
      <sz val="11"/>
      <color rgb="FFFF0000"/>
      <name val="Verdana"/>
      <family val="2"/>
    </font>
  </fonts>
  <fills count="86">
    <fill>
      <patternFill patternType="none"/>
    </fill>
    <fill>
      <patternFill patternType="gray125"/>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0070C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00FFFF"/>
        <bgColor indexed="64"/>
      </patternFill>
    </fill>
    <fill>
      <patternFill patternType="solid">
        <fgColor rgb="FFFFFFCC"/>
        <bgColor indexed="64"/>
      </patternFill>
    </fill>
    <fill>
      <patternFill patternType="solid">
        <fgColor theme="3"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indexed="18"/>
        <bgColor indexed="64"/>
      </patternFill>
    </fill>
    <fill>
      <patternFill patternType="solid">
        <fgColor rgb="FF99CCFF"/>
        <bgColor indexed="64"/>
      </patternFill>
    </fill>
    <fill>
      <patternFill patternType="solid">
        <fgColor indexed="44"/>
        <bgColor indexed="64"/>
      </patternFill>
    </fill>
    <fill>
      <patternFill patternType="solid">
        <fgColor indexed="22"/>
        <bgColor indexed="64"/>
      </patternFill>
    </fill>
    <fill>
      <patternFill patternType="solid">
        <fgColor theme="1" tint="0.24994659260841701"/>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rgb="FFBFC2D9"/>
        <bgColor indexed="64"/>
      </patternFill>
    </fill>
    <fill>
      <patternFill patternType="solid">
        <fgColor theme="6"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8" tint="0.79998168889431442"/>
        <bgColor indexed="64"/>
      </patternFill>
    </fill>
    <fill>
      <patternFill patternType="solid">
        <fgColor theme="0"/>
        <bgColor indexed="64"/>
      </patternFill>
    </fill>
    <fill>
      <patternFill patternType="solid">
        <fgColor rgb="FFCCFF66"/>
        <bgColor indexed="64"/>
      </patternFill>
    </fill>
    <fill>
      <patternFill patternType="solid">
        <fgColor theme="7" tint="0.59999389629810485"/>
        <bgColor indexed="64"/>
      </patternFill>
    </fill>
    <fill>
      <patternFill patternType="solid">
        <fgColor indexed="55"/>
        <bgColor indexed="64"/>
      </patternFill>
    </fill>
    <fill>
      <patternFill patternType="solid">
        <fgColor theme="0" tint="-0.249977111117893"/>
        <bgColor indexed="64"/>
      </patternFill>
    </fill>
  </fills>
  <borders count="13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medium">
        <color indexed="64"/>
      </left>
      <right/>
      <top/>
      <bottom/>
      <diagonal/>
    </border>
    <border>
      <left/>
      <right/>
      <top style="medium">
        <color indexed="64"/>
      </top>
      <bottom style="medium">
        <color indexed="64"/>
      </bottom>
      <diagonal/>
    </border>
    <border>
      <left/>
      <right/>
      <top/>
      <bottom style="thin">
        <color indexed="64"/>
      </bottom>
      <diagonal/>
    </border>
    <border>
      <left/>
      <right/>
      <top style="thin">
        <color indexed="64"/>
      </top>
      <bottom style="double">
        <color indexed="64"/>
      </bottom>
      <diagonal/>
    </border>
    <border>
      <left/>
      <right/>
      <top/>
      <bottom style="double">
        <color indexed="64"/>
      </bottom>
      <diagonal/>
    </border>
    <border>
      <left/>
      <right/>
      <top style="double">
        <color indexed="64"/>
      </top>
      <bottom style="double">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right style="thin">
        <color theme="3" tint="0.59996337778862885"/>
      </right>
      <top style="thin">
        <color theme="3" tint="0.59996337778862885"/>
      </top>
      <bottom/>
      <diagonal/>
    </border>
    <border>
      <left/>
      <right style="thin">
        <color theme="3" tint="0.59996337778862885"/>
      </right>
      <top style="thin">
        <color theme="3" tint="0.59996337778862885"/>
      </top>
      <bottom style="thin">
        <color theme="3" tint="0.59996337778862885"/>
      </bottom>
      <diagonal/>
    </border>
    <border>
      <left/>
      <right style="thin">
        <color theme="3" tint="0.59996337778862885"/>
      </right>
      <top/>
      <bottom style="thin">
        <color theme="3" tint="0.59996337778862885"/>
      </bottom>
      <diagonal/>
    </border>
    <border>
      <left style="thin">
        <color theme="3" tint="0.59996337778862885"/>
      </left>
      <right/>
      <top style="thin">
        <color theme="3" tint="0.59996337778862885"/>
      </top>
      <bottom/>
      <diagonal/>
    </border>
    <border>
      <left style="thin">
        <color theme="3" tint="0.59996337778862885"/>
      </left>
      <right/>
      <top style="thin">
        <color theme="3" tint="0.59996337778862885"/>
      </top>
      <bottom style="thin">
        <color theme="3" tint="0.59996337778862885"/>
      </bottom>
      <diagonal/>
    </border>
    <border>
      <left style="thin">
        <color theme="3" tint="0.59996337778862885"/>
      </left>
      <right/>
      <top/>
      <bottom style="thin">
        <color theme="3" tint="0.59996337778862885"/>
      </bottom>
      <diagonal/>
    </border>
    <border>
      <left style="thin">
        <color theme="3" tint="0.59996337778862885"/>
      </left>
      <right style="thin">
        <color theme="3" tint="0.59996337778862885"/>
      </right>
      <top style="thin">
        <color theme="3" tint="0.59996337778862885"/>
      </top>
      <bottom/>
      <diagonal/>
    </border>
    <border>
      <left style="thin">
        <color theme="3" tint="0.59996337778862885"/>
      </left>
      <right style="thin">
        <color theme="3" tint="0.59996337778862885"/>
      </right>
      <top/>
      <bottom style="thin">
        <color theme="3" tint="0.59996337778862885"/>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style="thin">
        <color theme="3" tint="0.59999389629810485"/>
      </left>
      <right style="thin">
        <color theme="3" tint="0.59996337778862885"/>
      </right>
      <top style="thin">
        <color theme="3" tint="0.59996337778862885"/>
      </top>
      <bottom style="thin">
        <color theme="3" tint="0.59996337778862885"/>
      </bottom>
      <diagonal/>
    </border>
    <border>
      <left style="thin">
        <color indexed="64"/>
      </left>
      <right style="thin">
        <color theme="3" tint="0.59996337778862885"/>
      </right>
      <top style="thin">
        <color theme="3" tint="0.59996337778862885"/>
      </top>
      <bottom style="thin">
        <color theme="3" tint="0.59996337778862885"/>
      </bottom>
      <diagonal/>
    </border>
    <border>
      <left style="thin">
        <color indexed="44"/>
      </left>
      <right style="thin">
        <color indexed="44"/>
      </right>
      <top style="thin">
        <color indexed="44"/>
      </top>
      <bottom style="thin">
        <color indexed="4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theme="3" tint="0.59996337778862885"/>
      </right>
      <top/>
      <bottom/>
      <diagonal/>
    </border>
    <border>
      <left style="thin">
        <color theme="3" tint="0.59996337778862885"/>
      </left>
      <right style="thin">
        <color theme="3" tint="0.59996337778862885"/>
      </right>
      <top/>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style="thin">
        <color theme="3" tint="0.59996337778862885"/>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medium">
        <color auto="1"/>
      </left>
      <right style="medium">
        <color auto="1"/>
      </right>
      <top style="medium">
        <color auto="1"/>
      </top>
      <bottom style="medium">
        <color auto="1"/>
      </bottom>
      <diagonal/>
    </border>
    <border>
      <left/>
      <right/>
      <top/>
      <bottom style="medium">
        <color indexed="44"/>
      </bottom>
      <diagonal/>
    </border>
    <border>
      <left/>
      <right style="medium">
        <color indexed="64"/>
      </right>
      <top/>
      <bottom style="thin">
        <color indexed="64"/>
      </bottom>
      <diagonal/>
    </border>
    <border>
      <left/>
      <right style="medium">
        <color indexed="64"/>
      </right>
      <top/>
      <bottom/>
      <diagonal/>
    </border>
    <border>
      <left/>
      <right/>
      <top/>
      <bottom style="medium">
        <color indexed="22"/>
      </bottom>
      <diagonal/>
    </border>
    <border>
      <left style="thin">
        <color indexed="44"/>
      </left>
      <right/>
      <top/>
      <bottom style="thin">
        <color indexed="44"/>
      </bottom>
      <diagonal/>
    </border>
    <border>
      <left/>
      <right/>
      <top style="thin">
        <color theme="3" tint="0.59996337778862885"/>
      </top>
      <bottom/>
      <diagonal/>
    </border>
    <border>
      <left/>
      <right/>
      <top style="thin">
        <color theme="3" tint="0.59996337778862885"/>
      </top>
      <bottom style="thin">
        <color theme="3" tint="0.599963377788628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medium">
        <color theme="3"/>
      </left>
      <right/>
      <top style="medium">
        <color theme="3"/>
      </top>
      <bottom style="medium">
        <color theme="3"/>
      </bottom>
      <diagonal/>
    </border>
    <border>
      <left/>
      <right/>
      <top style="medium">
        <color theme="3"/>
      </top>
      <bottom style="medium">
        <color theme="3"/>
      </bottom>
      <diagonal/>
    </border>
    <border>
      <left/>
      <right style="medium">
        <color theme="3"/>
      </right>
      <top style="medium">
        <color theme="3"/>
      </top>
      <bottom style="medium">
        <color theme="3"/>
      </bottom>
      <diagonal/>
    </border>
    <border>
      <left style="medium">
        <color theme="3"/>
      </left>
      <right style="medium">
        <color theme="3"/>
      </right>
      <top style="medium">
        <color theme="3"/>
      </top>
      <bottom style="medium">
        <color theme="3"/>
      </bottom>
      <diagonal/>
    </border>
    <border>
      <left style="medium">
        <color indexed="64"/>
      </left>
      <right style="medium">
        <color indexed="64"/>
      </right>
      <top style="medium">
        <color indexed="64"/>
      </top>
      <bottom/>
      <diagonal/>
    </border>
    <border>
      <left/>
      <right style="medium">
        <color theme="3"/>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left>
      <right style="thin">
        <color theme="0"/>
      </right>
      <top style="thin">
        <color theme="0"/>
      </top>
      <bottom/>
      <diagonal/>
    </border>
    <border>
      <left style="thin">
        <color theme="0"/>
      </left>
      <right/>
      <top style="thin">
        <color theme="0"/>
      </top>
      <bottom style="thin">
        <color indexed="64"/>
      </bottom>
      <diagonal/>
    </border>
    <border>
      <left/>
      <right style="thin">
        <color theme="0"/>
      </right>
      <top style="thin">
        <color theme="0"/>
      </top>
      <bottom style="thin">
        <color indexed="64"/>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theme="0"/>
      </left>
      <right style="thin">
        <color theme="0"/>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style="thin">
        <color theme="0"/>
      </left>
      <right style="thin">
        <color theme="0"/>
      </right>
      <top/>
      <bottom style="thin">
        <color theme="0"/>
      </bottom>
      <diagonal/>
    </border>
    <border>
      <left style="thin">
        <color theme="1" tint="0.499984740745262"/>
      </left>
      <right style="thin">
        <color theme="1" tint="0.499984740745262"/>
      </right>
      <top/>
      <bottom style="thin">
        <color theme="1" tint="0.499984740745262"/>
      </bottom>
      <diagonal/>
    </border>
    <border>
      <left style="thin">
        <color theme="0"/>
      </left>
      <right style="thin">
        <color theme="1" tint="0.499984740745262"/>
      </right>
      <top style="thin">
        <color theme="1" tint="0.499984740745262"/>
      </top>
      <bottom style="thin">
        <color theme="1" tint="0.499984740745262"/>
      </bottom>
      <diagonal/>
    </border>
    <border>
      <left style="thin">
        <color theme="0"/>
      </left>
      <right style="thin">
        <color theme="0"/>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style="thin">
        <color theme="0"/>
      </left>
      <right/>
      <top/>
      <bottom/>
      <diagonal/>
    </border>
    <border>
      <left/>
      <right style="thin">
        <color theme="0"/>
      </right>
      <top/>
      <bottom/>
      <diagonal/>
    </border>
    <border>
      <left style="thin">
        <color theme="0"/>
      </left>
      <right style="thin">
        <color theme="0"/>
      </right>
      <top style="medium">
        <color indexed="64"/>
      </top>
      <bottom/>
      <diagonal/>
    </border>
    <border>
      <left style="thin">
        <color theme="0"/>
      </left>
      <right style="medium">
        <color indexed="64"/>
      </right>
      <top style="medium">
        <color indexed="64"/>
      </top>
      <bottom/>
      <diagonal/>
    </border>
    <border>
      <left style="medium">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medium">
        <color indexed="64"/>
      </bottom>
      <diagonal/>
    </border>
    <border>
      <left/>
      <right style="thin">
        <color theme="0"/>
      </right>
      <top style="thin">
        <color theme="1" tint="0.499984740745262"/>
      </top>
      <bottom style="thin">
        <color theme="1" tint="0.499984740745262"/>
      </bottom>
      <diagonal/>
    </border>
    <border>
      <left style="thin">
        <color theme="1" tint="0.499984740745262"/>
      </left>
      <right/>
      <top/>
      <bottom style="thin">
        <color theme="1" tint="0.499984740745262"/>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theme="0"/>
      </right>
      <top style="medium">
        <color indexed="64"/>
      </top>
      <bottom/>
      <diagonal/>
    </border>
    <border>
      <left style="medium">
        <color indexed="64"/>
      </left>
      <right style="thin">
        <color theme="1" tint="0.499984740745262"/>
      </right>
      <top style="thin">
        <color theme="1" tint="0.499984740745262"/>
      </top>
      <bottom style="medium">
        <color indexed="64"/>
      </bottom>
      <diagonal/>
    </border>
    <border>
      <left style="thin">
        <color theme="1" tint="0.499984740745262"/>
      </left>
      <right/>
      <top style="thin">
        <color theme="1" tint="0.499984740745262"/>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thin">
        <color theme="3" tint="0.79998168889431442"/>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theme="0"/>
      </right>
      <top/>
      <bottom style="thin">
        <color indexed="64"/>
      </bottom>
      <diagonal/>
    </border>
    <border>
      <left/>
      <right/>
      <top style="thin">
        <color theme="0"/>
      </top>
      <bottom style="thin">
        <color theme="0"/>
      </bottom>
      <diagonal/>
    </border>
    <border>
      <left style="thin">
        <color theme="0"/>
      </left>
      <right/>
      <top/>
      <bottom style="thin">
        <color theme="0"/>
      </bottom>
      <diagonal/>
    </border>
    <border>
      <left/>
      <right/>
      <top/>
      <bottom style="thin">
        <color theme="0"/>
      </bottom>
      <diagonal/>
    </border>
    <border>
      <left style="thin">
        <color theme="0"/>
      </left>
      <right/>
      <top style="thin">
        <color theme="0"/>
      </top>
      <bottom style="thin">
        <color theme="0"/>
      </bottom>
      <diagonal/>
    </border>
    <border>
      <left style="medium">
        <color indexed="64"/>
      </left>
      <right style="medium">
        <color indexed="64"/>
      </right>
      <top/>
      <bottom/>
      <diagonal/>
    </border>
    <border>
      <left style="medium">
        <color auto="1"/>
      </left>
      <right style="thin">
        <color theme="0"/>
      </right>
      <top style="medium">
        <color indexed="64"/>
      </top>
      <bottom style="medium">
        <color indexed="64"/>
      </bottom>
      <diagonal/>
    </border>
    <border>
      <left style="thin">
        <color theme="0"/>
      </left>
      <right style="thin">
        <color theme="0"/>
      </right>
      <top style="medium">
        <color indexed="64"/>
      </top>
      <bottom style="medium">
        <color indexed="64"/>
      </bottom>
      <diagonal/>
    </border>
    <border>
      <left/>
      <right style="thin">
        <color theme="0"/>
      </right>
      <top style="medium">
        <color indexed="64"/>
      </top>
      <bottom style="medium">
        <color indexed="64"/>
      </bottom>
      <diagonal/>
    </border>
    <border>
      <left/>
      <right/>
      <top style="thin">
        <color theme="0"/>
      </top>
      <bottom/>
      <diagonal/>
    </border>
    <border>
      <left style="thin">
        <color theme="0"/>
      </left>
      <right style="thin">
        <color theme="0"/>
      </right>
      <top/>
      <bottom style="thin">
        <color indexed="64"/>
      </bottom>
      <diagonal/>
    </border>
    <border>
      <left style="thin">
        <color theme="0"/>
      </left>
      <right/>
      <top/>
      <bottom style="thin">
        <color indexed="64"/>
      </bottom>
      <diagonal/>
    </border>
    <border>
      <left style="thin">
        <color indexed="64"/>
      </left>
      <right style="thin">
        <color indexed="64"/>
      </right>
      <top/>
      <bottom style="medium">
        <color indexed="64"/>
      </bottom>
      <diagonal/>
    </border>
  </borders>
  <cellStyleXfs count="31726">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8" fillId="6"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8" fillId="3"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8" fillId="15" borderId="1" applyNumberFormat="0" applyAlignment="0" applyProtection="0"/>
    <xf numFmtId="0" fontId="18" fillId="15" borderId="1" applyNumberFormat="0" applyAlignment="0" applyProtection="0"/>
    <xf numFmtId="0" fontId="9" fillId="7" borderId="2" applyNumberFormat="0" applyAlignment="0" applyProtection="0"/>
    <xf numFmtId="0" fontId="9" fillId="7" borderId="2" applyNumberFormat="0" applyAlignment="0" applyProtection="0"/>
    <xf numFmtId="43" fontId="3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21" fillId="0" borderId="0" applyFont="0" applyFill="0" applyBorder="0" applyAlignment="0" applyProtection="0"/>
    <xf numFmtId="43" fontId="20" fillId="0" borderId="0" applyFont="0" applyFill="0" applyBorder="0" applyAlignment="0" applyProtection="0"/>
    <xf numFmtId="43" fontId="21" fillId="0" borderId="0" applyFont="0" applyFill="0" applyBorder="0" applyAlignment="0" applyProtection="0"/>
    <xf numFmtId="43" fontId="20"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3"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6" fillId="0" borderId="0" applyFont="0" applyFill="0" applyBorder="0" applyAlignment="0" applyProtection="0"/>
    <xf numFmtId="43" fontId="33" fillId="0" borderId="0" applyFont="0" applyFill="0" applyBorder="0" applyAlignment="0" applyProtection="0"/>
    <xf numFmtId="43" fontId="3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3"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3"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4" fillId="0" borderId="3" applyNumberFormat="0" applyFill="0" applyAlignment="0" applyProtection="0"/>
    <xf numFmtId="0" fontId="14" fillId="0" borderId="3" applyNumberFormat="0" applyFill="0" applyAlignment="0" applyProtection="0"/>
    <xf numFmtId="0" fontId="15" fillId="0" borderId="4" applyNumberFormat="0" applyFill="0" applyAlignment="0" applyProtection="0"/>
    <xf numFmtId="0" fontId="15" fillId="0" borderId="4" applyNumberFormat="0" applyFill="0" applyAlignment="0" applyProtection="0"/>
    <xf numFmtId="0" fontId="16" fillId="0" borderId="5" applyNumberFormat="0" applyFill="0" applyAlignment="0" applyProtection="0"/>
    <xf numFmtId="0" fontId="16" fillId="0" borderId="5" applyNumberFormat="0" applyFill="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4" fillId="12" borderId="1" applyNumberFormat="0" applyAlignment="0" applyProtection="0"/>
    <xf numFmtId="0" fontId="4" fillId="12" borderId="1" applyNumberFormat="0" applyAlignment="0" applyProtection="0"/>
    <xf numFmtId="0" fontId="19" fillId="0" borderId="6" applyNumberFormat="0" applyFill="0" applyAlignment="0" applyProtection="0"/>
    <xf numFmtId="0" fontId="19" fillId="0" borderId="6" applyNumberFormat="0" applyFill="0" applyAlignment="0" applyProtection="0"/>
    <xf numFmtId="0" fontId="5" fillId="19" borderId="0" applyNumberFormat="0" applyBorder="0" applyAlignment="0" applyProtection="0"/>
    <xf numFmtId="0" fontId="5" fillId="19" borderId="0" applyNumberFormat="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6" fillId="0" borderId="0"/>
    <xf numFmtId="0" fontId="3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6" fillId="0" borderId="0"/>
    <xf numFmtId="0" fontId="39"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 fillId="0" borderId="0"/>
    <xf numFmtId="0" fontId="20" fillId="0" borderId="0"/>
    <xf numFmtId="0" fontId="21" fillId="0" borderId="0"/>
    <xf numFmtId="0" fontId="20" fillId="0" borderId="0"/>
    <xf numFmtId="0" fontId="30" fillId="0" borderId="0"/>
    <xf numFmtId="0" fontId="20" fillId="0" borderId="0"/>
    <xf numFmtId="0" fontId="20" fillId="0" borderId="0"/>
    <xf numFmtId="0" fontId="20" fillId="0" borderId="0"/>
    <xf numFmtId="0" fontId="27" fillId="0" borderId="0"/>
    <xf numFmtId="0" fontId="20" fillId="0" borderId="0"/>
    <xf numFmtId="0" fontId="20" fillId="0" borderId="0"/>
    <xf numFmtId="0" fontId="30" fillId="0" borderId="0"/>
    <xf numFmtId="0" fontId="20" fillId="0" borderId="0"/>
    <xf numFmtId="0" fontId="30" fillId="0" borderId="0"/>
    <xf numFmtId="0" fontId="20" fillId="0" borderId="0"/>
    <xf numFmtId="0" fontId="20" fillId="0" borderId="0"/>
    <xf numFmtId="0" fontId="20" fillId="0" borderId="0"/>
    <xf numFmtId="0" fontId="20" fillId="0" borderId="0"/>
    <xf numFmtId="0" fontId="30" fillId="0" borderId="0"/>
    <xf numFmtId="0" fontId="20" fillId="0" borderId="0"/>
    <xf numFmtId="0" fontId="30" fillId="0" borderId="0"/>
    <xf numFmtId="0" fontId="20" fillId="0" borderId="0"/>
    <xf numFmtId="0" fontId="20" fillId="0" borderId="0"/>
    <xf numFmtId="0" fontId="20" fillId="0" borderId="0"/>
    <xf numFmtId="0" fontId="30" fillId="0" borderId="0"/>
    <xf numFmtId="0" fontId="20" fillId="0" borderId="0"/>
    <xf numFmtId="0" fontId="20" fillId="0" borderId="0"/>
    <xf numFmtId="0" fontId="20" fillId="0" borderId="0"/>
    <xf numFmtId="0" fontId="20" fillId="0" borderId="0"/>
    <xf numFmtId="0" fontId="20" fillId="0" borderId="0"/>
    <xf numFmtId="0" fontId="30" fillId="0" borderId="0"/>
    <xf numFmtId="0" fontId="20" fillId="0" borderId="0"/>
    <xf numFmtId="0" fontId="30" fillId="0" borderId="0"/>
    <xf numFmtId="0" fontId="20" fillId="0" borderId="0"/>
    <xf numFmtId="0" fontId="20" fillId="0" borderId="0"/>
    <xf numFmtId="0" fontId="20" fillId="0" borderId="0"/>
    <xf numFmtId="0" fontId="20" fillId="0" borderId="0"/>
    <xf numFmtId="0" fontId="20" fillId="0" borderId="0"/>
    <xf numFmtId="0" fontId="30" fillId="0" borderId="0"/>
    <xf numFmtId="0" fontId="20" fillId="0" borderId="0"/>
    <xf numFmtId="0" fontId="30" fillId="0" borderId="0"/>
    <xf numFmtId="0" fontId="20" fillId="0" borderId="0"/>
    <xf numFmtId="0" fontId="20" fillId="0" borderId="0"/>
    <xf numFmtId="0" fontId="20" fillId="0" borderId="0"/>
    <xf numFmtId="0" fontId="20" fillId="0" borderId="0"/>
    <xf numFmtId="0" fontId="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1" fillId="0" borderId="0"/>
    <xf numFmtId="0" fontId="20"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0" fillId="0" borderId="0"/>
    <xf numFmtId="0" fontId="21" fillId="0" borderId="0"/>
    <xf numFmtId="0" fontId="25" fillId="0" borderId="0"/>
    <xf numFmtId="0" fontId="12" fillId="0" borderId="0"/>
    <xf numFmtId="0" fontId="28" fillId="0" borderId="0"/>
    <xf numFmtId="0" fontId="12" fillId="0" borderId="0"/>
    <xf numFmtId="0" fontId="12" fillId="0" borderId="0"/>
    <xf numFmtId="0" fontId="31" fillId="0" borderId="0"/>
    <xf numFmtId="0" fontId="12" fillId="0" borderId="0"/>
    <xf numFmtId="0" fontId="31" fillId="0" borderId="0"/>
    <xf numFmtId="0" fontId="12" fillId="0" borderId="0"/>
    <xf numFmtId="0" fontId="12" fillId="0" borderId="0"/>
    <xf numFmtId="0" fontId="12" fillId="0" borderId="0"/>
    <xf numFmtId="0" fontId="12" fillId="0" borderId="0"/>
    <xf numFmtId="0" fontId="31" fillId="0" borderId="0"/>
    <xf numFmtId="0" fontId="12" fillId="0" borderId="0"/>
    <xf numFmtId="0" fontId="31" fillId="0" borderId="0"/>
    <xf numFmtId="0" fontId="12" fillId="0" borderId="0"/>
    <xf numFmtId="0" fontId="12" fillId="0" borderId="0"/>
    <xf numFmtId="0" fontId="12" fillId="0" borderId="0"/>
    <xf numFmtId="0" fontId="31" fillId="0" borderId="0"/>
    <xf numFmtId="0" fontId="12" fillId="0" borderId="0"/>
    <xf numFmtId="0" fontId="12" fillId="0" borderId="0"/>
    <xf numFmtId="0" fontId="12" fillId="0" borderId="0"/>
    <xf numFmtId="0" fontId="12" fillId="0" borderId="0"/>
    <xf numFmtId="0" fontId="12" fillId="0" borderId="0"/>
    <xf numFmtId="0" fontId="31" fillId="0" borderId="0"/>
    <xf numFmtId="0" fontId="12" fillId="0" borderId="0"/>
    <xf numFmtId="0" fontId="31" fillId="0" borderId="0"/>
    <xf numFmtId="0" fontId="12" fillId="0" borderId="0"/>
    <xf numFmtId="0" fontId="12" fillId="0" borderId="0"/>
    <xf numFmtId="0" fontId="12" fillId="0" borderId="0"/>
    <xf numFmtId="0" fontId="12" fillId="0" borderId="0"/>
    <xf numFmtId="0" fontId="12" fillId="0" borderId="0"/>
    <xf numFmtId="0" fontId="31" fillId="0" borderId="0"/>
    <xf numFmtId="0" fontId="12" fillId="0" borderId="0"/>
    <xf numFmtId="0" fontId="31" fillId="0" borderId="0"/>
    <xf numFmtId="0" fontId="12" fillId="0" borderId="0"/>
    <xf numFmtId="0" fontId="12" fillId="0" borderId="0"/>
    <xf numFmtId="0" fontId="12" fillId="0" borderId="0"/>
    <xf numFmtId="0" fontId="12" fillId="0" borderId="0"/>
    <xf numFmtId="0" fontId="12" fillId="0" borderId="0"/>
    <xf numFmtId="0" fontId="12" fillId="0" borderId="0"/>
    <xf numFmtId="0" fontId="21" fillId="0" borderId="0"/>
    <xf numFmtId="0" fontId="20" fillId="0" borderId="0"/>
    <xf numFmtId="0" fontId="20" fillId="0" borderId="0"/>
    <xf numFmtId="0" fontId="12" fillId="0" borderId="0"/>
    <xf numFmtId="0" fontId="28" fillId="0" borderId="0"/>
    <xf numFmtId="0" fontId="12" fillId="0" borderId="0"/>
    <xf numFmtId="0" fontId="12" fillId="0" borderId="0"/>
    <xf numFmtId="0" fontId="31" fillId="0" borderId="0"/>
    <xf numFmtId="0" fontId="12" fillId="0" borderId="0"/>
    <xf numFmtId="0" fontId="31" fillId="0" borderId="0"/>
    <xf numFmtId="0" fontId="12" fillId="0" borderId="0"/>
    <xf numFmtId="0" fontId="12" fillId="0" borderId="0"/>
    <xf numFmtId="0" fontId="12" fillId="0" borderId="0"/>
    <xf numFmtId="0" fontId="12" fillId="0" borderId="0"/>
    <xf numFmtId="0" fontId="31" fillId="0" borderId="0"/>
    <xf numFmtId="0" fontId="12" fillId="0" borderId="0"/>
    <xf numFmtId="0" fontId="31" fillId="0" borderId="0"/>
    <xf numFmtId="0" fontId="12" fillId="0" borderId="0"/>
    <xf numFmtId="0" fontId="12" fillId="0" borderId="0"/>
    <xf numFmtId="0" fontId="12" fillId="0" borderId="0"/>
    <xf numFmtId="0" fontId="31" fillId="0" borderId="0"/>
    <xf numFmtId="0" fontId="12" fillId="0" borderId="0"/>
    <xf numFmtId="0" fontId="12" fillId="0" borderId="0"/>
    <xf numFmtId="0" fontId="12" fillId="0" borderId="0"/>
    <xf numFmtId="0" fontId="12" fillId="0" borderId="0"/>
    <xf numFmtId="0" fontId="12" fillId="0" borderId="0"/>
    <xf numFmtId="0" fontId="31" fillId="0" borderId="0"/>
    <xf numFmtId="0" fontId="12" fillId="0" borderId="0"/>
    <xf numFmtId="0" fontId="31"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xf numFmtId="0" fontId="12" fillId="0" borderId="0"/>
    <xf numFmtId="0" fontId="12" fillId="0" borderId="0"/>
    <xf numFmtId="0" fontId="20" fillId="0" borderId="0"/>
    <xf numFmtId="0" fontId="31" fillId="0" borderId="0"/>
    <xf numFmtId="0" fontId="12" fillId="0" borderId="0"/>
    <xf numFmtId="0" fontId="31" fillId="0" borderId="0"/>
    <xf numFmtId="0" fontId="12" fillId="0" borderId="0"/>
    <xf numFmtId="0" fontId="12" fillId="0" borderId="0"/>
    <xf numFmtId="0" fontId="12" fillId="0" borderId="0"/>
    <xf numFmtId="0" fontId="12" fillId="0" borderId="0"/>
    <xf numFmtId="0" fontId="30" fillId="0" borderId="0"/>
    <xf numFmtId="0" fontId="20" fillId="0" borderId="0"/>
    <xf numFmtId="0" fontId="20" fillId="0" borderId="0"/>
    <xf numFmtId="0" fontId="27" fillId="0" borderId="0"/>
    <xf numFmtId="0" fontId="20" fillId="0" borderId="0"/>
    <xf numFmtId="0" fontId="20" fillId="0" borderId="0"/>
    <xf numFmtId="0" fontId="30" fillId="0" borderId="0"/>
    <xf numFmtId="0" fontId="20" fillId="0" borderId="0"/>
    <xf numFmtId="0" fontId="30" fillId="0" borderId="0"/>
    <xf numFmtId="0" fontId="20" fillId="0" borderId="0"/>
    <xf numFmtId="0" fontId="20" fillId="0" borderId="0"/>
    <xf numFmtId="0" fontId="20" fillId="0" borderId="0"/>
    <xf numFmtId="0" fontId="20" fillId="0" borderId="0"/>
    <xf numFmtId="0" fontId="30" fillId="0" borderId="0"/>
    <xf numFmtId="0" fontId="20" fillId="0" borderId="0"/>
    <xf numFmtId="0" fontId="20" fillId="0" borderId="0"/>
    <xf numFmtId="0" fontId="20" fillId="0" borderId="0"/>
    <xf numFmtId="0" fontId="20" fillId="0" borderId="0"/>
    <xf numFmtId="0" fontId="30" fillId="0" borderId="0"/>
    <xf numFmtId="0" fontId="20" fillId="0" borderId="0"/>
    <xf numFmtId="0" fontId="20" fillId="0" borderId="0"/>
    <xf numFmtId="0" fontId="20" fillId="0" borderId="0"/>
    <xf numFmtId="0" fontId="3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0" fillId="0" borderId="0"/>
    <xf numFmtId="0" fontId="20" fillId="0" borderId="0"/>
    <xf numFmtId="0" fontId="3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0" fillId="0" borderId="0"/>
    <xf numFmtId="0" fontId="30" fillId="0" borderId="0"/>
    <xf numFmtId="0" fontId="20" fillId="0" borderId="0"/>
    <xf numFmtId="0" fontId="20" fillId="0" borderId="0"/>
    <xf numFmtId="0" fontId="20" fillId="0" borderId="0"/>
    <xf numFmtId="0" fontId="20" fillId="0" borderId="0"/>
    <xf numFmtId="0" fontId="35" fillId="0" borderId="0"/>
    <xf numFmtId="0" fontId="30" fillId="0" borderId="0"/>
    <xf numFmtId="0" fontId="20" fillId="0" borderId="0"/>
    <xf numFmtId="0" fontId="20" fillId="0" borderId="0"/>
    <xf numFmtId="0" fontId="35" fillId="0" borderId="0"/>
    <xf numFmtId="0" fontId="12" fillId="0" borderId="0"/>
    <xf numFmtId="0" fontId="12" fillId="0" borderId="0"/>
    <xf numFmtId="0" fontId="35" fillId="0" borderId="0"/>
    <xf numFmtId="0" fontId="20" fillId="0" borderId="0"/>
    <xf numFmtId="0" fontId="20" fillId="0" borderId="0"/>
    <xf numFmtId="0" fontId="20" fillId="0" borderId="0"/>
    <xf numFmtId="0" fontId="35" fillId="0" borderId="0"/>
    <xf numFmtId="0" fontId="35" fillId="0" borderId="0"/>
    <xf numFmtId="0" fontId="35" fillId="0" borderId="0"/>
    <xf numFmtId="0" fontId="20" fillId="0" borderId="0"/>
    <xf numFmtId="0" fontId="35" fillId="0" borderId="0"/>
    <xf numFmtId="0" fontId="20" fillId="0" borderId="0"/>
    <xf numFmtId="0" fontId="35" fillId="0" borderId="0"/>
    <xf numFmtId="0" fontId="35" fillId="0" borderId="0"/>
    <xf numFmtId="0" fontId="20" fillId="0" borderId="0"/>
    <xf numFmtId="0" fontId="35" fillId="0" borderId="0"/>
    <xf numFmtId="0" fontId="35" fillId="0" borderId="0"/>
    <xf numFmtId="0" fontId="35" fillId="0" borderId="0"/>
    <xf numFmtId="0" fontId="30" fillId="0" borderId="0"/>
    <xf numFmtId="0" fontId="20" fillId="0" borderId="0"/>
    <xf numFmtId="0" fontId="20" fillId="0" borderId="0"/>
    <xf numFmtId="0" fontId="20"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0" fillId="0" borderId="0"/>
    <xf numFmtId="0" fontId="20" fillId="0" borderId="0"/>
    <xf numFmtId="0" fontId="12" fillId="0" borderId="0"/>
    <xf numFmtId="0" fontId="12" fillId="0" borderId="0"/>
    <xf numFmtId="0" fontId="23" fillId="0" borderId="0"/>
    <xf numFmtId="0" fontId="22" fillId="0" borderId="0"/>
    <xf numFmtId="0" fontId="22" fillId="0" borderId="0"/>
    <xf numFmtId="0" fontId="31" fillId="0" borderId="0"/>
    <xf numFmtId="0" fontId="12" fillId="0" borderId="0"/>
    <xf numFmtId="0" fontId="12" fillId="0" borderId="0"/>
    <xf numFmtId="0" fontId="12" fillId="0" borderId="0"/>
    <xf numFmtId="0" fontId="12" fillId="0" borderId="0"/>
    <xf numFmtId="0" fontId="25" fillId="0" borderId="0"/>
    <xf numFmtId="0" fontId="12" fillId="0" borderId="0"/>
    <xf numFmtId="0" fontId="28" fillId="0" borderId="0"/>
    <xf numFmtId="0" fontId="12" fillId="0" borderId="0"/>
    <xf numFmtId="0" fontId="12" fillId="0" borderId="0"/>
    <xf numFmtId="0" fontId="31" fillId="0" borderId="0"/>
    <xf numFmtId="0" fontId="12" fillId="0" borderId="0"/>
    <xf numFmtId="0" fontId="31" fillId="0" borderId="0"/>
    <xf numFmtId="0" fontId="12" fillId="0" borderId="0"/>
    <xf numFmtId="0" fontId="12" fillId="0" borderId="0"/>
    <xf numFmtId="0" fontId="12" fillId="0" borderId="0"/>
    <xf numFmtId="0" fontId="12" fillId="0" borderId="0"/>
    <xf numFmtId="0" fontId="31" fillId="0" borderId="0"/>
    <xf numFmtId="0" fontId="12" fillId="0" borderId="0"/>
    <xf numFmtId="0" fontId="31" fillId="0" borderId="0"/>
    <xf numFmtId="0" fontId="12" fillId="0" borderId="0"/>
    <xf numFmtId="0" fontId="12" fillId="0" borderId="0"/>
    <xf numFmtId="0" fontId="12" fillId="0" borderId="0"/>
    <xf numFmtId="0" fontId="31" fillId="0" borderId="0"/>
    <xf numFmtId="0" fontId="12" fillId="0" borderId="0"/>
    <xf numFmtId="0" fontId="12" fillId="0" borderId="0"/>
    <xf numFmtId="0" fontId="12" fillId="0" borderId="0"/>
    <xf numFmtId="0" fontId="12" fillId="0" borderId="0"/>
    <xf numFmtId="0" fontId="12" fillId="0" borderId="0"/>
    <xf numFmtId="0" fontId="31" fillId="0" borderId="0"/>
    <xf numFmtId="0" fontId="12" fillId="0" borderId="0"/>
    <xf numFmtId="0" fontId="31" fillId="0" borderId="0"/>
    <xf numFmtId="0" fontId="12" fillId="0" borderId="0"/>
    <xf numFmtId="0" fontId="12" fillId="0" borderId="0"/>
    <xf numFmtId="0" fontId="12" fillId="0" borderId="0"/>
    <xf numFmtId="0" fontId="12" fillId="0" borderId="0"/>
    <xf numFmtId="0" fontId="12" fillId="0" borderId="0"/>
    <xf numFmtId="0" fontId="31" fillId="0" borderId="0"/>
    <xf numFmtId="0" fontId="12" fillId="0" borderId="0"/>
    <xf numFmtId="0" fontId="31" fillId="0" borderId="0"/>
    <xf numFmtId="0" fontId="12" fillId="0" borderId="0"/>
    <xf numFmtId="0" fontId="12" fillId="0" borderId="0"/>
    <xf numFmtId="0" fontId="12" fillId="0" borderId="0"/>
    <xf numFmtId="0" fontId="12" fillId="0" borderId="0"/>
    <xf numFmtId="0" fontId="12" fillId="0" borderId="0"/>
    <xf numFmtId="0" fontId="28" fillId="0" borderId="0"/>
    <xf numFmtId="0" fontId="12" fillId="0" borderId="0"/>
    <xf numFmtId="0" fontId="12" fillId="0" borderId="0"/>
    <xf numFmtId="0" fontId="31" fillId="0" borderId="0"/>
    <xf numFmtId="0" fontId="12" fillId="0" borderId="0"/>
    <xf numFmtId="0" fontId="31" fillId="0" borderId="0"/>
    <xf numFmtId="0" fontId="12" fillId="0" borderId="0"/>
    <xf numFmtId="0" fontId="12" fillId="0" borderId="0"/>
    <xf numFmtId="0" fontId="12" fillId="0" borderId="0"/>
    <xf numFmtId="0" fontId="12" fillId="0" borderId="0"/>
    <xf numFmtId="0" fontId="31" fillId="0" borderId="0"/>
    <xf numFmtId="0" fontId="12" fillId="0" borderId="0"/>
    <xf numFmtId="0" fontId="31" fillId="0" borderId="0"/>
    <xf numFmtId="0" fontId="12" fillId="0" borderId="0"/>
    <xf numFmtId="0" fontId="12" fillId="0" borderId="0"/>
    <xf numFmtId="0" fontId="12" fillId="0" borderId="0"/>
    <xf numFmtId="0" fontId="31" fillId="0" borderId="0"/>
    <xf numFmtId="0" fontId="12" fillId="0" borderId="0"/>
    <xf numFmtId="0" fontId="12" fillId="0" borderId="0"/>
    <xf numFmtId="0" fontId="12" fillId="0" borderId="0"/>
    <xf numFmtId="0" fontId="12" fillId="0" borderId="0"/>
    <xf numFmtId="0" fontId="12" fillId="0" borderId="0"/>
    <xf numFmtId="0" fontId="31" fillId="0" borderId="0"/>
    <xf numFmtId="0" fontId="12" fillId="0" borderId="0"/>
    <xf numFmtId="0" fontId="31" fillId="0" borderId="0"/>
    <xf numFmtId="0" fontId="12" fillId="0" borderId="0"/>
    <xf numFmtId="0" fontId="12" fillId="0" borderId="0"/>
    <xf numFmtId="0" fontId="12" fillId="0" borderId="0"/>
    <xf numFmtId="0" fontId="12" fillId="0" borderId="0"/>
    <xf numFmtId="0" fontId="12" fillId="0" borderId="0"/>
    <xf numFmtId="0" fontId="31" fillId="0" borderId="0"/>
    <xf numFmtId="0" fontId="12" fillId="0" borderId="0"/>
    <xf numFmtId="0" fontId="12" fillId="0" borderId="0"/>
    <xf numFmtId="0" fontId="12" fillId="0" borderId="0"/>
    <xf numFmtId="0" fontId="31" fillId="0" borderId="0"/>
    <xf numFmtId="0" fontId="12" fillId="0" borderId="0"/>
    <xf numFmtId="0" fontId="12" fillId="0" borderId="0"/>
    <xf numFmtId="0" fontId="12" fillId="0" borderId="0"/>
    <xf numFmtId="0" fontId="12" fillId="0" borderId="0"/>
    <xf numFmtId="0" fontId="31" fillId="0" borderId="0"/>
    <xf numFmtId="0" fontId="12" fillId="0" borderId="0"/>
    <xf numFmtId="0" fontId="12" fillId="0" borderId="0"/>
    <xf numFmtId="0" fontId="12" fillId="0" borderId="0"/>
    <xf numFmtId="0" fontId="12" fillId="0" borderId="0"/>
    <xf numFmtId="0" fontId="20" fillId="0" borderId="0"/>
    <xf numFmtId="0" fontId="31" fillId="0" borderId="0"/>
    <xf numFmtId="0" fontId="12" fillId="0" borderId="0"/>
    <xf numFmtId="0" fontId="12" fillId="0" borderId="0"/>
    <xf numFmtId="0" fontId="12" fillId="0" borderId="0"/>
    <xf numFmtId="0" fontId="12" fillId="0" borderId="0"/>
    <xf numFmtId="0" fontId="2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3" fillId="0" borderId="0"/>
    <xf numFmtId="0" fontId="22" fillId="0" borderId="0"/>
    <xf numFmtId="0" fontId="29" fillId="0" borderId="0"/>
    <xf numFmtId="0" fontId="22" fillId="0" borderId="0"/>
    <xf numFmtId="0" fontId="22" fillId="0" borderId="0"/>
    <xf numFmtId="0" fontId="32" fillId="0" borderId="0"/>
    <xf numFmtId="0" fontId="22" fillId="0" borderId="0"/>
    <xf numFmtId="0" fontId="32" fillId="0" borderId="0"/>
    <xf numFmtId="0" fontId="22" fillId="0" borderId="0"/>
    <xf numFmtId="0" fontId="22" fillId="0" borderId="0"/>
    <xf numFmtId="0" fontId="22" fillId="0" borderId="0"/>
    <xf numFmtId="0" fontId="22" fillId="0" borderId="0"/>
    <xf numFmtId="0" fontId="32" fillId="0" borderId="0"/>
    <xf numFmtId="0" fontId="22" fillId="0" borderId="0"/>
    <xf numFmtId="0" fontId="32" fillId="0" borderId="0"/>
    <xf numFmtId="0" fontId="22" fillId="0" borderId="0"/>
    <xf numFmtId="0" fontId="22" fillId="0" borderId="0"/>
    <xf numFmtId="0" fontId="22" fillId="0" borderId="0"/>
    <xf numFmtId="0" fontId="32" fillId="0" borderId="0"/>
    <xf numFmtId="0" fontId="22" fillId="0" borderId="0"/>
    <xf numFmtId="0" fontId="22" fillId="0" borderId="0"/>
    <xf numFmtId="0" fontId="22" fillId="0" borderId="0"/>
    <xf numFmtId="0" fontId="22" fillId="0" borderId="0"/>
    <xf numFmtId="0" fontId="22" fillId="0" borderId="0"/>
    <xf numFmtId="0" fontId="32" fillId="0" borderId="0"/>
    <xf numFmtId="0" fontId="22" fillId="0" borderId="0"/>
    <xf numFmtId="0" fontId="32" fillId="0" borderId="0"/>
    <xf numFmtId="0" fontId="22" fillId="0" borderId="0"/>
    <xf numFmtId="0" fontId="22" fillId="0" borderId="0"/>
    <xf numFmtId="0" fontId="22" fillId="0" borderId="0"/>
    <xf numFmtId="0" fontId="22" fillId="0" borderId="0"/>
    <xf numFmtId="0" fontId="2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2" fillId="0" borderId="0"/>
    <xf numFmtId="0" fontId="32" fillId="0" borderId="0"/>
    <xf numFmtId="0" fontId="32" fillId="0" borderId="0"/>
    <xf numFmtId="0" fontId="22" fillId="0" borderId="0"/>
    <xf numFmtId="0" fontId="22" fillId="0" borderId="0"/>
    <xf numFmtId="0" fontId="22" fillId="0" borderId="0"/>
    <xf numFmtId="0" fontId="22" fillId="0" borderId="0"/>
    <xf numFmtId="0" fontId="35" fillId="0" borderId="0"/>
    <xf numFmtId="0" fontId="32" fillId="0" borderId="0"/>
    <xf numFmtId="0" fontId="22" fillId="0" borderId="0"/>
    <xf numFmtId="0" fontId="35" fillId="0" borderId="0"/>
    <xf numFmtId="0" fontId="22" fillId="0" borderId="0"/>
    <xf numFmtId="0" fontId="35" fillId="0" borderId="0"/>
    <xf numFmtId="0" fontId="22" fillId="0" borderId="0"/>
    <xf numFmtId="0" fontId="22" fillId="0" borderId="0"/>
    <xf numFmtId="0" fontId="22" fillId="0" borderId="0"/>
    <xf numFmtId="0" fontId="22" fillId="0" borderId="0"/>
    <xf numFmtId="0" fontId="22" fillId="0" borderId="0"/>
    <xf numFmtId="0" fontId="35" fillId="0" borderId="0"/>
    <xf numFmtId="0" fontId="35" fillId="0" borderId="0"/>
    <xf numFmtId="0" fontId="35" fillId="0" borderId="0"/>
    <xf numFmtId="0" fontId="22" fillId="0" borderId="0"/>
    <xf numFmtId="0" fontId="35" fillId="0" borderId="0"/>
    <xf numFmtId="0" fontId="35" fillId="0" borderId="0"/>
    <xf numFmtId="0" fontId="22" fillId="0" borderId="0"/>
    <xf numFmtId="0" fontId="35" fillId="0" borderId="0"/>
    <xf numFmtId="0" fontId="35" fillId="0" borderId="0"/>
    <xf numFmtId="0" fontId="35" fillId="0" borderId="0"/>
    <xf numFmtId="0" fontId="32" fillId="0" borderId="0"/>
    <xf numFmtId="0" fontId="22" fillId="0" borderId="0"/>
    <xf numFmtId="0" fontId="22" fillId="0" borderId="0"/>
    <xf numFmtId="0" fontId="2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6" fillId="0" borderId="0"/>
    <xf numFmtId="0" fontId="36" fillId="0" borderId="0"/>
    <xf numFmtId="0" fontId="36" fillId="0" borderId="0"/>
    <xf numFmtId="0" fontId="35" fillId="0" borderId="0"/>
    <xf numFmtId="0" fontId="35" fillId="0" borderId="0"/>
    <xf numFmtId="0" fontId="35" fillId="0" borderId="0"/>
    <xf numFmtId="0" fontId="35" fillId="0" borderId="0"/>
    <xf numFmtId="0" fontId="35" fillId="0" borderId="0"/>
    <xf numFmtId="0" fontId="36" fillId="0" borderId="0"/>
    <xf numFmtId="3" fontId="6" fillId="0" borderId="0"/>
    <xf numFmtId="0" fontId="12" fillId="5" borderId="7" applyNumberFormat="0" applyFont="0" applyAlignment="0" applyProtection="0"/>
    <xf numFmtId="0" fontId="12" fillId="5" borderId="7" applyNumberFormat="0" applyFont="0" applyAlignment="0" applyProtection="0"/>
    <xf numFmtId="0" fontId="31" fillId="5" borderId="7" applyNumberFormat="0" applyFont="0" applyAlignment="0" applyProtection="0"/>
    <xf numFmtId="0" fontId="12" fillId="5" borderId="7" applyNumberFormat="0" applyFont="0" applyAlignment="0" applyProtection="0"/>
    <xf numFmtId="0" fontId="12" fillId="5" borderId="7" applyNumberFormat="0" applyFont="0" applyAlignment="0" applyProtection="0"/>
    <xf numFmtId="0" fontId="11" fillId="15" borderId="8" applyNumberFormat="0" applyAlignment="0" applyProtection="0"/>
    <xf numFmtId="0" fontId="11" fillId="15" borderId="8" applyNumberFormat="0" applyAlignment="0" applyProtection="0"/>
    <xf numFmtId="9" fontId="23" fillId="0" borderId="0" applyFont="0" applyFill="0" applyBorder="0" applyAlignment="0" applyProtection="0"/>
    <xf numFmtId="9" fontId="22" fillId="0" borderId="0" applyFont="0" applyFill="0" applyBorder="0" applyAlignment="0" applyProtection="0"/>
    <xf numFmtId="9" fontId="36" fillId="0" borderId="0" applyFont="0" applyFill="0" applyBorder="0" applyAlignment="0" applyProtection="0"/>
    <xf numFmtId="9" fontId="35" fillId="0" borderId="0" applyFont="0" applyFill="0" applyBorder="0" applyAlignment="0" applyProtection="0"/>
    <xf numFmtId="0" fontId="13" fillId="0" borderId="0" applyNumberFormat="0" applyFill="0" applyBorder="0" applyAlignment="0" applyProtection="0"/>
    <xf numFmtId="0" fontId="40" fillId="20" borderId="0" applyFont="0" applyBorder="0" applyAlignment="0">
      <alignment horizontal="center" wrapText="1"/>
    </xf>
    <xf numFmtId="0" fontId="40" fillId="20" borderId="0" applyFont="0" applyBorder="0" applyAlignment="0">
      <alignment horizontal="center" wrapText="1"/>
    </xf>
    <xf numFmtId="0" fontId="34" fillId="20" borderId="0" applyFont="0" applyBorder="0" applyAlignment="0">
      <alignment horizontal="center" wrapText="1"/>
    </xf>
    <xf numFmtId="0" fontId="3" fillId="0" borderId="9" applyNumberFormat="0" applyFill="0" applyAlignment="0" applyProtection="0"/>
    <xf numFmtId="0" fontId="3" fillId="0" borderId="9" applyNumberFormat="0" applyFill="0" applyAlignment="0" applyProtection="0"/>
    <xf numFmtId="0" fontId="2" fillId="0" borderId="0" applyNumberFormat="0" applyFill="0" applyBorder="0" applyAlignment="0" applyProtection="0"/>
    <xf numFmtId="0" fontId="2" fillId="0" borderId="0" applyNumberForma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2"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4" fillId="20" borderId="0" applyFont="0" applyBorder="0" applyAlignment="0">
      <alignment horizontal="center" wrapText="1"/>
    </xf>
    <xf numFmtId="0" fontId="34" fillId="20" borderId="0" applyFont="0" applyBorder="0" applyAlignment="0">
      <alignment horizontal="center" wrapText="1"/>
    </xf>
    <xf numFmtId="0" fontId="34" fillId="20" borderId="0" applyFont="0" applyBorder="0" applyAlignment="0">
      <alignment horizontal="center" wrapText="1"/>
    </xf>
    <xf numFmtId="0" fontId="34" fillId="20" borderId="0" applyFont="0" applyBorder="0" applyAlignment="0">
      <alignment horizontal="center" wrapText="1"/>
    </xf>
    <xf numFmtId="43" fontId="1" fillId="0" borderId="0" applyFont="0" applyFill="0" applyBorder="0" applyAlignment="0" applyProtection="0"/>
    <xf numFmtId="43" fontId="1" fillId="0" borderId="0" applyFont="0" applyFill="0" applyBorder="0" applyAlignment="0" applyProtection="0"/>
    <xf numFmtId="0" fontId="20" fillId="0" borderId="0"/>
    <xf numFmtId="43" fontId="1" fillId="0" borderId="0" applyFont="0" applyFill="0" applyBorder="0" applyAlignment="0" applyProtection="0"/>
    <xf numFmtId="0" fontId="22"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0" fillId="0" borderId="0"/>
    <xf numFmtId="0" fontId="71" fillId="0" borderId="0"/>
    <xf numFmtId="0" fontId="71" fillId="0" borderId="0"/>
    <xf numFmtId="0" fontId="70" fillId="0" borderId="0"/>
    <xf numFmtId="0" fontId="71" fillId="0" borderId="0"/>
    <xf numFmtId="0" fontId="71" fillId="0" borderId="0"/>
    <xf numFmtId="0" fontId="72" fillId="0" borderId="0"/>
    <xf numFmtId="0" fontId="71"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0"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1" fillId="0" borderId="0"/>
    <xf numFmtId="0" fontId="72"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6" fillId="0" borderId="0"/>
    <xf numFmtId="43" fontId="36"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0"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0" fillId="0" borderId="0"/>
    <xf numFmtId="0" fontId="20" fillId="0" borderId="0"/>
    <xf numFmtId="0" fontId="20" fillId="0" borderId="0"/>
    <xf numFmtId="0" fontId="20" fillId="0" borderId="0"/>
    <xf numFmtId="0" fontId="20" fillId="0" borderId="0"/>
    <xf numFmtId="0" fontId="20"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xf numFmtId="0" fontId="20" fillId="0" borderId="0"/>
    <xf numFmtId="0" fontId="20" fillId="0" borderId="0"/>
    <xf numFmtId="0" fontId="20"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5" fillId="0" borderId="0"/>
    <xf numFmtId="0" fontId="22" fillId="0" borderId="0"/>
    <xf numFmtId="0" fontId="22" fillId="0" borderId="0"/>
    <xf numFmtId="0" fontId="22" fillId="0" borderId="0"/>
    <xf numFmtId="0" fontId="2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0"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 fillId="5" borderId="7" applyNumberFormat="0" applyFont="0" applyAlignment="0" applyProtection="0"/>
    <xf numFmtId="0" fontId="12"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20" fillId="0" borderId="0"/>
    <xf numFmtId="44"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2"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22" fillId="0" borderId="0"/>
    <xf numFmtId="43" fontId="1" fillId="0" borderId="0" applyFont="0" applyFill="0" applyBorder="0" applyAlignment="0" applyProtection="0"/>
    <xf numFmtId="43" fontId="1" fillId="0" borderId="0" applyFont="0" applyFill="0" applyBorder="0" applyAlignment="0" applyProtection="0"/>
    <xf numFmtId="0" fontId="36"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0"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1" fillId="0" borderId="0"/>
    <xf numFmtId="0" fontId="70" fillId="0" borderId="0"/>
    <xf numFmtId="0" fontId="70"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1" fillId="5" borderId="7" applyNumberFormat="0" applyFont="0" applyAlignment="0" applyProtection="0"/>
    <xf numFmtId="44" fontId="35" fillId="0" borderId="0" applyFont="0" applyFill="0" applyBorder="0" applyAlignment="0" applyProtection="0"/>
    <xf numFmtId="44" fontId="35" fillId="0" borderId="0" applyFont="0" applyFill="0" applyBorder="0" applyAlignment="0" applyProtection="0"/>
    <xf numFmtId="0" fontId="12" fillId="0" borderId="0"/>
    <xf numFmtId="0" fontId="70" fillId="0" borderId="0"/>
    <xf numFmtId="43" fontId="35" fillId="0" borderId="0" applyFont="0" applyFill="0" applyBorder="0" applyAlignment="0" applyProtection="0"/>
    <xf numFmtId="44" fontId="35" fillId="0" borderId="0" applyFont="0" applyFill="0" applyBorder="0" applyAlignment="0" applyProtection="0"/>
    <xf numFmtId="0" fontId="12" fillId="0" borderId="0"/>
    <xf numFmtId="43" fontId="35" fillId="0" borderId="0" applyFont="0" applyFill="0" applyBorder="0" applyAlignment="0" applyProtection="0"/>
    <xf numFmtId="0" fontId="20" fillId="0" borderId="0"/>
    <xf numFmtId="0" fontId="35" fillId="0" borderId="0"/>
    <xf numFmtId="0" fontId="35" fillId="0" borderId="0"/>
    <xf numFmtId="0" fontId="35" fillId="0" borderId="0"/>
    <xf numFmtId="0" fontId="35" fillId="0" borderId="0"/>
    <xf numFmtId="0" fontId="12" fillId="0" borderId="0"/>
    <xf numFmtId="0" fontId="35" fillId="0" borderId="0"/>
    <xf numFmtId="0" fontId="35" fillId="0" borderId="0"/>
    <xf numFmtId="0" fontId="35" fillId="0" borderId="0"/>
    <xf numFmtId="0" fontId="35" fillId="0" borderId="0"/>
    <xf numFmtId="0" fontId="35" fillId="0" borderId="0"/>
    <xf numFmtId="0" fontId="20" fillId="0" borderId="0"/>
    <xf numFmtId="0" fontId="20" fillId="0" borderId="0"/>
    <xf numFmtId="0" fontId="12"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20" fillId="0" borderId="0"/>
    <xf numFmtId="0" fontId="35" fillId="0" borderId="0"/>
    <xf numFmtId="0" fontId="35" fillId="0" borderId="0"/>
    <xf numFmtId="43" fontId="3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20"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70" fillId="0" borderId="0"/>
    <xf numFmtId="0" fontId="70" fillId="0" borderId="0"/>
    <xf numFmtId="0" fontId="70" fillId="0" borderId="0"/>
    <xf numFmtId="0" fontId="70" fillId="0" borderId="0"/>
    <xf numFmtId="0" fontId="70" fillId="0" borderId="0"/>
    <xf numFmtId="0" fontId="12" fillId="0" borderId="0"/>
    <xf numFmtId="0" fontId="70" fillId="0" borderId="0"/>
    <xf numFmtId="0" fontId="70"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35" fillId="0" borderId="0"/>
    <xf numFmtId="0" fontId="35" fillId="0" borderId="0"/>
    <xf numFmtId="0" fontId="22" fillId="0" borderId="0"/>
    <xf numFmtId="0" fontId="35" fillId="0" borderId="0"/>
    <xf numFmtId="0" fontId="35" fillId="0" borderId="0"/>
    <xf numFmtId="0" fontId="35" fillId="0" borderId="0"/>
    <xf numFmtId="0" fontId="70" fillId="0" borderId="0"/>
    <xf numFmtId="0" fontId="35" fillId="0" borderId="0"/>
    <xf numFmtId="0" fontId="35" fillId="0" borderId="0"/>
    <xf numFmtId="0" fontId="35" fillId="0" borderId="0"/>
    <xf numFmtId="0" fontId="35" fillId="0" borderId="0"/>
    <xf numFmtId="0" fontId="35"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0"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35" fillId="0" borderId="0"/>
    <xf numFmtId="0" fontId="35" fillId="0" borderId="0"/>
    <xf numFmtId="0" fontId="35" fillId="0" borderId="0"/>
    <xf numFmtId="0" fontId="35" fillId="0" borderId="0"/>
    <xf numFmtId="0" fontId="35" fillId="0" borderId="0"/>
    <xf numFmtId="0" fontId="12" fillId="0" borderId="0"/>
    <xf numFmtId="0" fontId="72" fillId="0" borderId="0"/>
    <xf numFmtId="0" fontId="72" fillId="0" borderId="0"/>
    <xf numFmtId="0" fontId="72" fillId="0" borderId="0"/>
    <xf numFmtId="0" fontId="72" fillId="0" borderId="0"/>
    <xf numFmtId="0" fontId="7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72" fillId="0" borderId="0"/>
    <xf numFmtId="0" fontId="72" fillId="0" borderId="0"/>
    <xf numFmtId="0" fontId="35" fillId="0" borderId="0"/>
    <xf numFmtId="0" fontId="35" fillId="0" borderId="0"/>
    <xf numFmtId="0" fontId="35" fillId="0" borderId="0"/>
    <xf numFmtId="0" fontId="35" fillId="0" borderId="0"/>
    <xf numFmtId="0" fontId="7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6" fillId="0" borderId="0"/>
    <xf numFmtId="0" fontId="35" fillId="0" borderId="0"/>
    <xf numFmtId="0" fontId="22" fillId="0" borderId="0"/>
    <xf numFmtId="0" fontId="71"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72" fillId="0" borderId="0"/>
    <xf numFmtId="0" fontId="2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12" fillId="0" borderId="0"/>
    <xf numFmtId="0" fontId="71" fillId="0" borderId="0"/>
    <xf numFmtId="0" fontId="12" fillId="0" borderId="0"/>
    <xf numFmtId="0" fontId="12" fillId="0" borderId="0"/>
    <xf numFmtId="0" fontId="12" fillId="0" borderId="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0" fontId="12" fillId="0" borderId="0"/>
    <xf numFmtId="0" fontId="22" fillId="0" borderId="0"/>
    <xf numFmtId="0" fontId="12" fillId="0" borderId="0"/>
    <xf numFmtId="0" fontId="12" fillId="0" borderId="0"/>
    <xf numFmtId="44" fontId="35" fillId="0" borderId="0" applyFont="0" applyFill="0" applyBorder="0" applyAlignment="0" applyProtection="0"/>
    <xf numFmtId="0" fontId="22" fillId="0" borderId="0"/>
    <xf numFmtId="0" fontId="12" fillId="0" borderId="0"/>
    <xf numFmtId="0" fontId="12" fillId="0" borderId="0"/>
    <xf numFmtId="0" fontId="20" fillId="0" borderId="0"/>
    <xf numFmtId="0" fontId="12" fillId="0" borderId="0"/>
    <xf numFmtId="43" fontId="35" fillId="0" borderId="0" applyFont="0" applyFill="0" applyBorder="0" applyAlignment="0" applyProtection="0"/>
    <xf numFmtId="0" fontId="20" fillId="0" borderId="0"/>
    <xf numFmtId="0" fontId="12" fillId="0" borderId="0"/>
    <xf numFmtId="43" fontId="35" fillId="0" borderId="0" applyFont="0" applyFill="0" applyBorder="0" applyAlignment="0" applyProtection="0"/>
    <xf numFmtId="0" fontId="12" fillId="0" borderId="0"/>
    <xf numFmtId="0" fontId="20" fillId="0" borderId="0"/>
    <xf numFmtId="0" fontId="20" fillId="0" borderId="0"/>
    <xf numFmtId="43" fontId="35" fillId="0" borderId="0" applyFont="0" applyFill="0" applyBorder="0" applyAlignment="0" applyProtection="0"/>
    <xf numFmtId="0" fontId="20"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72" fillId="0" borderId="0"/>
    <xf numFmtId="0" fontId="12" fillId="0" borderId="0"/>
    <xf numFmtId="0" fontId="12" fillId="0" borderId="0"/>
    <xf numFmtId="43" fontId="35" fillId="0" borderId="0" applyFont="0" applyFill="0" applyBorder="0" applyAlignment="0" applyProtection="0"/>
    <xf numFmtId="43" fontId="35" fillId="0" borderId="0" applyFont="0" applyFill="0" applyBorder="0" applyAlignment="0" applyProtection="0"/>
    <xf numFmtId="0" fontId="22" fillId="0" borderId="0"/>
    <xf numFmtId="43" fontId="35" fillId="0" borderId="0" applyFont="0" applyFill="0" applyBorder="0" applyAlignment="0" applyProtection="0"/>
    <xf numFmtId="0" fontId="12" fillId="0" borderId="0"/>
    <xf numFmtId="0" fontId="20" fillId="0" borderId="0"/>
    <xf numFmtId="0" fontId="20" fillId="0" borderId="0"/>
    <xf numFmtId="0" fontId="12" fillId="0" borderId="0"/>
    <xf numFmtId="0" fontId="22" fillId="0" borderId="0"/>
    <xf numFmtId="0" fontId="20" fillId="0" borderId="0"/>
    <xf numFmtId="0" fontId="20" fillId="0" borderId="0"/>
    <xf numFmtId="0" fontId="12" fillId="0" borderId="0"/>
    <xf numFmtId="44" fontId="35" fillId="0" borderId="0" applyFont="0" applyFill="0" applyBorder="0" applyAlignment="0" applyProtection="0"/>
    <xf numFmtId="44" fontId="35" fillId="0" borderId="0" applyFont="0" applyFill="0" applyBorder="0" applyAlignment="0" applyProtection="0"/>
    <xf numFmtId="43" fontId="36" fillId="0" borderId="0" applyFont="0" applyFill="0" applyBorder="0" applyAlignment="0" applyProtection="0"/>
    <xf numFmtId="0" fontId="22" fillId="0" borderId="0"/>
    <xf numFmtId="43" fontId="35" fillId="0" borderId="0" applyFont="0" applyFill="0" applyBorder="0" applyAlignment="0" applyProtection="0"/>
    <xf numFmtId="43" fontId="35" fillId="0" borderId="0" applyFont="0" applyFill="0" applyBorder="0" applyAlignment="0" applyProtection="0"/>
    <xf numFmtId="0" fontId="12" fillId="0" borderId="0"/>
    <xf numFmtId="0" fontId="12" fillId="0" borderId="0"/>
    <xf numFmtId="0" fontId="22" fillId="0" borderId="0"/>
    <xf numFmtId="43" fontId="35" fillId="0" borderId="0" applyFont="0" applyFill="0" applyBorder="0" applyAlignment="0" applyProtection="0"/>
    <xf numFmtId="44" fontId="35" fillId="0" borderId="0" applyFont="0" applyFill="0" applyBorder="0" applyAlignment="0" applyProtection="0"/>
    <xf numFmtId="0" fontId="12" fillId="0" borderId="0"/>
    <xf numFmtId="0" fontId="71" fillId="0" borderId="0"/>
    <xf numFmtId="0" fontId="20" fillId="0" borderId="0"/>
    <xf numFmtId="44" fontId="35" fillId="0" borderId="0" applyFont="0" applyFill="0" applyBorder="0" applyAlignment="0" applyProtection="0"/>
    <xf numFmtId="9" fontId="35" fillId="0" borderId="0" applyFont="0" applyFill="0" applyBorder="0" applyAlignment="0" applyProtection="0"/>
    <xf numFmtId="0" fontId="20" fillId="0" borderId="0"/>
    <xf numFmtId="0" fontId="22" fillId="0" borderId="0"/>
    <xf numFmtId="0" fontId="12" fillId="0" borderId="0"/>
    <xf numFmtId="0" fontId="12" fillId="0" borderId="0"/>
    <xf numFmtId="0" fontId="22" fillId="0" borderId="0"/>
    <xf numFmtId="0" fontId="12" fillId="0" borderId="0"/>
    <xf numFmtId="0" fontId="12" fillId="0" borderId="0"/>
    <xf numFmtId="0" fontId="12" fillId="0" borderId="0"/>
    <xf numFmtId="0" fontId="12" fillId="0" borderId="0"/>
    <xf numFmtId="0" fontId="20" fillId="0" borderId="0"/>
    <xf numFmtId="0" fontId="20" fillId="0" borderId="0"/>
    <xf numFmtId="0" fontId="12" fillId="0" borderId="0"/>
    <xf numFmtId="0" fontId="20" fillId="0" borderId="0"/>
    <xf numFmtId="0" fontId="12" fillId="0" borderId="0"/>
    <xf numFmtId="0" fontId="20" fillId="0" borderId="0"/>
    <xf numFmtId="0" fontId="12" fillId="0" borderId="0"/>
    <xf numFmtId="0" fontId="12" fillId="0" borderId="0"/>
    <xf numFmtId="0" fontId="22" fillId="0" borderId="0"/>
    <xf numFmtId="0" fontId="12" fillId="0" borderId="0"/>
    <xf numFmtId="0" fontId="12" fillId="0" borderId="0"/>
    <xf numFmtId="0" fontId="12" fillId="0" borderId="0"/>
    <xf numFmtId="0" fontId="12" fillId="0" borderId="0"/>
    <xf numFmtId="0" fontId="20" fillId="0" borderId="0"/>
    <xf numFmtId="0" fontId="12" fillId="0" borderId="0"/>
    <xf numFmtId="0" fontId="12" fillId="0" borderId="0"/>
    <xf numFmtId="0" fontId="12" fillId="0" borderId="0"/>
    <xf numFmtId="0" fontId="12" fillId="0" borderId="0"/>
    <xf numFmtId="0" fontId="20" fillId="0" borderId="0"/>
    <xf numFmtId="0" fontId="20" fillId="0" borderId="0"/>
    <xf numFmtId="0" fontId="20" fillId="0" borderId="0"/>
    <xf numFmtId="0" fontId="20" fillId="0" borderId="0"/>
    <xf numFmtId="0" fontId="12" fillId="0" borderId="0"/>
    <xf numFmtId="0" fontId="12" fillId="0" borderId="0"/>
    <xf numFmtId="0" fontId="12" fillId="0" borderId="0"/>
    <xf numFmtId="0" fontId="12" fillId="0" borderId="0"/>
    <xf numFmtId="0" fontId="20" fillId="0" borderId="0"/>
    <xf numFmtId="0" fontId="12" fillId="0" borderId="0"/>
    <xf numFmtId="0" fontId="12" fillId="0" borderId="0"/>
    <xf numFmtId="0" fontId="20" fillId="0" borderId="0"/>
    <xf numFmtId="0" fontId="12" fillId="0" borderId="0"/>
    <xf numFmtId="0" fontId="12" fillId="0" borderId="0"/>
    <xf numFmtId="0" fontId="12" fillId="0" borderId="0"/>
    <xf numFmtId="0" fontId="20" fillId="0" borderId="0"/>
    <xf numFmtId="0" fontId="12" fillId="0" borderId="0"/>
    <xf numFmtId="0" fontId="20" fillId="0" borderId="0"/>
    <xf numFmtId="0" fontId="12" fillId="0" borderId="0"/>
    <xf numFmtId="0" fontId="20" fillId="0" borderId="0"/>
    <xf numFmtId="0" fontId="22" fillId="0" borderId="0"/>
    <xf numFmtId="0" fontId="12" fillId="0" borderId="0"/>
    <xf numFmtId="0" fontId="20" fillId="0" borderId="0"/>
    <xf numFmtId="0" fontId="2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xf numFmtId="0" fontId="12" fillId="0" borderId="0"/>
    <xf numFmtId="0" fontId="22" fillId="0" borderId="0"/>
    <xf numFmtId="0" fontId="20" fillId="0" borderId="0"/>
    <xf numFmtId="0" fontId="12" fillId="0" borderId="0"/>
    <xf numFmtId="0" fontId="12" fillId="0" borderId="0"/>
    <xf numFmtId="0" fontId="22" fillId="0" borderId="0"/>
    <xf numFmtId="0" fontId="20" fillId="0" borderId="0"/>
    <xf numFmtId="0" fontId="12" fillId="0" borderId="0"/>
    <xf numFmtId="0" fontId="12" fillId="0" borderId="0"/>
    <xf numFmtId="0" fontId="20" fillId="0" borderId="0"/>
    <xf numFmtId="0" fontId="22" fillId="0" borderId="0"/>
    <xf numFmtId="0" fontId="12" fillId="0" borderId="0"/>
    <xf numFmtId="0" fontId="20" fillId="0" borderId="0"/>
    <xf numFmtId="0" fontId="22" fillId="0" borderId="0"/>
    <xf numFmtId="0" fontId="12" fillId="0" borderId="0"/>
    <xf numFmtId="0" fontId="12" fillId="0" borderId="0"/>
    <xf numFmtId="0" fontId="12" fillId="0" borderId="0"/>
    <xf numFmtId="0" fontId="20" fillId="0" borderId="0"/>
    <xf numFmtId="0" fontId="22" fillId="0" borderId="0"/>
    <xf numFmtId="0" fontId="22" fillId="0" borderId="0"/>
    <xf numFmtId="0" fontId="12" fillId="0" borderId="0"/>
    <xf numFmtId="0" fontId="12" fillId="0" borderId="0"/>
    <xf numFmtId="0" fontId="20" fillId="0" borderId="0"/>
    <xf numFmtId="0" fontId="12" fillId="0" borderId="0"/>
    <xf numFmtId="0" fontId="20" fillId="0" borderId="0"/>
    <xf numFmtId="0" fontId="12" fillId="0" borderId="0"/>
    <xf numFmtId="0" fontId="20" fillId="0" borderId="0"/>
    <xf numFmtId="0" fontId="12" fillId="0" borderId="0"/>
    <xf numFmtId="0" fontId="20" fillId="0" borderId="0"/>
    <xf numFmtId="0" fontId="20" fillId="0" borderId="0"/>
    <xf numFmtId="0" fontId="12" fillId="0" borderId="0"/>
    <xf numFmtId="0" fontId="12" fillId="0" borderId="0"/>
    <xf numFmtId="0" fontId="12" fillId="0" borderId="0"/>
    <xf numFmtId="0" fontId="22" fillId="0" borderId="0"/>
    <xf numFmtId="0" fontId="22" fillId="0" borderId="0"/>
    <xf numFmtId="0" fontId="12" fillId="0" borderId="0"/>
    <xf numFmtId="0" fontId="20" fillId="0" borderId="0"/>
    <xf numFmtId="0" fontId="20" fillId="0" borderId="0"/>
    <xf numFmtId="0" fontId="12" fillId="0" borderId="0"/>
    <xf numFmtId="0" fontId="12" fillId="0" borderId="0"/>
    <xf numFmtId="0" fontId="12" fillId="0" borderId="0"/>
    <xf numFmtId="0" fontId="20" fillId="0" borderId="0"/>
    <xf numFmtId="0" fontId="20" fillId="0" borderId="0"/>
    <xf numFmtId="0" fontId="22" fillId="0" borderId="0"/>
    <xf numFmtId="0" fontId="12" fillId="5" borderId="7" applyNumberFormat="0" applyFont="0" applyAlignment="0" applyProtection="0"/>
    <xf numFmtId="0" fontId="12" fillId="0" borderId="0"/>
    <xf numFmtId="0" fontId="12" fillId="0" borderId="0"/>
    <xf numFmtId="0" fontId="12" fillId="0" borderId="0"/>
    <xf numFmtId="0" fontId="12" fillId="0" borderId="0"/>
    <xf numFmtId="0" fontId="22" fillId="0" borderId="0"/>
    <xf numFmtId="0" fontId="22" fillId="0" borderId="0"/>
    <xf numFmtId="0" fontId="12" fillId="0" borderId="0"/>
    <xf numFmtId="0" fontId="12" fillId="0" borderId="0"/>
    <xf numFmtId="0" fontId="22" fillId="0" borderId="0"/>
    <xf numFmtId="0" fontId="20" fillId="0" borderId="0"/>
    <xf numFmtId="0" fontId="12" fillId="5" borderId="7" applyNumberFormat="0" applyFont="0" applyAlignment="0" applyProtection="0"/>
    <xf numFmtId="0" fontId="12" fillId="0" borderId="0"/>
    <xf numFmtId="0" fontId="20" fillId="0" borderId="0"/>
    <xf numFmtId="0" fontId="12" fillId="0" borderId="0"/>
    <xf numFmtId="0" fontId="20" fillId="0" borderId="0"/>
    <xf numFmtId="0" fontId="20" fillId="0" borderId="0"/>
    <xf numFmtId="0" fontId="20" fillId="0" borderId="0"/>
    <xf numFmtId="0" fontId="12" fillId="0" borderId="0"/>
    <xf numFmtId="0" fontId="12" fillId="0" borderId="0"/>
    <xf numFmtId="0" fontId="20" fillId="0" borderId="0"/>
    <xf numFmtId="0" fontId="12" fillId="0" borderId="0"/>
    <xf numFmtId="0" fontId="22" fillId="0" borderId="0"/>
    <xf numFmtId="0" fontId="20" fillId="0" borderId="0"/>
    <xf numFmtId="0" fontId="12" fillId="0" borderId="0"/>
    <xf numFmtId="0" fontId="12" fillId="0" borderId="0"/>
    <xf numFmtId="0" fontId="20" fillId="0" borderId="0"/>
    <xf numFmtId="0" fontId="20" fillId="0" borderId="0"/>
    <xf numFmtId="0" fontId="22" fillId="0" borderId="0"/>
    <xf numFmtId="0" fontId="20" fillId="0" borderId="0"/>
    <xf numFmtId="0" fontId="22" fillId="0" borderId="0"/>
    <xf numFmtId="0" fontId="12" fillId="0" borderId="0"/>
    <xf numFmtId="0" fontId="12" fillId="0" borderId="0"/>
    <xf numFmtId="0" fontId="22" fillId="0" borderId="0"/>
    <xf numFmtId="0" fontId="20" fillId="0" borderId="0"/>
    <xf numFmtId="0" fontId="12" fillId="0" borderId="0"/>
    <xf numFmtId="0" fontId="76" fillId="0" borderId="47" applyNumberFormat="0" applyFill="0" applyAlignment="0" applyProtection="0"/>
    <xf numFmtId="0" fontId="77" fillId="0" borderId="48" applyNumberFormat="0" applyFill="0" applyAlignment="0" applyProtection="0"/>
    <xf numFmtId="0" fontId="78" fillId="0" borderId="49" applyNumberFormat="0" applyFill="0" applyAlignment="0" applyProtection="0"/>
    <xf numFmtId="0" fontId="78" fillId="0" borderId="0" applyNumberFormat="0" applyFill="0" applyBorder="0" applyAlignment="0" applyProtection="0"/>
    <xf numFmtId="0" fontId="79" fillId="37" borderId="0" applyNumberFormat="0" applyBorder="0" applyAlignment="0" applyProtection="0"/>
    <xf numFmtId="0" fontId="80" fillId="38" borderId="0" applyNumberFormat="0" applyBorder="0" applyAlignment="0" applyProtection="0"/>
    <xf numFmtId="0" fontId="81" fillId="40" borderId="50" applyNumberFormat="0" applyAlignment="0" applyProtection="0"/>
    <xf numFmtId="0" fontId="82" fillId="41" borderId="51" applyNumberFormat="0" applyAlignment="0" applyProtection="0"/>
    <xf numFmtId="0" fontId="83" fillId="41" borderId="50" applyNumberFormat="0" applyAlignment="0" applyProtection="0"/>
    <xf numFmtId="0" fontId="84" fillId="0" borderId="52" applyNumberFormat="0" applyFill="0" applyAlignment="0" applyProtection="0"/>
    <xf numFmtId="0" fontId="85" fillId="42" borderId="53" applyNumberFormat="0" applyAlignment="0" applyProtection="0"/>
    <xf numFmtId="0" fontId="73" fillId="0" borderId="0" applyNumberFormat="0" applyFill="0" applyBorder="0" applyAlignment="0" applyProtection="0"/>
    <xf numFmtId="0" fontId="41" fillId="0" borderId="55" applyNumberFormat="0" applyFill="0" applyAlignment="0" applyProtection="0"/>
    <xf numFmtId="0" fontId="86" fillId="44" borderId="0" applyNumberFormat="0" applyBorder="0" applyAlignment="0" applyProtection="0"/>
    <xf numFmtId="0" fontId="86" fillId="45" borderId="0" applyNumberFormat="0" applyBorder="0" applyAlignment="0" applyProtection="0"/>
    <xf numFmtId="0" fontId="86" fillId="46" borderId="0" applyNumberFormat="0" applyBorder="0" applyAlignment="0" applyProtection="0"/>
    <xf numFmtId="0" fontId="86" fillId="47" borderId="0" applyNumberFormat="0" applyBorder="0" applyAlignment="0" applyProtection="0"/>
    <xf numFmtId="0" fontId="86" fillId="48" borderId="0" applyNumberFormat="0" applyBorder="0" applyAlignment="0" applyProtection="0"/>
    <xf numFmtId="0" fontId="86" fillId="49" borderId="0" applyNumberFormat="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0" fillId="0" borderId="0"/>
    <xf numFmtId="0" fontId="35" fillId="0" borderId="0"/>
    <xf numFmtId="0" fontId="35" fillId="0" borderId="0"/>
    <xf numFmtId="0" fontId="35" fillId="0" borderId="0"/>
    <xf numFmtId="0" fontId="20" fillId="0" borderId="0"/>
    <xf numFmtId="0" fontId="20"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2" fillId="0" borderId="0"/>
    <xf numFmtId="0" fontId="35" fillId="0" borderId="0"/>
    <xf numFmtId="0" fontId="35" fillId="0" borderId="0"/>
    <xf numFmtId="0" fontId="35" fillId="0" borderId="0"/>
    <xf numFmtId="0" fontId="22" fillId="0" borderId="0"/>
    <xf numFmtId="0" fontId="2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6" fillId="0" borderId="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9"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9"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95" fillId="39" borderId="0" applyNumberFormat="0" applyBorder="0" applyAlignment="0" applyProtection="0"/>
    <xf numFmtId="0" fontId="35" fillId="43" borderId="54" applyNumberFormat="0" applyFont="0" applyAlignment="0" applyProtection="0"/>
    <xf numFmtId="40" fontId="88" fillId="0" borderId="17">
      <alignment horizontal="right"/>
    </xf>
    <xf numFmtId="0" fontId="89" fillId="0" borderId="0">
      <alignment horizontal="left"/>
    </xf>
    <xf numFmtId="49" fontId="12" fillId="0" borderId="0"/>
    <xf numFmtId="0" fontId="89" fillId="0" borderId="0">
      <alignment horizontal="left"/>
    </xf>
    <xf numFmtId="177" fontId="88" fillId="0" borderId="17">
      <alignment horizontal="right"/>
    </xf>
    <xf numFmtId="49" fontId="88" fillId="0" borderId="0">
      <alignment horizontal="right"/>
    </xf>
    <xf numFmtId="40" fontId="12" fillId="0" borderId="0">
      <alignment horizontal="right"/>
    </xf>
    <xf numFmtId="49" fontId="12" fillId="0" borderId="0">
      <alignment horizontal="left"/>
    </xf>
    <xf numFmtId="40" fontId="12" fillId="0" borderId="0"/>
    <xf numFmtId="49" fontId="12" fillId="0" borderId="0">
      <alignment horizontal="left"/>
    </xf>
    <xf numFmtId="177" fontId="12" fillId="0" borderId="0">
      <alignment horizontal="right"/>
    </xf>
    <xf numFmtId="49" fontId="12" fillId="0" borderId="0"/>
    <xf numFmtId="49" fontId="87" fillId="50" borderId="0">
      <alignment horizontal="right" vertical="center"/>
    </xf>
    <xf numFmtId="49" fontId="87" fillId="50" borderId="0">
      <alignment horizontal="left" vertical="center"/>
    </xf>
    <xf numFmtId="49" fontId="87" fillId="50" borderId="0">
      <alignment horizontal="center" vertical="center"/>
    </xf>
    <xf numFmtId="49" fontId="87" fillId="50" borderId="0">
      <alignment horizontal="center" vertical="center"/>
    </xf>
    <xf numFmtId="49" fontId="87" fillId="50" borderId="0">
      <alignment horizontal="right" vertical="center"/>
    </xf>
    <xf numFmtId="40" fontId="87" fillId="50" borderId="0">
      <alignment horizontal="right"/>
    </xf>
    <xf numFmtId="49" fontId="87" fillId="50" borderId="0">
      <alignment horizontal="center" vertical="center"/>
    </xf>
    <xf numFmtId="40" fontId="12" fillId="0" borderId="0"/>
    <xf numFmtId="0" fontId="12" fillId="0" borderId="0">
      <alignment horizontal="left"/>
    </xf>
    <xf numFmtId="49" fontId="12" fillId="0" borderId="0"/>
    <xf numFmtId="49" fontId="12" fillId="0" borderId="0">
      <alignment horizontal="center" vertical="center"/>
    </xf>
    <xf numFmtId="177" fontId="12" fillId="0" borderId="0">
      <alignment horizontal="right"/>
    </xf>
    <xf numFmtId="49" fontId="12" fillId="0" borderId="0"/>
    <xf numFmtId="49" fontId="87" fillId="50" borderId="0">
      <alignment horizontal="center" vertical="center"/>
    </xf>
    <xf numFmtId="49" fontId="87" fillId="50" borderId="0">
      <alignment horizontal="center" vertical="center"/>
    </xf>
    <xf numFmtId="177" fontId="87" fillId="50" borderId="0">
      <alignment horizontal="center" vertical="center"/>
    </xf>
    <xf numFmtId="49" fontId="87" fillId="50" borderId="0">
      <alignment horizontal="right"/>
    </xf>
    <xf numFmtId="40" fontId="88" fillId="0" borderId="19">
      <alignment horizontal="right"/>
    </xf>
    <xf numFmtId="0" fontId="89" fillId="0" borderId="0">
      <alignment horizontal="left"/>
    </xf>
    <xf numFmtId="49" fontId="12" fillId="0" borderId="0"/>
    <xf numFmtId="0" fontId="89" fillId="0" borderId="0">
      <alignment horizontal="left"/>
    </xf>
    <xf numFmtId="177" fontId="88" fillId="0" borderId="19">
      <alignment horizontal="right"/>
    </xf>
    <xf numFmtId="49" fontId="88" fillId="0" borderId="0">
      <alignment horizontal="right"/>
    </xf>
    <xf numFmtId="49" fontId="12" fillId="0" borderId="0"/>
    <xf numFmtId="49" fontId="12" fillId="0" borderId="0"/>
    <xf numFmtId="40" fontId="88" fillId="0" borderId="14">
      <alignment horizontal="right"/>
    </xf>
    <xf numFmtId="49" fontId="88" fillId="0" borderId="0">
      <alignment horizontal="left"/>
    </xf>
    <xf numFmtId="49" fontId="12" fillId="0" borderId="0"/>
    <xf numFmtId="49" fontId="88" fillId="0" borderId="0">
      <alignment horizontal="left"/>
    </xf>
    <xf numFmtId="177" fontId="88" fillId="0" borderId="14">
      <alignment horizontal="right"/>
    </xf>
    <xf numFmtId="49" fontId="88" fillId="0" borderId="0">
      <alignment horizontal="right"/>
    </xf>
    <xf numFmtId="49" fontId="87" fillId="50" borderId="0">
      <alignment horizontal="center" vertical="center"/>
    </xf>
    <xf numFmtId="49" fontId="87" fillId="50" borderId="0">
      <alignment horizontal="center" vertical="center"/>
    </xf>
    <xf numFmtId="49" fontId="87" fillId="50" borderId="0">
      <alignment horizontal="center" vertical="center"/>
    </xf>
    <xf numFmtId="49" fontId="87" fillId="50" borderId="0">
      <alignment horizontal="center" vertical="center"/>
    </xf>
    <xf numFmtId="49" fontId="87" fillId="50" borderId="0">
      <alignment horizontal="center" vertical="center"/>
    </xf>
    <xf numFmtId="49" fontId="87" fillId="50" borderId="0">
      <alignment horizontal="center" vertical="center"/>
    </xf>
    <xf numFmtId="49" fontId="87" fillId="50" borderId="0">
      <alignment horizontal="center" vertical="center"/>
    </xf>
    <xf numFmtId="49" fontId="87" fillId="50" borderId="0">
      <alignment horizontal="center" vertical="center"/>
    </xf>
    <xf numFmtId="49" fontId="87" fillId="50" borderId="0">
      <alignment horizontal="center" vertical="center"/>
    </xf>
    <xf numFmtId="49" fontId="12" fillId="0" borderId="0"/>
    <xf numFmtId="49" fontId="12" fillId="0" borderId="0"/>
    <xf numFmtId="49" fontId="12" fillId="0" borderId="0"/>
    <xf numFmtId="49" fontId="12" fillId="0" borderId="0"/>
    <xf numFmtId="49" fontId="12" fillId="0" borderId="0"/>
    <xf numFmtId="49" fontId="12" fillId="0" borderId="0"/>
    <xf numFmtId="0" fontId="88" fillId="51" borderId="0">
      <alignment horizontal="center" vertical="center"/>
    </xf>
    <xf numFmtId="49" fontId="12" fillId="51" borderId="0">
      <alignment horizontal="left" vertical="center"/>
    </xf>
    <xf numFmtId="49" fontId="88" fillId="51" borderId="0">
      <alignment horizontal="center" vertical="center"/>
    </xf>
    <xf numFmtId="0" fontId="88" fillId="52" borderId="0">
      <alignment horizontal="left"/>
    </xf>
    <xf numFmtId="49" fontId="12" fillId="0" borderId="0"/>
    <xf numFmtId="0" fontId="88" fillId="52" borderId="0">
      <alignment horizontal="left"/>
    </xf>
    <xf numFmtId="40" fontId="88" fillId="0" borderId="0">
      <alignment horizontal="right"/>
    </xf>
    <xf numFmtId="49" fontId="87" fillId="50" borderId="0"/>
    <xf numFmtId="49" fontId="87" fillId="50" borderId="0"/>
    <xf numFmtId="49" fontId="12" fillId="0" borderId="0"/>
    <xf numFmtId="0" fontId="90" fillId="53" borderId="0" applyFont="0" applyFill="0">
      <alignment horizontal="left" vertical="top" wrapText="1"/>
    </xf>
    <xf numFmtId="40" fontId="90" fillId="0" borderId="0"/>
    <xf numFmtId="40" fontId="90" fillId="0" borderId="0"/>
    <xf numFmtId="0" fontId="90" fillId="0" borderId="0">
      <alignment horizontal="left"/>
    </xf>
    <xf numFmtId="0" fontId="90" fillId="0" borderId="0">
      <alignment horizontal="center"/>
    </xf>
    <xf numFmtId="0" fontId="91" fillId="0" borderId="0">
      <alignment horizontal="center"/>
    </xf>
    <xf numFmtId="0" fontId="92" fillId="50" borderId="0">
      <alignment horizontal="left"/>
    </xf>
    <xf numFmtId="0" fontId="92" fillId="50" borderId="0">
      <alignment horizontal="left"/>
    </xf>
    <xf numFmtId="0" fontId="91" fillId="0" borderId="0">
      <alignment horizontal="center"/>
    </xf>
    <xf numFmtId="40" fontId="93" fillId="0" borderId="18"/>
    <xf numFmtId="40" fontId="93" fillId="0" borderId="18"/>
    <xf numFmtId="0" fontId="93" fillId="0" borderId="0"/>
    <xf numFmtId="0" fontId="93" fillId="0" borderId="0"/>
    <xf numFmtId="0" fontId="91" fillId="0" borderId="0">
      <alignment horizontal="center"/>
    </xf>
    <xf numFmtId="0" fontId="94" fillId="54" borderId="0">
      <alignment horizontal="left"/>
    </xf>
    <xf numFmtId="0" fontId="94" fillId="54" borderId="0">
      <alignment horizontal="left"/>
    </xf>
    <xf numFmtId="40" fontId="88" fillId="0" borderId="0">
      <alignment horizontal="right"/>
    </xf>
    <xf numFmtId="0" fontId="89" fillId="0" borderId="0">
      <alignment horizontal="left"/>
    </xf>
    <xf numFmtId="49" fontId="12" fillId="0" borderId="0"/>
    <xf numFmtId="0" fontId="89" fillId="0" borderId="0">
      <alignment horizontal="left"/>
    </xf>
    <xf numFmtId="177" fontId="88" fillId="0" borderId="0">
      <alignment horizontal="right"/>
    </xf>
    <xf numFmtId="49" fontId="88" fillId="0" borderId="0" applyBorder="0">
      <alignment horizontal="right"/>
    </xf>
    <xf numFmtId="0" fontId="12" fillId="0" borderId="0"/>
    <xf numFmtId="49" fontId="96" fillId="53" borderId="0">
      <alignment horizontal="left"/>
    </xf>
    <xf numFmtId="49" fontId="96" fillId="53" borderId="0">
      <alignment horizontal="left"/>
    </xf>
    <xf numFmtId="0" fontId="97" fillId="53" borderId="0">
      <alignment horizontal="left"/>
    </xf>
    <xf numFmtId="178" fontId="97" fillId="53" borderId="0">
      <alignment horizontal="left"/>
    </xf>
    <xf numFmtId="40" fontId="88" fillId="0" borderId="0">
      <alignment horizontal="right"/>
    </xf>
    <xf numFmtId="49" fontId="98" fillId="53" borderId="0">
      <alignment horizontal="left"/>
    </xf>
    <xf numFmtId="49" fontId="98" fillId="53" borderId="0">
      <alignment horizontal="left"/>
    </xf>
    <xf numFmtId="49" fontId="12" fillId="0" borderId="0"/>
    <xf numFmtId="40" fontId="88" fillId="0" borderId="14">
      <alignment horizontal="right"/>
    </xf>
    <xf numFmtId="49" fontId="88" fillId="0" borderId="0">
      <alignment horizontal="left"/>
    </xf>
    <xf numFmtId="49" fontId="12" fillId="0" borderId="0"/>
    <xf numFmtId="49" fontId="88" fillId="0" borderId="0">
      <alignment horizontal="left"/>
    </xf>
    <xf numFmtId="177" fontId="88" fillId="0" borderId="14">
      <alignment horizontal="right"/>
    </xf>
    <xf numFmtId="49" fontId="88" fillId="0" borderId="0">
      <alignment horizontal="right"/>
    </xf>
    <xf numFmtId="40" fontId="88" fillId="0" borderId="14">
      <alignment horizontal="right"/>
    </xf>
    <xf numFmtId="0" fontId="88" fillId="52" borderId="0">
      <alignment horizontal="left"/>
    </xf>
    <xf numFmtId="49" fontId="12" fillId="0" borderId="0"/>
    <xf numFmtId="0" fontId="88" fillId="52" borderId="0">
      <alignment horizontal="left"/>
    </xf>
    <xf numFmtId="177" fontId="88" fillId="0" borderId="14">
      <alignment horizontal="right"/>
    </xf>
    <xf numFmtId="49" fontId="88" fillId="0" borderId="0">
      <alignment horizontal="right"/>
    </xf>
    <xf numFmtId="0" fontId="93" fillId="0" borderId="0"/>
    <xf numFmtId="40" fontId="90" fillId="0" borderId="18"/>
    <xf numFmtId="40" fontId="90" fillId="0" borderId="18"/>
    <xf numFmtId="0" fontId="90" fillId="0" borderId="0"/>
    <xf numFmtId="0" fontId="90" fillId="0" borderId="0"/>
    <xf numFmtId="40" fontId="90" fillId="0" borderId="0"/>
    <xf numFmtId="179" fontId="90" fillId="0" borderId="0"/>
    <xf numFmtId="40" fontId="90" fillId="0" borderId="0"/>
    <xf numFmtId="0" fontId="90" fillId="0" borderId="0"/>
    <xf numFmtId="0" fontId="90" fillId="0" borderId="0"/>
    <xf numFmtId="40" fontId="88" fillId="0" borderId="18">
      <alignment horizontal="right"/>
    </xf>
    <xf numFmtId="49" fontId="88" fillId="0" borderId="0">
      <alignment horizontal="left"/>
    </xf>
    <xf numFmtId="49" fontId="12" fillId="0" borderId="0"/>
    <xf numFmtId="49" fontId="88" fillId="0" borderId="0">
      <alignment horizontal="left"/>
    </xf>
    <xf numFmtId="177" fontId="88" fillId="0" borderId="18">
      <alignment horizontal="right"/>
    </xf>
    <xf numFmtId="49" fontId="88" fillId="0" borderId="0">
      <alignment horizontal="right"/>
    </xf>
    <xf numFmtId="0" fontId="35" fillId="0" borderId="0"/>
    <xf numFmtId="0" fontId="36" fillId="0" borderId="0"/>
    <xf numFmtId="43" fontId="36"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9"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9"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9"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43" borderId="54" applyNumberFormat="0" applyFont="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8" fillId="4" borderId="0" applyNumberFormat="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12" fillId="0" borderId="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12" fillId="0" borderId="0"/>
    <xf numFmtId="44" fontId="35" fillId="0" borderId="0" applyFont="0" applyFill="0" applyBorder="0" applyAlignment="0" applyProtection="0"/>
    <xf numFmtId="0" fontId="12" fillId="0" borderId="0"/>
    <xf numFmtId="44"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22"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20"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4"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20" fillId="0" borderId="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 fillId="0" borderId="0"/>
    <xf numFmtId="0" fontId="22"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4" fontId="1"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12" fillId="0" borderId="0"/>
    <xf numFmtId="0" fontId="35" fillId="0" borderId="0"/>
    <xf numFmtId="0" fontId="35" fillId="0" borderId="0"/>
    <xf numFmtId="0" fontId="35" fillId="0" borderId="0"/>
    <xf numFmtId="0" fontId="20"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1"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2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6"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12"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6"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8" fillId="11" borderId="0" applyNumberFormat="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8" fillId="4" borderId="0" applyNumberFormat="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12"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0"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12"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8" fillId="4" borderId="0" applyNumberFormat="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12"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 fillId="0" borderId="0"/>
    <xf numFmtId="0" fontId="35" fillId="0" borderId="0"/>
    <xf numFmtId="43" fontId="35" fillId="0" borderId="0" applyFont="0" applyFill="0" applyBorder="0" applyAlignment="0" applyProtection="0"/>
    <xf numFmtId="0" fontId="35" fillId="0" borderId="0"/>
    <xf numFmtId="43" fontId="1" fillId="0" borderId="0" applyFont="0" applyFill="0" applyBorder="0" applyAlignment="0" applyProtection="0"/>
    <xf numFmtId="0" fontId="20" fillId="0" borderId="0"/>
    <xf numFmtId="0" fontId="35" fillId="0" borderId="0"/>
    <xf numFmtId="0" fontId="35" fillId="0" borderId="0"/>
    <xf numFmtId="44" fontId="35" fillId="0" borderId="0" applyFont="0" applyFill="0" applyBorder="0" applyAlignment="0" applyProtection="0"/>
    <xf numFmtId="0" fontId="35" fillId="0" borderId="0"/>
    <xf numFmtId="0" fontId="20"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6" fillId="0" borderId="0"/>
    <xf numFmtId="0" fontId="12"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12" fillId="0" borderId="0"/>
    <xf numFmtId="0" fontId="22"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44" fontId="35" fillId="0" borderId="0" applyFont="0" applyFill="0" applyBorder="0" applyAlignment="0" applyProtection="0"/>
    <xf numFmtId="43" fontId="36"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12" fillId="0" borderId="0"/>
    <xf numFmtId="0" fontId="35" fillId="0" borderId="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12" fillId="0" borderId="0"/>
    <xf numFmtId="0" fontId="35" fillId="0" borderId="0"/>
    <xf numFmtId="0" fontId="35" fillId="0" borderId="0"/>
    <xf numFmtId="0" fontId="35" fillId="0" borderId="0"/>
    <xf numFmtId="43" fontId="35" fillId="0" borderId="0" applyFont="0" applyFill="0" applyBorder="0" applyAlignment="0" applyProtection="0"/>
    <xf numFmtId="0" fontId="20"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0" fillId="0" borderId="0"/>
    <xf numFmtId="0" fontId="35" fillId="0" borderId="0"/>
    <xf numFmtId="44" fontId="35" fillId="0" borderId="0" applyFont="0" applyFill="0" applyBorder="0" applyAlignment="0" applyProtection="0"/>
    <xf numFmtId="0" fontId="35" fillId="0" borderId="0"/>
    <xf numFmtId="44"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20"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12" fillId="0" borderId="0"/>
    <xf numFmtId="44"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20"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6"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8" fillId="13" borderId="0" applyNumberFormat="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8" fillId="7" borderId="0" applyNumberFormat="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12" fillId="0" borderId="0"/>
    <xf numFmtId="43"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20"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20"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2" fillId="0" borderId="0"/>
    <xf numFmtId="0" fontId="35" fillId="0" borderId="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12"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12"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22"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12" fillId="0" borderId="0"/>
    <xf numFmtId="0" fontId="35" fillId="0" borderId="0"/>
    <xf numFmtId="0" fontId="35" fillId="0" borderId="0"/>
    <xf numFmtId="0" fontId="35" fillId="0" borderId="0"/>
    <xf numFmtId="0" fontId="12" fillId="0" borderId="0"/>
    <xf numFmtId="0" fontId="35" fillId="0" borderId="0"/>
    <xf numFmtId="0" fontId="35" fillId="0" borderId="0"/>
    <xf numFmtId="0" fontId="35" fillId="0" borderId="0"/>
    <xf numFmtId="0" fontId="20"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22" fillId="0" borderId="0"/>
    <xf numFmtId="0" fontId="35" fillId="0" borderId="0"/>
    <xf numFmtId="0" fontId="35" fillId="0" borderId="0"/>
    <xf numFmtId="0" fontId="35" fillId="0" borderId="0"/>
    <xf numFmtId="0" fontId="35" fillId="0" borderId="0"/>
    <xf numFmtId="0" fontId="35" fillId="0" borderId="0"/>
    <xf numFmtId="0" fontId="8" fillId="8" borderId="0" applyNumberFormat="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12" fillId="0" borderId="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12" fillId="0" borderId="0"/>
    <xf numFmtId="0" fontId="35" fillId="0" borderId="0"/>
    <xf numFmtId="0" fontId="22"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12"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8" fillId="11" borderId="0" applyNumberFormat="0" applyBorder="0" applyAlignment="0" applyProtection="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22"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1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8" fillId="4" borderId="0" applyNumberFormat="0" applyBorder="0" applyAlignment="0" applyProtection="0"/>
    <xf numFmtId="0" fontId="35" fillId="0" borderId="0"/>
    <xf numFmtId="0" fontId="35" fillId="0" borderId="0"/>
    <xf numFmtId="0" fontId="35" fillId="0" borderId="0"/>
    <xf numFmtId="0" fontId="35" fillId="0" borderId="0"/>
    <xf numFmtId="0" fontId="12" fillId="0" borderId="0"/>
    <xf numFmtId="0" fontId="35" fillId="0" borderId="0"/>
    <xf numFmtId="43" fontId="35" fillId="0" borderId="0" applyFont="0" applyFill="0" applyBorder="0" applyAlignment="0" applyProtection="0"/>
    <xf numFmtId="0" fontId="35" fillId="0" borderId="0"/>
    <xf numFmtId="0" fontId="12"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22"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3" fontId="33"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9"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8" fillId="4" borderId="0" applyNumberFormat="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8" fillId="13" borderId="0" applyNumberFormat="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9"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12" fillId="0" borderId="0"/>
    <xf numFmtId="0" fontId="35" fillId="0" borderId="0"/>
    <xf numFmtId="9"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4"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12" fillId="0" borderId="0"/>
    <xf numFmtId="43"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20"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20" fillId="0" borderId="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20"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0" fontId="22"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0"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 fillId="0" borderId="0"/>
    <xf numFmtId="0" fontId="35" fillId="0" borderId="0"/>
    <xf numFmtId="0" fontId="12"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6"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0" fontId="35" fillId="0" borderId="0"/>
    <xf numFmtId="44" fontId="35" fillId="0" borderId="0" applyFont="0" applyFill="0" applyBorder="0" applyAlignment="0" applyProtection="0"/>
    <xf numFmtId="9" fontId="36" fillId="0" borderId="0" applyFont="0" applyFill="0" applyBorder="0" applyAlignment="0" applyProtection="0"/>
    <xf numFmtId="0" fontId="12"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12" fillId="0" borderId="0"/>
    <xf numFmtId="0" fontId="35" fillId="0" borderId="0"/>
    <xf numFmtId="0" fontId="35" fillId="0" borderId="0"/>
    <xf numFmtId="44" fontId="35" fillId="0" borderId="0" applyFont="0" applyFill="0" applyBorder="0" applyAlignment="0" applyProtection="0"/>
    <xf numFmtId="0" fontId="35" fillId="0" borderId="0"/>
    <xf numFmtId="0" fontId="22" fillId="0" borderId="0"/>
    <xf numFmtId="0" fontId="12"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20" fillId="0" borderId="0"/>
    <xf numFmtId="0" fontId="22"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12" fillId="0" borderId="0"/>
    <xf numFmtId="0" fontId="35" fillId="0" borderId="0"/>
    <xf numFmtId="44" fontId="35" fillId="0" borderId="0" applyFont="0" applyFill="0" applyBorder="0" applyAlignment="0" applyProtection="0"/>
    <xf numFmtId="9" fontId="33" fillId="0" borderId="0" applyFont="0" applyFill="0" applyBorder="0" applyAlignment="0" applyProtection="0"/>
    <xf numFmtId="0" fontId="22"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4" fillId="20" borderId="0" applyFont="0" applyBorder="0" applyAlignment="0">
      <alignment horizontal="center" wrapText="1"/>
    </xf>
    <xf numFmtId="0" fontId="35" fillId="0" borderId="0"/>
    <xf numFmtId="43" fontId="1" fillId="0" borderId="0" applyFont="0" applyFill="0" applyBorder="0" applyAlignment="0" applyProtection="0"/>
    <xf numFmtId="44" fontId="35" fillId="0" borderId="0" applyFont="0" applyFill="0" applyBorder="0" applyAlignment="0" applyProtection="0"/>
    <xf numFmtId="0" fontId="12"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12"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12"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12"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20"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20"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0"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12" fillId="0" borderId="0"/>
    <xf numFmtId="0" fontId="35" fillId="0" borderId="0"/>
    <xf numFmtId="0" fontId="35" fillId="0" borderId="0"/>
    <xf numFmtId="43" fontId="35" fillId="0" borderId="0" applyFont="0" applyFill="0" applyBorder="0" applyAlignment="0" applyProtection="0"/>
    <xf numFmtId="0" fontId="35" fillId="0" borderId="0"/>
    <xf numFmtId="43" fontId="36"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12" fillId="0" borderId="0"/>
    <xf numFmtId="0" fontId="35" fillId="0" borderId="0"/>
    <xf numFmtId="0" fontId="35" fillId="0" borderId="0"/>
    <xf numFmtId="43" fontId="1" fillId="0" borderId="0" applyFont="0" applyFill="0" applyBorder="0" applyAlignment="0" applyProtection="0"/>
    <xf numFmtId="0" fontId="35" fillId="0" borderId="0"/>
    <xf numFmtId="0" fontId="20"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20"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12" fillId="0" borderId="0"/>
    <xf numFmtId="43"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12"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12" fillId="0" borderId="0"/>
    <xf numFmtId="0" fontId="35" fillId="0" borderId="0"/>
    <xf numFmtId="0" fontId="35" fillId="0" borderId="0"/>
    <xf numFmtId="0" fontId="12"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43" fontId="35" fillId="0" borderId="0" applyFont="0" applyFill="0" applyBorder="0" applyAlignment="0" applyProtection="0"/>
    <xf numFmtId="0" fontId="35" fillId="0" borderId="0"/>
    <xf numFmtId="0" fontId="20" fillId="0" borderId="0"/>
    <xf numFmtId="0" fontId="35" fillId="0" borderId="0"/>
    <xf numFmtId="0" fontId="35" fillId="0" borderId="0"/>
    <xf numFmtId="0" fontId="35" fillId="0" borderId="0"/>
    <xf numFmtId="0" fontId="20" fillId="0" borderId="0"/>
    <xf numFmtId="44" fontId="1" fillId="0" borderId="0" applyFont="0" applyFill="0" applyBorder="0" applyAlignment="0" applyProtection="0"/>
    <xf numFmtId="44"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0" fillId="0" borderId="0"/>
    <xf numFmtId="0" fontId="35" fillId="0" borderId="0"/>
    <xf numFmtId="0" fontId="35" fillId="0" borderId="0"/>
    <xf numFmtId="0" fontId="35" fillId="0" borderId="0"/>
    <xf numFmtId="0" fontId="35" fillId="0" borderId="0"/>
    <xf numFmtId="0" fontId="22"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20" fillId="0" borderId="0"/>
    <xf numFmtId="0" fontId="35" fillId="0" borderId="0"/>
    <xf numFmtId="0" fontId="35" fillId="0" borderId="0"/>
    <xf numFmtId="0" fontId="12"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12"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8" fillId="8" borderId="0" applyNumberFormat="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8" fillId="13" borderId="0" applyNumberFormat="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12" fillId="0" borderId="0"/>
    <xf numFmtId="43"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12"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12" fillId="0" borderId="0"/>
    <xf numFmtId="0" fontId="35" fillId="0" borderId="0"/>
    <xf numFmtId="44" fontId="35" fillId="0" borderId="0" applyFont="0" applyFill="0" applyBorder="0" applyAlignment="0" applyProtection="0"/>
    <xf numFmtId="0" fontId="35" fillId="0" borderId="0"/>
    <xf numFmtId="0" fontId="35" fillId="0" borderId="0"/>
    <xf numFmtId="0" fontId="20"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4" fontId="35" fillId="0" borderId="0" applyFont="0" applyFill="0" applyBorder="0" applyAlignment="0" applyProtection="0"/>
    <xf numFmtId="0" fontId="35" fillId="0" borderId="0"/>
    <xf numFmtId="44" fontId="35" fillId="0" borderId="0" applyFont="0" applyFill="0" applyBorder="0" applyAlignment="0" applyProtection="0"/>
    <xf numFmtId="43" fontId="35" fillId="0" borderId="0" applyFont="0" applyFill="0" applyBorder="0" applyAlignment="0" applyProtection="0"/>
    <xf numFmtId="0" fontId="12" fillId="0" borderId="0"/>
    <xf numFmtId="43"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 fillId="0" borderId="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0" fontId="35" fillId="0" borderId="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 fillId="0" borderId="0"/>
    <xf numFmtId="43"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22" fillId="0" borderId="0"/>
    <xf numFmtId="43"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8" fillId="4" borderId="0" applyNumberFormat="0" applyBorder="0" applyAlignment="0" applyProtection="0"/>
    <xf numFmtId="0" fontId="35" fillId="0" borderId="0"/>
    <xf numFmtId="0" fontId="20" fillId="0" borderId="0"/>
    <xf numFmtId="0" fontId="35" fillId="0" borderId="0"/>
    <xf numFmtId="0" fontId="35" fillId="0" borderId="0"/>
    <xf numFmtId="0" fontId="35" fillId="0" borderId="0"/>
    <xf numFmtId="0" fontId="35" fillId="0" borderId="0"/>
    <xf numFmtId="0" fontId="22"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8" fillId="8" borderId="0" applyNumberFormat="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4"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44"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22" fillId="0" borderId="0"/>
    <xf numFmtId="0" fontId="35" fillId="0" borderId="0"/>
    <xf numFmtId="43" fontId="36"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22" fillId="0" borderId="0"/>
    <xf numFmtId="0" fontId="22"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22"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 fillId="0" borderId="0"/>
    <xf numFmtId="44"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3"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12"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12"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20"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22"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12" fillId="0" borderId="0"/>
    <xf numFmtId="0" fontId="35" fillId="0" borderId="0"/>
    <xf numFmtId="0" fontId="35" fillId="0" borderId="0"/>
    <xf numFmtId="0" fontId="20"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12"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12"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22"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20"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4" fontId="33"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43"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0" fontId="35" fillId="0" borderId="0"/>
    <xf numFmtId="0" fontId="20"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12" fillId="0" borderId="0"/>
    <xf numFmtId="0" fontId="12" fillId="0" borderId="0"/>
    <xf numFmtId="43" fontId="35" fillId="0" borderId="0" applyFont="0" applyFill="0" applyBorder="0" applyAlignment="0" applyProtection="0"/>
    <xf numFmtId="0" fontId="8" fillId="7" borderId="0" applyNumberFormat="0" applyBorder="0" applyAlignment="0" applyProtection="0"/>
    <xf numFmtId="0" fontId="35" fillId="0" borderId="0"/>
    <xf numFmtId="0" fontId="8" fillId="11" borderId="0" applyNumberFormat="0" applyBorder="0" applyAlignment="0" applyProtection="0"/>
    <xf numFmtId="0" fontId="35" fillId="0" borderId="0"/>
    <xf numFmtId="0" fontId="20" fillId="0" borderId="0"/>
    <xf numFmtId="44" fontId="35" fillId="0" borderId="0" applyFont="0" applyFill="0" applyBorder="0" applyAlignment="0" applyProtection="0"/>
    <xf numFmtId="0" fontId="12" fillId="0" borderId="0"/>
    <xf numFmtId="44" fontId="35" fillId="0" borderId="0" applyFont="0" applyFill="0" applyBorder="0" applyAlignment="0" applyProtection="0"/>
    <xf numFmtId="43" fontId="35" fillId="0" borderId="0" applyFont="0" applyFill="0" applyBorder="0" applyAlignment="0" applyProtection="0"/>
    <xf numFmtId="0" fontId="22" fillId="0" borderId="0"/>
    <xf numFmtId="0" fontId="35" fillId="0" borderId="0"/>
    <xf numFmtId="0" fontId="35" fillId="0" borderId="0"/>
    <xf numFmtId="0" fontId="35" fillId="0" borderId="0"/>
    <xf numFmtId="0" fontId="35" fillId="0" borderId="0"/>
    <xf numFmtId="0" fontId="20" fillId="0" borderId="0"/>
    <xf numFmtId="43" fontId="1"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43" fontId="1"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22"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20" fillId="0" borderId="0"/>
    <xf numFmtId="43" fontId="35" fillId="0" borderId="0" applyFont="0" applyFill="0" applyBorder="0" applyAlignment="0" applyProtection="0"/>
    <xf numFmtId="0" fontId="35" fillId="0" borderId="0"/>
    <xf numFmtId="0" fontId="12" fillId="0" borderId="0"/>
    <xf numFmtId="0" fontId="12" fillId="0" borderId="0"/>
    <xf numFmtId="43" fontId="36"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8" fillId="7" borderId="0" applyNumberFormat="0" applyBorder="0" applyAlignment="0" applyProtection="0"/>
    <xf numFmtId="0" fontId="12" fillId="0" borderId="0"/>
    <xf numFmtId="0" fontId="40" fillId="20" borderId="0" applyFont="0" applyBorder="0" applyAlignment="0">
      <alignment horizontal="center" wrapText="1"/>
    </xf>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12" fillId="0" borderId="0"/>
    <xf numFmtId="44" fontId="1" fillId="0" borderId="0" applyFont="0" applyFill="0" applyBorder="0" applyAlignment="0" applyProtection="0"/>
    <xf numFmtId="44" fontId="1" fillId="0" borderId="0" applyFont="0" applyFill="0" applyBorder="0" applyAlignment="0" applyProtection="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2" fillId="0" borderId="0"/>
    <xf numFmtId="43" fontId="35" fillId="0" borderId="0" applyFont="0" applyFill="0" applyBorder="0" applyAlignment="0" applyProtection="0"/>
    <xf numFmtId="0" fontId="22" fillId="0" borderId="0"/>
    <xf numFmtId="0" fontId="20" fillId="0" borderId="0"/>
    <xf numFmtId="0" fontId="12" fillId="0" borderId="0"/>
    <xf numFmtId="0" fontId="12"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20"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12"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20" fillId="0" borderId="0"/>
    <xf numFmtId="0" fontId="35" fillId="0" borderId="0"/>
    <xf numFmtId="0" fontId="12" fillId="0" borderId="0"/>
    <xf numFmtId="0" fontId="35" fillId="0" borderId="0"/>
    <xf numFmtId="0" fontId="35" fillId="0" borderId="0"/>
    <xf numFmtId="0" fontId="35" fillId="0" borderId="0"/>
    <xf numFmtId="0" fontId="35" fillId="0" borderId="0"/>
    <xf numFmtId="0" fontId="20" fillId="0" borderId="0"/>
    <xf numFmtId="0" fontId="20" fillId="0" borderId="0"/>
    <xf numFmtId="0" fontId="35" fillId="0" borderId="0"/>
    <xf numFmtId="0" fontId="35" fillId="0" borderId="0"/>
    <xf numFmtId="0" fontId="35" fillId="0" borderId="0"/>
    <xf numFmtId="43" fontId="1" fillId="0" borderId="0" applyFont="0" applyFill="0" applyBorder="0" applyAlignment="0" applyProtection="0"/>
    <xf numFmtId="0" fontId="12" fillId="0" borderId="0"/>
    <xf numFmtId="43" fontId="35" fillId="0" borderId="0" applyFont="0" applyFill="0" applyBorder="0" applyAlignment="0" applyProtection="0"/>
    <xf numFmtId="0" fontId="20"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22" fillId="0" borderId="0"/>
    <xf numFmtId="0" fontId="12" fillId="0" borderId="0"/>
    <xf numFmtId="43" fontId="35" fillId="0" borderId="0" applyFont="0" applyFill="0" applyBorder="0" applyAlignment="0" applyProtection="0"/>
    <xf numFmtId="43" fontId="35" fillId="0" borderId="0" applyFont="0" applyFill="0" applyBorder="0" applyAlignment="0" applyProtection="0"/>
    <xf numFmtId="0" fontId="20"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12" fillId="0" borderId="0"/>
    <xf numFmtId="43" fontId="35" fillId="0" borderId="0" applyFont="0" applyFill="0" applyBorder="0" applyAlignment="0" applyProtection="0"/>
    <xf numFmtId="0" fontId="35" fillId="0" borderId="0"/>
    <xf numFmtId="0" fontId="35" fillId="0" borderId="0"/>
    <xf numFmtId="0" fontId="20"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43" fontId="36" fillId="0" borderId="0" applyFont="0" applyFill="0" applyBorder="0" applyAlignment="0" applyProtection="0"/>
    <xf numFmtId="43"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43" fontId="35" fillId="0" borderId="0" applyFont="0" applyFill="0" applyBorder="0" applyAlignment="0" applyProtection="0"/>
    <xf numFmtId="0" fontId="20" fillId="0" borderId="0"/>
    <xf numFmtId="0" fontId="22" fillId="0" borderId="0"/>
    <xf numFmtId="44" fontId="36" fillId="0" borderId="0" applyFont="0" applyFill="0" applyBorder="0" applyAlignment="0" applyProtection="0"/>
    <xf numFmtId="43" fontId="35" fillId="0" borderId="0" applyFont="0" applyFill="0" applyBorder="0" applyAlignment="0" applyProtection="0"/>
    <xf numFmtId="0" fontId="20" fillId="0" borderId="0"/>
    <xf numFmtId="0" fontId="12" fillId="0" borderId="0"/>
    <xf numFmtId="0" fontId="35" fillId="0" borderId="0"/>
    <xf numFmtId="0" fontId="35"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44" fontId="35" fillId="0" borderId="0" applyFont="0" applyFill="0" applyBorder="0" applyAlignment="0" applyProtection="0"/>
    <xf numFmtId="43" fontId="35" fillId="0" borderId="0" applyFont="0" applyFill="0" applyBorder="0" applyAlignment="0" applyProtection="0"/>
    <xf numFmtId="0" fontId="12" fillId="0" borderId="0"/>
    <xf numFmtId="0" fontId="20" fillId="0" borderId="0"/>
    <xf numFmtId="0" fontId="35" fillId="0" borderId="0"/>
    <xf numFmtId="44" fontId="1"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0" fontId="40" fillId="20" borderId="0" applyFont="0" applyBorder="0" applyAlignment="0">
      <alignment horizontal="center" wrapText="1"/>
    </xf>
    <xf numFmtId="0" fontId="22" fillId="0" borderId="0"/>
    <xf numFmtId="0" fontId="12" fillId="0" borderId="0"/>
    <xf numFmtId="43" fontId="1" fillId="0" borderId="0" applyFont="0" applyFill="0" applyBorder="0" applyAlignment="0" applyProtection="0"/>
    <xf numFmtId="0" fontId="35" fillId="0" borderId="0"/>
    <xf numFmtId="0" fontId="12"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20" fillId="0" borderId="0"/>
    <xf numFmtId="0" fontId="12" fillId="0" borderId="0"/>
    <xf numFmtId="0" fontId="35" fillId="0" borderId="0"/>
    <xf numFmtId="0" fontId="34" fillId="20" borderId="0" applyFont="0" applyBorder="0" applyAlignment="0">
      <alignment horizontal="center" wrapText="1"/>
    </xf>
    <xf numFmtId="0" fontId="35" fillId="0" borderId="0"/>
    <xf numFmtId="0" fontId="35" fillId="0" borderId="0"/>
    <xf numFmtId="0" fontId="12" fillId="0" borderId="0"/>
    <xf numFmtId="43" fontId="1" fillId="0" borderId="0" applyFont="0" applyFill="0" applyBorder="0" applyAlignment="0" applyProtection="0"/>
    <xf numFmtId="43" fontId="1" fillId="0" borderId="0" applyFont="0" applyFill="0" applyBorder="0" applyAlignment="0" applyProtection="0"/>
    <xf numFmtId="0" fontId="20" fillId="0" borderId="0"/>
    <xf numFmtId="0" fontId="35" fillId="0" borderId="0"/>
    <xf numFmtId="0" fontId="35" fillId="0" borderId="0"/>
    <xf numFmtId="0" fontId="35" fillId="0" borderId="0"/>
    <xf numFmtId="43" fontId="33" fillId="0" borderId="0" applyFont="0" applyFill="0" applyBorder="0" applyAlignment="0" applyProtection="0"/>
    <xf numFmtId="0" fontId="35" fillId="0" borderId="0"/>
    <xf numFmtId="0" fontId="12" fillId="0" borderId="0"/>
    <xf numFmtId="44" fontId="1" fillId="0" borderId="0" applyFont="0" applyFill="0" applyBorder="0" applyAlignment="0" applyProtection="0"/>
    <xf numFmtId="0" fontId="12" fillId="0" borderId="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22"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12" fillId="0" borderId="0"/>
    <xf numFmtId="0" fontId="12" fillId="0" borderId="0"/>
    <xf numFmtId="0" fontId="20" fillId="0" borderId="0"/>
    <xf numFmtId="0" fontId="35" fillId="0" borderId="0"/>
    <xf numFmtId="0" fontId="20" fillId="0" borderId="0"/>
    <xf numFmtId="0" fontId="12" fillId="0" borderId="0"/>
    <xf numFmtId="0" fontId="35" fillId="0" borderId="0"/>
    <xf numFmtId="0" fontId="35" fillId="0" borderId="0"/>
    <xf numFmtId="44" fontId="35" fillId="0" borderId="0" applyFont="0" applyFill="0" applyBorder="0" applyAlignment="0" applyProtection="0"/>
    <xf numFmtId="43" fontId="35" fillId="0" borderId="0" applyFont="0" applyFill="0" applyBorder="0" applyAlignment="0" applyProtection="0"/>
    <xf numFmtId="0" fontId="12" fillId="0" borderId="0"/>
    <xf numFmtId="0" fontId="20" fillId="0" borderId="0"/>
    <xf numFmtId="43" fontId="35" fillId="0" borderId="0" applyFont="0" applyFill="0" applyBorder="0" applyAlignment="0" applyProtection="0"/>
    <xf numFmtId="0" fontId="35" fillId="0" borderId="0"/>
    <xf numFmtId="0" fontId="35" fillId="0" borderId="0"/>
    <xf numFmtId="0" fontId="12" fillId="0" borderId="0"/>
    <xf numFmtId="0" fontId="35" fillId="0" borderId="0"/>
    <xf numFmtId="0" fontId="35" fillId="0" borderId="0"/>
    <xf numFmtId="43" fontId="1"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44"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9"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43" fontId="35" fillId="0" borderId="0" applyFont="0" applyFill="0" applyBorder="0" applyAlignment="0" applyProtection="0"/>
    <xf numFmtId="9"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0" fontId="20" fillId="0" borderId="0"/>
    <xf numFmtId="0" fontId="35" fillId="0" borderId="0"/>
    <xf numFmtId="44" fontId="1" fillId="0" borderId="0" applyFont="0" applyFill="0" applyBorder="0" applyAlignment="0" applyProtection="0"/>
    <xf numFmtId="44"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9" fontId="1" fillId="0" borderId="0" applyFont="0" applyFill="0" applyBorder="0" applyAlignment="0" applyProtection="0"/>
    <xf numFmtId="0" fontId="20"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44" fontId="1" fillId="0" borderId="0" applyFont="0" applyFill="0" applyBorder="0" applyAlignment="0" applyProtection="0"/>
    <xf numFmtId="0" fontId="12"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44" fontId="35" fillId="0" borderId="0" applyFont="0" applyFill="0" applyBorder="0" applyAlignment="0" applyProtection="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44" fontId="1" fillId="0" borderId="0" applyFont="0" applyFill="0" applyBorder="0" applyAlignment="0" applyProtection="0"/>
    <xf numFmtId="43" fontId="35" fillId="0" borderId="0" applyFont="0" applyFill="0" applyBorder="0" applyAlignment="0" applyProtection="0"/>
    <xf numFmtId="0" fontId="35" fillId="0" borderId="0"/>
    <xf numFmtId="44" fontId="35" fillId="0" borderId="0" applyFont="0" applyFill="0" applyBorder="0" applyAlignment="0" applyProtection="0"/>
    <xf numFmtId="43" fontId="35"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0" fontId="35" fillId="0" borderId="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33"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4" fontId="1" fillId="0" borderId="0" applyFont="0" applyFill="0" applyBorder="0" applyAlignment="0" applyProtection="0"/>
    <xf numFmtId="43"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44"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0" fontId="22" fillId="0" borderId="0"/>
    <xf numFmtId="0" fontId="12" fillId="0" borderId="0"/>
    <xf numFmtId="43"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3"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43" fontId="1" fillId="0" borderId="0" applyFont="0" applyFill="0" applyBorder="0" applyAlignment="0" applyProtection="0"/>
    <xf numFmtId="0" fontId="35"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3"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3" fontId="35"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44"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0" fillId="0" borderId="0"/>
    <xf numFmtId="44"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20" fillId="0" borderId="0"/>
    <xf numFmtId="44"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22"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0" fontId="35" fillId="0" borderId="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3" fontId="35" fillId="0" borderId="0" applyFont="0" applyFill="0" applyBorder="0" applyAlignment="0" applyProtection="0"/>
    <xf numFmtId="44"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44" fontId="1" fillId="0" borderId="0" applyFont="0" applyFill="0" applyBorder="0" applyAlignment="0" applyProtection="0"/>
    <xf numFmtId="43" fontId="1" fillId="0" borderId="0" applyFont="0" applyFill="0" applyBorder="0" applyAlignment="0" applyProtection="0"/>
    <xf numFmtId="0" fontId="35" fillId="0" borderId="0"/>
    <xf numFmtId="44" fontId="1" fillId="0" borderId="0" applyFont="0" applyFill="0" applyBorder="0" applyAlignment="0" applyProtection="0"/>
    <xf numFmtId="44" fontId="35"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5"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0" fontId="20" fillId="0" borderId="0"/>
    <xf numFmtId="43" fontId="35" fillId="0" borderId="0" applyFont="0" applyFill="0" applyBorder="0" applyAlignment="0" applyProtection="0"/>
    <xf numFmtId="0" fontId="12"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22"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1" fillId="0" borderId="0" applyFont="0" applyFill="0" applyBorder="0" applyAlignment="0" applyProtection="0"/>
    <xf numFmtId="0" fontId="20" fillId="0" borderId="0"/>
    <xf numFmtId="44"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44" fontId="1" fillId="0" borderId="0" applyFont="0" applyFill="0" applyBorder="0" applyAlignment="0" applyProtection="0"/>
    <xf numFmtId="0" fontId="35" fillId="0" borderId="0"/>
    <xf numFmtId="44"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1" fillId="0" borderId="0" applyFont="0" applyFill="0" applyBorder="0" applyAlignment="0" applyProtection="0"/>
    <xf numFmtId="43" fontId="35" fillId="0" borderId="0" applyFont="0" applyFill="0" applyBorder="0" applyAlignment="0" applyProtection="0"/>
    <xf numFmtId="0" fontId="35" fillId="0" borderId="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20" fillId="0" borderId="0"/>
    <xf numFmtId="43" fontId="1"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0" fontId="35" fillId="0" borderId="0"/>
    <xf numFmtId="44" fontId="1" fillId="0" borderId="0" applyFont="0" applyFill="0" applyBorder="0" applyAlignment="0" applyProtection="0"/>
    <xf numFmtId="43" fontId="36"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43"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22"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3"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3" fontId="33"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3"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22"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3" fontId="1"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44"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43"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35" fillId="0" borderId="0"/>
    <xf numFmtId="44" fontId="1"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9"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9"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4" fontId="33"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3" fontId="1"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44" fontId="35"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4" fontId="1"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3"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1" fillId="0" borderId="0" applyFont="0" applyFill="0" applyBorder="0" applyAlignment="0" applyProtection="0"/>
    <xf numFmtId="0" fontId="35" fillId="0" borderId="0"/>
    <xf numFmtId="44" fontId="35" fillId="0" borderId="0" applyFont="0" applyFill="0" applyBorder="0" applyAlignment="0" applyProtection="0"/>
    <xf numFmtId="43" fontId="35"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43"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22"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44" fontId="1" fillId="0" borderId="0" applyFont="0" applyFill="0" applyBorder="0" applyAlignment="0" applyProtection="0"/>
    <xf numFmtId="44" fontId="1" fillId="0" borderId="0" applyFont="0" applyFill="0" applyBorder="0" applyAlignment="0" applyProtection="0"/>
    <xf numFmtId="0" fontId="35" fillId="0" borderId="0"/>
    <xf numFmtId="44" fontId="1" fillId="0" borderId="0" applyFont="0" applyFill="0" applyBorder="0" applyAlignment="0" applyProtection="0"/>
    <xf numFmtId="44" fontId="35" fillId="0" borderId="0" applyFont="0" applyFill="0" applyBorder="0" applyAlignment="0" applyProtection="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4" fontId="1"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1"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44"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20" fillId="0" borderId="0"/>
    <xf numFmtId="0" fontId="12" fillId="0" borderId="0"/>
    <xf numFmtId="0" fontId="12" fillId="0" borderId="0"/>
    <xf numFmtId="0" fontId="20" fillId="0" borderId="0"/>
    <xf numFmtId="0" fontId="12" fillId="0" borderId="0"/>
    <xf numFmtId="0" fontId="12" fillId="0" borderId="0"/>
    <xf numFmtId="0" fontId="22"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4"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44" fontId="1" fillId="0" borderId="0" applyFont="0" applyFill="0" applyBorder="0" applyAlignment="0" applyProtection="0"/>
    <xf numFmtId="44" fontId="1" fillId="0" borderId="0" applyFont="0" applyFill="0" applyBorder="0" applyAlignment="0" applyProtection="0"/>
    <xf numFmtId="0" fontId="22"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0" fontId="22" fillId="0" borderId="0"/>
    <xf numFmtId="43"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22" fillId="0" borderId="0"/>
    <xf numFmtId="0" fontId="35" fillId="0" borderId="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43" fontId="1" fillId="0" borderId="0" applyFont="0" applyFill="0" applyBorder="0" applyAlignment="0" applyProtection="0"/>
    <xf numFmtId="44" fontId="35"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44" fontId="1" fillId="0" borderId="0" applyFont="0" applyFill="0" applyBorder="0" applyAlignment="0" applyProtection="0"/>
    <xf numFmtId="0" fontId="35" fillId="0" borderId="0"/>
    <xf numFmtId="43" fontId="35" fillId="0" borderId="0" applyFont="0" applyFill="0" applyBorder="0" applyAlignment="0" applyProtection="0"/>
    <xf numFmtId="43"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44"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20"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20"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44" fontId="1" fillId="0" borderId="0" applyFont="0" applyFill="0" applyBorder="0" applyAlignment="0" applyProtection="0"/>
    <xf numFmtId="0" fontId="22" fillId="0" borderId="0"/>
    <xf numFmtId="44"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44"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43" fontId="1" fillId="0" borderId="0" applyFont="0" applyFill="0" applyBorder="0" applyAlignment="0" applyProtection="0"/>
    <xf numFmtId="44" fontId="1"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44" fontId="1" fillId="0" borderId="0" applyFont="0" applyFill="0" applyBorder="0" applyAlignment="0" applyProtection="0"/>
    <xf numFmtId="44" fontId="35" fillId="0" borderId="0" applyFont="0" applyFill="0" applyBorder="0" applyAlignment="0" applyProtection="0"/>
    <xf numFmtId="43" fontId="1" fillId="0" borderId="0" applyFont="0" applyFill="0" applyBorder="0" applyAlignment="0" applyProtection="0"/>
    <xf numFmtId="0" fontId="35" fillId="0" borderId="0"/>
    <xf numFmtId="44"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3" fontId="33"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4" fontId="1" fillId="0" borderId="0" applyFont="0" applyFill="0" applyBorder="0" applyAlignment="0" applyProtection="0"/>
    <xf numFmtId="43" fontId="1" fillId="0" borderId="0" applyFont="0" applyFill="0" applyBorder="0" applyAlignment="0" applyProtection="0"/>
    <xf numFmtId="0" fontId="35" fillId="0" borderId="0"/>
    <xf numFmtId="43" fontId="1" fillId="0" borderId="0" applyFont="0" applyFill="0" applyBorder="0" applyAlignment="0" applyProtection="0"/>
    <xf numFmtId="43"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44" fontId="1"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43" fontId="1" fillId="0" borderId="0" applyFont="0" applyFill="0" applyBorder="0" applyAlignment="0" applyProtection="0"/>
    <xf numFmtId="44"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4"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33"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43" fontId="33" fillId="0" borderId="0" applyFont="0" applyFill="0" applyBorder="0" applyAlignment="0" applyProtection="0"/>
    <xf numFmtId="44"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1" fillId="0" borderId="0" applyFont="0" applyFill="0" applyBorder="0" applyAlignment="0" applyProtection="0"/>
    <xf numFmtId="43"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4" fontId="1" fillId="0" borderId="0" applyFont="0" applyFill="0" applyBorder="0" applyAlignment="0" applyProtection="0"/>
    <xf numFmtId="44"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44"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5" fillId="0" borderId="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9"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22"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33"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44"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44" fontId="1" fillId="0" borderId="0" applyFont="0" applyFill="0" applyBorder="0" applyAlignment="0" applyProtection="0"/>
    <xf numFmtId="0" fontId="35" fillId="0" borderId="0"/>
    <xf numFmtId="43" fontId="35" fillId="0" borderId="0" applyFont="0" applyFill="0" applyBorder="0" applyAlignment="0" applyProtection="0"/>
    <xf numFmtId="44"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12" fillId="0" borderId="0"/>
    <xf numFmtId="43"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4" fontId="1" fillId="0" borderId="0" applyFont="0" applyFill="0" applyBorder="0" applyAlignment="0" applyProtection="0"/>
    <xf numFmtId="0" fontId="35"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43" fontId="35"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5" fillId="0" borderId="0"/>
    <xf numFmtId="44" fontId="1" fillId="0" borderId="0" applyFont="0" applyFill="0" applyBorder="0" applyAlignment="0" applyProtection="0"/>
    <xf numFmtId="44" fontId="35"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9"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22" fillId="0" borderId="0"/>
    <xf numFmtId="0" fontId="35"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3" fontId="3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5" fillId="0" borderId="0"/>
    <xf numFmtId="44" fontId="35"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3" fontId="1" fillId="0" borderId="0" applyFont="0" applyFill="0" applyBorder="0" applyAlignment="0" applyProtection="0"/>
    <xf numFmtId="0" fontId="35" fillId="0" borderId="0"/>
    <xf numFmtId="44" fontId="1"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44" fontId="35" fillId="0" borderId="0" applyFont="0" applyFill="0" applyBorder="0" applyAlignment="0" applyProtection="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44"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43" fontId="35" fillId="0" borderId="0" applyFont="0" applyFill="0" applyBorder="0" applyAlignment="0" applyProtection="0"/>
    <xf numFmtId="0" fontId="20" fillId="0" borderId="0"/>
    <xf numFmtId="44"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0" fontId="35" fillId="0" borderId="0"/>
    <xf numFmtId="44"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0" fontId="35" fillId="0" borderId="0"/>
    <xf numFmtId="44" fontId="1"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20" fillId="0" borderId="0"/>
    <xf numFmtId="0" fontId="35" fillId="0" borderId="0"/>
    <xf numFmtId="43" fontId="35"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43" fontId="33" fillId="0" borderId="0" applyFont="0" applyFill="0" applyBorder="0" applyAlignment="0" applyProtection="0"/>
    <xf numFmtId="44" fontId="35" fillId="0" borderId="0" applyFont="0" applyFill="0" applyBorder="0" applyAlignment="0" applyProtection="0"/>
    <xf numFmtId="0" fontId="35" fillId="0" borderId="0"/>
    <xf numFmtId="43" fontId="35" fillId="0" borderId="0" applyFont="0" applyFill="0" applyBorder="0" applyAlignment="0" applyProtection="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3" fontId="1"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44" fontId="1" fillId="0" borderId="0" applyFont="0" applyFill="0" applyBorder="0" applyAlignment="0" applyProtection="0"/>
    <xf numFmtId="0" fontId="35" fillId="0" borderId="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43" fontId="35" fillId="0" borderId="0" applyFont="0" applyFill="0" applyBorder="0" applyAlignment="0" applyProtection="0"/>
    <xf numFmtId="43" fontId="1" fillId="0" borderId="0" applyFont="0" applyFill="0" applyBorder="0" applyAlignment="0" applyProtection="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44" fontId="1" fillId="0" borderId="0" applyFont="0" applyFill="0" applyBorder="0" applyAlignment="0" applyProtection="0"/>
    <xf numFmtId="43" fontId="1" fillId="0" borderId="0" applyFont="0" applyFill="0" applyBorder="0" applyAlignment="0" applyProtection="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35" fillId="0" borderId="0" applyFont="0" applyFill="0" applyBorder="0" applyAlignment="0" applyProtection="0"/>
    <xf numFmtId="0" fontId="35" fillId="0" borderId="0"/>
    <xf numFmtId="43" fontId="33"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43" fontId="35" fillId="0" borderId="0" applyFont="0" applyFill="0" applyBorder="0" applyAlignment="0" applyProtection="0"/>
    <xf numFmtId="44"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0" fontId="35" fillId="0" borderId="0"/>
    <xf numFmtId="44"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3" fontId="1" fillId="0" borderId="0" applyFont="0" applyFill="0" applyBorder="0" applyAlignment="0" applyProtection="0"/>
    <xf numFmtId="0" fontId="35" fillId="0" borderId="0"/>
    <xf numFmtId="44"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3"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4"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1"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43" borderId="54" applyNumberFormat="0" applyFont="0" applyAlignment="0" applyProtection="0"/>
    <xf numFmtId="0" fontId="99" fillId="0" borderId="0" applyNumberFormat="0" applyFill="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8" borderId="0" applyNumberFormat="0" applyBorder="0" applyAlignment="0" applyProtection="0"/>
    <xf numFmtId="0" fontId="35" fillId="59" borderId="0" applyNumberFormat="0" applyBorder="0" applyAlignment="0" applyProtection="0"/>
    <xf numFmtId="0" fontId="35" fillId="61" borderId="0" applyNumberFormat="0" applyBorder="0" applyAlignment="0" applyProtection="0"/>
    <xf numFmtId="0" fontId="35" fillId="62" borderId="0" applyNumberFormat="0" applyBorder="0" applyAlignment="0" applyProtection="0"/>
    <xf numFmtId="0" fontId="35" fillId="64" borderId="0" applyNumberFormat="0" applyBorder="0" applyAlignment="0" applyProtection="0"/>
    <xf numFmtId="0" fontId="35" fillId="65" borderId="0" applyNumberFormat="0" applyBorder="0" applyAlignment="0" applyProtection="0"/>
    <xf numFmtId="0" fontId="35" fillId="67" borderId="0" applyNumberFormat="0" applyBorder="0" applyAlignment="0" applyProtection="0"/>
    <xf numFmtId="0" fontId="35" fillId="68" borderId="0" applyNumberFormat="0" applyBorder="0" applyAlignment="0" applyProtection="0"/>
    <xf numFmtId="0" fontId="35" fillId="70" borderId="0" applyNumberFormat="0" applyBorder="0" applyAlignment="0" applyProtection="0"/>
    <xf numFmtId="0" fontId="35" fillId="71" borderId="0" applyNumberFormat="0" applyBorder="0" applyAlignment="0" applyProtection="0"/>
    <xf numFmtId="0" fontId="36" fillId="55" borderId="0" applyNumberFormat="0" applyBorder="0" applyAlignment="0" applyProtection="0"/>
    <xf numFmtId="0" fontId="36" fillId="58" borderId="0" applyNumberFormat="0" applyBorder="0" applyAlignment="0" applyProtection="0"/>
    <xf numFmtId="0" fontId="36" fillId="61" borderId="0" applyNumberFormat="0" applyBorder="0" applyAlignment="0" applyProtection="0"/>
    <xf numFmtId="0" fontId="36" fillId="64" borderId="0" applyNumberFormat="0" applyBorder="0" applyAlignment="0" applyProtection="0"/>
    <xf numFmtId="0" fontId="36" fillId="67" borderId="0" applyNumberFormat="0" applyBorder="0" applyAlignment="0" applyProtection="0"/>
    <xf numFmtId="0" fontId="36" fillId="70" borderId="0" applyNumberFormat="0" applyBorder="0" applyAlignment="0" applyProtection="0"/>
    <xf numFmtId="0" fontId="36" fillId="56" borderId="0" applyNumberFormat="0" applyBorder="0" applyAlignment="0" applyProtection="0"/>
    <xf numFmtId="0" fontId="36" fillId="59" borderId="0" applyNumberFormat="0" applyBorder="0" applyAlignment="0" applyProtection="0"/>
    <xf numFmtId="0" fontId="36" fillId="62" borderId="0" applyNumberFormat="0" applyBorder="0" applyAlignment="0" applyProtection="0"/>
    <xf numFmtId="0" fontId="36" fillId="65" borderId="0" applyNumberFormat="0" applyBorder="0" applyAlignment="0" applyProtection="0"/>
    <xf numFmtId="0" fontId="36" fillId="68" borderId="0" applyNumberFormat="0" applyBorder="0" applyAlignment="0" applyProtection="0"/>
    <xf numFmtId="0" fontId="36" fillId="71" borderId="0" applyNumberFormat="0" applyBorder="0" applyAlignment="0" applyProtection="0"/>
    <xf numFmtId="0" fontId="86" fillId="57" borderId="0" applyNumberFormat="0" applyBorder="0" applyAlignment="0" applyProtection="0"/>
    <xf numFmtId="0" fontId="100" fillId="57" borderId="0" applyNumberFormat="0" applyBorder="0" applyAlignment="0" applyProtection="0"/>
    <xf numFmtId="0" fontId="86" fillId="60" borderId="0" applyNumberFormat="0" applyBorder="0" applyAlignment="0" applyProtection="0"/>
    <xf numFmtId="0" fontId="100" fillId="60" borderId="0" applyNumberFormat="0" applyBorder="0" applyAlignment="0" applyProtection="0"/>
    <xf numFmtId="0" fontId="86" fillId="63" borderId="0" applyNumberFormat="0" applyBorder="0" applyAlignment="0" applyProtection="0"/>
    <xf numFmtId="0" fontId="100" fillId="63" borderId="0" applyNumberFormat="0" applyBorder="0" applyAlignment="0" applyProtection="0"/>
    <xf numFmtId="0" fontId="86" fillId="66" borderId="0" applyNumberFormat="0" applyBorder="0" applyAlignment="0" applyProtection="0"/>
    <xf numFmtId="0" fontId="100" fillId="66" borderId="0" applyNumberFormat="0" applyBorder="0" applyAlignment="0" applyProtection="0"/>
    <xf numFmtId="0" fontId="86" fillId="69" borderId="0" applyNumberFormat="0" applyBorder="0" applyAlignment="0" applyProtection="0"/>
    <xf numFmtId="0" fontId="100" fillId="69" borderId="0" applyNumberFormat="0" applyBorder="0" applyAlignment="0" applyProtection="0"/>
    <xf numFmtId="0" fontId="86" fillId="72" borderId="0" applyNumberFormat="0" applyBorder="0" applyAlignment="0" applyProtection="0"/>
    <xf numFmtId="0" fontId="100" fillId="72" borderId="0" applyNumberFormat="0" applyBorder="0" applyAlignment="0" applyProtection="0"/>
    <xf numFmtId="0" fontId="100" fillId="44" borderId="0" applyNumberFormat="0" applyBorder="0" applyAlignment="0" applyProtection="0"/>
    <xf numFmtId="0" fontId="100" fillId="44" borderId="0" applyNumberFormat="0" applyBorder="0" applyAlignment="0" applyProtection="0"/>
    <xf numFmtId="0" fontId="100" fillId="45" borderId="0" applyNumberFormat="0" applyBorder="0" applyAlignment="0" applyProtection="0"/>
    <xf numFmtId="0" fontId="100" fillId="45" borderId="0" applyNumberFormat="0" applyBorder="0" applyAlignment="0" applyProtection="0"/>
    <xf numFmtId="0" fontId="100" fillId="46" borderId="0" applyNumberFormat="0" applyBorder="0" applyAlignment="0" applyProtection="0"/>
    <xf numFmtId="0" fontId="100" fillId="46" borderId="0" applyNumberFormat="0" applyBorder="0" applyAlignment="0" applyProtection="0"/>
    <xf numFmtId="0" fontId="100" fillId="47" borderId="0" applyNumberFormat="0" applyBorder="0" applyAlignment="0" applyProtection="0"/>
    <xf numFmtId="0" fontId="100" fillId="47" borderId="0" applyNumberFormat="0" applyBorder="0" applyAlignment="0" applyProtection="0"/>
    <xf numFmtId="0" fontId="100" fillId="48" borderId="0" applyNumberFormat="0" applyBorder="0" applyAlignment="0" applyProtection="0"/>
    <xf numFmtId="0" fontId="100" fillId="48" borderId="0" applyNumberFormat="0" applyBorder="0" applyAlignment="0" applyProtection="0"/>
    <xf numFmtId="0" fontId="100" fillId="49" borderId="0" applyNumberFormat="0" applyBorder="0" applyAlignment="0" applyProtection="0"/>
    <xf numFmtId="0" fontId="100" fillId="49" borderId="0" applyNumberFormat="0" applyBorder="0" applyAlignment="0" applyProtection="0"/>
    <xf numFmtId="0" fontId="101" fillId="38" borderId="0" applyNumberFormat="0" applyBorder="0" applyAlignment="0" applyProtection="0"/>
    <xf numFmtId="0" fontId="102" fillId="41" borderId="50" applyNumberFormat="0" applyAlignment="0" applyProtection="0"/>
    <xf numFmtId="0" fontId="103" fillId="42" borderId="53"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5" fillId="0" borderId="0" applyFont="0" applyFill="0" applyBorder="0" applyAlignment="0" applyProtection="0"/>
    <xf numFmtId="43" fontId="12" fillId="0" borderId="0" applyFont="0" applyFill="0" applyBorder="0" applyAlignment="0" applyProtection="0"/>
    <xf numFmtId="43" fontId="36" fillId="0" borderId="0" applyFont="0" applyFill="0" applyBorder="0" applyAlignment="0" applyProtection="0"/>
    <xf numFmtId="0" fontId="104" fillId="0" borderId="0" applyNumberFormat="0" applyFill="0" applyBorder="0" applyAlignment="0" applyProtection="0"/>
    <xf numFmtId="0" fontId="105" fillId="37" borderId="0" applyNumberFormat="0" applyBorder="0" applyAlignment="0" applyProtection="0"/>
    <xf numFmtId="0" fontId="106" fillId="0" borderId="47" applyNumberFormat="0" applyFill="0" applyAlignment="0" applyProtection="0"/>
    <xf numFmtId="0" fontId="107" fillId="0" borderId="48" applyNumberFormat="0" applyFill="0" applyAlignment="0" applyProtection="0"/>
    <xf numFmtId="0" fontId="16" fillId="0" borderId="58" applyNumberFormat="0" applyFill="0" applyAlignment="0" applyProtection="0"/>
    <xf numFmtId="0" fontId="16" fillId="0" borderId="58" applyNumberFormat="0" applyFill="0" applyAlignment="0" applyProtection="0"/>
    <xf numFmtId="0" fontId="108" fillId="0" borderId="49" applyNumberFormat="0" applyFill="0" applyAlignment="0" applyProtection="0"/>
    <xf numFmtId="0" fontId="108" fillId="0" borderId="0" applyNumberFormat="0" applyFill="0" applyBorder="0" applyAlignment="0" applyProtection="0"/>
    <xf numFmtId="0" fontId="109" fillId="40" borderId="50" applyNumberFormat="0" applyAlignment="0" applyProtection="0"/>
    <xf numFmtId="0" fontId="110" fillId="0" borderId="52" applyNumberFormat="0" applyFill="0" applyAlignment="0" applyProtection="0"/>
    <xf numFmtId="0" fontId="111" fillId="39" borderId="0" applyNumberFormat="0" applyBorder="0" applyAlignment="0" applyProtection="0"/>
    <xf numFmtId="0" fontId="6" fillId="0" borderId="0"/>
    <xf numFmtId="0" fontId="36" fillId="0" borderId="0"/>
    <xf numFmtId="0" fontId="36" fillId="0" borderId="0"/>
    <xf numFmtId="0" fontId="36" fillId="0" borderId="0"/>
    <xf numFmtId="0" fontId="36" fillId="0" borderId="0"/>
    <xf numFmtId="0" fontId="6" fillId="0" borderId="0"/>
    <xf numFmtId="0" fontId="6" fillId="0" borderId="0"/>
    <xf numFmtId="0" fontId="12" fillId="0" borderId="0"/>
    <xf numFmtId="0" fontId="20" fillId="0" borderId="0"/>
    <xf numFmtId="0" fontId="12" fillId="0" borderId="0"/>
    <xf numFmtId="0" fontId="36" fillId="0" borderId="0"/>
    <xf numFmtId="0" fontId="35" fillId="0" borderId="0"/>
    <xf numFmtId="0" fontId="12" fillId="0" borderId="0"/>
    <xf numFmtId="0" fontId="35" fillId="0" borderId="0"/>
    <xf numFmtId="0" fontId="12" fillId="0" borderId="0"/>
    <xf numFmtId="0" fontId="12" fillId="0" borderId="0"/>
    <xf numFmtId="0" fontId="12" fillId="0" borderId="0"/>
    <xf numFmtId="0" fontId="12" fillId="0" borderId="0"/>
    <xf numFmtId="0" fontId="12" fillId="0" borderId="0"/>
    <xf numFmtId="0" fontId="36" fillId="43" borderId="54" applyNumberFormat="0" applyFont="0" applyAlignment="0" applyProtection="0"/>
    <xf numFmtId="0" fontId="112" fillId="41" borderId="51" applyNumberFormat="0" applyAlignment="0" applyProtection="0"/>
    <xf numFmtId="9" fontId="6" fillId="0" borderId="0" applyFont="0" applyFill="0" applyBorder="0" applyAlignment="0" applyProtection="0"/>
    <xf numFmtId="0" fontId="113" fillId="0" borderId="0" applyNumberFormat="0" applyFill="0" applyBorder="0" applyAlignment="0" applyProtection="0"/>
    <xf numFmtId="0" fontId="114" fillId="0" borderId="55" applyNumberFormat="0" applyFill="0" applyAlignment="0" applyProtection="0"/>
    <xf numFmtId="0" fontId="115" fillId="0" borderId="0" applyNumberFormat="0" applyFill="0" applyBorder="0" applyAlignment="0" applyProtection="0"/>
    <xf numFmtId="0" fontId="118" fillId="0" borderId="0"/>
    <xf numFmtId="43" fontId="119" fillId="0" borderId="0" applyFont="0" applyFill="0" applyBorder="0" applyAlignment="0" applyProtection="0"/>
    <xf numFmtId="0" fontId="119"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6" fillId="0" borderId="0"/>
    <xf numFmtId="0" fontId="120" fillId="0" borderId="0" applyNumberFormat="0" applyFill="0" applyBorder="0" applyAlignment="0" applyProtection="0">
      <alignment vertical="top"/>
      <protection locked="0"/>
    </xf>
    <xf numFmtId="0" fontId="121" fillId="0" borderId="0" applyNumberFormat="0" applyFill="0" applyBorder="0" applyAlignment="0" applyProtection="0"/>
    <xf numFmtId="0" fontId="70" fillId="0" borderId="0"/>
    <xf numFmtId="0" fontId="70" fillId="0" borderId="0"/>
    <xf numFmtId="0" fontId="70" fillId="0" borderId="0"/>
    <xf numFmtId="0" fontId="71" fillId="0" borderId="0"/>
    <xf numFmtId="0" fontId="71" fillId="0" borderId="0"/>
    <xf numFmtId="0" fontId="71" fillId="0" borderId="0"/>
    <xf numFmtId="0" fontId="71" fillId="0" borderId="0"/>
    <xf numFmtId="0" fontId="71" fillId="0" borderId="0"/>
    <xf numFmtId="0" fontId="70" fillId="0" borderId="0"/>
    <xf numFmtId="0" fontId="71" fillId="0" borderId="0"/>
    <xf numFmtId="0" fontId="71" fillId="0" borderId="0"/>
    <xf numFmtId="0" fontId="71" fillId="0" borderId="0"/>
    <xf numFmtId="0" fontId="71" fillId="0" borderId="0"/>
    <xf numFmtId="0" fontId="71" fillId="0" borderId="0"/>
    <xf numFmtId="0" fontId="72" fillId="0" borderId="0"/>
    <xf numFmtId="0" fontId="72" fillId="0" borderId="0"/>
    <xf numFmtId="0" fontId="35" fillId="0" borderId="0"/>
    <xf numFmtId="43" fontId="35" fillId="0" borderId="0" applyFont="0" applyFill="0" applyBorder="0" applyAlignment="0" applyProtection="0"/>
    <xf numFmtId="0" fontId="35" fillId="0" borderId="0"/>
    <xf numFmtId="0" fontId="12" fillId="0" borderId="0"/>
    <xf numFmtId="0" fontId="12" fillId="0" borderId="0"/>
    <xf numFmtId="0" fontId="20" fillId="0" borderId="0"/>
    <xf numFmtId="0" fontId="12" fillId="0" borderId="0"/>
    <xf numFmtId="0" fontId="12" fillId="0" borderId="0"/>
    <xf numFmtId="0" fontId="12" fillId="0" borderId="0"/>
    <xf numFmtId="0" fontId="12" fillId="0" borderId="0"/>
    <xf numFmtId="0" fontId="22" fillId="0" borderId="0"/>
    <xf numFmtId="0" fontId="12" fillId="0" borderId="0"/>
    <xf numFmtId="0" fontId="20" fillId="0" borderId="0"/>
    <xf numFmtId="43" fontId="6" fillId="0" borderId="0" applyFont="0" applyFill="0" applyBorder="0" applyAlignment="0" applyProtection="0"/>
    <xf numFmtId="43" fontId="1" fillId="0" borderId="0" applyFont="0" applyFill="0" applyBorder="0" applyAlignment="0" applyProtection="0"/>
    <xf numFmtId="0" fontId="36" fillId="0" borderId="0"/>
    <xf numFmtId="0" fontId="12" fillId="0" borderId="0"/>
    <xf numFmtId="0" fontId="12" fillId="0" borderId="0"/>
    <xf numFmtId="0" fontId="35" fillId="0" borderId="0"/>
    <xf numFmtId="0" fontId="12" fillId="0" borderId="0"/>
    <xf numFmtId="0" fontId="20" fillId="0" borderId="0"/>
    <xf numFmtId="0" fontId="22" fillId="0" borderId="0"/>
    <xf numFmtId="0" fontId="12" fillId="0" borderId="0"/>
    <xf numFmtId="0" fontId="12" fillId="0" borderId="0"/>
    <xf numFmtId="0" fontId="20" fillId="0" borderId="0"/>
    <xf numFmtId="0" fontId="119" fillId="0" borderId="0"/>
    <xf numFmtId="0" fontId="12" fillId="0" borderId="0"/>
    <xf numFmtId="0" fontId="119" fillId="0" borderId="0"/>
    <xf numFmtId="0" fontId="20" fillId="0" borderId="0"/>
    <xf numFmtId="0" fontId="20"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2" fillId="0" borderId="0"/>
    <xf numFmtId="0" fontId="22" fillId="0" borderId="0"/>
    <xf numFmtId="43" fontId="35" fillId="0" borderId="0" applyFont="0" applyFill="0" applyBorder="0" applyAlignment="0" applyProtection="0"/>
    <xf numFmtId="9"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9" fontId="35" fillId="0" borderId="0" applyFont="0" applyFill="0" applyBorder="0" applyAlignment="0" applyProtection="0"/>
    <xf numFmtId="0" fontId="20" fillId="0" borderId="0"/>
    <xf numFmtId="0" fontId="22" fillId="0" borderId="0"/>
    <xf numFmtId="0" fontId="35" fillId="0" borderId="0"/>
    <xf numFmtId="43" fontId="35" fillId="0" borderId="0" applyFont="0" applyFill="0" applyBorder="0" applyAlignment="0" applyProtection="0"/>
    <xf numFmtId="0" fontId="20" fillId="0" borderId="0"/>
    <xf numFmtId="0" fontId="22" fillId="0" borderId="0"/>
    <xf numFmtId="43" fontId="35" fillId="0" borderId="0" applyFont="0" applyFill="0" applyBorder="0" applyAlignment="0" applyProtection="0"/>
    <xf numFmtId="44" fontId="3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9"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3" fontId="3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43" fontId="3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0" fillId="20" borderId="0" applyFont="0" applyBorder="0" applyAlignment="0">
      <alignment horizontal="center" wrapText="1"/>
    </xf>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22" fillId="0" borderId="0"/>
    <xf numFmtId="0" fontId="35" fillId="0" borderId="0"/>
    <xf numFmtId="44" fontId="35" fillId="0" borderId="0" applyFont="0" applyFill="0" applyBorder="0" applyAlignment="0" applyProtection="0"/>
    <xf numFmtId="0" fontId="35" fillId="0" borderId="0"/>
    <xf numFmtId="43" fontId="35" fillId="0" borderId="0" applyFont="0" applyFill="0" applyBorder="0" applyAlignment="0" applyProtection="0"/>
    <xf numFmtId="44" fontId="36" fillId="0" borderId="0" applyFont="0" applyFill="0" applyBorder="0" applyAlignment="0" applyProtection="0"/>
    <xf numFmtId="43" fontId="36" fillId="0" borderId="0" applyFont="0" applyFill="0" applyBorder="0" applyAlignment="0" applyProtection="0"/>
    <xf numFmtId="0" fontId="20" fillId="0" borderId="0"/>
    <xf numFmtId="43" fontId="36" fillId="0" borderId="0" applyFont="0" applyFill="0" applyBorder="0" applyAlignment="0" applyProtection="0"/>
    <xf numFmtId="43" fontId="36" fillId="0" borderId="0" applyFon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40" fillId="20" borderId="0" applyFont="0" applyBorder="0" applyAlignment="0">
      <alignment horizontal="center" wrapText="1"/>
    </xf>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12" fillId="0" borderId="0"/>
    <xf numFmtId="0" fontId="22" fillId="0" borderId="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9"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12" fillId="0" borderId="0"/>
    <xf numFmtId="43" fontId="1" fillId="0" borderId="0" applyFont="0" applyFill="0" applyBorder="0" applyAlignment="0" applyProtection="0"/>
    <xf numFmtId="43" fontId="1" fillId="0" borderId="0" applyFont="0" applyFill="0" applyBorder="0" applyAlignment="0" applyProtection="0"/>
    <xf numFmtId="0" fontId="22"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2" fillId="0" borderId="0"/>
    <xf numFmtId="43" fontId="1" fillId="0" borderId="0" applyFont="0" applyFill="0" applyBorder="0" applyAlignment="0" applyProtection="0"/>
    <xf numFmtId="44" fontId="1" fillId="0" borderId="0" applyFont="0" applyFill="0" applyBorder="0" applyAlignment="0" applyProtection="0"/>
    <xf numFmtId="0" fontId="20" fillId="0" borderId="0"/>
    <xf numFmtId="44" fontId="1" fillId="0" borderId="0" applyFont="0" applyFill="0" applyBorder="0" applyAlignment="0" applyProtection="0"/>
    <xf numFmtId="0" fontId="12" fillId="0" borderId="0"/>
    <xf numFmtId="0" fontId="20" fillId="0" borderId="0"/>
    <xf numFmtId="0" fontId="20" fillId="0" borderId="0"/>
    <xf numFmtId="0" fontId="35" fillId="0" borderId="0"/>
    <xf numFmtId="43" fontId="35" fillId="0" borderId="0" applyFont="0" applyFill="0" applyBorder="0" applyAlignment="0" applyProtection="0"/>
    <xf numFmtId="44" fontId="1" fillId="0" borderId="0" applyFont="0" applyFill="0" applyBorder="0" applyAlignment="0" applyProtection="0"/>
    <xf numFmtId="0" fontId="12" fillId="0" borderId="0"/>
    <xf numFmtId="0" fontId="12" fillId="0" borderId="0"/>
    <xf numFmtId="0" fontId="35" fillId="0" borderId="0"/>
    <xf numFmtId="0" fontId="35" fillId="0" borderId="0"/>
    <xf numFmtId="43" fontId="35" fillId="0" borderId="0" applyFont="0" applyFill="0" applyBorder="0" applyAlignment="0" applyProtection="0"/>
    <xf numFmtId="43" fontId="1" fillId="0" borderId="0" applyFont="0" applyFill="0" applyBorder="0" applyAlignment="0" applyProtection="0"/>
    <xf numFmtId="0" fontId="12" fillId="5" borderId="7" applyNumberFormat="0" applyFont="0" applyAlignment="0" applyProtection="0"/>
    <xf numFmtId="0" fontId="35" fillId="0" borderId="0"/>
    <xf numFmtId="0" fontId="130" fillId="0" borderId="0"/>
    <xf numFmtId="43" fontId="118" fillId="0" borderId="0" applyFont="0" applyFill="0" applyBorder="0" applyAlignment="0" applyProtection="0"/>
    <xf numFmtId="0" fontId="118" fillId="0" borderId="0"/>
    <xf numFmtId="0" fontId="156" fillId="0" borderId="0"/>
    <xf numFmtId="0" fontId="35" fillId="0" borderId="0"/>
    <xf numFmtId="0" fontId="156" fillId="0" borderId="0"/>
    <xf numFmtId="43" fontId="118" fillId="0" borderId="0" applyFont="0" applyFill="0" applyBorder="0" applyAlignment="0" applyProtection="0"/>
    <xf numFmtId="0" fontId="118" fillId="0" borderId="0"/>
    <xf numFmtId="0" fontId="118" fillId="0" borderId="0"/>
    <xf numFmtId="0" fontId="118" fillId="0" borderId="0"/>
    <xf numFmtId="0" fontId="159" fillId="0" borderId="0"/>
    <xf numFmtId="0" fontId="159" fillId="0" borderId="0"/>
    <xf numFmtId="0" fontId="160" fillId="0" borderId="0"/>
    <xf numFmtId="0" fontId="159" fillId="0" borderId="0"/>
    <xf numFmtId="0" fontId="156" fillId="0" borderId="0"/>
    <xf numFmtId="0" fontId="159" fillId="0" borderId="0"/>
    <xf numFmtId="0" fontId="156" fillId="0" borderId="0"/>
    <xf numFmtId="0" fontId="160"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59" fillId="0" borderId="0"/>
    <xf numFmtId="0" fontId="156" fillId="0" borderId="0"/>
    <xf numFmtId="0" fontId="156" fillId="0" borderId="0"/>
    <xf numFmtId="0" fontId="159" fillId="0" borderId="0"/>
    <xf numFmtId="0" fontId="156" fillId="0" borderId="0"/>
    <xf numFmtId="0" fontId="156" fillId="0" borderId="0"/>
    <xf numFmtId="0" fontId="160" fillId="0" borderId="0"/>
    <xf numFmtId="0" fontId="156" fillId="5" borderId="7" applyNumberFormat="0" applyFont="0" applyAlignment="0" applyProtection="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9"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56" fillId="0" borderId="0"/>
    <xf numFmtId="0" fontId="160"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6" fillId="0" borderId="0"/>
    <xf numFmtId="0" fontId="159" fillId="0" borderId="0"/>
    <xf numFmtId="0" fontId="159"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56" fillId="5" borderId="7" applyNumberFormat="0" applyFont="0" applyAlignment="0" applyProtection="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9"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60" fillId="0" borderId="0"/>
    <xf numFmtId="0" fontId="156" fillId="0" borderId="0"/>
    <xf numFmtId="0" fontId="160" fillId="0" borderId="0"/>
    <xf numFmtId="0" fontId="156" fillId="0" borderId="0"/>
    <xf numFmtId="0" fontId="160" fillId="0" borderId="0"/>
    <xf numFmtId="0" fontId="156" fillId="0" borderId="0"/>
    <xf numFmtId="0" fontId="161" fillId="0" borderId="0"/>
    <xf numFmtId="0" fontId="159" fillId="0" borderId="0"/>
    <xf numFmtId="0" fontId="159" fillId="0" borderId="0"/>
    <xf numFmtId="0" fontId="159" fillId="0" borderId="0"/>
    <xf numFmtId="0" fontId="156" fillId="0" borderId="0"/>
    <xf numFmtId="0" fontId="156" fillId="0" borderId="0"/>
    <xf numFmtId="0" fontId="156" fillId="0" borderId="0"/>
    <xf numFmtId="0" fontId="156" fillId="0" borderId="0"/>
    <xf numFmtId="0" fontId="156" fillId="0" borderId="0"/>
    <xf numFmtId="0" fontId="159" fillId="0" borderId="0"/>
    <xf numFmtId="0" fontId="156" fillId="0" borderId="0"/>
    <xf numFmtId="0" fontId="156" fillId="0" borderId="0"/>
    <xf numFmtId="0" fontId="156" fillId="0" borderId="0"/>
    <xf numFmtId="0" fontId="156" fillId="0" borderId="0"/>
    <xf numFmtId="0" fontId="156" fillId="0" borderId="0"/>
    <xf numFmtId="0" fontId="160" fillId="0" borderId="0"/>
    <xf numFmtId="0" fontId="160" fillId="0" borderId="0"/>
    <xf numFmtId="0" fontId="161" fillId="0" borderId="0"/>
    <xf numFmtId="0" fontId="159" fillId="0" borderId="0"/>
    <xf numFmtId="0" fontId="159" fillId="0" borderId="0"/>
    <xf numFmtId="0" fontId="159"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60" fillId="0" borderId="0"/>
    <xf numFmtId="0" fontId="160" fillId="0" borderId="0"/>
    <xf numFmtId="0" fontId="118" fillId="0" borderId="0"/>
    <xf numFmtId="0" fontId="20" fillId="0" borderId="0"/>
    <xf numFmtId="0" fontId="20"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2" fillId="0" borderId="0"/>
    <xf numFmtId="0" fontId="22" fillId="0" borderId="0"/>
    <xf numFmtId="0" fontId="161" fillId="0" borderId="0"/>
    <xf numFmtId="0" fontId="20" fillId="0" borderId="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9" fontId="36" fillId="0" borderId="0" applyFont="0" applyFill="0" applyBorder="0" applyAlignment="0" applyProtection="0"/>
    <xf numFmtId="0" fontId="40" fillId="20" borderId="0" applyFont="0" applyBorder="0" applyAlignment="0">
      <alignment horizontal="center" wrapText="1"/>
    </xf>
    <xf numFmtId="0" fontId="40" fillId="20" borderId="0" applyFont="0" applyBorder="0" applyAlignment="0">
      <alignment horizontal="center" wrapText="1"/>
    </xf>
    <xf numFmtId="0" fontId="22" fillId="0" borderId="0"/>
    <xf numFmtId="9" fontId="35" fillId="0" borderId="0" applyFont="0" applyFill="0" applyBorder="0" applyAlignment="0" applyProtection="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22" fillId="0" borderId="0"/>
    <xf numFmtId="0" fontId="22" fillId="0" borderId="0"/>
    <xf numFmtId="0" fontId="35" fillId="0" borderId="0"/>
    <xf numFmtId="0" fontId="12" fillId="0" borderId="0"/>
    <xf numFmtId="0" fontId="22" fillId="0" borderId="0"/>
    <xf numFmtId="0" fontId="22" fillId="0" borderId="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2" fillId="0" borderId="0"/>
    <xf numFmtId="0" fontId="20" fillId="0" borderId="0"/>
    <xf numFmtId="0" fontId="12" fillId="0" borderId="0"/>
    <xf numFmtId="9" fontId="33" fillId="0" borderId="0" applyFont="0" applyFill="0" applyBorder="0" applyAlignment="0" applyProtection="0"/>
    <xf numFmtId="0" fontId="34" fillId="20" borderId="0" applyFont="0" applyBorder="0" applyAlignment="0">
      <alignment horizontal="center" wrapText="1"/>
    </xf>
    <xf numFmtId="0" fontId="12" fillId="0" borderId="0"/>
    <xf numFmtId="0" fontId="20" fillId="0" borderId="0"/>
    <xf numFmtId="0" fontId="20" fillId="0" borderId="0"/>
    <xf numFmtId="0" fontId="12" fillId="0" borderId="0"/>
    <xf numFmtId="0" fontId="22" fillId="0" borderId="0"/>
    <xf numFmtId="0" fontId="20" fillId="0" borderId="0"/>
    <xf numFmtId="0" fontId="12" fillId="0" borderId="0"/>
    <xf numFmtId="0" fontId="12" fillId="0" borderId="0"/>
    <xf numFmtId="0" fontId="20" fillId="0" borderId="0"/>
    <xf numFmtId="0" fontId="12" fillId="0" borderId="0"/>
    <xf numFmtId="0" fontId="12" fillId="0" borderId="0"/>
    <xf numFmtId="0" fontId="2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0" fillId="0" borderId="0"/>
    <xf numFmtId="0" fontId="12" fillId="0" borderId="0"/>
    <xf numFmtId="0" fontId="12" fillId="0" borderId="0"/>
    <xf numFmtId="0" fontId="20" fillId="0" borderId="0"/>
    <xf numFmtId="0" fontId="20" fillId="0" borderId="0"/>
    <xf numFmtId="0" fontId="12" fillId="0" borderId="0"/>
    <xf numFmtId="0" fontId="12" fillId="0" borderId="0"/>
    <xf numFmtId="0" fontId="12" fillId="0" borderId="0"/>
    <xf numFmtId="0" fontId="22" fillId="0" borderId="0"/>
    <xf numFmtId="0" fontId="22" fillId="0" borderId="0"/>
    <xf numFmtId="44" fontId="35" fillId="0" borderId="0" applyFont="0" applyFill="0" applyBorder="0" applyAlignment="0" applyProtection="0"/>
    <xf numFmtId="43" fontId="35" fillId="0" borderId="0" applyFont="0" applyFill="0" applyBorder="0" applyAlignment="0" applyProtection="0"/>
    <xf numFmtId="0" fontId="12" fillId="5" borderId="7" applyNumberFormat="0" applyFont="0" applyAlignment="0" applyProtection="0"/>
    <xf numFmtId="43" fontId="1"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1"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12" fillId="0" borderId="0"/>
    <xf numFmtId="0" fontId="20" fillId="0" borderId="0"/>
    <xf numFmtId="0" fontId="22"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0" fillId="0" borderId="0"/>
    <xf numFmtId="0" fontId="20" fillId="0" borderId="0"/>
    <xf numFmtId="0" fontId="20" fillId="0" borderId="0"/>
    <xf numFmtId="0" fontId="22" fillId="0" borderId="0"/>
    <xf numFmtId="0" fontId="22" fillId="0" borderId="0"/>
    <xf numFmtId="0" fontId="12" fillId="0" borderId="0"/>
    <xf numFmtId="0" fontId="35" fillId="43" borderId="54" applyNumberFormat="0" applyFont="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43" borderId="54" applyNumberFormat="0" applyFont="0" applyAlignment="0" applyProtection="0"/>
    <xf numFmtId="0" fontId="20" fillId="0" borderId="0"/>
    <xf numFmtId="0" fontId="22" fillId="0" borderId="0"/>
    <xf numFmtId="0" fontId="36"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12"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35" fillId="0" borderId="0"/>
    <xf numFmtId="44" fontId="35" fillId="0" borderId="0" applyFont="0" applyFill="0" applyBorder="0" applyAlignment="0" applyProtection="0"/>
    <xf numFmtId="0" fontId="22" fillId="0" borderId="0"/>
    <xf numFmtId="43" fontId="36" fillId="0" borderId="0" applyFont="0" applyFill="0" applyBorder="0" applyAlignment="0" applyProtection="0"/>
    <xf numFmtId="0" fontId="22" fillId="0" borderId="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12" fillId="0" borderId="0"/>
    <xf numFmtId="43" fontId="35" fillId="0" borderId="0" applyFont="0" applyFill="0" applyBorder="0" applyAlignment="0" applyProtection="0"/>
    <xf numFmtId="44" fontId="35" fillId="0" borderId="0" applyFont="0" applyFill="0" applyBorder="0" applyAlignment="0" applyProtection="0"/>
    <xf numFmtId="0" fontId="20" fillId="0" borderId="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20" fillId="0" borderId="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0" fontId="22" fillId="0" borderId="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3" fontId="33"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3" fontId="35" fillId="0" borderId="0" applyFont="0" applyFill="0" applyBorder="0" applyAlignment="0" applyProtection="0"/>
    <xf numFmtId="43" fontId="12" fillId="0" borderId="0" applyFont="0" applyFill="0" applyBorder="0" applyAlignment="0" applyProtection="0"/>
    <xf numFmtId="43" fontId="35" fillId="0" borderId="0" applyFont="0" applyFill="0" applyBorder="0" applyAlignment="0" applyProtection="0"/>
    <xf numFmtId="0" fontId="12" fillId="0" borderId="0"/>
    <xf numFmtId="0" fontId="35" fillId="0" borderId="0"/>
    <xf numFmtId="0" fontId="12" fillId="0" borderId="0"/>
    <xf numFmtId="0" fontId="12" fillId="0" borderId="0"/>
    <xf numFmtId="0" fontId="36" fillId="43" borderId="54" applyNumberFormat="0" applyFont="0" applyAlignment="0" applyProtection="0"/>
    <xf numFmtId="0" fontId="12" fillId="0" borderId="0"/>
    <xf numFmtId="0" fontId="12" fillId="0" borderId="0"/>
    <xf numFmtId="0" fontId="35" fillId="0" borderId="0"/>
    <xf numFmtId="0" fontId="12" fillId="0" borderId="0"/>
    <xf numFmtId="0" fontId="12" fillId="0" borderId="0"/>
    <xf numFmtId="0" fontId="36" fillId="0" borderId="0"/>
    <xf numFmtId="44" fontId="1" fillId="0" borderId="0" applyFont="0" applyFill="0" applyBorder="0" applyAlignment="0" applyProtection="0"/>
    <xf numFmtId="43" fontId="33" fillId="0" borderId="0" applyFont="0" applyFill="0" applyBorder="0" applyAlignment="0" applyProtection="0"/>
    <xf numFmtId="43" fontId="36" fillId="0" borderId="0" applyFont="0" applyFill="0" applyBorder="0" applyAlignment="0" applyProtection="0"/>
    <xf numFmtId="43" fontId="3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4" fontId="35" fillId="0" borderId="0" applyFont="0" applyFill="0" applyBorder="0" applyAlignment="0" applyProtection="0"/>
    <xf numFmtId="44" fontId="36" fillId="0" borderId="0" applyFont="0" applyFill="0" applyBorder="0" applyAlignment="0" applyProtection="0"/>
    <xf numFmtId="0" fontId="20" fillId="0" borderId="0"/>
    <xf numFmtId="0" fontId="20" fillId="0" borderId="0"/>
    <xf numFmtId="0" fontId="12" fillId="0" borderId="0"/>
    <xf numFmtId="9"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40" fillId="20" borderId="0" applyFont="0" applyBorder="0" applyAlignment="0">
      <alignment horizontal="center" wrapText="1"/>
    </xf>
    <xf numFmtId="43" fontId="35" fillId="0" borderId="0" applyFont="0" applyFill="0" applyBorder="0" applyAlignment="0" applyProtection="0"/>
    <xf numFmtId="44" fontId="35"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12" fillId="0" borderId="0"/>
    <xf numFmtId="0" fontId="12" fillId="0" borderId="0"/>
    <xf numFmtId="0" fontId="22" fillId="0" borderId="0"/>
    <xf numFmtId="0" fontId="12" fillId="0" borderId="0"/>
    <xf numFmtId="0" fontId="12" fillId="0" borderId="0"/>
    <xf numFmtId="0" fontId="12" fillId="0" borderId="0"/>
    <xf numFmtId="0" fontId="20" fillId="0" borderId="0"/>
    <xf numFmtId="0" fontId="12" fillId="0" borderId="0"/>
    <xf numFmtId="0" fontId="12" fillId="0" borderId="0"/>
    <xf numFmtId="0" fontId="22" fillId="0" borderId="0"/>
    <xf numFmtId="0" fontId="12" fillId="0" borderId="0"/>
    <xf numFmtId="0" fontId="20" fillId="0" borderId="0"/>
    <xf numFmtId="0" fontId="12" fillId="0" borderId="0"/>
    <xf numFmtId="0" fontId="20" fillId="0" borderId="0"/>
    <xf numFmtId="0" fontId="20" fillId="0" borderId="0"/>
    <xf numFmtId="0" fontId="12" fillId="0" borderId="0"/>
    <xf numFmtId="0" fontId="22" fillId="0" borderId="0"/>
    <xf numFmtId="0" fontId="12" fillId="0" borderId="0"/>
    <xf numFmtId="0" fontId="20" fillId="0" borderId="0"/>
    <xf numFmtId="0" fontId="20" fillId="0" borderId="0"/>
    <xf numFmtId="0" fontId="12" fillId="0" borderId="0"/>
    <xf numFmtId="0" fontId="12" fillId="0" borderId="0"/>
    <xf numFmtId="0" fontId="20" fillId="0" borderId="0"/>
    <xf numFmtId="0" fontId="12" fillId="0" borderId="0"/>
    <xf numFmtId="0" fontId="20" fillId="0" borderId="0"/>
    <xf numFmtId="0" fontId="22" fillId="0" borderId="0"/>
    <xf numFmtId="0" fontId="12" fillId="0" borderId="0"/>
    <xf numFmtId="0" fontId="12" fillId="0" borderId="0"/>
    <xf numFmtId="0" fontId="12" fillId="5" borderId="7" applyNumberFormat="0" applyFont="0" applyAlignment="0" applyProtection="0"/>
    <xf numFmtId="0" fontId="20" fillId="0" borderId="0"/>
    <xf numFmtId="0" fontId="20" fillId="0" borderId="0"/>
    <xf numFmtId="0" fontId="12" fillId="0" borderId="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9" fontId="33" fillId="0" borderId="0" applyFont="0" applyFill="0" applyBorder="0" applyAlignment="0" applyProtection="0"/>
    <xf numFmtId="0" fontId="34" fillId="20" borderId="0" applyFont="0" applyBorder="0" applyAlignment="0">
      <alignment horizontal="center" wrapText="1"/>
    </xf>
    <xf numFmtId="0" fontId="12" fillId="0" borderId="0"/>
    <xf numFmtId="0" fontId="12" fillId="5" borderId="7" applyNumberFormat="0" applyFont="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2" fillId="0" borderId="0"/>
    <xf numFmtId="0" fontId="20"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2" fillId="5" borderId="7" applyNumberFormat="0" applyFont="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2" fillId="0" borderId="0"/>
    <xf numFmtId="0" fontId="22" fillId="0" borderId="0"/>
    <xf numFmtId="0" fontId="12" fillId="0" borderId="0"/>
    <xf numFmtId="43" fontId="1" fillId="0" borderId="0" applyFont="0" applyFill="0" applyBorder="0" applyAlignment="0" applyProtection="0"/>
    <xf numFmtId="0" fontId="35" fillId="0" borderId="0"/>
    <xf numFmtId="0" fontId="20" fillId="0" borderId="0"/>
    <xf numFmtId="0" fontId="20" fillId="0" borderId="0"/>
    <xf numFmtId="0" fontId="12" fillId="0" borderId="0"/>
    <xf numFmtId="0" fontId="12" fillId="0" borderId="0"/>
    <xf numFmtId="0" fontId="12" fillId="0" borderId="0"/>
    <xf numFmtId="0" fontId="12" fillId="0" borderId="0"/>
    <xf numFmtId="0" fontId="22" fillId="0" borderId="0"/>
    <xf numFmtId="0" fontId="22" fillId="0" borderId="0"/>
    <xf numFmtId="0" fontId="20" fillId="0" borderId="0"/>
    <xf numFmtId="0" fontId="12" fillId="0" borderId="0"/>
    <xf numFmtId="0" fontId="22" fillId="0" borderId="0"/>
    <xf numFmtId="0" fontId="20" fillId="0" borderId="0"/>
    <xf numFmtId="0" fontId="12" fillId="0" borderId="0"/>
    <xf numFmtId="0" fontId="12" fillId="0" borderId="0"/>
    <xf numFmtId="0" fontId="20" fillId="0" borderId="0"/>
    <xf numFmtId="0" fontId="12" fillId="0" borderId="0"/>
    <xf numFmtId="0" fontId="12" fillId="0" borderId="0"/>
    <xf numFmtId="0" fontId="22" fillId="0" borderId="0"/>
    <xf numFmtId="0" fontId="12" fillId="5" borderId="7" applyNumberFormat="0" applyFont="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2" fillId="0" borderId="0"/>
    <xf numFmtId="0" fontId="2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2" fillId="0" borderId="0"/>
    <xf numFmtId="0" fontId="20"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2" fillId="5" borderId="7" applyNumberFormat="0" applyFont="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2" fillId="0" borderId="0"/>
    <xf numFmtId="0" fontId="22" fillId="0" borderId="0"/>
    <xf numFmtId="0" fontId="12" fillId="0" borderId="0"/>
    <xf numFmtId="0" fontId="22" fillId="0" borderId="0"/>
    <xf numFmtId="0" fontId="12" fillId="0" borderId="0"/>
    <xf numFmtId="0" fontId="118" fillId="0" borderId="0"/>
    <xf numFmtId="43" fontId="118" fillId="0" borderId="0" applyFont="0" applyFill="0" applyBorder="0" applyAlignment="0" applyProtection="0"/>
    <xf numFmtId="0" fontId="118" fillId="0" borderId="0"/>
    <xf numFmtId="0" fontId="20" fillId="0" borderId="0"/>
    <xf numFmtId="0" fontId="20" fillId="0" borderId="0"/>
    <xf numFmtId="0" fontId="20" fillId="0" borderId="0"/>
    <xf numFmtId="0" fontId="12" fillId="0" borderId="0"/>
    <xf numFmtId="0" fontId="12" fillId="0" borderId="0"/>
    <xf numFmtId="0" fontId="12" fillId="0" borderId="0"/>
    <xf numFmtId="0" fontId="20" fillId="0" borderId="0"/>
    <xf numFmtId="0" fontId="12" fillId="0" borderId="0"/>
    <xf numFmtId="0" fontId="12" fillId="0" borderId="0"/>
    <xf numFmtId="0" fontId="12" fillId="0" borderId="0"/>
    <xf numFmtId="0" fontId="12" fillId="0" borderId="0"/>
    <xf numFmtId="0" fontId="22" fillId="0" borderId="0"/>
    <xf numFmtId="0" fontId="22" fillId="0" borderId="0"/>
    <xf numFmtId="0" fontId="118" fillId="0" borderId="0"/>
    <xf numFmtId="0" fontId="20" fillId="0" borderId="0"/>
    <xf numFmtId="0" fontId="20" fillId="0" borderId="0"/>
    <xf numFmtId="0" fontId="2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2" fillId="0" borderId="0"/>
    <xf numFmtId="0" fontId="22" fillId="0" borderId="0"/>
    <xf numFmtId="0" fontId="202" fillId="0" borderId="0"/>
    <xf numFmtId="0" fontId="202" fillId="0" borderId="0"/>
    <xf numFmtId="0" fontId="202" fillId="0" borderId="0"/>
    <xf numFmtId="0" fontId="35" fillId="0" borderId="0"/>
  </cellStyleXfs>
  <cellXfs count="1312">
    <xf numFmtId="0" fontId="0" fillId="0" borderId="0" xfId="0"/>
    <xf numFmtId="164" fontId="41" fillId="0" borderId="0" xfId="439" applyNumberFormat="1" applyFont="1" applyFill="1" applyAlignment="1" applyProtection="1">
      <alignment horizontal="center" wrapText="1"/>
    </xf>
    <xf numFmtId="0" fontId="45" fillId="0" borderId="0" xfId="0" applyFont="1" applyProtection="1"/>
    <xf numFmtId="0" fontId="0" fillId="0" borderId="0" xfId="0" applyFont="1" applyProtection="1"/>
    <xf numFmtId="0" fontId="0" fillId="0" borderId="0" xfId="0" applyFont="1" applyAlignment="1" applyProtection="1">
      <alignment horizontal="center" vertical="center" wrapText="1"/>
    </xf>
    <xf numFmtId="0" fontId="0" fillId="0" borderId="0" xfId="0" applyFont="1" applyAlignment="1" applyProtection="1">
      <alignment horizontal="center" vertical="center"/>
    </xf>
    <xf numFmtId="0" fontId="0" fillId="0" borderId="0" xfId="0" applyNumberFormat="1" applyFont="1" applyFill="1" applyAlignment="1" applyProtection="1">
      <alignment horizontal="left" vertical="center" wrapText="1" indent="6"/>
    </xf>
    <xf numFmtId="0" fontId="42" fillId="21" borderId="0" xfId="0" applyFont="1" applyFill="1" applyBorder="1" applyAlignment="1" applyProtection="1">
      <alignment horizontal="center" wrapText="1"/>
    </xf>
    <xf numFmtId="0" fontId="50" fillId="24" borderId="10" xfId="0" applyFont="1" applyFill="1" applyBorder="1" applyAlignment="1" applyProtection="1">
      <alignment horizontal="center" wrapText="1"/>
    </xf>
    <xf numFmtId="0" fontId="43" fillId="0" borderId="0" xfId="0" applyFont="1" applyAlignment="1" applyProtection="1">
      <alignment horizontal="left" wrapText="1"/>
    </xf>
    <xf numFmtId="0" fontId="43" fillId="0" borderId="0" xfId="0" applyFont="1" applyAlignment="1" applyProtection="1">
      <alignment horizontal="left" vertical="center" wrapText="1"/>
    </xf>
    <xf numFmtId="0" fontId="43" fillId="24" borderId="0" xfId="0" applyFont="1" applyFill="1" applyBorder="1" applyAlignment="1" applyProtection="1">
      <alignment horizontal="left" wrapText="1"/>
    </xf>
    <xf numFmtId="0" fontId="41" fillId="0" borderId="0" xfId="0" applyFont="1" applyAlignment="1" applyProtection="1">
      <alignment horizontal="center"/>
    </xf>
    <xf numFmtId="167" fontId="41" fillId="23" borderId="0" xfId="545" applyNumberFormat="1" applyFont="1" applyFill="1" applyProtection="1"/>
    <xf numFmtId="0" fontId="53" fillId="25" borderId="0" xfId="0" applyFont="1" applyFill="1" applyAlignment="1" applyProtection="1">
      <alignment horizontal="center" wrapText="1"/>
    </xf>
    <xf numFmtId="0" fontId="54" fillId="21" borderId="10" xfId="0" applyFont="1" applyFill="1" applyBorder="1" applyAlignment="1" applyProtection="1">
      <alignment horizontal="center" wrapText="1"/>
    </xf>
    <xf numFmtId="0" fontId="54" fillId="21" borderId="0" xfId="0" applyFont="1" applyFill="1" applyBorder="1" applyAlignment="1" applyProtection="1">
      <alignment horizontal="center" wrapText="1"/>
    </xf>
    <xf numFmtId="0" fontId="0" fillId="0" borderId="0" xfId="0" applyFont="1" applyAlignment="1" applyProtection="1">
      <alignment wrapText="1"/>
      <protection locked="0"/>
    </xf>
    <xf numFmtId="0" fontId="0" fillId="0" borderId="0" xfId="0" applyFont="1" applyFill="1" applyProtection="1"/>
    <xf numFmtId="0" fontId="56" fillId="26" borderId="0" xfId="682" applyFont="1" applyFill="1"/>
    <xf numFmtId="0" fontId="56" fillId="0" borderId="0" xfId="682" applyFont="1" applyFill="1"/>
    <xf numFmtId="0" fontId="41" fillId="0" borderId="0" xfId="682" applyFont="1"/>
    <xf numFmtId="40" fontId="57" fillId="0" borderId="0" xfId="0" applyNumberFormat="1" applyFont="1"/>
    <xf numFmtId="0" fontId="54" fillId="0" borderId="0" xfId="0" applyFont="1"/>
    <xf numFmtId="0" fontId="0" fillId="0" borderId="0" xfId="0" applyNumberFormat="1" applyFont="1" applyFill="1" applyAlignment="1" applyProtection="1">
      <alignment vertical="center" wrapText="1"/>
    </xf>
    <xf numFmtId="0" fontId="56" fillId="0" borderId="0" xfId="0" applyNumberFormat="1" applyFont="1" applyFill="1" applyBorder="1" applyAlignment="1" applyProtection="1">
      <alignment vertical="center" wrapText="1"/>
    </xf>
    <xf numFmtId="0" fontId="0" fillId="0" borderId="0" xfId="0" applyNumberFormat="1" applyFont="1" applyFill="1" applyAlignment="1" applyProtection="1">
      <alignment horizontal="left" vertical="center" wrapText="1"/>
    </xf>
    <xf numFmtId="0" fontId="59" fillId="0" borderId="0" xfId="0" applyNumberFormat="1" applyFont="1" applyFill="1" applyAlignment="1" applyProtection="1">
      <alignment vertical="center" wrapText="1"/>
    </xf>
    <xf numFmtId="0" fontId="41" fillId="0" borderId="0" xfId="0" applyNumberFormat="1" applyFont="1" applyFill="1" applyAlignment="1" applyProtection="1">
      <alignment horizontal="left" vertical="center" wrapText="1" indent="3"/>
    </xf>
    <xf numFmtId="0" fontId="56" fillId="0" borderId="0" xfId="0" applyNumberFormat="1" applyFont="1" applyFill="1" applyAlignment="1" applyProtection="1">
      <alignment vertical="center" wrapText="1"/>
    </xf>
    <xf numFmtId="0" fontId="56" fillId="0" borderId="0" xfId="0" applyNumberFormat="1" applyFont="1" applyFill="1" applyAlignment="1" applyProtection="1">
      <alignment horizontal="left" vertical="center" wrapText="1" indent="3"/>
    </xf>
    <xf numFmtId="0" fontId="56" fillId="0" borderId="14" xfId="0" applyNumberFormat="1" applyFont="1" applyFill="1" applyBorder="1" applyAlignment="1" applyProtection="1">
      <alignment horizontal="left" vertical="center" wrapText="1" indent="3"/>
    </xf>
    <xf numFmtId="0" fontId="56" fillId="0" borderId="0" xfId="0" applyNumberFormat="1" applyFont="1" applyFill="1" applyAlignment="1" applyProtection="1">
      <alignment horizontal="left" vertical="center" wrapText="1" indent="6"/>
    </xf>
    <xf numFmtId="0" fontId="47" fillId="0" borderId="0" xfId="0" applyNumberFormat="1" applyFont="1" applyFill="1" applyAlignment="1" applyProtection="1">
      <alignment horizontal="center" vertical="center"/>
    </xf>
    <xf numFmtId="0" fontId="0" fillId="0" borderId="0" xfId="0" applyNumberFormat="1" applyFont="1" applyFill="1" applyAlignment="1" applyProtection="1">
      <alignment horizontal="center"/>
    </xf>
    <xf numFmtId="40" fontId="47" fillId="0" borderId="0" xfId="439" applyNumberFormat="1" applyFont="1" applyFill="1" applyAlignment="1" applyProtection="1">
      <alignment horizontal="center" vertical="center" wrapText="1"/>
    </xf>
    <xf numFmtId="173" fontId="47" fillId="0" borderId="0" xfId="439" applyNumberFormat="1" applyFont="1" applyFill="1" applyAlignment="1" applyProtection="1">
      <alignment horizontal="center" vertical="center" wrapText="1"/>
    </xf>
    <xf numFmtId="164" fontId="61" fillId="23" borderId="23" xfId="439" applyNumberFormat="1" applyFont="1" applyFill="1" applyBorder="1" applyAlignment="1" applyProtection="1">
      <alignment horizontal="center" vertical="center" wrapText="1"/>
    </xf>
    <xf numFmtId="0" fontId="0" fillId="22" borderId="0" xfId="0" applyFont="1" applyFill="1" applyBorder="1" applyAlignment="1" applyProtection="1">
      <alignment vertical="center"/>
    </xf>
    <xf numFmtId="0" fontId="62" fillId="0" borderId="25" xfId="0" applyNumberFormat="1" applyFont="1" applyFill="1" applyBorder="1" applyAlignment="1" applyProtection="1">
      <alignment horizontal="center" vertical="center"/>
    </xf>
    <xf numFmtId="0" fontId="63" fillId="0" borderId="25" xfId="0" applyNumberFormat="1" applyFont="1" applyFill="1" applyBorder="1" applyAlignment="1" applyProtection="1">
      <alignment horizontal="center" vertical="center"/>
    </xf>
    <xf numFmtId="0" fontId="41" fillId="23" borderId="25" xfId="0" applyNumberFormat="1" applyFont="1" applyFill="1" applyBorder="1" applyAlignment="1" applyProtection="1">
      <alignment horizontal="center" vertical="center"/>
    </xf>
    <xf numFmtId="0" fontId="41" fillId="0" borderId="26" xfId="0" applyNumberFormat="1" applyFont="1" applyFill="1" applyBorder="1" applyAlignment="1" applyProtection="1">
      <alignment horizontal="center" vertical="center"/>
    </xf>
    <xf numFmtId="0" fontId="52" fillId="24" borderId="21" xfId="0" applyFont="1" applyFill="1" applyBorder="1" applyAlignment="1" applyProtection="1">
      <alignment horizontal="center" vertical="center" wrapText="1"/>
    </xf>
    <xf numFmtId="0" fontId="0" fillId="0" borderId="30" xfId="0" applyFont="1" applyFill="1" applyBorder="1" applyAlignment="1" applyProtection="1">
      <alignment vertical="center" wrapText="1"/>
    </xf>
    <xf numFmtId="0" fontId="42" fillId="24" borderId="0" xfId="0" applyFont="1" applyFill="1" applyBorder="1" applyAlignment="1" applyProtection="1">
      <alignment horizontal="center" vertical="center" wrapText="1"/>
    </xf>
    <xf numFmtId="0" fontId="54" fillId="21" borderId="10" xfId="0" applyFont="1" applyFill="1" applyBorder="1" applyAlignment="1" applyProtection="1">
      <alignment horizontal="center" vertical="center" wrapText="1"/>
    </xf>
    <xf numFmtId="164" fontId="61" fillId="0" borderId="31" xfId="439" applyNumberFormat="1" applyFont="1" applyFill="1" applyBorder="1" applyAlignment="1" applyProtection="1">
      <alignment horizontal="center" vertical="center" wrapText="1"/>
    </xf>
    <xf numFmtId="0" fontId="53" fillId="25" borderId="0" xfId="0" applyFont="1" applyFill="1" applyAlignment="1" applyProtection="1">
      <alignment horizontal="center" vertical="center"/>
    </xf>
    <xf numFmtId="0" fontId="42" fillId="23" borderId="0" xfId="0" applyFont="1" applyFill="1" applyAlignment="1" applyProtection="1">
      <alignment vertical="center" wrapText="1"/>
    </xf>
    <xf numFmtId="0" fontId="42" fillId="21" borderId="0" xfId="0" applyFont="1" applyFill="1" applyBorder="1" applyAlignment="1" applyProtection="1">
      <alignment horizontal="center" vertical="center" wrapText="1"/>
    </xf>
    <xf numFmtId="0" fontId="0" fillId="0" borderId="31" xfId="0" applyFont="1" applyFill="1" applyBorder="1" applyAlignment="1" applyProtection="1">
      <alignment vertical="center" wrapText="1"/>
    </xf>
    <xf numFmtId="0" fontId="61" fillId="0" borderId="0" xfId="0" applyFont="1" applyProtection="1"/>
    <xf numFmtId="0" fontId="61" fillId="23" borderId="23" xfId="0" applyNumberFormat="1" applyFont="1" applyFill="1" applyBorder="1" applyAlignment="1" applyProtection="1">
      <alignment horizontal="left" vertical="center" wrapText="1"/>
    </xf>
    <xf numFmtId="0" fontId="61" fillId="0" borderId="31" xfId="0" applyNumberFormat="1" applyFont="1" applyFill="1" applyBorder="1" applyAlignment="1" applyProtection="1">
      <alignment horizontal="left" vertical="center" wrapText="1"/>
    </xf>
    <xf numFmtId="49" fontId="0" fillId="0" borderId="33" xfId="0" applyNumberFormat="1" applyFont="1" applyFill="1" applyBorder="1" applyAlignment="1">
      <alignment horizontal="center"/>
    </xf>
    <xf numFmtId="49" fontId="0" fillId="0" borderId="32" xfId="0" applyNumberFormat="1" applyFont="1" applyFill="1" applyBorder="1" applyAlignment="1">
      <alignment horizontal="center"/>
    </xf>
    <xf numFmtId="164" fontId="61" fillId="0" borderId="23" xfId="439" applyNumberFormat="1" applyFont="1" applyFill="1" applyBorder="1" applyAlignment="1" applyProtection="1">
      <alignment horizontal="center" vertical="center" wrapText="1"/>
      <protection locked="0"/>
    </xf>
    <xf numFmtId="0" fontId="0" fillId="0" borderId="0" xfId="0" applyFont="1" applyFill="1" applyAlignment="1" applyProtection="1">
      <alignment vertical="center" wrapText="1"/>
      <protection locked="0"/>
    </xf>
    <xf numFmtId="0" fontId="47" fillId="0" borderId="0" xfId="439" applyNumberFormat="1" applyFont="1" applyFill="1" applyAlignment="1" applyProtection="1">
      <alignment horizontal="center" vertical="center" wrapText="1"/>
    </xf>
    <xf numFmtId="0" fontId="64" fillId="0" borderId="0" xfId="0" applyNumberFormat="1" applyFont="1" applyFill="1" applyAlignment="1" applyProtection="1">
      <alignment vertical="center" wrapText="1"/>
    </xf>
    <xf numFmtId="0" fontId="52" fillId="0" borderId="0" xfId="0" applyFont="1" applyAlignment="1" applyProtection="1">
      <alignment wrapText="1"/>
    </xf>
    <xf numFmtId="0" fontId="47" fillId="0" borderId="23" xfId="1243" applyFont="1" applyFill="1" applyBorder="1" applyAlignment="1" applyProtection="1">
      <alignment horizontal="left" vertical="center" wrapText="1"/>
    </xf>
    <xf numFmtId="164" fontId="53" fillId="25" borderId="0" xfId="439" applyNumberFormat="1" applyFont="1" applyFill="1" applyAlignment="1" applyProtection="1">
      <alignment horizontal="center"/>
    </xf>
    <xf numFmtId="0" fontId="65" fillId="0" borderId="0" xfId="0" applyFont="1" applyAlignment="1" applyProtection="1">
      <alignment horizontal="center" vertical="center" wrapText="1"/>
    </xf>
    <xf numFmtId="0" fontId="0" fillId="30" borderId="23" xfId="0" applyFont="1" applyFill="1" applyBorder="1" applyAlignment="1" applyProtection="1">
      <alignment vertical="center" wrapText="1"/>
    </xf>
    <xf numFmtId="164" fontId="61" fillId="22" borderId="23" xfId="439" applyNumberFormat="1" applyFont="1" applyFill="1" applyBorder="1" applyAlignment="1" applyProtection="1">
      <alignment horizontal="center" vertical="center" wrapText="1"/>
    </xf>
    <xf numFmtId="0" fontId="52" fillId="30" borderId="25" xfId="0" applyNumberFormat="1" applyFont="1" applyFill="1" applyBorder="1" applyAlignment="1" applyProtection="1">
      <alignment horizontal="center" vertical="center" wrapText="1"/>
    </xf>
    <xf numFmtId="164" fontId="52" fillId="24" borderId="10" xfId="439" applyNumberFormat="1" applyFont="1" applyFill="1" applyBorder="1" applyAlignment="1" applyProtection="1">
      <alignment horizontal="center" wrapText="1"/>
    </xf>
    <xf numFmtId="0" fontId="66" fillId="0" borderId="0" xfId="720" applyNumberFormat="1" applyFont="1" applyFill="1" applyAlignment="1" applyProtection="1">
      <alignment horizontal="left" vertical="center" wrapText="1"/>
    </xf>
    <xf numFmtId="39" fontId="41" fillId="0" borderId="0" xfId="0" applyNumberFormat="1" applyFont="1" applyAlignment="1" applyProtection="1">
      <alignment horizontal="center"/>
    </xf>
    <xf numFmtId="39" fontId="42" fillId="21" borderId="0" xfId="0" applyNumberFormat="1" applyFont="1" applyFill="1" applyBorder="1" applyAlignment="1" applyProtection="1">
      <alignment horizontal="center" wrapText="1"/>
    </xf>
    <xf numFmtId="39" fontId="61" fillId="0" borderId="29" xfId="439" applyNumberFormat="1" applyFont="1" applyFill="1" applyBorder="1" applyAlignment="1" applyProtection="1">
      <alignment horizontal="center" vertical="center" wrapText="1"/>
    </xf>
    <xf numFmtId="39" fontId="61" fillId="23" borderId="28" xfId="439" applyNumberFormat="1" applyFont="1" applyFill="1" applyBorder="1" applyAlignment="1" applyProtection="1">
      <alignment horizontal="center" vertical="center" wrapText="1"/>
    </xf>
    <xf numFmtId="0" fontId="42" fillId="0" borderId="0" xfId="0" applyFont="1" applyFill="1" applyAlignment="1" applyProtection="1">
      <alignment vertical="center" wrapText="1"/>
    </xf>
    <xf numFmtId="39" fontId="54" fillId="31" borderId="0" xfId="0" applyNumberFormat="1" applyFont="1" applyFill="1" applyBorder="1" applyAlignment="1" applyProtection="1">
      <alignment horizontal="center" wrapText="1"/>
    </xf>
    <xf numFmtId="0" fontId="41" fillId="32" borderId="25" xfId="0" applyNumberFormat="1" applyFont="1" applyFill="1" applyBorder="1" applyAlignment="1" applyProtection="1">
      <alignment horizontal="center" vertical="center"/>
    </xf>
    <xf numFmtId="0" fontId="0" fillId="32" borderId="23" xfId="0" applyFont="1" applyFill="1" applyBorder="1" applyAlignment="1" applyProtection="1">
      <alignment vertical="center" wrapText="1"/>
    </xf>
    <xf numFmtId="0" fontId="65" fillId="32" borderId="0" xfId="0" applyFont="1" applyFill="1" applyAlignment="1" applyProtection="1">
      <alignment horizontal="center" vertical="center" wrapText="1"/>
    </xf>
    <xf numFmtId="0" fontId="0" fillId="0" borderId="0" xfId="0" applyFont="1" applyProtection="1">
      <protection locked="0"/>
    </xf>
    <xf numFmtId="0" fontId="55" fillId="0" borderId="25" xfId="0" applyNumberFormat="1" applyFont="1" applyFill="1" applyBorder="1" applyAlignment="1" applyProtection="1">
      <alignment horizontal="left" vertical="center" wrapText="1"/>
    </xf>
    <xf numFmtId="0" fontId="43" fillId="0" borderId="25" xfId="0" applyNumberFormat="1" applyFont="1" applyFill="1" applyBorder="1" applyAlignment="1" applyProtection="1">
      <alignment horizontal="left" vertical="center" wrapText="1"/>
    </xf>
    <xf numFmtId="41" fontId="61" fillId="0" borderId="23" xfId="439" applyNumberFormat="1" applyFont="1" applyFill="1" applyBorder="1" applyAlignment="1" applyProtection="1">
      <alignment horizontal="center" vertical="center" wrapText="1"/>
    </xf>
    <xf numFmtId="0" fontId="50" fillId="0" borderId="23" xfId="439" applyNumberFormat="1" applyFont="1" applyFill="1" applyBorder="1" applyAlignment="1" applyProtection="1">
      <alignment horizontal="center" vertical="center" wrapText="1"/>
    </xf>
    <xf numFmtId="41" fontId="68" fillId="0" borderId="0" xfId="0" applyNumberFormat="1" applyFont="1" applyFill="1" applyAlignment="1" applyProtection="1">
      <alignment wrapText="1"/>
    </xf>
    <xf numFmtId="0" fontId="67" fillId="0" borderId="0" xfId="0" applyFont="1" applyFill="1" applyAlignment="1" applyProtection="1">
      <alignment horizontal="center" vertical="center"/>
    </xf>
    <xf numFmtId="0" fontId="52" fillId="0" borderId="0" xfId="0" applyFont="1" applyFill="1" applyAlignment="1" applyProtection="1">
      <alignment horizontal="center" vertical="center" wrapText="1"/>
    </xf>
    <xf numFmtId="0" fontId="61" fillId="0" borderId="23" xfId="439" applyNumberFormat="1" applyFont="1" applyFill="1" applyBorder="1" applyAlignment="1" applyProtection="1">
      <alignment horizontal="center" vertical="center" wrapText="1"/>
    </xf>
    <xf numFmtId="0" fontId="0" fillId="0" borderId="0" xfId="0" applyFont="1" applyFill="1" applyAlignment="1" applyProtection="1">
      <alignment vertical="center" wrapText="1"/>
    </xf>
    <xf numFmtId="170" fontId="61" fillId="29" borderId="23" xfId="439" applyNumberFormat="1" applyFont="1" applyFill="1" applyBorder="1" applyAlignment="1" applyProtection="1">
      <alignment horizontal="center" vertical="center" wrapText="1"/>
      <protection locked="0"/>
    </xf>
    <xf numFmtId="37" fontId="62" fillId="33" borderId="28" xfId="439" applyNumberFormat="1" applyFont="1" applyFill="1" applyBorder="1" applyAlignment="1" applyProtection="1">
      <alignment horizontal="center" vertical="center" wrapText="1"/>
    </xf>
    <xf numFmtId="37" fontId="41" fillId="0" borderId="28" xfId="439" applyNumberFormat="1" applyFont="1" applyFill="1" applyBorder="1" applyAlignment="1" applyProtection="1">
      <alignment horizontal="center" vertical="center" wrapText="1"/>
    </xf>
    <xf numFmtId="37" fontId="62" fillId="0" borderId="28" xfId="439" applyNumberFormat="1" applyFont="1" applyFill="1" applyBorder="1" applyAlignment="1" applyProtection="1">
      <alignment horizontal="center" vertical="center" wrapText="1"/>
    </xf>
    <xf numFmtId="0" fontId="0" fillId="0" borderId="23" xfId="0" applyNumberFormat="1" applyFont="1" applyFill="1" applyBorder="1" applyAlignment="1" applyProtection="1">
      <alignment vertical="center" wrapText="1"/>
    </xf>
    <xf numFmtId="0" fontId="0" fillId="0" borderId="0" xfId="0" applyFont="1" applyFill="1" applyAlignment="1">
      <alignment vertical="center" wrapText="1"/>
    </xf>
    <xf numFmtId="165" fontId="61" fillId="29" borderId="23" xfId="439" applyNumberFormat="1" applyFont="1" applyFill="1" applyBorder="1" applyAlignment="1" applyProtection="1">
      <alignment horizontal="center" vertical="center" wrapText="1"/>
      <protection locked="0"/>
    </xf>
    <xf numFmtId="0" fontId="0" fillId="28" borderId="0" xfId="0" applyNumberFormat="1" applyFont="1" applyFill="1" applyAlignment="1" applyProtection="1">
      <alignment vertical="center" wrapText="1"/>
    </xf>
    <xf numFmtId="0" fontId="61" fillId="22" borderId="25" xfId="0" applyNumberFormat="1" applyFont="1" applyFill="1" applyBorder="1" applyAlignment="1" applyProtection="1">
      <alignment horizontal="left" vertical="center" wrapText="1"/>
    </xf>
    <xf numFmtId="164" fontId="0" fillId="0" borderId="0" xfId="0" applyNumberFormat="1" applyFont="1" applyFill="1" applyProtection="1"/>
    <xf numFmtId="0" fontId="0" fillId="0" borderId="0" xfId="0" applyFill="1"/>
    <xf numFmtId="169" fontId="41" fillId="0" borderId="0" xfId="439" applyNumberFormat="1" applyFont="1" applyFill="1" applyAlignment="1" applyProtection="1">
      <alignment horizontal="center" vertical="center"/>
      <protection locked="0"/>
    </xf>
    <xf numFmtId="38" fontId="47" fillId="0" borderId="14" xfId="439" applyNumberFormat="1" applyFont="1" applyFill="1" applyBorder="1" applyAlignment="1" applyProtection="1">
      <alignment horizontal="center" vertical="center" wrapText="1"/>
    </xf>
    <xf numFmtId="0" fontId="0" fillId="0" borderId="10" xfId="0" applyFont="1" applyFill="1" applyBorder="1" applyAlignment="1" applyProtection="1">
      <alignment horizontal="left" vertical="center" wrapText="1"/>
    </xf>
    <xf numFmtId="171" fontId="61" fillId="0" borderId="29" xfId="439" applyNumberFormat="1" applyFont="1" applyFill="1" applyBorder="1" applyAlignment="1" applyProtection="1">
      <alignment horizontal="center" vertical="center" wrapText="1"/>
    </xf>
    <xf numFmtId="172" fontId="61" fillId="0" borderId="23" xfId="439" applyNumberFormat="1" applyFont="1" applyFill="1" applyBorder="1" applyAlignment="1" applyProtection="1">
      <alignment horizontal="center" vertical="center" wrapText="1"/>
    </xf>
    <xf numFmtId="0" fontId="41" fillId="0" borderId="24" xfId="0" applyNumberFormat="1" applyFont="1" applyFill="1" applyBorder="1" applyAlignment="1" applyProtection="1">
      <alignment horizontal="center" vertical="center"/>
    </xf>
    <xf numFmtId="0" fontId="56" fillId="0" borderId="0" xfId="0" applyFont="1" applyFill="1" applyAlignment="1" applyProtection="1">
      <alignment vertical="center" wrapText="1"/>
    </xf>
    <xf numFmtId="0" fontId="56" fillId="0" borderId="0" xfId="0" applyNumberFormat="1" applyFont="1" applyFill="1" applyAlignment="1" applyProtection="1">
      <alignment horizontal="left" vertical="center" wrapText="1"/>
    </xf>
    <xf numFmtId="0" fontId="0" fillId="0" borderId="0" xfId="0" applyNumberFormat="1" applyFont="1" applyFill="1" applyAlignment="1" applyProtection="1">
      <alignment horizontal="center" vertical="center"/>
    </xf>
    <xf numFmtId="0" fontId="0" fillId="0" borderId="23" xfId="0" applyFont="1" applyFill="1" applyBorder="1" applyAlignment="1" applyProtection="1">
      <alignment vertical="center" wrapText="1"/>
      <protection locked="0"/>
    </xf>
    <xf numFmtId="164" fontId="61" fillId="29" borderId="44" xfId="439" applyNumberFormat="1" applyFont="1" applyFill="1" applyBorder="1" applyAlignment="1" applyProtection="1">
      <alignment horizontal="center" vertical="center" wrapText="1"/>
      <protection locked="0"/>
    </xf>
    <xf numFmtId="164" fontId="61" fillId="0" borderId="30" xfId="439" applyNumberFormat="1" applyFont="1" applyFill="1" applyBorder="1" applyAlignment="1" applyProtection="1">
      <alignment horizontal="center" vertical="center" wrapText="1"/>
    </xf>
    <xf numFmtId="39" fontId="61" fillId="0" borderId="27" xfId="439" applyNumberFormat="1" applyFont="1" applyFill="1" applyBorder="1" applyAlignment="1" applyProtection="1">
      <alignment horizontal="center" vertical="center" wrapText="1"/>
    </xf>
    <xf numFmtId="164" fontId="61" fillId="0" borderId="46" xfId="439" applyNumberFormat="1" applyFont="1" applyFill="1" applyBorder="1" applyAlignment="1" applyProtection="1">
      <alignment horizontal="center" vertical="center" wrapText="1"/>
    </xf>
    <xf numFmtId="0" fontId="41" fillId="32" borderId="26" xfId="0" applyNumberFormat="1" applyFont="1" applyFill="1" applyBorder="1" applyAlignment="1" applyProtection="1">
      <alignment horizontal="center" vertical="center"/>
    </xf>
    <xf numFmtId="0" fontId="0" fillId="32" borderId="31" xfId="0" applyFont="1" applyFill="1" applyBorder="1" applyAlignment="1" applyProtection="1">
      <alignment vertical="center" wrapText="1"/>
    </xf>
    <xf numFmtId="164" fontId="61" fillId="29" borderId="45" xfId="439" applyNumberFormat="1" applyFont="1" applyFill="1" applyBorder="1" applyAlignment="1" applyProtection="1">
      <alignment horizontal="center" vertical="center" wrapText="1"/>
      <protection locked="0"/>
    </xf>
    <xf numFmtId="0" fontId="61" fillId="0" borderId="30" xfId="0" applyNumberFormat="1" applyFont="1" applyFill="1" applyBorder="1" applyAlignment="1" applyProtection="1">
      <alignment horizontal="left" vertical="center" wrapText="1"/>
    </xf>
    <xf numFmtId="0" fontId="61" fillId="23" borderId="31" xfId="0" applyNumberFormat="1" applyFont="1" applyFill="1" applyBorder="1" applyAlignment="1" applyProtection="1">
      <alignment horizontal="left" vertical="center" wrapText="1"/>
    </xf>
    <xf numFmtId="0" fontId="61" fillId="23" borderId="31" xfId="439" applyNumberFormat="1" applyFont="1" applyFill="1" applyBorder="1" applyAlignment="1" applyProtection="1">
      <alignment horizontal="center" vertical="center" wrapText="1"/>
    </xf>
    <xf numFmtId="37" fontId="41" fillId="23" borderId="29" xfId="439" applyNumberFormat="1" applyFont="1" applyFill="1" applyBorder="1" applyAlignment="1" applyProtection="1">
      <alignment horizontal="center" vertical="center" wrapText="1"/>
    </xf>
    <xf numFmtId="0" fontId="41" fillId="23" borderId="26" xfId="0" applyNumberFormat="1" applyFont="1" applyFill="1" applyBorder="1" applyAlignment="1" applyProtection="1">
      <alignment horizontal="center" vertical="center"/>
    </xf>
    <xf numFmtId="37" fontId="41" fillId="0" borderId="27" xfId="439" applyNumberFormat="1" applyFont="1" applyFill="1" applyBorder="1" applyAlignment="1" applyProtection="1">
      <alignment horizontal="center" vertical="center" wrapText="1"/>
    </xf>
    <xf numFmtId="0" fontId="41" fillId="34" borderId="0" xfId="0" applyFont="1" applyFill="1" applyProtection="1"/>
    <xf numFmtId="0" fontId="0" fillId="0" borderId="36" xfId="0" applyNumberFormat="1" applyFont="1" applyFill="1" applyBorder="1" applyAlignment="1" applyProtection="1">
      <alignment horizontal="left" vertical="center" wrapText="1"/>
    </xf>
    <xf numFmtId="0" fontId="0" fillId="0" borderId="36" xfId="0" applyNumberFormat="1" applyFont="1" applyFill="1" applyBorder="1" applyAlignment="1" applyProtection="1">
      <alignment horizontal="center" vertical="center" wrapText="1"/>
    </xf>
    <xf numFmtId="0" fontId="0" fillId="34" borderId="23" xfId="0" applyFont="1" applyFill="1" applyBorder="1" applyAlignment="1" applyProtection="1">
      <alignment vertical="center" wrapText="1"/>
    </xf>
    <xf numFmtId="0" fontId="41" fillId="34" borderId="43" xfId="0" applyNumberFormat="1" applyFont="1" applyFill="1" applyBorder="1" applyAlignment="1" applyProtection="1">
      <alignment horizontal="center" vertical="center"/>
    </xf>
    <xf numFmtId="39" fontId="0" fillId="0" borderId="28" xfId="439" applyNumberFormat="1" applyFont="1" applyFill="1" applyBorder="1" applyAlignment="1" applyProtection="1">
      <alignment horizontal="center" vertical="center" wrapText="1"/>
    </xf>
    <xf numFmtId="39" fontId="0" fillId="0" borderId="28" xfId="439" applyNumberFormat="1" applyFont="1" applyFill="1" applyBorder="1" applyAlignment="1" applyProtection="1">
      <alignment vertical="center" wrapText="1"/>
    </xf>
    <xf numFmtId="164" fontId="0" fillId="0" borderId="0" xfId="439" applyNumberFormat="1" applyFont="1"/>
    <xf numFmtId="0" fontId="73" fillId="0" borderId="0" xfId="0" applyNumberFormat="1" applyFont="1" applyFill="1" applyAlignment="1" applyProtection="1">
      <alignment horizontal="left" vertical="center" wrapText="1" indent="6"/>
    </xf>
    <xf numFmtId="0" fontId="61" fillId="0" borderId="25" xfId="0" applyNumberFormat="1" applyFont="1" applyFill="1" applyBorder="1" applyAlignment="1" applyProtection="1">
      <alignment horizontal="left" vertical="center" wrapText="1"/>
    </xf>
    <xf numFmtId="0" fontId="0" fillId="23" borderId="23" xfId="0" applyFont="1" applyFill="1" applyBorder="1" applyAlignment="1" applyProtection="1">
      <alignment vertical="center" wrapText="1"/>
    </xf>
    <xf numFmtId="0" fontId="42" fillId="24" borderId="0" xfId="439" applyNumberFormat="1" applyFont="1" applyFill="1" applyBorder="1" applyAlignment="1" applyProtection="1">
      <alignment horizontal="center" wrapText="1"/>
    </xf>
    <xf numFmtId="41" fontId="69" fillId="0" borderId="0" xfId="0" applyNumberFormat="1" applyFont="1" applyFill="1" applyAlignment="1" applyProtection="1">
      <alignment wrapText="1"/>
    </xf>
    <xf numFmtId="14" fontId="61" fillId="0" borderId="23" xfId="439" applyNumberFormat="1" applyFont="1" applyFill="1" applyBorder="1" applyAlignment="1" applyProtection="1">
      <alignment horizontal="center" vertical="center" wrapText="1"/>
    </xf>
    <xf numFmtId="37" fontId="0" fillId="0" borderId="0" xfId="0" applyNumberFormat="1" applyFont="1" applyFill="1" applyAlignment="1" applyProtection="1">
      <alignment horizontal="center" vertical="center"/>
    </xf>
    <xf numFmtId="164" fontId="52" fillId="0" borderId="0" xfId="0" applyNumberFormat="1" applyFont="1" applyAlignment="1" applyProtection="1">
      <alignment wrapText="1"/>
    </xf>
    <xf numFmtId="164" fontId="61" fillId="22" borderId="23" xfId="439" applyNumberFormat="1" applyFont="1" applyFill="1" applyBorder="1" applyAlignment="1" applyProtection="1">
      <alignment horizontal="center" vertical="center" wrapText="1"/>
      <protection locked="0"/>
    </xf>
    <xf numFmtId="172" fontId="61" fillId="22" borderId="23" xfId="439" applyNumberFormat="1" applyFont="1" applyFill="1" applyBorder="1" applyAlignment="1" applyProtection="1">
      <alignment horizontal="center" vertical="center" wrapText="1"/>
    </xf>
    <xf numFmtId="39" fontId="61" fillId="22" borderId="28" xfId="439" applyNumberFormat="1" applyFont="1" applyFill="1" applyBorder="1" applyAlignment="1" applyProtection="1">
      <alignment horizontal="center" vertical="center" wrapText="1"/>
    </xf>
    <xf numFmtId="164" fontId="61" fillId="22" borderId="29" xfId="439" applyNumberFormat="1" applyFont="1" applyFill="1" applyBorder="1" applyAlignment="1" applyProtection="1">
      <alignment horizontal="center" vertical="center" wrapText="1"/>
    </xf>
    <xf numFmtId="0" fontId="41" fillId="22" borderId="24" xfId="0" applyNumberFormat="1" applyFont="1" applyFill="1" applyBorder="1" applyAlignment="1" applyProtection="1">
      <alignment horizontal="center" vertical="center"/>
    </xf>
    <xf numFmtId="164" fontId="61" fillId="29" borderId="31" xfId="439" applyNumberFormat="1" applyFont="1" applyFill="1" applyBorder="1" applyAlignment="1" applyProtection="1">
      <alignment horizontal="center" vertical="center" wrapText="1"/>
      <protection locked="0"/>
    </xf>
    <xf numFmtId="0" fontId="51" fillId="0" borderId="0" xfId="0" applyFont="1" applyAlignment="1" applyProtection="1">
      <alignment horizontal="center"/>
    </xf>
    <xf numFmtId="0" fontId="43" fillId="22" borderId="0" xfId="0" applyFont="1" applyFill="1" applyAlignment="1" applyProtection="1">
      <alignment horizontal="left" wrapText="1"/>
    </xf>
    <xf numFmtId="172" fontId="61" fillId="22" borderId="30" xfId="439" applyNumberFormat="1" applyFont="1" applyFill="1" applyBorder="1" applyAlignment="1" applyProtection="1">
      <alignment horizontal="center" vertical="center" wrapText="1"/>
    </xf>
    <xf numFmtId="175" fontId="61" fillId="75" borderId="23" xfId="439" applyNumberFormat="1" applyFont="1" applyFill="1" applyBorder="1" applyAlignment="1" applyProtection="1">
      <alignment horizontal="center" vertical="center" wrapText="1"/>
    </xf>
    <xf numFmtId="3" fontId="61" fillId="0" borderId="23" xfId="439" applyNumberFormat="1" applyFont="1" applyFill="1" applyBorder="1" applyAlignment="1" applyProtection="1">
      <alignment horizontal="center" vertical="center" wrapText="1"/>
      <protection locked="0"/>
    </xf>
    <xf numFmtId="180" fontId="61" fillId="75" borderId="23" xfId="439" applyNumberFormat="1" applyFont="1" applyFill="1" applyBorder="1" applyAlignment="1" applyProtection="1">
      <alignment horizontal="center" vertical="center" wrapText="1"/>
    </xf>
    <xf numFmtId="39" fontId="61" fillId="0" borderId="23" xfId="439" applyNumberFormat="1" applyFont="1" applyFill="1" applyBorder="1" applyAlignment="1" applyProtection="1">
      <alignment horizontal="center" vertical="center" wrapText="1"/>
    </xf>
    <xf numFmtId="3" fontId="61" fillId="0" borderId="31" xfId="439" applyNumberFormat="1" applyFont="1" applyFill="1" applyBorder="1" applyAlignment="1" applyProtection="1">
      <alignment horizontal="center" vertical="center" wrapText="1"/>
    </xf>
    <xf numFmtId="3" fontId="61" fillId="23" borderId="31" xfId="439" applyNumberFormat="1" applyFont="1" applyFill="1" applyBorder="1" applyAlignment="1" applyProtection="1">
      <alignment horizontal="center" vertical="center" wrapText="1"/>
    </xf>
    <xf numFmtId="3" fontId="61" fillId="23" borderId="23" xfId="439" applyNumberFormat="1" applyFont="1" applyFill="1" applyBorder="1" applyAlignment="1" applyProtection="1">
      <alignment horizontal="center" vertical="center" wrapText="1"/>
    </xf>
    <xf numFmtId="3" fontId="61" fillId="0" borderId="30" xfId="439" applyNumberFormat="1" applyFont="1" applyFill="1" applyBorder="1" applyAlignment="1" applyProtection="1">
      <alignment horizontal="center" vertical="center" wrapText="1"/>
    </xf>
    <xf numFmtId="37" fontId="61" fillId="0" borderId="23" xfId="439" applyNumberFormat="1" applyFont="1" applyFill="1" applyBorder="1" applyAlignment="1" applyProtection="1">
      <alignment horizontal="center" vertical="center" wrapText="1"/>
    </xf>
    <xf numFmtId="0" fontId="41" fillId="0" borderId="0" xfId="0" applyFont="1" applyAlignment="1" applyProtection="1">
      <alignment horizontal="left" vertical="center" wrapText="1"/>
    </xf>
    <xf numFmtId="0" fontId="67" fillId="0" borderId="0" xfId="0" applyFont="1" applyProtection="1"/>
    <xf numFmtId="0" fontId="41" fillId="0" borderId="57" xfId="0" applyFont="1" applyBorder="1"/>
    <xf numFmtId="0" fontId="41" fillId="26" borderId="16" xfId="0" applyFont="1" applyFill="1" applyBorder="1" applyAlignment="1" applyProtection="1">
      <alignment horizontal="left"/>
    </xf>
    <xf numFmtId="0" fontId="41" fillId="0" borderId="17" xfId="0" applyFont="1" applyBorder="1" applyAlignment="1">
      <alignment vertical="center"/>
    </xf>
    <xf numFmtId="0" fontId="41" fillId="0" borderId="0" xfId="0" applyFont="1" applyBorder="1" applyAlignment="1">
      <alignment vertical="center"/>
    </xf>
    <xf numFmtId="0" fontId="41" fillId="0" borderId="15" xfId="0" applyFont="1" applyBorder="1" applyAlignment="1">
      <alignment vertical="center"/>
    </xf>
    <xf numFmtId="3" fontId="41" fillId="0" borderId="0" xfId="439" applyNumberFormat="1" applyFont="1" applyFill="1" applyAlignment="1" applyProtection="1">
      <alignment horizontal="center" vertical="center" wrapText="1"/>
      <protection locked="0"/>
    </xf>
    <xf numFmtId="0" fontId="75" fillId="22" borderId="0" xfId="0" applyFont="1" applyFill="1" applyProtection="1"/>
    <xf numFmtId="0" fontId="122" fillId="22" borderId="0" xfId="0" applyFont="1" applyFill="1" applyProtection="1"/>
    <xf numFmtId="0" fontId="86" fillId="22" borderId="0" xfId="0" applyFont="1" applyFill="1" applyAlignment="1" applyProtection="1">
      <alignment vertical="center" wrapText="1"/>
    </xf>
    <xf numFmtId="0" fontId="86" fillId="22" borderId="0" xfId="0" applyFont="1" applyFill="1" applyAlignment="1" applyProtection="1">
      <alignment vertical="center"/>
      <protection locked="0"/>
    </xf>
    <xf numFmtId="0" fontId="86" fillId="22" borderId="0" xfId="0" applyFont="1" applyFill="1" applyAlignment="1" applyProtection="1">
      <alignment vertical="center"/>
    </xf>
    <xf numFmtId="0" fontId="0" fillId="0" borderId="0" xfId="0" applyAlignment="1">
      <alignment horizontal="center"/>
    </xf>
    <xf numFmtId="0" fontId="86" fillId="0" borderId="0" xfId="0" applyFont="1" applyAlignment="1">
      <alignment horizontal="center"/>
    </xf>
    <xf numFmtId="0" fontId="41" fillId="0" borderId="24" xfId="0" applyFont="1" applyBorder="1" applyAlignment="1">
      <alignment horizontal="center" vertical="center"/>
    </xf>
    <xf numFmtId="0" fontId="41" fillId="0" borderId="0" xfId="0" applyFont="1" applyAlignment="1">
      <alignment vertical="center"/>
    </xf>
    <xf numFmtId="0" fontId="0" fillId="34" borderId="45" xfId="0" applyFont="1" applyFill="1" applyBorder="1" applyAlignment="1">
      <alignment vertical="center" wrapText="1"/>
    </xf>
    <xf numFmtId="171" fontId="61" fillId="75" borderId="29" xfId="439" applyNumberFormat="1" applyFont="1" applyFill="1" applyBorder="1" applyAlignment="1" applyProtection="1">
      <alignment horizontal="center" vertical="center" wrapText="1"/>
    </xf>
    <xf numFmtId="0" fontId="41" fillId="74" borderId="63" xfId="0" applyNumberFormat="1" applyFont="1" applyFill="1" applyBorder="1" applyAlignment="1" applyProtection="1">
      <alignment horizontal="center" vertical="center"/>
    </xf>
    <xf numFmtId="0" fontId="0" fillId="73" borderId="0" xfId="0" applyFill="1"/>
    <xf numFmtId="0" fontId="123" fillId="73" borderId="0" xfId="0" applyFont="1" applyFill="1" applyAlignment="1">
      <alignment vertical="center" wrapText="1"/>
    </xf>
    <xf numFmtId="0" fontId="49" fillId="73" borderId="0" xfId="0" applyFont="1" applyFill="1" applyAlignment="1">
      <alignment horizontal="justify" vertical="center"/>
    </xf>
    <xf numFmtId="0" fontId="128" fillId="77" borderId="0" xfId="0" applyFont="1" applyFill="1" applyAlignment="1">
      <alignment vertical="center"/>
    </xf>
    <xf numFmtId="0" fontId="65" fillId="0" borderId="45" xfId="0" applyFont="1" applyFill="1" applyBorder="1" applyAlignment="1" applyProtection="1">
      <alignment horizontal="center" vertical="center" wrapText="1"/>
    </xf>
    <xf numFmtId="0" fontId="65" fillId="32" borderId="45" xfId="0" applyFont="1" applyFill="1" applyBorder="1" applyAlignment="1" applyProtection="1">
      <alignment horizontal="center" vertical="center" wrapText="1"/>
    </xf>
    <xf numFmtId="0" fontId="61" fillId="31" borderId="25" xfId="0" applyNumberFormat="1" applyFont="1" applyFill="1" applyBorder="1" applyAlignment="1" applyProtection="1">
      <alignment horizontal="left" vertical="center" wrapText="1"/>
    </xf>
    <xf numFmtId="0" fontId="43" fillId="31" borderId="65" xfId="0" applyFont="1" applyFill="1" applyBorder="1" applyAlignment="1">
      <alignment wrapText="1"/>
    </xf>
    <xf numFmtId="14" fontId="43" fillId="31" borderId="65" xfId="0" applyNumberFormat="1" applyFont="1" applyFill="1" applyBorder="1" applyAlignment="1">
      <alignment wrapText="1"/>
    </xf>
    <xf numFmtId="0" fontId="41" fillId="31" borderId="63" xfId="0" applyNumberFormat="1" applyFont="1" applyFill="1" applyBorder="1" applyAlignment="1" applyProtection="1">
      <alignment horizontal="center" vertical="center"/>
    </xf>
    <xf numFmtId="49" fontId="61" fillId="0" borderId="23" xfId="439" applyNumberFormat="1" applyFont="1" applyFill="1" applyBorder="1" applyAlignment="1" applyProtection="1">
      <alignment horizontal="center" vertical="center" wrapText="1"/>
    </xf>
    <xf numFmtId="0" fontId="124" fillId="73" borderId="0" xfId="0" applyFont="1" applyFill="1" applyAlignment="1">
      <alignment horizontal="left" vertical="center" wrapText="1"/>
    </xf>
    <xf numFmtId="0" fontId="35" fillId="73" borderId="0" xfId="30098" applyFill="1"/>
    <xf numFmtId="0" fontId="127" fillId="77" borderId="0" xfId="30098" applyFont="1" applyFill="1" applyAlignment="1">
      <alignment horizontal="center" vertical="center" wrapText="1"/>
    </xf>
    <xf numFmtId="0" fontId="123" fillId="73" borderId="0" xfId="30098" applyFont="1" applyFill="1" applyAlignment="1">
      <alignment vertical="center" wrapText="1"/>
    </xf>
    <xf numFmtId="0" fontId="49" fillId="73" borderId="0" xfId="30098" applyFont="1" applyFill="1" applyAlignment="1">
      <alignment vertical="center" wrapText="1"/>
    </xf>
    <xf numFmtId="0" fontId="128" fillId="77" borderId="0" xfId="30098" applyFont="1" applyFill="1" applyAlignment="1">
      <alignment vertical="center"/>
    </xf>
    <xf numFmtId="0" fontId="131" fillId="0" borderId="0" xfId="30099" applyFont="1" applyAlignment="1">
      <alignment horizontal="left" vertical="top"/>
    </xf>
    <xf numFmtId="0" fontId="133" fillId="0" borderId="0" xfId="30099" applyFont="1" applyAlignment="1">
      <alignment horizontal="left" vertical="top"/>
    </xf>
    <xf numFmtId="0" fontId="131" fillId="36" borderId="0" xfId="30099" applyFont="1" applyFill="1" applyAlignment="1">
      <alignment horizontal="left" vertical="top"/>
    </xf>
    <xf numFmtId="0" fontId="133" fillId="0" borderId="0" xfId="30099" applyFont="1" applyAlignment="1">
      <alignment vertical="top"/>
    </xf>
    <xf numFmtId="0" fontId="131" fillId="0" borderId="0" xfId="30099" applyFont="1" applyAlignment="1">
      <alignment vertical="top"/>
    </xf>
    <xf numFmtId="14" fontId="133" fillId="0" borderId="0" xfId="30099" applyNumberFormat="1" applyFont="1" applyAlignment="1">
      <alignment horizontal="left" vertical="top"/>
    </xf>
    <xf numFmtId="0" fontId="133" fillId="79" borderId="13" xfId="30099" applyFont="1" applyFill="1" applyBorder="1" applyAlignment="1">
      <alignment horizontal="left" vertical="top"/>
    </xf>
    <xf numFmtId="0" fontId="133" fillId="79" borderId="16" xfId="30099" applyFont="1" applyFill="1" applyBorder="1" applyAlignment="1">
      <alignment horizontal="left" vertical="top"/>
    </xf>
    <xf numFmtId="164" fontId="138" fillId="79" borderId="16" xfId="30100" applyNumberFormat="1" applyFont="1" applyFill="1" applyBorder="1" applyAlignment="1">
      <alignment vertical="center"/>
    </xf>
    <xf numFmtId="0" fontId="139" fillId="79" borderId="16" xfId="30099" applyFont="1" applyFill="1" applyBorder="1" applyAlignment="1">
      <alignment vertical="center" wrapText="1"/>
    </xf>
    <xf numFmtId="0" fontId="139" fillId="79" borderId="16" xfId="30099" applyFont="1" applyFill="1" applyBorder="1" applyAlignment="1">
      <alignment vertical="center"/>
    </xf>
    <xf numFmtId="0" fontId="131" fillId="79" borderId="11" xfId="30099" applyFont="1" applyFill="1" applyBorder="1" applyAlignment="1">
      <alignment horizontal="left" vertical="top" wrapText="1"/>
    </xf>
    <xf numFmtId="0" fontId="140" fillId="0" borderId="0" xfId="30099" applyFont="1" applyAlignment="1">
      <alignment horizontal="left" vertical="top"/>
    </xf>
    <xf numFmtId="0" fontId="140" fillId="26" borderId="15" xfId="30099" applyFont="1" applyFill="1" applyBorder="1" applyAlignment="1">
      <alignment horizontal="left" vertical="top"/>
    </xf>
    <xf numFmtId="0" fontId="140" fillId="26" borderId="0" xfId="30099" applyFont="1" applyFill="1" applyAlignment="1">
      <alignment horizontal="left" vertical="top"/>
    </xf>
    <xf numFmtId="0" fontId="131" fillId="26" borderId="0" xfId="30099" applyFont="1" applyFill="1" applyAlignment="1">
      <alignment horizontal="left" vertical="top" wrapText="1"/>
    </xf>
    <xf numFmtId="0" fontId="140" fillId="26" borderId="0" xfId="30099" applyFont="1" applyFill="1" applyAlignment="1">
      <alignment horizontal="left" vertical="center"/>
    </xf>
    <xf numFmtId="0" fontId="140" fillId="26" borderId="60" xfId="30099" applyFont="1" applyFill="1" applyBorder="1" applyAlignment="1">
      <alignment horizontal="left" vertical="top" wrapText="1"/>
    </xf>
    <xf numFmtId="0" fontId="131" fillId="26" borderId="15" xfId="30099" applyFont="1" applyFill="1" applyBorder="1" applyAlignment="1">
      <alignment horizontal="left" vertical="top"/>
    </xf>
    <xf numFmtId="0" fontId="131" fillId="26" borderId="0" xfId="30099" applyFont="1" applyFill="1" applyAlignment="1">
      <alignment horizontal="left" vertical="top"/>
    </xf>
    <xf numFmtId="0" fontId="131" fillId="26" borderId="60" xfId="30099" applyFont="1" applyFill="1" applyBorder="1" applyAlignment="1">
      <alignment horizontal="left" vertical="top" wrapText="1"/>
    </xf>
    <xf numFmtId="0" fontId="143" fillId="26" borderId="0" xfId="30099" applyFont="1" applyFill="1" applyAlignment="1">
      <alignment horizontal="left" vertical="top"/>
    </xf>
    <xf numFmtId="0" fontId="131" fillId="26" borderId="0" xfId="30099" applyFont="1" applyFill="1" applyAlignment="1">
      <alignment horizontal="left" vertical="center"/>
    </xf>
    <xf numFmtId="14" fontId="131" fillId="0" borderId="69" xfId="30099" applyNumberFormat="1" applyFont="1" applyBorder="1" applyAlignment="1" applyProtection="1">
      <alignment horizontal="center" vertical="center"/>
      <protection locked="0"/>
    </xf>
    <xf numFmtId="0" fontId="131" fillId="26" borderId="0" xfId="30099" applyFont="1" applyFill="1" applyAlignment="1">
      <alignment horizontal="left" vertical="center" wrapText="1"/>
    </xf>
    <xf numFmtId="0" fontId="131" fillId="0" borderId="69" xfId="30099" applyFont="1" applyBorder="1" applyAlignment="1" applyProtection="1">
      <alignment horizontal="center" vertical="center"/>
      <protection locked="0"/>
    </xf>
    <xf numFmtId="0" fontId="146" fillId="0" borderId="0" xfId="29597" applyFont="1" applyFill="1" applyBorder="1" applyAlignment="1">
      <alignment horizontal="left" vertical="top"/>
    </xf>
    <xf numFmtId="0" fontId="148" fillId="26" borderId="0" xfId="30099" applyFont="1" applyFill="1" applyAlignment="1">
      <alignment horizontal="center" vertical="center" wrapText="1"/>
    </xf>
    <xf numFmtId="0" fontId="131" fillId="0" borderId="57" xfId="30099" applyFont="1" applyBorder="1" applyAlignment="1" applyProtection="1">
      <alignment horizontal="center" vertical="center"/>
      <protection locked="0"/>
    </xf>
    <xf numFmtId="0" fontId="131" fillId="26" borderId="0" xfId="30099" applyFont="1" applyFill="1" applyAlignment="1">
      <alignment horizontal="center" vertical="center"/>
    </xf>
    <xf numFmtId="0" fontId="149" fillId="26" borderId="0" xfId="30099" applyFont="1" applyFill="1" applyAlignment="1">
      <alignment horizontal="left" vertical="top" wrapText="1"/>
    </xf>
    <xf numFmtId="0" fontId="149" fillId="0" borderId="57" xfId="30099" applyFont="1" applyBorder="1" applyAlignment="1" applyProtection="1">
      <alignment horizontal="center" vertical="center" wrapText="1"/>
      <protection locked="0"/>
    </xf>
    <xf numFmtId="0" fontId="133" fillId="0" borderId="0" xfId="30099" applyFont="1" applyAlignment="1">
      <alignment horizontal="left"/>
    </xf>
    <xf numFmtId="0" fontId="132" fillId="0" borderId="69" xfId="30099" applyFont="1" applyBorder="1" applyAlignment="1" applyProtection="1">
      <alignment horizontal="center" vertical="center"/>
      <protection locked="0"/>
    </xf>
    <xf numFmtId="0" fontId="131" fillId="26" borderId="0" xfId="30099" applyFont="1" applyFill="1" applyAlignment="1">
      <alignment vertical="top" wrapText="1"/>
    </xf>
    <xf numFmtId="0" fontId="131" fillId="26" borderId="60" xfId="30099" applyFont="1" applyFill="1" applyBorder="1" applyAlignment="1">
      <alignment vertical="top" wrapText="1"/>
    </xf>
    <xf numFmtId="0" fontId="135" fillId="26" borderId="0" xfId="30099" applyFont="1" applyFill="1" applyAlignment="1">
      <alignment horizontal="left" vertical="top"/>
    </xf>
    <xf numFmtId="0" fontId="143" fillId="26" borderId="0" xfId="30099" applyFont="1" applyFill="1" applyAlignment="1">
      <alignment horizontal="left" vertical="top" wrapText="1"/>
    </xf>
    <xf numFmtId="0" fontId="131" fillId="26" borderId="15" xfId="30099" applyFont="1" applyFill="1" applyBorder="1" applyAlignment="1">
      <alignment horizontal="left"/>
    </xf>
    <xf numFmtId="0" fontId="131" fillId="26" borderId="0" xfId="30099" applyFont="1" applyFill="1" applyAlignment="1">
      <alignment horizontal="left"/>
    </xf>
    <xf numFmtId="0" fontId="131" fillId="26" borderId="0" xfId="30099" applyFont="1" applyFill="1" applyAlignment="1">
      <alignment vertical="center" wrapText="1"/>
    </xf>
    <xf numFmtId="0" fontId="143" fillId="26" borderId="0" xfId="30099" applyFont="1" applyFill="1" applyAlignment="1">
      <alignment vertical="center" wrapText="1"/>
    </xf>
    <xf numFmtId="14" fontId="133" fillId="0" borderId="0" xfId="30099" applyNumberFormat="1" applyFont="1" applyAlignment="1">
      <alignment horizontal="left"/>
    </xf>
    <xf numFmtId="0" fontId="131" fillId="0" borderId="0" xfId="30099" applyFont="1" applyAlignment="1">
      <alignment horizontal="left"/>
    </xf>
    <xf numFmtId="0" fontId="137" fillId="26" borderId="0" xfId="30099" applyFont="1" applyFill="1" applyAlignment="1">
      <alignment horizontal="left"/>
    </xf>
    <xf numFmtId="0" fontId="137" fillId="26" borderId="0" xfId="30099" applyFont="1" applyFill="1" applyAlignment="1">
      <alignment horizontal="right" vertical="center"/>
    </xf>
    <xf numFmtId="0" fontId="137" fillId="26" borderId="0" xfId="30099" applyFont="1" applyFill="1" applyAlignment="1">
      <alignment horizontal="right"/>
    </xf>
    <xf numFmtId="0" fontId="131" fillId="26" borderId="0" xfId="30099" applyFont="1" applyFill="1" applyAlignment="1">
      <alignment horizontal="right" vertical="center" wrapText="1"/>
    </xf>
    <xf numFmtId="14" fontId="131" fillId="26" borderId="0" xfId="30099" applyNumberFormat="1" applyFont="1" applyFill="1" applyAlignment="1">
      <alignment horizontal="left" vertical="center"/>
    </xf>
    <xf numFmtId="0" fontId="153" fillId="79" borderId="0" xfId="30099" applyFont="1" applyFill="1" applyAlignment="1">
      <alignment vertical="center"/>
    </xf>
    <xf numFmtId="0" fontId="153" fillId="79" borderId="0" xfId="30099" applyFont="1" applyFill="1" applyAlignment="1">
      <alignment horizontal="left" vertical="center"/>
    </xf>
    <xf numFmtId="0" fontId="143" fillId="26" borderId="0" xfId="30099" applyFont="1" applyFill="1" applyAlignment="1">
      <alignment horizontal="left" vertical="center" wrapText="1"/>
    </xf>
    <xf numFmtId="0" fontId="143" fillId="26" borderId="60" xfId="30099" applyFont="1" applyFill="1" applyBorder="1" applyAlignment="1">
      <alignment vertical="top" wrapText="1"/>
    </xf>
    <xf numFmtId="0" fontId="131" fillId="26" borderId="40" xfId="30099" applyFont="1" applyFill="1" applyBorder="1" applyAlignment="1">
      <alignment horizontal="left" vertical="top"/>
    </xf>
    <xf numFmtId="0" fontId="131" fillId="26" borderId="41" xfId="30099" applyFont="1" applyFill="1" applyBorder="1" applyAlignment="1">
      <alignment horizontal="left" vertical="top"/>
    </xf>
    <xf numFmtId="0" fontId="131" fillId="26" borderId="41" xfId="30099" applyFont="1" applyFill="1" applyBorder="1" applyAlignment="1">
      <alignment horizontal="right" vertical="center" wrapText="1"/>
    </xf>
    <xf numFmtId="0" fontId="131" fillId="26" borderId="41" xfId="30099" applyFont="1" applyFill="1" applyBorder="1" applyAlignment="1">
      <alignment horizontal="left" vertical="center"/>
    </xf>
    <xf numFmtId="0" fontId="131" fillId="26" borderId="42" xfId="30099" applyFont="1" applyFill="1" applyBorder="1" applyAlignment="1">
      <alignment horizontal="left" vertical="top" wrapText="1"/>
    </xf>
    <xf numFmtId="0" fontId="131" fillId="0" borderId="0" xfId="30099" applyFont="1" applyAlignment="1">
      <alignment horizontal="left" vertical="top" wrapText="1"/>
    </xf>
    <xf numFmtId="2" fontId="131" fillId="0" borderId="0" xfId="30099" applyNumberFormat="1" applyFont="1" applyAlignment="1">
      <alignment horizontal="left" vertical="top"/>
    </xf>
    <xf numFmtId="0" fontId="131" fillId="0" borderId="0" xfId="30099" applyFont="1" applyAlignment="1">
      <alignment horizontal="left" vertical="center" wrapText="1"/>
    </xf>
    <xf numFmtId="14" fontId="131" fillId="0" borderId="0" xfId="30099" applyNumberFormat="1" applyFont="1" applyAlignment="1">
      <alignment horizontal="left" vertical="top"/>
    </xf>
    <xf numFmtId="0" fontId="131" fillId="0" borderId="0" xfId="30099" applyFont="1" applyAlignment="1">
      <alignment horizontal="left" wrapText="1"/>
    </xf>
    <xf numFmtId="0" fontId="0" fillId="0" borderId="0" xfId="0" applyNumberFormat="1" applyFont="1" applyFill="1" applyBorder="1" applyAlignment="1" applyProtection="1">
      <alignment horizontal="left" vertical="center" wrapText="1"/>
    </xf>
    <xf numFmtId="0" fontId="155" fillId="26" borderId="0" xfId="30099" applyFont="1" applyFill="1" applyAlignment="1">
      <alignment horizontal="center" vertical="center"/>
    </xf>
    <xf numFmtId="164" fontId="137" fillId="26" borderId="0" xfId="30100" applyNumberFormat="1" applyFont="1" applyFill="1" applyBorder="1" applyAlignment="1">
      <alignment vertical="center"/>
    </xf>
    <xf numFmtId="164" fontId="137" fillId="26" borderId="0" xfId="30100" applyNumberFormat="1" applyFont="1" applyFill="1" applyBorder="1" applyAlignment="1">
      <alignment vertical="top"/>
    </xf>
    <xf numFmtId="164" fontId="136" fillId="26" borderId="0" xfId="30100" applyNumberFormat="1" applyFont="1" applyFill="1" applyBorder="1" applyAlignment="1">
      <alignment vertical="center"/>
    </xf>
    <xf numFmtId="164" fontId="135" fillId="26" borderId="0" xfId="30100" applyNumberFormat="1" applyFont="1" applyFill="1" applyBorder="1" applyAlignment="1">
      <alignment vertical="center"/>
    </xf>
    <xf numFmtId="164" fontId="137" fillId="26" borderId="41" xfId="30100" applyNumberFormat="1" applyFont="1" applyFill="1" applyBorder="1" applyAlignment="1">
      <alignment vertical="top"/>
    </xf>
    <xf numFmtId="164" fontId="131" fillId="0" borderId="0" xfId="30100" applyNumberFormat="1" applyFont="1" applyFill="1" applyBorder="1" applyAlignment="1">
      <alignment vertical="top"/>
    </xf>
    <xf numFmtId="49" fontId="137" fillId="26" borderId="0" xfId="30100" applyNumberFormat="1" applyFont="1" applyFill="1" applyBorder="1" applyAlignment="1">
      <alignment horizontal="center" vertical="center"/>
    </xf>
    <xf numFmtId="49" fontId="137" fillId="26" borderId="0" xfId="30100" applyNumberFormat="1" applyFont="1" applyFill="1" applyBorder="1" applyAlignment="1">
      <alignment horizontal="center" vertical="top"/>
    </xf>
    <xf numFmtId="0" fontId="137" fillId="26" borderId="0" xfId="30099" applyFont="1" applyFill="1" applyAlignment="1">
      <alignment horizontal="left" wrapText="1"/>
    </xf>
    <xf numFmtId="0" fontId="137" fillId="26" borderId="0" xfId="30099" applyFont="1" applyFill="1" applyAlignment="1">
      <alignment horizontal="left" vertical="center" wrapText="1"/>
    </xf>
    <xf numFmtId="0" fontId="131" fillId="0" borderId="0" xfId="30099" applyFont="1" applyFill="1" applyAlignment="1">
      <alignment horizontal="left"/>
    </xf>
    <xf numFmtId="0" fontId="133" fillId="0" borderId="0" xfId="30099" applyFont="1" applyFill="1" applyAlignment="1">
      <alignment horizontal="left"/>
    </xf>
    <xf numFmtId="14" fontId="133" fillId="0" borderId="0" xfId="30099" applyNumberFormat="1" applyFont="1" applyFill="1" applyAlignment="1">
      <alignment horizontal="left"/>
    </xf>
    <xf numFmtId="167" fontId="0" fillId="0" borderId="82" xfId="545" applyNumberFormat="1" applyFont="1" applyBorder="1"/>
    <xf numFmtId="10" fontId="0" fillId="0" borderId="82" xfId="4688" applyNumberFormat="1" applyFont="1" applyBorder="1"/>
    <xf numFmtId="0" fontId="0" fillId="0" borderId="0" xfId="0"/>
    <xf numFmtId="2" fontId="0" fillId="0" borderId="82" xfId="439" applyNumberFormat="1" applyFont="1" applyBorder="1"/>
    <xf numFmtId="169" fontId="41" fillId="29" borderId="0" xfId="439" applyNumberFormat="1" applyFont="1" applyFill="1" applyAlignment="1" applyProtection="1">
      <alignment horizontal="center" vertical="center"/>
      <protection locked="0"/>
    </xf>
    <xf numFmtId="174" fontId="41" fillId="29" borderId="0" xfId="439" applyNumberFormat="1" applyFont="1" applyFill="1" applyAlignment="1" applyProtection="1">
      <alignment horizontal="center" vertical="center"/>
      <protection locked="0"/>
    </xf>
    <xf numFmtId="38" fontId="47" fillId="29" borderId="0" xfId="439" applyNumberFormat="1" applyFont="1" applyFill="1" applyAlignment="1" applyProtection="1">
      <alignment horizontal="center" vertical="center" wrapText="1"/>
      <protection locked="0"/>
    </xf>
    <xf numFmtId="9" fontId="0" fillId="0" borderId="82" xfId="4688" applyFont="1" applyBorder="1"/>
    <xf numFmtId="0" fontId="139" fillId="79" borderId="41" xfId="30099" applyFont="1" applyFill="1" applyBorder="1" applyAlignment="1">
      <alignment vertical="center"/>
    </xf>
    <xf numFmtId="0" fontId="41" fillId="0" borderId="43" xfId="0" applyNumberFormat="1" applyFont="1" applyFill="1" applyBorder="1" applyAlignment="1" applyProtection="1">
      <alignment horizontal="center" vertical="center"/>
    </xf>
    <xf numFmtId="0" fontId="41" fillId="0" borderId="0" xfId="0" applyFont="1" applyBorder="1" applyAlignment="1">
      <alignment wrapText="1"/>
    </xf>
    <xf numFmtId="0" fontId="41" fillId="0" borderId="0" xfId="0" applyFont="1" applyAlignment="1">
      <alignment horizontal="center"/>
    </xf>
    <xf numFmtId="0" fontId="41" fillId="0" borderId="0" xfId="0" applyFont="1" applyAlignment="1">
      <alignment horizontal="center" wrapText="1"/>
    </xf>
    <xf numFmtId="0" fontId="135" fillId="26" borderId="0" xfId="30099" applyFont="1" applyFill="1" applyAlignment="1">
      <alignment vertical="top" wrapText="1"/>
    </xf>
    <xf numFmtId="0" fontId="157" fillId="26" borderId="0" xfId="30099" applyFont="1" applyFill="1" applyAlignment="1">
      <alignment horizontal="left" vertical="top" wrapText="1"/>
    </xf>
    <xf numFmtId="170" fontId="41" fillId="29" borderId="0" xfId="439" applyNumberFormat="1" applyFont="1" applyFill="1" applyAlignment="1" applyProtection="1">
      <alignment horizontal="center" vertical="center"/>
      <protection locked="0"/>
    </xf>
    <xf numFmtId="0" fontId="41" fillId="78" borderId="85" xfId="0" applyFont="1" applyFill="1" applyBorder="1" applyAlignment="1">
      <alignment horizontal="center"/>
    </xf>
    <xf numFmtId="0" fontId="41" fillId="78" borderId="85" xfId="0" applyFont="1" applyFill="1" applyBorder="1" applyAlignment="1">
      <alignment horizontal="center" wrapText="1"/>
    </xf>
    <xf numFmtId="0" fontId="41" fillId="78" borderId="98" xfId="0" applyFont="1" applyFill="1" applyBorder="1" applyAlignment="1">
      <alignment vertical="center" wrapText="1"/>
    </xf>
    <xf numFmtId="0" fontId="41" fillId="78" borderId="88" xfId="0" applyFont="1" applyFill="1" applyBorder="1" applyAlignment="1">
      <alignment wrapText="1"/>
    </xf>
    <xf numFmtId="0" fontId="41" fillId="78" borderId="78" xfId="0" applyFont="1" applyFill="1" applyBorder="1" applyAlignment="1">
      <alignment horizontal="center"/>
    </xf>
    <xf numFmtId="0" fontId="41" fillId="78" borderId="85" xfId="0" applyFont="1" applyFill="1" applyBorder="1" applyAlignment="1">
      <alignment wrapText="1"/>
    </xf>
    <xf numFmtId="0" fontId="41" fillId="78" borderId="87" xfId="0" applyFont="1" applyFill="1" applyBorder="1" applyAlignment="1">
      <alignment wrapText="1"/>
    </xf>
    <xf numFmtId="9" fontId="0" fillId="0" borderId="92" xfId="4688" applyFont="1" applyFill="1" applyBorder="1"/>
    <xf numFmtId="9" fontId="41" fillId="0" borderId="86" xfId="0" applyNumberFormat="1" applyFont="1" applyFill="1" applyBorder="1" applyAlignment="1">
      <alignment horizontal="center"/>
    </xf>
    <xf numFmtId="0" fontId="41" fillId="0" borderId="92" xfId="0" applyFont="1" applyFill="1" applyBorder="1" applyAlignment="1">
      <alignment horizontal="center" wrapText="1"/>
    </xf>
    <xf numFmtId="9" fontId="0" fillId="0" borderId="92" xfId="4688" applyNumberFormat="1" applyFont="1" applyFill="1" applyBorder="1" applyAlignment="1">
      <alignment horizontal="center"/>
    </xf>
    <xf numFmtId="37" fontId="0" fillId="0" borderId="92" xfId="0" applyNumberFormat="1" applyFont="1" applyFill="1" applyBorder="1" applyAlignment="1">
      <alignment horizontal="center" wrapText="1"/>
    </xf>
    <xf numFmtId="43" fontId="0" fillId="0" borderId="82" xfId="439" applyNumberFormat="1" applyFont="1" applyBorder="1"/>
    <xf numFmtId="0" fontId="41" fillId="78" borderId="102" xfId="0" applyFont="1" applyFill="1" applyBorder="1" applyAlignment="1">
      <alignment horizontal="center"/>
    </xf>
    <xf numFmtId="0" fontId="41" fillId="78" borderId="96" xfId="0" applyFont="1" applyFill="1" applyBorder="1" applyAlignment="1">
      <alignment horizontal="center"/>
    </xf>
    <xf numFmtId="0" fontId="41" fillId="78" borderId="98" xfId="0" applyFont="1" applyFill="1" applyBorder="1" applyAlignment="1">
      <alignment wrapText="1"/>
    </xf>
    <xf numFmtId="0" fontId="41" fillId="78" borderId="106" xfId="0" applyFont="1" applyFill="1" applyBorder="1" applyAlignment="1">
      <alignment vertical="center" wrapText="1"/>
    </xf>
    <xf numFmtId="38" fontId="41" fillId="29" borderId="0" xfId="439" applyNumberFormat="1" applyFont="1" applyFill="1" applyAlignment="1" applyProtection="1">
      <alignment horizontal="center" vertical="center"/>
      <protection locked="0"/>
    </xf>
    <xf numFmtId="3" fontId="41" fillId="29" borderId="0" xfId="439" applyNumberFormat="1" applyFont="1" applyFill="1" applyAlignment="1" applyProtection="1">
      <alignment horizontal="center" vertical="center"/>
      <protection locked="0"/>
    </xf>
    <xf numFmtId="37" fontId="41" fillId="29" borderId="0" xfId="439" applyNumberFormat="1" applyFont="1" applyFill="1" applyAlignment="1" applyProtection="1">
      <alignment horizontal="center" vertical="center"/>
      <protection locked="0"/>
    </xf>
    <xf numFmtId="0" fontId="0" fillId="0" borderId="0" xfId="0" applyFont="1"/>
    <xf numFmtId="2" fontId="0" fillId="0" borderId="0" xfId="0" applyNumberFormat="1" applyFont="1"/>
    <xf numFmtId="0" fontId="0" fillId="0" borderId="0" xfId="0" applyFont="1" applyFill="1"/>
    <xf numFmtId="0" fontId="162" fillId="0" borderId="0" xfId="0" applyFont="1" applyAlignment="1">
      <alignment vertical="center"/>
    </xf>
    <xf numFmtId="0" fontId="162" fillId="0" borderId="0" xfId="30099" applyFont="1" applyAlignment="1">
      <alignment horizontal="left" vertical="top"/>
    </xf>
    <xf numFmtId="0" fontId="158" fillId="26" borderId="0" xfId="30099" applyFont="1" applyFill="1" applyAlignment="1">
      <alignment vertical="center" wrapText="1"/>
    </xf>
    <xf numFmtId="0" fontId="163" fillId="26" borderId="0" xfId="30099" applyFont="1" applyFill="1" applyAlignment="1">
      <alignment vertical="center" wrapText="1"/>
    </xf>
    <xf numFmtId="0" fontId="164" fillId="0" borderId="0" xfId="0" applyFont="1"/>
    <xf numFmtId="0" fontId="137" fillId="26" borderId="0" xfId="30100" applyNumberFormat="1" applyFont="1" applyFill="1" applyBorder="1" applyAlignment="1">
      <alignment horizontal="center" vertical="center"/>
    </xf>
    <xf numFmtId="164" fontId="137" fillId="26" borderId="0" xfId="30100" quotePrefix="1" applyNumberFormat="1" applyFont="1" applyFill="1" applyBorder="1" applyAlignment="1">
      <alignment horizontal="center" vertical="center"/>
    </xf>
    <xf numFmtId="0" fontId="0" fillId="0" borderId="45" xfId="0" applyNumberFormat="1" applyFont="1" applyFill="1" applyBorder="1" applyAlignment="1" applyProtection="1">
      <alignment horizontal="left" vertical="center" wrapText="1"/>
    </xf>
    <xf numFmtId="0" fontId="0" fillId="0" borderId="45" xfId="0" applyNumberFormat="1" applyFont="1" applyFill="1" applyBorder="1" applyAlignment="1" applyProtection="1">
      <alignment horizontal="center" vertical="center"/>
    </xf>
    <xf numFmtId="0" fontId="0" fillId="0" borderId="45" xfId="0" applyNumberFormat="1" applyFont="1" applyFill="1" applyBorder="1" applyAlignment="1" applyProtection="1">
      <alignment horizontal="center" vertical="center" wrapText="1"/>
    </xf>
    <xf numFmtId="0" fontId="0" fillId="0" borderId="45" xfId="0" applyFont="1" applyFill="1" applyBorder="1" applyAlignment="1" applyProtection="1">
      <alignment vertical="center" wrapText="1"/>
    </xf>
    <xf numFmtId="0" fontId="0" fillId="0" borderId="45" xfId="0" applyFont="1" applyFill="1" applyBorder="1" applyAlignment="1" applyProtection="1">
      <alignment horizontal="left" vertical="center" wrapText="1"/>
    </xf>
    <xf numFmtId="0" fontId="0" fillId="0" borderId="0" xfId="0" applyFill="1" applyAlignment="1">
      <alignment horizontal="center"/>
    </xf>
    <xf numFmtId="0" fontId="56" fillId="34" borderId="0" xfId="0" applyNumberFormat="1" applyFont="1" applyFill="1" applyAlignment="1" applyProtection="1">
      <alignment vertical="center" wrapText="1"/>
    </xf>
    <xf numFmtId="0" fontId="0" fillId="34" borderId="0" xfId="0" applyNumberFormat="1" applyFont="1" applyFill="1" applyBorder="1" applyAlignment="1" applyProtection="1">
      <alignment horizontal="center" vertical="center" wrapText="1"/>
    </xf>
    <xf numFmtId="0" fontId="0" fillId="34" borderId="0" xfId="0" applyNumberFormat="1" applyFont="1" applyFill="1" applyBorder="1" applyAlignment="1" applyProtection="1">
      <alignment horizontal="left" vertical="center" wrapText="1"/>
    </xf>
    <xf numFmtId="0" fontId="41" fillId="0" borderId="26" xfId="0" applyFont="1" applyFill="1" applyBorder="1" applyAlignment="1">
      <alignment horizontal="center" vertical="center"/>
    </xf>
    <xf numFmtId="0" fontId="41" fillId="0" borderId="25" xfId="0" applyFont="1" applyFill="1" applyBorder="1" applyAlignment="1">
      <alignment horizontal="center" vertical="center"/>
    </xf>
    <xf numFmtId="0" fontId="41" fillId="0" borderId="24" xfId="0" applyFont="1" applyFill="1" applyBorder="1" applyAlignment="1">
      <alignment horizontal="center" vertical="center"/>
    </xf>
    <xf numFmtId="0" fontId="41" fillId="0" borderId="45" xfId="0" applyFont="1" applyFill="1" applyBorder="1" applyAlignment="1">
      <alignment horizontal="center" vertical="center"/>
    </xf>
    <xf numFmtId="0" fontId="41" fillId="0" borderId="43" xfId="0" applyFont="1" applyFill="1" applyBorder="1" applyAlignment="1">
      <alignment horizontal="center" vertical="center"/>
    </xf>
    <xf numFmtId="0" fontId="63" fillId="0" borderId="25" xfId="0" applyFont="1" applyFill="1" applyBorder="1" applyAlignment="1">
      <alignment horizontal="center" vertical="center"/>
    </xf>
    <xf numFmtId="0" fontId="52" fillId="0" borderId="25" xfId="0" applyFont="1" applyFill="1" applyBorder="1" applyAlignment="1">
      <alignment horizontal="center" vertical="center" wrapText="1"/>
    </xf>
    <xf numFmtId="0" fontId="62" fillId="0" borderId="25" xfId="0" applyFont="1" applyFill="1" applyBorder="1" applyAlignment="1">
      <alignment horizontal="center" vertical="center"/>
    </xf>
    <xf numFmtId="0" fontId="41" fillId="0" borderId="63" xfId="0" applyFont="1" applyFill="1" applyBorder="1" applyAlignment="1">
      <alignment horizontal="center" vertical="center"/>
    </xf>
    <xf numFmtId="0" fontId="73" fillId="0" borderId="0" xfId="0" applyFont="1" applyFill="1"/>
    <xf numFmtId="0" fontId="41" fillId="0" borderId="0" xfId="0" applyFont="1" applyFill="1" applyBorder="1" applyAlignment="1">
      <alignment horizontal="center" vertical="center"/>
    </xf>
    <xf numFmtId="0" fontId="55" fillId="0" borderId="30" xfId="0" applyNumberFormat="1" applyFont="1" applyFill="1" applyBorder="1" applyAlignment="1" applyProtection="1">
      <alignment horizontal="left" vertical="center" wrapText="1"/>
    </xf>
    <xf numFmtId="39" fontId="61" fillId="0" borderId="45" xfId="439" applyNumberFormat="1" applyFont="1" applyFill="1" applyBorder="1" applyAlignment="1" applyProtection="1">
      <alignment horizontal="center" vertical="center" wrapText="1"/>
    </xf>
    <xf numFmtId="0" fontId="66" fillId="0" borderId="0" xfId="0" applyNumberFormat="1" applyFont="1" applyFill="1" applyAlignment="1" applyProtection="1">
      <alignment horizontal="left" vertical="center" wrapText="1"/>
    </xf>
    <xf numFmtId="0" fontId="43" fillId="34" borderId="23" xfId="0" applyNumberFormat="1" applyFont="1" applyFill="1" applyBorder="1" applyAlignment="1" applyProtection="1">
      <alignment horizontal="left" vertical="center" wrapText="1"/>
    </xf>
    <xf numFmtId="0" fontId="61" fillId="34" borderId="25" xfId="0" applyNumberFormat="1" applyFont="1" applyFill="1" applyBorder="1" applyAlignment="1" applyProtection="1">
      <alignment horizontal="left" vertical="center" wrapText="1"/>
    </xf>
    <xf numFmtId="0" fontId="41" fillId="34" borderId="24" xfId="0" applyNumberFormat="1" applyFont="1" applyFill="1" applyBorder="1" applyAlignment="1" applyProtection="1">
      <alignment horizontal="center" vertical="center"/>
    </xf>
    <xf numFmtId="180" fontId="61" fillId="0" borderId="23" xfId="439" applyNumberFormat="1" applyFont="1" applyFill="1" applyBorder="1" applyAlignment="1" applyProtection="1">
      <alignment horizontal="center" vertical="center" wrapText="1"/>
    </xf>
    <xf numFmtId="0" fontId="0" fillId="0" borderId="23" xfId="0" applyNumberFormat="1" applyFont="1" applyFill="1" applyBorder="1" applyAlignment="1" applyProtection="1">
      <alignment horizontal="left" vertical="center" wrapText="1"/>
    </xf>
    <xf numFmtId="0" fontId="0" fillId="0" borderId="25" xfId="0" applyNumberFormat="1" applyFont="1" applyFill="1" applyBorder="1" applyAlignment="1" applyProtection="1">
      <alignment horizontal="left" vertical="center" wrapText="1"/>
    </xf>
    <xf numFmtId="0" fontId="0" fillId="0" borderId="0" xfId="0" applyFont="1" applyFill="1" applyAlignment="1" applyProtection="1">
      <alignment horizontal="left" vertical="center" wrapText="1"/>
    </xf>
    <xf numFmtId="0" fontId="0" fillId="0" borderId="25" xfId="0" applyNumberFormat="1" applyFont="1" applyFill="1" applyBorder="1" applyAlignment="1" applyProtection="1">
      <alignment horizontal="center" vertical="center" wrapText="1"/>
    </xf>
    <xf numFmtId="37" fontId="41" fillId="0" borderId="45" xfId="439" applyNumberFormat="1" applyFont="1" applyFill="1" applyBorder="1" applyAlignment="1" applyProtection="1">
      <alignment horizontal="center" vertical="center" wrapText="1"/>
    </xf>
    <xf numFmtId="0" fontId="66" fillId="0" borderId="45" xfId="0" applyNumberFormat="1" applyFont="1" applyFill="1" applyBorder="1" applyAlignment="1" applyProtection="1">
      <alignment horizontal="left" vertical="center" wrapText="1"/>
    </xf>
    <xf numFmtId="0" fontId="61" fillId="0" borderId="28" xfId="0" applyNumberFormat="1" applyFont="1" applyFill="1" applyBorder="1" applyAlignment="1" applyProtection="1">
      <alignment horizontal="left" vertical="center" wrapText="1"/>
    </xf>
    <xf numFmtId="0" fontId="55" fillId="0" borderId="45" xfId="0" applyNumberFormat="1" applyFont="1" applyFill="1" applyBorder="1" applyAlignment="1" applyProtection="1">
      <alignment horizontal="left" vertical="center" wrapText="1"/>
    </xf>
    <xf numFmtId="0" fontId="41" fillId="0" borderId="45" xfId="0" applyNumberFormat="1" applyFont="1" applyFill="1" applyBorder="1" applyAlignment="1" applyProtection="1">
      <alignment horizontal="center" vertical="center"/>
    </xf>
    <xf numFmtId="164" fontId="61" fillId="0" borderId="45" xfId="439" applyNumberFormat="1" applyFont="1" applyFill="1" applyBorder="1" applyAlignment="1" applyProtection="1">
      <alignment horizontal="center" vertical="center" wrapText="1"/>
    </xf>
    <xf numFmtId="41" fontId="44" fillId="0" borderId="0" xfId="0" applyNumberFormat="1" applyFont="1" applyFill="1" applyAlignment="1" applyProtection="1">
      <alignment wrapText="1"/>
    </xf>
    <xf numFmtId="0" fontId="0" fillId="0" borderId="23" xfId="0" applyFont="1" applyFill="1" applyBorder="1" applyAlignment="1" applyProtection="1">
      <alignment vertical="center" wrapText="1"/>
    </xf>
    <xf numFmtId="0" fontId="41" fillId="0" borderId="25" xfId="0" applyNumberFormat="1" applyFont="1" applyFill="1" applyBorder="1" applyAlignment="1" applyProtection="1">
      <alignment horizontal="center" vertical="center"/>
    </xf>
    <xf numFmtId="164" fontId="61" fillId="0" borderId="29" xfId="439" applyNumberFormat="1" applyFont="1" applyFill="1" applyBorder="1" applyAlignment="1" applyProtection="1">
      <alignment horizontal="center" vertical="center" wrapText="1"/>
    </xf>
    <xf numFmtId="164" fontId="61" fillId="0" borderId="23" xfId="439" applyNumberFormat="1" applyFont="1" applyFill="1" applyBorder="1" applyAlignment="1" applyProtection="1">
      <alignment horizontal="center" vertical="center" wrapText="1"/>
    </xf>
    <xf numFmtId="0" fontId="61" fillId="0" borderId="23" xfId="0" applyNumberFormat="1" applyFont="1" applyFill="1" applyBorder="1" applyAlignment="1" applyProtection="1">
      <alignment horizontal="left" vertical="center" wrapText="1"/>
    </xf>
    <xf numFmtId="39" fontId="61" fillId="0" borderId="28" xfId="439" applyNumberFormat="1" applyFont="1" applyFill="1" applyBorder="1" applyAlignment="1" applyProtection="1">
      <alignment horizontal="center" vertical="center" wrapText="1"/>
    </xf>
    <xf numFmtId="164" fontId="61" fillId="0" borderId="0" xfId="439" applyNumberFormat="1" applyFont="1" applyFill="1" applyBorder="1" applyAlignment="1" applyProtection="1">
      <alignment horizontal="center" vertical="center" wrapText="1"/>
    </xf>
    <xf numFmtId="0" fontId="0" fillId="0" borderId="0" xfId="0" applyFont="1" applyFill="1" applyBorder="1" applyAlignment="1" applyProtection="1">
      <alignment vertical="center" wrapText="1"/>
    </xf>
    <xf numFmtId="0" fontId="61" fillId="34" borderId="23" xfId="0" applyNumberFormat="1" applyFont="1" applyFill="1" applyBorder="1" applyAlignment="1" applyProtection="1">
      <alignment horizontal="left" vertical="center" wrapText="1"/>
    </xf>
    <xf numFmtId="164" fontId="61" fillId="29" borderId="23" xfId="439" applyNumberFormat="1" applyFont="1" applyFill="1" applyBorder="1" applyAlignment="1" applyProtection="1">
      <alignment horizontal="center" vertical="center" wrapText="1"/>
      <protection locked="0"/>
    </xf>
    <xf numFmtId="3" fontId="61" fillId="0" borderId="23" xfId="439" applyNumberFormat="1" applyFont="1" applyFill="1" applyBorder="1" applyAlignment="1" applyProtection="1">
      <alignment horizontal="center" vertical="center" wrapText="1"/>
    </xf>
    <xf numFmtId="3" fontId="61" fillId="34" borderId="23" xfId="439" applyNumberFormat="1" applyFont="1" applyFill="1" applyBorder="1" applyAlignment="1" applyProtection="1">
      <alignment horizontal="center" vertical="center" wrapText="1"/>
    </xf>
    <xf numFmtId="0" fontId="61" fillId="22" borderId="23" xfId="439" applyNumberFormat="1" applyFont="1" applyFill="1" applyBorder="1" applyAlignment="1" applyProtection="1">
      <alignment horizontal="center" vertical="center" wrapText="1"/>
      <protection locked="0"/>
    </xf>
    <xf numFmtId="164" fontId="61" fillId="29" borderId="0" xfId="439" applyNumberFormat="1" applyFont="1" applyFill="1" applyBorder="1" applyAlignment="1" applyProtection="1">
      <alignment horizontal="center" vertical="center" wrapText="1"/>
      <protection locked="0"/>
    </xf>
    <xf numFmtId="37" fontId="41" fillId="0" borderId="0" xfId="439" applyNumberFormat="1" applyFont="1" applyFill="1" applyBorder="1" applyAlignment="1" applyProtection="1">
      <alignment horizontal="center" vertical="center" wrapText="1"/>
    </xf>
    <xf numFmtId="0" fontId="41" fillId="0" borderId="0" xfId="0" applyNumberFormat="1" applyFont="1" applyFill="1" applyBorder="1" applyAlignment="1" applyProtection="1">
      <alignment horizontal="center" vertical="center"/>
    </xf>
    <xf numFmtId="3" fontId="61" fillId="0" borderId="45" xfId="439" applyNumberFormat="1" applyFont="1" applyFill="1" applyBorder="1" applyAlignment="1" applyProtection="1">
      <alignment horizontal="center" vertical="center" wrapText="1"/>
    </xf>
    <xf numFmtId="0" fontId="61" fillId="0" borderId="45" xfId="0" applyNumberFormat="1" applyFont="1" applyFill="1" applyBorder="1" applyAlignment="1" applyProtection="1">
      <alignment horizontal="left" vertical="center" wrapText="1"/>
    </xf>
    <xf numFmtId="0" fontId="0" fillId="0" borderId="36" xfId="0" applyFont="1" applyFill="1" applyBorder="1" applyAlignment="1" applyProtection="1">
      <alignment vertical="center" wrapText="1"/>
    </xf>
    <xf numFmtId="0" fontId="41" fillId="34" borderId="25" xfId="0" applyNumberFormat="1" applyFont="1" applyFill="1" applyBorder="1" applyAlignment="1" applyProtection="1">
      <alignment horizontal="center" vertical="center"/>
    </xf>
    <xf numFmtId="182" fontId="41" fillId="29" borderId="0" xfId="439" applyNumberFormat="1" applyFont="1" applyFill="1" applyAlignment="1" applyProtection="1">
      <alignment horizontal="center" vertical="center"/>
      <protection locked="0"/>
    </xf>
    <xf numFmtId="14" fontId="0" fillId="0" borderId="0" xfId="0" applyNumberFormat="1" applyFont="1" applyFill="1" applyAlignment="1" applyProtection="1">
      <alignment horizontal="center" vertical="center"/>
    </xf>
    <xf numFmtId="0" fontId="61" fillId="78" borderId="25" xfId="0" applyNumberFormat="1" applyFont="1" applyFill="1" applyBorder="1" applyAlignment="1" applyProtection="1">
      <alignment horizontal="left" vertical="center" wrapText="1"/>
    </xf>
    <xf numFmtId="0" fontId="61" fillId="78" borderId="23" xfId="0" applyNumberFormat="1" applyFont="1" applyFill="1" applyBorder="1" applyAlignment="1" applyProtection="1">
      <alignment horizontal="left" vertical="center" wrapText="1"/>
    </xf>
    <xf numFmtId="0" fontId="41" fillId="78" borderId="43" xfId="0" applyNumberFormat="1" applyFont="1" applyFill="1" applyBorder="1" applyAlignment="1" applyProtection="1">
      <alignment horizontal="center" vertical="center"/>
    </xf>
    <xf numFmtId="0" fontId="41" fillId="78" borderId="26" xfId="0" applyNumberFormat="1" applyFont="1" applyFill="1" applyBorder="1" applyAlignment="1" applyProtection="1">
      <alignment horizontal="center" vertical="center"/>
    </xf>
    <xf numFmtId="0" fontId="0" fillId="78" borderId="31" xfId="0" applyFont="1" applyFill="1" applyBorder="1" applyAlignment="1" applyProtection="1">
      <alignment vertical="center" wrapText="1"/>
    </xf>
    <xf numFmtId="0" fontId="41" fillId="78" borderId="25" xfId="0" applyNumberFormat="1" applyFont="1" applyFill="1" applyBorder="1" applyAlignment="1" applyProtection="1">
      <alignment horizontal="center" vertical="center"/>
    </xf>
    <xf numFmtId="0" fontId="0" fillId="78" borderId="23" xfId="0" applyFont="1" applyFill="1" applyBorder="1" applyAlignment="1" applyProtection="1">
      <alignment vertical="center" wrapText="1"/>
    </xf>
    <xf numFmtId="0" fontId="73" fillId="0" borderId="0" xfId="0" applyFont="1" applyAlignment="1" applyProtection="1">
      <alignment wrapText="1"/>
      <protection locked="0"/>
    </xf>
    <xf numFmtId="9" fontId="0" fillId="0" borderId="86" xfId="4688" applyNumberFormat="1" applyFont="1" applyFill="1" applyBorder="1" applyAlignment="1">
      <alignment horizontal="center"/>
    </xf>
    <xf numFmtId="3" fontId="41" fillId="0" borderId="0" xfId="439" applyNumberFormat="1" applyFont="1" applyFill="1" applyAlignment="1" applyProtection="1">
      <alignment horizontal="center" vertical="center" wrapText="1"/>
    </xf>
    <xf numFmtId="183" fontId="47" fillId="0" borderId="0" xfId="439" applyNumberFormat="1" applyFont="1" applyFill="1" applyAlignment="1" applyProtection="1">
      <alignment horizontal="center" vertical="center" wrapText="1"/>
    </xf>
    <xf numFmtId="167" fontId="0" fillId="0" borderId="86" xfId="545" applyNumberFormat="1" applyFont="1" applyFill="1" applyBorder="1" applyAlignment="1">
      <alignment horizontal="center"/>
    </xf>
    <xf numFmtId="10" fontId="0" fillId="0" borderId="99" xfId="4688" applyNumberFormat="1" applyFont="1" applyFill="1" applyBorder="1" applyAlignment="1">
      <alignment horizontal="center"/>
    </xf>
    <xf numFmtId="37" fontId="165" fillId="0" borderId="86" xfId="0" applyNumberFormat="1" applyFont="1" applyFill="1" applyBorder="1" applyAlignment="1">
      <alignment horizontal="center"/>
    </xf>
    <xf numFmtId="164" fontId="52" fillId="0" borderId="0" xfId="0" applyNumberFormat="1" applyFont="1" applyFill="1" applyAlignment="1" applyProtection="1">
      <alignment wrapText="1"/>
    </xf>
    <xf numFmtId="0" fontId="131" fillId="26" borderId="0" xfId="30099" applyFont="1" applyFill="1" applyAlignment="1">
      <alignment horizontal="left" vertical="top" wrapText="1"/>
    </xf>
    <xf numFmtId="164" fontId="52" fillId="78" borderId="10" xfId="0" applyNumberFormat="1" applyFont="1" applyFill="1" applyBorder="1" applyAlignment="1" applyProtection="1">
      <alignment horizontal="center" vertical="center" wrapText="1"/>
    </xf>
    <xf numFmtId="0" fontId="43" fillId="78" borderId="0" xfId="0" applyFont="1" applyFill="1" applyBorder="1" applyAlignment="1">
      <alignment wrapText="1"/>
    </xf>
    <xf numFmtId="0" fontId="41" fillId="78" borderId="63" xfId="0" applyNumberFormat="1" applyFont="1" applyFill="1" applyBorder="1" applyAlignment="1" applyProtection="1">
      <alignment horizontal="center" vertical="center"/>
    </xf>
    <xf numFmtId="0" fontId="43" fillId="78" borderId="23" xfId="0" applyNumberFormat="1" applyFont="1" applyFill="1" applyBorder="1" applyAlignment="1" applyProtection="1">
      <alignment horizontal="left" vertical="center" wrapText="1"/>
    </xf>
    <xf numFmtId="0" fontId="41" fillId="0" borderId="10" xfId="0" applyFont="1" applyFill="1" applyBorder="1" applyAlignment="1" applyProtection="1">
      <alignment wrapText="1"/>
      <protection locked="0"/>
    </xf>
    <xf numFmtId="0" fontId="47" fillId="0" borderId="10" xfId="0" applyFont="1" applyBorder="1" applyProtection="1">
      <protection locked="0"/>
    </xf>
    <xf numFmtId="0" fontId="155" fillId="81" borderId="57" xfId="30099" applyFont="1" applyFill="1" applyBorder="1" applyAlignment="1" applyProtection="1">
      <alignment horizontal="center" vertical="center"/>
      <protection locked="0"/>
    </xf>
    <xf numFmtId="0" fontId="131" fillId="81" borderId="57" xfId="30099" applyFont="1" applyFill="1" applyBorder="1" applyAlignment="1" applyProtection="1">
      <alignment horizontal="center" vertical="center"/>
      <protection locked="0"/>
    </xf>
    <xf numFmtId="14" fontId="131" fillId="81" borderId="57" xfId="30099" applyNumberFormat="1" applyFont="1" applyFill="1" applyBorder="1" applyAlignment="1" applyProtection="1">
      <alignment horizontal="center" vertical="center"/>
      <protection locked="0"/>
    </xf>
    <xf numFmtId="164" fontId="137" fillId="26" borderId="0" xfId="30100" applyNumberFormat="1" applyFont="1" applyFill="1" applyBorder="1" applyAlignment="1"/>
    <xf numFmtId="37" fontId="47" fillId="0" borderId="92" xfId="0" applyNumberFormat="1" applyFont="1" applyFill="1" applyBorder="1" applyAlignment="1">
      <alignment horizontal="center"/>
    </xf>
    <xf numFmtId="10" fontId="0" fillId="0" borderId="10" xfId="4688" applyNumberFormat="1" applyFont="1" applyFill="1" applyBorder="1"/>
    <xf numFmtId="10" fontId="0" fillId="0" borderId="10" xfId="0" applyNumberFormat="1" applyFont="1" applyFill="1" applyBorder="1" applyAlignment="1">
      <alignment horizontal="center" wrapText="1"/>
    </xf>
    <xf numFmtId="10" fontId="0" fillId="78" borderId="10" xfId="4688" applyNumberFormat="1" applyFont="1" applyFill="1" applyBorder="1"/>
    <xf numFmtId="10" fontId="0" fillId="78" borderId="10" xfId="0" applyNumberFormat="1" applyFont="1" applyFill="1" applyBorder="1" applyAlignment="1">
      <alignment horizontal="center" wrapText="1"/>
    </xf>
    <xf numFmtId="0" fontId="41" fillId="78" borderId="111" xfId="0" applyFont="1" applyFill="1" applyBorder="1" applyAlignment="1">
      <alignment wrapText="1"/>
    </xf>
    <xf numFmtId="0" fontId="41" fillId="78" borderId="10" xfId="0" applyFont="1" applyFill="1" applyBorder="1" applyAlignment="1">
      <alignment vertical="center" wrapText="1"/>
    </xf>
    <xf numFmtId="167" fontId="0" fillId="0" borderId="10" xfId="545" applyNumberFormat="1" applyFont="1" applyFill="1" applyBorder="1" applyAlignment="1">
      <alignment horizontal="center"/>
    </xf>
    <xf numFmtId="10" fontId="0" fillId="0" borderId="10" xfId="4688" applyNumberFormat="1" applyFont="1" applyFill="1" applyBorder="1" applyAlignment="1">
      <alignment horizontal="center"/>
    </xf>
    <xf numFmtId="0" fontId="41" fillId="78" borderId="111" xfId="0" applyFont="1" applyFill="1" applyBorder="1" applyAlignment="1">
      <alignment vertical="center" wrapText="1"/>
    </xf>
    <xf numFmtId="0" fontId="41" fillId="78" borderId="0" xfId="0" applyFont="1" applyFill="1" applyBorder="1" applyAlignment="1">
      <alignment vertical="center" wrapText="1"/>
    </xf>
    <xf numFmtId="10" fontId="0" fillId="78" borderId="0" xfId="4688" applyNumberFormat="1" applyFont="1" applyFill="1" applyBorder="1" applyAlignment="1">
      <alignment horizontal="center"/>
    </xf>
    <xf numFmtId="10" fontId="0" fillId="78" borderId="10" xfId="4688" applyNumberFormat="1" applyFont="1" applyFill="1" applyBorder="1" applyAlignment="1">
      <alignment horizontal="center"/>
    </xf>
    <xf numFmtId="43" fontId="0" fillId="0" borderId="0" xfId="439" applyFont="1" applyFill="1"/>
    <xf numFmtId="164" fontId="0" fillId="0" borderId="0" xfId="439" applyNumberFormat="1" applyFont="1" applyFill="1"/>
    <xf numFmtId="172" fontId="0" fillId="0" borderId="0" xfId="439" applyNumberFormat="1" applyFont="1" applyFill="1"/>
    <xf numFmtId="184" fontId="0" fillId="0" borderId="0" xfId="439" applyNumberFormat="1" applyFont="1" applyFill="1"/>
    <xf numFmtId="43" fontId="0" fillId="0" borderId="0" xfId="439" applyNumberFormat="1" applyFont="1" applyFill="1"/>
    <xf numFmtId="38" fontId="0" fillId="0" borderId="0" xfId="0" applyNumberFormat="1" applyFont="1" applyFill="1"/>
    <xf numFmtId="40" fontId="0" fillId="0" borderId="0" xfId="0" applyNumberFormat="1" applyFont="1" applyFill="1"/>
    <xf numFmtId="0" fontId="35" fillId="0" borderId="0" xfId="0" applyFont="1" applyProtection="1"/>
    <xf numFmtId="0" fontId="62" fillId="0" borderId="0" xfId="26000" applyFont="1" applyProtection="1"/>
    <xf numFmtId="0" fontId="62" fillId="0" borderId="0" xfId="26000" applyFont="1" applyAlignment="1" applyProtection="1">
      <alignment horizontal="center" vertical="center"/>
    </xf>
    <xf numFmtId="0" fontId="47" fillId="0" borderId="0" xfId="26000" applyFont="1" applyProtection="1"/>
    <xf numFmtId="0" fontId="47" fillId="0" borderId="0" xfId="26000" applyFont="1" applyFill="1" applyProtection="1"/>
    <xf numFmtId="0" fontId="47" fillId="0" borderId="0" xfId="26000" applyFont="1" applyAlignment="1" applyProtection="1">
      <alignment horizontal="center"/>
    </xf>
    <xf numFmtId="0" fontId="62" fillId="0" borderId="0" xfId="26000" applyFont="1" applyAlignment="1" applyProtection="1">
      <alignment horizontal="left"/>
    </xf>
    <xf numFmtId="0" fontId="62" fillId="84" borderId="0" xfId="26000" applyFont="1" applyFill="1" applyProtection="1"/>
    <xf numFmtId="0" fontId="47" fillId="84" borderId="0" xfId="26000" applyFont="1" applyFill="1" applyProtection="1"/>
    <xf numFmtId="0" fontId="168" fillId="0" borderId="57" xfId="26000" applyFont="1" applyBorder="1" applyProtection="1"/>
    <xf numFmtId="9" fontId="62" fillId="0" borderId="0" xfId="26000" applyNumberFormat="1" applyFont="1" applyAlignment="1" applyProtection="1">
      <alignment horizontal="center"/>
    </xf>
    <xf numFmtId="38" fontId="47" fillId="83" borderId="0" xfId="29549" applyNumberFormat="1" applyFont="1" applyFill="1" applyProtection="1"/>
    <xf numFmtId="38" fontId="47" fillId="0" borderId="0" xfId="29549" applyNumberFormat="1" applyFont="1" applyFill="1" applyProtection="1"/>
    <xf numFmtId="164" fontId="47" fillId="0" borderId="57" xfId="29549" applyNumberFormat="1" applyFont="1" applyBorder="1" applyProtection="1"/>
    <xf numFmtId="164" fontId="47" fillId="0" borderId="0" xfId="29549" applyNumberFormat="1" applyFont="1" applyFill="1" applyBorder="1" applyProtection="1"/>
    <xf numFmtId="38" fontId="47" fillId="83" borderId="0" xfId="26000" applyNumberFormat="1" applyFont="1" applyFill="1" applyProtection="1"/>
    <xf numFmtId="38" fontId="47" fillId="0" borderId="0" xfId="26000" applyNumberFormat="1" applyFont="1" applyProtection="1"/>
    <xf numFmtId="0" fontId="47" fillId="0" borderId="0" xfId="26000" applyFont="1" applyAlignment="1" applyProtection="1">
      <alignment wrapText="1"/>
    </xf>
    <xf numFmtId="43" fontId="47" fillId="83" borderId="57" xfId="29549" applyFont="1" applyFill="1" applyBorder="1" applyAlignment="1" applyProtection="1">
      <alignment horizontal="left"/>
    </xf>
    <xf numFmtId="164" fontId="47" fillId="0" borderId="0" xfId="29549" applyNumberFormat="1" applyFont="1" applyFill="1" applyBorder="1" applyAlignment="1" applyProtection="1">
      <alignment horizontal="left"/>
    </xf>
    <xf numFmtId="172" fontId="47" fillId="0" borderId="0" xfId="29549" applyNumberFormat="1" applyFont="1" applyFill="1" applyBorder="1" applyAlignment="1" applyProtection="1">
      <alignment horizontal="left"/>
    </xf>
    <xf numFmtId="0" fontId="62" fillId="0" borderId="0" xfId="26000" applyFont="1" applyAlignment="1" applyProtection="1">
      <alignment wrapText="1"/>
    </xf>
    <xf numFmtId="164" fontId="47" fillId="83" borderId="57" xfId="29549" applyNumberFormat="1" applyFont="1" applyFill="1" applyBorder="1" applyProtection="1"/>
    <xf numFmtId="164" fontId="47" fillId="0" borderId="57" xfId="29549" applyNumberFormat="1" applyFont="1" applyFill="1" applyBorder="1" applyProtection="1"/>
    <xf numFmtId="40" fontId="47" fillId="83" borderId="0" xfId="26000" applyNumberFormat="1" applyFont="1" applyFill="1" applyProtection="1"/>
    <xf numFmtId="0" fontId="169" fillId="0" borderId="0" xfId="26000" applyFont="1" applyAlignment="1" applyProtection="1">
      <alignment horizontal="right"/>
    </xf>
    <xf numFmtId="164" fontId="47" fillId="0" borderId="0" xfId="29549" applyNumberFormat="1" applyFont="1" applyBorder="1" applyProtection="1"/>
    <xf numFmtId="164" fontId="47" fillId="0" borderId="0" xfId="26000" applyNumberFormat="1" applyFont="1" applyProtection="1"/>
    <xf numFmtId="38" fontId="47" fillId="0" borderId="0" xfId="29549" applyNumberFormat="1" applyFont="1" applyBorder="1" applyProtection="1"/>
    <xf numFmtId="0" fontId="169" fillId="0" borderId="0" xfId="26000" applyFont="1" applyProtection="1"/>
    <xf numFmtId="43" fontId="47" fillId="0" borderId="0" xfId="26000" applyNumberFormat="1" applyFont="1" applyProtection="1"/>
    <xf numFmtId="164" fontId="62" fillId="0" borderId="57" xfId="26000" applyNumberFormat="1" applyFont="1" applyBorder="1" applyProtection="1"/>
    <xf numFmtId="0" fontId="62" fillId="0" borderId="0" xfId="26000" applyFont="1" applyAlignment="1" applyProtection="1">
      <alignment horizontal="center"/>
    </xf>
    <xf numFmtId="0" fontId="62" fillId="0" borderId="70" xfId="26000" applyFont="1" applyBorder="1" applyAlignment="1" applyProtection="1">
      <alignment horizontal="right" vertical="top" wrapText="1"/>
    </xf>
    <xf numFmtId="164" fontId="62" fillId="0" borderId="72" xfId="29549" applyNumberFormat="1" applyFont="1" applyBorder="1" applyProtection="1"/>
    <xf numFmtId="167" fontId="47" fillId="0" borderId="0" xfId="29549" applyNumberFormat="1" applyFont="1" applyProtection="1"/>
    <xf numFmtId="43" fontId="62" fillId="0" borderId="70" xfId="29549" applyFont="1" applyBorder="1" applyProtection="1"/>
    <xf numFmtId="43" fontId="47" fillId="0" borderId="72" xfId="29549" applyFont="1" applyBorder="1" applyAlignment="1" applyProtection="1">
      <alignment horizontal="right"/>
    </xf>
    <xf numFmtId="0" fontId="47" fillId="0" borderId="0" xfId="26000" applyFont="1" applyBorder="1" applyAlignment="1" applyProtection="1">
      <alignment vertical="top"/>
    </xf>
    <xf numFmtId="0" fontId="169" fillId="0" borderId="0" xfId="26000" applyFont="1" applyAlignment="1" applyProtection="1">
      <alignment vertical="top" wrapText="1"/>
    </xf>
    <xf numFmtId="38" fontId="55" fillId="26" borderId="0" xfId="682" applyNumberFormat="1" applyFont="1" applyFill="1"/>
    <xf numFmtId="0" fontId="41" fillId="0" borderId="0" xfId="682" applyFont="1" applyFill="1" applyAlignment="1">
      <alignment wrapText="1"/>
    </xf>
    <xf numFmtId="0" fontId="0" fillId="0" borderId="0" xfId="682" applyFont="1"/>
    <xf numFmtId="0" fontId="170" fillId="26" borderId="0" xfId="682" applyFont="1" applyFill="1"/>
    <xf numFmtId="0" fontId="0" fillId="26" borderId="0" xfId="682" applyFont="1" applyFill="1"/>
    <xf numFmtId="0" fontId="52" fillId="0" borderId="17" xfId="682" applyFont="1" applyBorder="1" applyAlignment="1">
      <alignment horizontal="center"/>
    </xf>
    <xf numFmtId="0" fontId="171" fillId="0" borderId="0" xfId="682" applyFont="1"/>
    <xf numFmtId="0" fontId="171" fillId="0" borderId="0" xfId="682" applyFont="1" applyAlignment="1">
      <alignment vertical="center"/>
    </xf>
    <xf numFmtId="0" fontId="52" fillId="0" borderId="14" xfId="682" applyFont="1" applyBorder="1" applyAlignment="1">
      <alignment horizontal="center" vertical="center" wrapText="1"/>
    </xf>
    <xf numFmtId="0" fontId="172" fillId="0" borderId="0" xfId="682" applyFont="1"/>
    <xf numFmtId="0" fontId="55" fillId="0" borderId="0" xfId="682" applyFont="1"/>
    <xf numFmtId="167" fontId="173" fillId="26" borderId="0" xfId="546" applyNumberFormat="1" applyFont="1" applyFill="1"/>
    <xf numFmtId="167" fontId="55" fillId="0" borderId="0" xfId="546" applyNumberFormat="1" applyFont="1"/>
    <xf numFmtId="38" fontId="173" fillId="26" borderId="0" xfId="682" applyNumberFormat="1" applyFont="1" applyFill="1"/>
    <xf numFmtId="38" fontId="55" fillId="0" borderId="0" xfId="682" applyNumberFormat="1" applyFont="1"/>
    <xf numFmtId="38" fontId="0" fillId="26" borderId="0" xfId="682" applyNumberFormat="1" applyFont="1" applyFill="1"/>
    <xf numFmtId="38" fontId="55" fillId="26" borderId="17" xfId="449" applyNumberFormat="1" applyFont="1" applyFill="1" applyBorder="1"/>
    <xf numFmtId="38" fontId="55" fillId="0" borderId="0" xfId="449" applyNumberFormat="1" applyFont="1"/>
    <xf numFmtId="0" fontId="52" fillId="27" borderId="0" xfId="682" applyFont="1" applyFill="1"/>
    <xf numFmtId="0" fontId="0" fillId="27" borderId="0" xfId="682" applyFont="1" applyFill="1"/>
    <xf numFmtId="0" fontId="55" fillId="27" borderId="0" xfId="682" applyFont="1" applyFill="1"/>
    <xf numFmtId="167" fontId="52" fillId="27" borderId="0" xfId="546" applyNumberFormat="1" applyFont="1" applyFill="1"/>
    <xf numFmtId="167" fontId="55" fillId="27" borderId="0" xfId="546" applyNumberFormat="1" applyFont="1" applyFill="1"/>
    <xf numFmtId="164" fontId="55" fillId="26" borderId="17" xfId="449" applyNumberFormat="1" applyFont="1" applyFill="1" applyBorder="1"/>
    <xf numFmtId="164" fontId="55" fillId="0" borderId="0" xfId="449" applyNumberFormat="1" applyFont="1"/>
    <xf numFmtId="0" fontId="172" fillId="0" borderId="0" xfId="682" applyFont="1" applyAlignment="1">
      <alignment vertical="center"/>
    </xf>
    <xf numFmtId="0" fontId="174" fillId="0" borderId="0" xfId="682" applyFont="1"/>
    <xf numFmtId="38" fontId="55" fillId="26" borderId="0" xfId="449" applyNumberFormat="1" applyFont="1" applyFill="1"/>
    <xf numFmtId="167" fontId="52" fillId="27" borderId="18" xfId="546" applyNumberFormat="1" applyFont="1" applyFill="1" applyBorder="1"/>
    <xf numFmtId="167" fontId="55" fillId="26" borderId="19" xfId="546" applyNumberFormat="1" applyFont="1" applyFill="1" applyBorder="1"/>
    <xf numFmtId="0" fontId="52" fillId="0" borderId="0" xfId="682" applyFont="1"/>
    <xf numFmtId="167" fontId="52" fillId="0" borderId="20" xfId="546" applyNumberFormat="1" applyFont="1" applyBorder="1"/>
    <xf numFmtId="0" fontId="52" fillId="0" borderId="0" xfId="682" applyFont="1" applyAlignment="1">
      <alignment horizontal="center"/>
    </xf>
    <xf numFmtId="167" fontId="173" fillId="0" borderId="0" xfId="546" applyNumberFormat="1" applyFont="1" applyFill="1"/>
    <xf numFmtId="38" fontId="173" fillId="26" borderId="0" xfId="0" applyNumberFormat="1" applyFont="1" applyFill="1"/>
    <xf numFmtId="38" fontId="173" fillId="0" borderId="0" xfId="449" applyNumberFormat="1" applyFont="1" applyFill="1"/>
    <xf numFmtId="38" fontId="173" fillId="26" borderId="17" xfId="0" applyNumberFormat="1" applyFont="1" applyFill="1" applyBorder="1"/>
    <xf numFmtId="38" fontId="173" fillId="0" borderId="17" xfId="449" applyNumberFormat="1" applyFont="1" applyFill="1" applyBorder="1"/>
    <xf numFmtId="167" fontId="55" fillId="0" borderId="19" xfId="546" applyNumberFormat="1" applyFont="1" applyBorder="1"/>
    <xf numFmtId="10" fontId="52" fillId="0" borderId="19" xfId="682" applyNumberFormat="1" applyFont="1" applyBorder="1"/>
    <xf numFmtId="0" fontId="0" fillId="0" borderId="82" xfId="0" applyFont="1" applyBorder="1"/>
    <xf numFmtId="0" fontId="41" fillId="78" borderId="78" xfId="0" applyFont="1" applyFill="1" applyBorder="1" applyAlignment="1">
      <alignment horizontal="left"/>
    </xf>
    <xf numFmtId="0" fontId="0" fillId="78" borderId="78" xfId="0" applyFont="1" applyFill="1" applyBorder="1"/>
    <xf numFmtId="0" fontId="41" fillId="78" borderId="78" xfId="0" applyFont="1" applyFill="1" applyBorder="1"/>
    <xf numFmtId="0" fontId="0" fillId="78" borderId="81" xfId="0" applyFont="1" applyFill="1" applyBorder="1"/>
    <xf numFmtId="0" fontId="0" fillId="73" borderId="10" xfId="0" applyFont="1" applyFill="1" applyBorder="1" applyAlignment="1">
      <alignment horizontal="center" vertical="center" wrapText="1"/>
    </xf>
    <xf numFmtId="0" fontId="0" fillId="78" borderId="81" xfId="0" applyFont="1" applyFill="1" applyBorder="1" applyAlignment="1">
      <alignment wrapText="1"/>
    </xf>
    <xf numFmtId="0" fontId="0" fillId="0" borderId="82" xfId="0" applyFont="1" applyBorder="1" applyAlignment="1">
      <alignment wrapText="1"/>
    </xf>
    <xf numFmtId="1" fontId="0" fillId="0" borderId="82" xfId="0" applyNumberFormat="1" applyFont="1" applyBorder="1"/>
    <xf numFmtId="0" fontId="0" fillId="73" borderId="84" xfId="0" applyFont="1" applyFill="1" applyBorder="1" applyAlignment="1">
      <alignment horizontal="center" vertical="center" wrapText="1"/>
    </xf>
    <xf numFmtId="0" fontId="0" fillId="0" borderId="82" xfId="0" applyFont="1" applyBorder="1" applyAlignment="1">
      <alignment horizontal="center"/>
    </xf>
    <xf numFmtId="0" fontId="0" fillId="0" borderId="81" xfId="0" applyFont="1" applyBorder="1"/>
    <xf numFmtId="0" fontId="176" fillId="78" borderId="105" xfId="0" applyFont="1" applyFill="1" applyBorder="1" applyAlignment="1">
      <alignment wrapText="1"/>
    </xf>
    <xf numFmtId="37" fontId="0" fillId="0" borderId="0" xfId="0" applyNumberFormat="1" applyFont="1" applyBorder="1"/>
    <xf numFmtId="0" fontId="0" fillId="0" borderId="86" xfId="0" applyNumberFormat="1" applyFont="1" applyBorder="1" applyAlignment="1">
      <alignment horizontal="center" wrapText="1"/>
    </xf>
    <xf numFmtId="10" fontId="0" fillId="0" borderId="82" xfId="0" applyNumberFormat="1" applyFont="1" applyBorder="1"/>
    <xf numFmtId="0" fontId="0" fillId="78" borderId="85" xfId="0" applyFont="1" applyFill="1" applyBorder="1"/>
    <xf numFmtId="0" fontId="0" fillId="78" borderId="85" xfId="0" applyFont="1" applyFill="1" applyBorder="1" applyAlignment="1">
      <alignment horizontal="center" wrapText="1"/>
    </xf>
    <xf numFmtId="0" fontId="0" fillId="78" borderId="85" xfId="0" applyFont="1" applyFill="1" applyBorder="1" applyAlignment="1">
      <alignment wrapText="1"/>
    </xf>
    <xf numFmtId="0" fontId="0" fillId="78" borderId="102" xfId="0" applyFont="1" applyFill="1" applyBorder="1" applyAlignment="1">
      <alignment horizontal="center" wrapText="1"/>
    </xf>
    <xf numFmtId="0" fontId="0" fillId="78" borderId="102" xfId="0" applyFont="1" applyFill="1" applyBorder="1"/>
    <xf numFmtId="2" fontId="0" fillId="0" borderId="82" xfId="0" applyNumberFormat="1" applyFont="1" applyBorder="1"/>
    <xf numFmtId="168" fontId="0" fillId="0" borderId="82" xfId="0" applyNumberFormat="1" applyFont="1" applyBorder="1"/>
    <xf numFmtId="2" fontId="0" fillId="80" borderId="87" xfId="0" applyNumberFormat="1" applyFont="1" applyFill="1" applyBorder="1"/>
    <xf numFmtId="0" fontId="0" fillId="78" borderId="96" xfId="0" applyFont="1" applyFill="1" applyBorder="1" applyAlignment="1">
      <alignment horizontal="center" wrapText="1"/>
    </xf>
    <xf numFmtId="0" fontId="0" fillId="78" borderId="96" xfId="0" applyFont="1" applyFill="1" applyBorder="1"/>
    <xf numFmtId="0" fontId="0" fillId="78" borderId="97" xfId="0" applyFont="1" applyFill="1" applyBorder="1"/>
    <xf numFmtId="39" fontId="0" fillId="0" borderId="82" xfId="0" applyNumberFormat="1" applyFont="1" applyBorder="1"/>
    <xf numFmtId="2" fontId="0" fillId="0" borderId="86" xfId="0" applyNumberFormat="1" applyFont="1" applyFill="1" applyBorder="1" applyAlignment="1">
      <alignment horizontal="center"/>
    </xf>
    <xf numFmtId="0" fontId="0" fillId="0" borderId="86" xfId="0" applyFont="1" applyFill="1" applyBorder="1" applyAlignment="1">
      <alignment horizontal="center" wrapText="1"/>
    </xf>
    <xf numFmtId="0" fontId="0" fillId="78" borderId="86" xfId="0" applyFont="1" applyFill="1" applyBorder="1" applyAlignment="1">
      <alignment wrapText="1"/>
    </xf>
    <xf numFmtId="0" fontId="0" fillId="78" borderId="88" xfId="0" applyFont="1" applyFill="1" applyBorder="1"/>
    <xf numFmtId="0" fontId="0" fillId="78" borderId="88" xfId="0" applyFont="1" applyFill="1" applyBorder="1" applyAlignment="1">
      <alignment horizontal="center" wrapText="1"/>
    </xf>
    <xf numFmtId="0" fontId="0" fillId="78" borderId="88" xfId="0" applyFont="1" applyFill="1" applyBorder="1" applyAlignment="1">
      <alignment wrapText="1"/>
    </xf>
    <xf numFmtId="0" fontId="176" fillId="78" borderId="82" xfId="0" applyFont="1" applyFill="1" applyBorder="1" applyAlignment="1">
      <alignment wrapText="1"/>
    </xf>
    <xf numFmtId="0" fontId="0" fillId="78" borderId="86" xfId="0" applyFont="1" applyFill="1" applyBorder="1" applyAlignment="1">
      <alignment horizontal="center" wrapText="1"/>
    </xf>
    <xf numFmtId="37" fontId="0" fillId="0" borderId="86" xfId="0" applyNumberFormat="1" applyFont="1" applyFill="1" applyBorder="1" applyAlignment="1">
      <alignment horizontal="center"/>
    </xf>
    <xf numFmtId="0" fontId="0" fillId="0" borderId="10" xfId="0" applyFont="1" applyFill="1" applyBorder="1"/>
    <xf numFmtId="0" fontId="0" fillId="78" borderId="87" xfId="0" applyFont="1" applyFill="1" applyBorder="1" applyAlignment="1">
      <alignment vertical="center" wrapText="1"/>
    </xf>
    <xf numFmtId="0" fontId="0" fillId="0" borderId="10" xfId="0" applyFont="1" applyFill="1" applyBorder="1" applyProtection="1">
      <protection locked="0"/>
    </xf>
    <xf numFmtId="0" fontId="0" fillId="0" borderId="78" xfId="0" applyFont="1" applyBorder="1"/>
    <xf numFmtId="0" fontId="0" fillId="0" borderId="88" xfId="0" applyFont="1" applyBorder="1"/>
    <xf numFmtId="0" fontId="0" fillId="78" borderId="90" xfId="0" applyFont="1" applyFill="1" applyBorder="1"/>
    <xf numFmtId="0" fontId="0" fillId="78" borderId="85" xfId="0" applyFont="1" applyFill="1" applyBorder="1" applyAlignment="1">
      <alignment horizontal="center"/>
    </xf>
    <xf numFmtId="0" fontId="0" fillId="0" borderId="90" xfId="0" applyFont="1" applyFill="1" applyBorder="1"/>
    <xf numFmtId="0" fontId="0" fillId="78" borderId="86" xfId="0" applyFont="1" applyFill="1" applyBorder="1" applyAlignment="1">
      <alignment horizontal="left" vertical="center" wrapText="1"/>
    </xf>
    <xf numFmtId="0" fontId="0" fillId="78" borderId="87" xfId="0" applyFont="1" applyFill="1" applyBorder="1" applyAlignment="1">
      <alignment horizontal="left" vertical="center" wrapText="1"/>
    </xf>
    <xf numFmtId="0" fontId="0" fillId="0" borderId="82" xfId="0" applyFont="1" applyFill="1" applyBorder="1"/>
    <xf numFmtId="37" fontId="0" fillId="0" borderId="92" xfId="0" applyNumberFormat="1" applyFont="1" applyFill="1" applyBorder="1" applyAlignment="1">
      <alignment horizontal="center"/>
    </xf>
    <xf numFmtId="0" fontId="0" fillId="78" borderId="91" xfId="0" applyFont="1" applyFill="1" applyBorder="1"/>
    <xf numFmtId="0" fontId="0" fillId="78" borderId="82" xfId="0" applyFont="1" applyFill="1" applyBorder="1" applyAlignment="1">
      <alignment horizontal="center"/>
    </xf>
    <xf numFmtId="0" fontId="0" fillId="78" borderId="82" xfId="0" applyFont="1" applyFill="1" applyBorder="1"/>
    <xf numFmtId="0" fontId="0" fillId="78" borderId="78" xfId="0" applyFont="1" applyFill="1" applyBorder="1" applyAlignment="1">
      <alignment wrapText="1"/>
    </xf>
    <xf numFmtId="0" fontId="0" fillId="78" borderId="10" xfId="0" applyFont="1" applyFill="1" applyBorder="1" applyAlignment="1">
      <alignment wrapText="1"/>
    </xf>
    <xf numFmtId="0" fontId="0" fillId="0" borderId="88" xfId="0" applyFont="1" applyBorder="1" applyAlignment="1">
      <alignment wrapText="1"/>
    </xf>
    <xf numFmtId="0" fontId="0" fillId="78" borderId="110" xfId="0" applyFont="1" applyFill="1" applyBorder="1"/>
    <xf numFmtId="0" fontId="0" fillId="78" borderId="10" xfId="0" quotePrefix="1" applyFont="1" applyFill="1" applyBorder="1" applyAlignment="1">
      <alignment horizontal="center" wrapText="1"/>
    </xf>
    <xf numFmtId="0" fontId="0" fillId="0" borderId="103" xfId="0" applyFont="1" applyFill="1" applyBorder="1" applyProtection="1">
      <protection locked="0"/>
    </xf>
    <xf numFmtId="0" fontId="0" fillId="78" borderId="10" xfId="0" applyNumberFormat="1" applyFont="1" applyFill="1" applyBorder="1" applyAlignment="1">
      <alignment horizontal="center" wrapText="1"/>
    </xf>
    <xf numFmtId="0" fontId="0" fillId="0" borderId="0" xfId="0" applyNumberFormat="1" applyFont="1" applyBorder="1" applyAlignment="1">
      <alignment horizontal="center" wrapText="1"/>
    </xf>
    <xf numFmtId="0" fontId="0" fillId="78" borderId="108" xfId="0" applyFont="1" applyFill="1" applyBorder="1" applyAlignment="1">
      <alignment wrapText="1"/>
    </xf>
    <xf numFmtId="0" fontId="0" fillId="0" borderId="104" xfId="0" applyFont="1" applyFill="1" applyBorder="1" applyProtection="1">
      <protection locked="0"/>
    </xf>
    <xf numFmtId="2" fontId="0" fillId="0" borderId="10" xfId="0" applyNumberFormat="1" applyFont="1" applyFill="1" applyBorder="1" applyAlignment="1">
      <alignment horizontal="center"/>
    </xf>
    <xf numFmtId="0" fontId="0" fillId="78" borderId="10" xfId="0" applyFont="1" applyFill="1" applyBorder="1" applyAlignment="1">
      <alignment horizontal="center" vertical="center" wrapText="1"/>
    </xf>
    <xf numFmtId="0" fontId="0" fillId="78" borderId="10" xfId="0" applyFont="1" applyFill="1" applyBorder="1" applyAlignment="1">
      <alignment vertical="center" wrapText="1"/>
    </xf>
    <xf numFmtId="167" fontId="0" fillId="0" borderId="10" xfId="0" applyNumberFormat="1" applyFont="1" applyFill="1" applyBorder="1" applyAlignment="1">
      <alignment horizontal="center"/>
    </xf>
    <xf numFmtId="37" fontId="0" fillId="0" borderId="10" xfId="0" applyNumberFormat="1" applyFont="1" applyFill="1" applyBorder="1" applyAlignment="1">
      <alignment horizontal="center"/>
    </xf>
    <xf numFmtId="0" fontId="0" fillId="78" borderId="108" xfId="0" applyFont="1" applyFill="1" applyBorder="1" applyAlignment="1">
      <alignment vertical="center" wrapText="1"/>
    </xf>
    <xf numFmtId="0" fontId="0" fillId="78" borderId="0" xfId="0" applyFont="1" applyFill="1" applyBorder="1" applyAlignment="1">
      <alignment horizontal="center" wrapText="1"/>
    </xf>
    <xf numFmtId="10" fontId="0" fillId="78" borderId="0" xfId="0" applyNumberFormat="1" applyFont="1" applyFill="1" applyBorder="1" applyAlignment="1">
      <alignment horizontal="center"/>
    </xf>
    <xf numFmtId="0" fontId="0" fillId="78" borderId="0" xfId="0" applyFont="1" applyFill="1" applyBorder="1" applyAlignment="1">
      <alignment wrapText="1"/>
    </xf>
    <xf numFmtId="37" fontId="0" fillId="0" borderId="86" xfId="0" applyNumberFormat="1" applyFont="1" applyFill="1" applyBorder="1" applyAlignment="1">
      <alignment horizontal="center" wrapText="1"/>
    </xf>
    <xf numFmtId="0" fontId="0" fillId="0" borderId="10" xfId="0" applyFont="1" applyBorder="1" applyProtection="1">
      <protection locked="0"/>
    </xf>
    <xf numFmtId="0" fontId="41" fillId="0" borderId="78" xfId="0" applyFont="1" applyBorder="1" applyAlignment="1">
      <alignment vertical="center"/>
    </xf>
    <xf numFmtId="0" fontId="176" fillId="78" borderId="109" xfId="0" applyFont="1" applyFill="1" applyBorder="1" applyAlignment="1">
      <alignment wrapText="1"/>
    </xf>
    <xf numFmtId="0" fontId="41" fillId="0" borderId="95" xfId="0" applyFont="1" applyBorder="1" applyAlignment="1">
      <alignment vertical="center"/>
    </xf>
    <xf numFmtId="9" fontId="41" fillId="0" borderId="0" xfId="4688" applyFont="1" applyBorder="1" applyAlignment="1">
      <alignment horizontal="center" wrapText="1"/>
    </xf>
    <xf numFmtId="0" fontId="41" fillId="0" borderId="85" xfId="0" applyFont="1" applyBorder="1" applyAlignment="1">
      <alignment vertical="center"/>
    </xf>
    <xf numFmtId="0" fontId="41" fillId="0" borderId="0" xfId="0" applyFont="1" applyFill="1" applyBorder="1" applyAlignment="1">
      <alignment vertical="center"/>
    </xf>
    <xf numFmtId="0" fontId="41" fillId="0" borderId="88" xfId="0" applyFont="1" applyBorder="1" applyAlignment="1">
      <alignment vertical="center"/>
    </xf>
    <xf numFmtId="0" fontId="41" fillId="0" borderId="82" xfId="0" applyFont="1" applyBorder="1" applyAlignment="1">
      <alignment vertical="center"/>
    </xf>
    <xf numFmtId="0" fontId="0" fillId="78" borderId="10" xfId="0" applyFont="1" applyFill="1" applyBorder="1" applyAlignment="1">
      <alignment horizontal="justify" vertical="center"/>
    </xf>
    <xf numFmtId="0" fontId="41" fillId="0" borderId="0" xfId="0" applyFont="1" applyBorder="1" applyAlignment="1">
      <alignment vertical="center" wrapText="1"/>
    </xf>
    <xf numFmtId="0" fontId="166" fillId="73" borderId="97" xfId="0" applyFont="1" applyFill="1" applyBorder="1" applyAlignment="1">
      <alignment horizontal="center" vertical="center" wrapText="1"/>
    </xf>
    <xf numFmtId="0" fontId="41" fillId="78" borderId="12" xfId="0" applyFont="1" applyFill="1" applyBorder="1"/>
    <xf numFmtId="0" fontId="176" fillId="78" borderId="115" xfId="0" applyFont="1" applyFill="1" applyBorder="1" applyAlignment="1">
      <alignment wrapText="1"/>
    </xf>
    <xf numFmtId="0" fontId="41" fillId="78" borderId="12" xfId="0" applyFont="1" applyFill="1" applyBorder="1" applyAlignment="1">
      <alignment horizontal="center"/>
    </xf>
    <xf numFmtId="0" fontId="41" fillId="78" borderId="12" xfId="0" applyFont="1" applyFill="1" applyBorder="1" applyAlignment="1">
      <alignment horizontal="center" wrapText="1"/>
    </xf>
    <xf numFmtId="0" fontId="0" fillId="78" borderId="116" xfId="0" applyFont="1" applyFill="1" applyBorder="1"/>
    <xf numFmtId="0" fontId="0" fillId="78" borderId="10" xfId="0" applyFont="1" applyFill="1" applyBorder="1"/>
    <xf numFmtId="0" fontId="41" fillId="78" borderId="10" xfId="0" applyFont="1" applyFill="1" applyBorder="1" applyAlignment="1">
      <alignment horizontal="center"/>
    </xf>
    <xf numFmtId="0" fontId="41" fillId="78" borderId="10" xfId="0" applyFont="1" applyFill="1" applyBorder="1" applyAlignment="1">
      <alignment horizontal="center" wrapText="1"/>
    </xf>
    <xf numFmtId="0" fontId="166" fillId="78" borderId="10" xfId="0" applyFont="1" applyFill="1" applyBorder="1" applyAlignment="1">
      <alignment horizontal="center" vertical="center" wrapText="1"/>
    </xf>
    <xf numFmtId="39" fontId="0" fillId="0" borderId="0" xfId="0" applyNumberFormat="1" applyFont="1" applyProtection="1"/>
    <xf numFmtId="0" fontId="0" fillId="22" borderId="0" xfId="0" applyFont="1" applyFill="1" applyBorder="1" applyProtection="1"/>
    <xf numFmtId="0" fontId="0" fillId="23" borderId="0" xfId="0" applyFont="1" applyFill="1" applyProtection="1"/>
    <xf numFmtId="0" fontId="0" fillId="0" borderId="0" xfId="0" applyFont="1" applyFill="1" applyAlignment="1" applyProtection="1">
      <alignment horizontal="center" vertical="center"/>
    </xf>
    <xf numFmtId="0" fontId="0" fillId="21" borderId="10" xfId="0" applyFont="1" applyFill="1" applyBorder="1" applyAlignment="1" applyProtection="1">
      <alignment horizontal="center" vertical="center" wrapText="1"/>
    </xf>
    <xf numFmtId="0" fontId="61" fillId="21" borderId="10" xfId="0" applyFont="1" applyFill="1" applyBorder="1" applyAlignment="1" applyProtection="1">
      <alignment horizontal="center" vertical="center" wrapText="1"/>
    </xf>
    <xf numFmtId="0" fontId="0" fillId="22" borderId="0" xfId="0" applyFont="1" applyFill="1" applyAlignment="1" applyProtection="1">
      <alignment horizontal="center" vertical="center"/>
    </xf>
    <xf numFmtId="164" fontId="0" fillId="22" borderId="0" xfId="439" applyNumberFormat="1" applyFont="1" applyFill="1" applyProtection="1"/>
    <xf numFmtId="0" fontId="0" fillId="21" borderId="0" xfId="0" applyFont="1" applyFill="1" applyBorder="1" applyAlignment="1" applyProtection="1">
      <alignment horizontal="center" vertical="center" wrapText="1"/>
    </xf>
    <xf numFmtId="0" fontId="61" fillId="21" borderId="0" xfId="0" applyFont="1" applyFill="1" applyBorder="1" applyAlignment="1" applyProtection="1">
      <alignment horizontal="center" vertical="center" wrapText="1"/>
    </xf>
    <xf numFmtId="3" fontId="0" fillId="0" borderId="0" xfId="0" applyNumberFormat="1" applyFont="1" applyProtection="1"/>
    <xf numFmtId="0" fontId="0" fillId="0" borderId="26" xfId="0" applyNumberFormat="1" applyFont="1" applyFill="1" applyBorder="1" applyAlignment="1" applyProtection="1">
      <alignment horizontal="left" vertical="center" wrapText="1"/>
    </xf>
    <xf numFmtId="0" fontId="0" fillId="0" borderId="31" xfId="0" applyNumberFormat="1" applyFont="1" applyFill="1" applyBorder="1" applyAlignment="1" applyProtection="1">
      <alignment horizontal="left" vertical="center" wrapText="1"/>
    </xf>
    <xf numFmtId="37" fontId="0" fillId="0" borderId="29" xfId="439" applyNumberFormat="1" applyFont="1" applyBorder="1" applyAlignment="1" applyProtection="1">
      <alignment vertical="center"/>
    </xf>
    <xf numFmtId="37" fontId="0" fillId="32" borderId="29" xfId="439" applyNumberFormat="1" applyFont="1" applyFill="1" applyBorder="1" applyAlignment="1" applyProtection="1">
      <alignment vertical="center"/>
    </xf>
    <xf numFmtId="0" fontId="0" fillId="0" borderId="30" xfId="0" applyNumberFormat="1" applyFont="1" applyFill="1" applyBorder="1" applyAlignment="1" applyProtection="1">
      <alignment horizontal="left" vertical="center" wrapText="1"/>
    </xf>
    <xf numFmtId="37" fontId="0" fillId="0" borderId="45" xfId="439" applyNumberFormat="1" applyFont="1" applyFill="1" applyBorder="1" applyAlignment="1" applyProtection="1">
      <alignment vertical="center"/>
    </xf>
    <xf numFmtId="0" fontId="0" fillId="0" borderId="45" xfId="0" applyFont="1" applyFill="1" applyBorder="1" applyProtection="1"/>
    <xf numFmtId="0" fontId="0" fillId="0" borderId="45" xfId="0" applyFont="1" applyFill="1" applyBorder="1" applyAlignment="1" applyProtection="1">
      <alignment horizontal="center" vertical="center"/>
    </xf>
    <xf numFmtId="3" fontId="0" fillId="0" borderId="0" xfId="0" applyNumberFormat="1" applyFont="1" applyFill="1" applyProtection="1"/>
    <xf numFmtId="37" fontId="0" fillId="0" borderId="29" xfId="439" applyNumberFormat="1" applyFont="1" applyFill="1" applyBorder="1" applyAlignment="1" applyProtection="1">
      <alignment vertical="center"/>
    </xf>
    <xf numFmtId="38" fontId="0" fillId="0" borderId="0" xfId="0" applyNumberFormat="1" applyFont="1" applyProtection="1"/>
    <xf numFmtId="164" fontId="0" fillId="0" borderId="0" xfId="0" applyNumberFormat="1" applyFont="1" applyProtection="1"/>
    <xf numFmtId="0" fontId="0" fillId="23" borderId="23" xfId="0" applyNumberFormat="1" applyFont="1" applyFill="1" applyBorder="1" applyAlignment="1" applyProtection="1">
      <alignment horizontal="left" vertical="center" wrapText="1"/>
    </xf>
    <xf numFmtId="37" fontId="0" fillId="23" borderId="28" xfId="439" applyNumberFormat="1" applyFont="1" applyFill="1" applyBorder="1" applyAlignment="1" applyProtection="1">
      <alignment vertical="center"/>
    </xf>
    <xf numFmtId="0" fontId="0" fillId="0" borderId="24" xfId="0" applyNumberFormat="1" applyFont="1" applyFill="1" applyBorder="1" applyAlignment="1" applyProtection="1">
      <alignment horizontal="left" vertical="center" wrapText="1"/>
    </xf>
    <xf numFmtId="0" fontId="0" fillId="22" borderId="45" xfId="0" applyFont="1" applyFill="1" applyBorder="1" applyAlignment="1" applyProtection="1">
      <alignment vertical="center"/>
    </xf>
    <xf numFmtId="37" fontId="0" fillId="0" borderId="27" xfId="439" applyNumberFormat="1" applyFont="1" applyFill="1" applyBorder="1" applyAlignment="1" applyProtection="1">
      <alignment vertical="center"/>
    </xf>
    <xf numFmtId="0" fontId="0" fillId="23" borderId="31" xfId="0" applyNumberFormat="1" applyFont="1" applyFill="1" applyBorder="1" applyAlignment="1" applyProtection="1">
      <alignment horizontal="left" vertical="center" wrapText="1"/>
    </xf>
    <xf numFmtId="0" fontId="0" fillId="34" borderId="25" xfId="0" applyNumberFormat="1" applyFont="1" applyFill="1" applyBorder="1" applyAlignment="1" applyProtection="1">
      <alignment horizontal="left" vertical="center" wrapText="1"/>
    </xf>
    <xf numFmtId="0" fontId="0" fillId="34" borderId="23" xfId="0" applyNumberFormat="1" applyFont="1" applyFill="1" applyBorder="1" applyAlignment="1" applyProtection="1">
      <alignment horizontal="left" vertical="center" wrapText="1"/>
    </xf>
    <xf numFmtId="37" fontId="0" fillId="34" borderId="29" xfId="439" applyNumberFormat="1" applyFont="1" applyFill="1" applyBorder="1" applyAlignment="1" applyProtection="1">
      <alignment vertical="center"/>
    </xf>
    <xf numFmtId="3" fontId="47" fillId="0" borderId="23" xfId="1540" applyFont="1" applyFill="1" applyBorder="1" applyAlignment="1" applyProtection="1">
      <alignment vertical="center" wrapText="1"/>
    </xf>
    <xf numFmtId="38" fontId="0" fillId="0" borderId="45" xfId="0" applyNumberFormat="1" applyFont="1" applyFill="1" applyBorder="1" applyProtection="1"/>
    <xf numFmtId="0" fontId="0" fillId="0" borderId="0" xfId="0" applyFont="1" applyFill="1" applyBorder="1" applyProtection="1"/>
    <xf numFmtId="38" fontId="0" fillId="0" borderId="0" xfId="0" applyNumberFormat="1" applyFont="1" applyFill="1" applyBorder="1" applyProtection="1"/>
    <xf numFmtId="0" fontId="0" fillId="0" borderId="0" xfId="0" applyFont="1" applyFill="1" applyBorder="1" applyAlignment="1" applyProtection="1">
      <alignment horizontal="center" vertical="center"/>
    </xf>
    <xf numFmtId="0" fontId="0" fillId="0" borderId="0" xfId="0" applyFont="1" applyAlignment="1" applyProtection="1">
      <alignment wrapText="1"/>
    </xf>
    <xf numFmtId="0" fontId="0" fillId="0" borderId="34" xfId="0" applyNumberFormat="1" applyFont="1" applyFill="1" applyBorder="1" applyAlignment="1" applyProtection="1">
      <alignment horizontal="left" vertical="center" wrapText="1"/>
    </xf>
    <xf numFmtId="37" fontId="0" fillId="0" borderId="28" xfId="439" applyNumberFormat="1" applyFont="1" applyFill="1" applyBorder="1" applyAlignment="1" applyProtection="1">
      <alignment vertical="center"/>
    </xf>
    <xf numFmtId="0" fontId="0" fillId="34" borderId="0" xfId="0" applyFont="1" applyFill="1" applyAlignment="1" applyProtection="1">
      <alignment vertical="center" wrapText="1"/>
      <protection locked="0"/>
    </xf>
    <xf numFmtId="0" fontId="0" fillId="0" borderId="0" xfId="0" applyFont="1" applyFill="1" applyBorder="1" applyAlignment="1" applyProtection="1">
      <alignment vertical="center" wrapText="1"/>
      <protection locked="0"/>
    </xf>
    <xf numFmtId="0" fontId="0" fillId="0" borderId="35" xfId="0" applyNumberFormat="1" applyFont="1" applyFill="1" applyBorder="1" applyAlignment="1" applyProtection="1">
      <alignment horizontal="left" vertical="center" wrapText="1"/>
    </xf>
    <xf numFmtId="0" fontId="0" fillId="0" borderId="0" xfId="0" applyFont="1" applyBorder="1" applyProtection="1"/>
    <xf numFmtId="0" fontId="0" fillId="0" borderId="25" xfId="0" applyFont="1" applyFill="1" applyBorder="1" applyAlignment="1">
      <alignment horizontal="center" vertical="center" wrapText="1"/>
    </xf>
    <xf numFmtId="0" fontId="0" fillId="35" borderId="0" xfId="0" applyFont="1" applyFill="1" applyAlignment="1" applyProtection="1">
      <alignment horizontal="center" vertical="center"/>
    </xf>
    <xf numFmtId="0" fontId="0" fillId="0" borderId="0" xfId="0" applyFont="1" applyFill="1" applyAlignment="1">
      <alignment horizontal="left" vertical="center" wrapText="1"/>
    </xf>
    <xf numFmtId="37" fontId="0" fillId="0" borderId="28" xfId="439" applyNumberFormat="1" applyFont="1" applyFill="1" applyBorder="1" applyAlignment="1" applyProtection="1">
      <alignment horizontal="center" vertical="center" wrapText="1"/>
    </xf>
    <xf numFmtId="0" fontId="0" fillId="0" borderId="23" xfId="0" applyFont="1" applyFill="1" applyBorder="1" applyAlignment="1">
      <alignment vertical="center" wrapText="1"/>
    </xf>
    <xf numFmtId="39" fontId="177" fillId="76" borderId="62" xfId="1562" applyNumberFormat="1" applyFont="1" applyFill="1" applyBorder="1" applyAlignment="1">
      <alignment horizontal="center" vertical="center" wrapText="1"/>
    </xf>
    <xf numFmtId="174" fontId="0" fillId="0" borderId="28" xfId="439" applyNumberFormat="1" applyFont="1" applyFill="1" applyBorder="1" applyAlignment="1" applyProtection="1">
      <alignment vertical="center"/>
    </xf>
    <xf numFmtId="0" fontId="0" fillId="23" borderId="25" xfId="0" applyNumberFormat="1" applyFont="1" applyFill="1" applyBorder="1" applyAlignment="1" applyProtection="1">
      <alignment horizontal="left" vertical="center" wrapText="1"/>
    </xf>
    <xf numFmtId="3" fontId="47" fillId="0" borderId="0" xfId="1540" applyFont="1" applyFill="1" applyAlignment="1" applyProtection="1">
      <alignment vertical="center" wrapText="1"/>
    </xf>
    <xf numFmtId="39" fontId="0" fillId="0" borderId="29" xfId="439" applyNumberFormat="1" applyFont="1" applyBorder="1" applyAlignment="1" applyProtection="1">
      <alignment vertical="center"/>
    </xf>
    <xf numFmtId="181" fontId="0" fillId="75" borderId="28" xfId="439" applyNumberFormat="1" applyFont="1" applyFill="1" applyBorder="1" applyAlignment="1" applyProtection="1">
      <alignment vertical="center"/>
    </xf>
    <xf numFmtId="0" fontId="0" fillId="0" borderId="0" xfId="0" applyFont="1" applyAlignment="1">
      <alignment wrapText="1"/>
    </xf>
    <xf numFmtId="175" fontId="0" fillId="0" borderId="29" xfId="439" applyNumberFormat="1" applyFont="1" applyBorder="1" applyAlignment="1" applyProtection="1">
      <alignment vertical="center"/>
    </xf>
    <xf numFmtId="0" fontId="0" fillId="78" borderId="25" xfId="0" applyNumberFormat="1" applyFont="1" applyFill="1" applyBorder="1" applyAlignment="1" applyProtection="1">
      <alignment horizontal="left" vertical="center" wrapText="1"/>
    </xf>
    <xf numFmtId="0" fontId="177" fillId="78" borderId="0" xfId="0" applyFont="1" applyFill="1" applyAlignment="1" applyProtection="1">
      <alignment horizontal="left" vertical="center" wrapText="1"/>
    </xf>
    <xf numFmtId="164" fontId="0" fillId="78" borderId="23" xfId="439" applyNumberFormat="1" applyFont="1" applyFill="1" applyBorder="1" applyAlignment="1" applyProtection="1">
      <alignment horizontal="center" vertical="center" wrapText="1"/>
    </xf>
    <xf numFmtId="0" fontId="0" fillId="78" borderId="24" xfId="0" quotePrefix="1" applyNumberFormat="1" applyFont="1" applyFill="1" applyBorder="1" applyAlignment="1" applyProtection="1">
      <alignment horizontal="center" vertical="center" wrapText="1"/>
    </xf>
    <xf numFmtId="0" fontId="0" fillId="78" borderId="23" xfId="0" applyFont="1" applyFill="1" applyBorder="1" applyAlignment="1">
      <alignment vertical="center" wrapText="1"/>
    </xf>
    <xf numFmtId="37" fontId="0" fillId="78" borderId="29" xfId="439" applyNumberFormat="1" applyFont="1" applyFill="1" applyBorder="1" applyAlignment="1" applyProtection="1">
      <alignment vertical="center"/>
    </xf>
    <xf numFmtId="0" fontId="0" fillId="78" borderId="0" xfId="0" applyFont="1" applyFill="1" applyProtection="1"/>
    <xf numFmtId="0" fontId="61" fillId="78" borderId="0" xfId="0" applyFont="1" applyFill="1" applyAlignment="1" applyProtection="1">
      <alignment horizontal="left" vertical="center" wrapText="1"/>
    </xf>
    <xf numFmtId="0" fontId="0" fillId="78" borderId="0" xfId="0" quotePrefix="1" applyFont="1" applyFill="1" applyAlignment="1" applyProtection="1">
      <alignment horizontal="center"/>
    </xf>
    <xf numFmtId="0" fontId="58" fillId="78" borderId="0" xfId="0" applyFont="1" applyFill="1" applyAlignment="1" applyProtection="1">
      <alignment horizontal="left" vertical="center" wrapText="1"/>
    </xf>
    <xf numFmtId="0" fontId="0" fillId="22" borderId="25" xfId="0" applyNumberFormat="1" applyFont="1" applyFill="1" applyBorder="1" applyAlignment="1" applyProtection="1">
      <alignment horizontal="left" vertical="center" wrapText="1"/>
    </xf>
    <xf numFmtId="0" fontId="0" fillId="22" borderId="23" xfId="0" applyNumberFormat="1" applyFont="1" applyFill="1" applyBorder="1" applyAlignment="1" applyProtection="1">
      <alignment horizontal="left" vertical="center" wrapText="1"/>
    </xf>
    <xf numFmtId="37" fontId="0" fillId="78" borderId="28" xfId="439" applyNumberFormat="1" applyFont="1" applyFill="1" applyBorder="1" applyAlignment="1" applyProtection="1">
      <alignment vertical="center"/>
    </xf>
    <xf numFmtId="0" fontId="0" fillId="22" borderId="23" xfId="0" applyFont="1" applyFill="1" applyBorder="1" applyAlignment="1" applyProtection="1">
      <alignment vertical="center"/>
      <protection locked="0"/>
    </xf>
    <xf numFmtId="0" fontId="0" fillId="22" borderId="30" xfId="0" applyFont="1" applyFill="1" applyBorder="1" applyAlignment="1" applyProtection="1">
      <alignment vertical="center"/>
    </xf>
    <xf numFmtId="0" fontId="0" fillId="22" borderId="23" xfId="0" applyFont="1" applyFill="1" applyBorder="1" applyAlignment="1" applyProtection="1">
      <alignment vertical="center"/>
    </xf>
    <xf numFmtId="39" fontId="0" fillId="22" borderId="28" xfId="0" applyNumberFormat="1" applyFont="1" applyFill="1" applyBorder="1" applyAlignment="1" applyProtection="1">
      <alignment vertical="center"/>
    </xf>
    <xf numFmtId="0" fontId="0" fillId="22" borderId="28" xfId="0" applyFont="1" applyFill="1" applyBorder="1" applyAlignment="1" applyProtection="1">
      <alignment vertical="center"/>
    </xf>
    <xf numFmtId="39" fontId="0" fillId="78" borderId="28" xfId="439" applyNumberFormat="1" applyFont="1" applyFill="1" applyBorder="1" applyAlignment="1" applyProtection="1">
      <alignment vertical="center"/>
    </xf>
    <xf numFmtId="4" fontId="0" fillId="0" borderId="0" xfId="0" applyNumberFormat="1" applyFont="1" applyProtection="1"/>
    <xf numFmtId="0" fontId="0" fillId="22" borderId="29" xfId="0" applyFont="1" applyFill="1" applyBorder="1" applyAlignment="1" applyProtection="1">
      <alignment vertical="center"/>
    </xf>
    <xf numFmtId="0" fontId="0" fillId="0" borderId="0" xfId="0" applyFont="1" applyAlignment="1">
      <alignment vertical="center" wrapText="1"/>
    </xf>
    <xf numFmtId="0" fontId="0" fillId="0" borderId="0" xfId="0" applyFont="1" applyFill="1" applyAlignment="1" applyProtection="1">
      <alignment wrapText="1"/>
    </xf>
    <xf numFmtId="0" fontId="0" fillId="0" borderId="45" xfId="0" applyFont="1" applyFill="1" applyBorder="1" applyAlignment="1">
      <alignment vertical="center" wrapText="1"/>
    </xf>
    <xf numFmtId="37" fontId="0" fillId="0" borderId="64" xfId="439" applyNumberFormat="1" applyFont="1" applyFill="1" applyBorder="1" applyAlignment="1" applyProtection="1">
      <alignment vertical="center"/>
    </xf>
    <xf numFmtId="0" fontId="0" fillId="0" borderId="45" xfId="0" applyFont="1" applyFill="1" applyBorder="1" applyAlignment="1" applyProtection="1">
      <alignment vertical="center" wrapText="1"/>
      <protection locked="0"/>
    </xf>
    <xf numFmtId="0" fontId="0" fillId="22" borderId="0" xfId="0" applyFont="1" applyFill="1" applyAlignment="1" applyProtection="1">
      <alignment vertical="center" wrapText="1"/>
      <protection locked="0"/>
    </xf>
    <xf numFmtId="164" fontId="0" fillId="22" borderId="28" xfId="439" applyNumberFormat="1" applyFont="1" applyFill="1" applyBorder="1" applyAlignment="1" applyProtection="1">
      <alignment vertical="center"/>
    </xf>
    <xf numFmtId="0" fontId="0" fillId="74" borderId="23" xfId="0" applyNumberFormat="1" applyFont="1" applyFill="1" applyBorder="1" applyAlignment="1" applyProtection="1">
      <alignment horizontal="left" vertical="center" wrapText="1"/>
    </xf>
    <xf numFmtId="49" fontId="0" fillId="74" borderId="64" xfId="439" applyNumberFormat="1" applyFont="1" applyFill="1" applyBorder="1" applyAlignment="1" applyProtection="1">
      <alignment horizontal="center" vertical="center"/>
    </xf>
    <xf numFmtId="49" fontId="0" fillId="0" borderId="0" xfId="0" applyNumberFormat="1" applyFont="1" applyAlignment="1">
      <alignment horizontal="center" vertical="center"/>
    </xf>
    <xf numFmtId="14" fontId="0" fillId="74" borderId="64" xfId="439" applyNumberFormat="1" applyFont="1" applyFill="1" applyBorder="1" applyAlignment="1" applyProtection="1">
      <alignment horizontal="center" vertical="center"/>
    </xf>
    <xf numFmtId="49" fontId="0" fillId="74" borderId="63" xfId="439" applyNumberFormat="1" applyFont="1" applyFill="1" applyBorder="1" applyAlignment="1" applyProtection="1">
      <alignment horizontal="center" vertical="center"/>
    </xf>
    <xf numFmtId="0" fontId="0" fillId="31" borderId="65" xfId="0" applyFont="1" applyFill="1" applyBorder="1"/>
    <xf numFmtId="49" fontId="0" fillId="31" borderId="0" xfId="0" applyNumberFormat="1" applyFont="1" applyFill="1" applyAlignment="1" applyProtection="1">
      <alignment horizontal="center"/>
    </xf>
    <xf numFmtId="41" fontId="0" fillId="0" borderId="65" xfId="0" applyNumberFormat="1" applyFont="1" applyFill="1" applyBorder="1" applyAlignment="1">
      <alignment horizontal="center" vertical="center" wrapText="1"/>
    </xf>
    <xf numFmtId="0" fontId="0" fillId="31" borderId="23" xfId="0" applyNumberFormat="1" applyFont="1" applyFill="1" applyBorder="1" applyAlignment="1" applyProtection="1">
      <alignment horizontal="left" vertical="center" wrapText="1"/>
    </xf>
    <xf numFmtId="49" fontId="0" fillId="31" borderId="63" xfId="439" applyNumberFormat="1" applyFont="1" applyFill="1" applyBorder="1" applyAlignment="1" applyProtection="1">
      <alignment horizontal="center" vertical="center"/>
    </xf>
    <xf numFmtId="14" fontId="0" fillId="31" borderId="0" xfId="0" applyNumberFormat="1" applyFont="1" applyFill="1" applyAlignment="1" applyProtection="1">
      <alignment horizontal="center"/>
    </xf>
    <xf numFmtId="14" fontId="0" fillId="31" borderId="63" xfId="439" applyNumberFormat="1" applyFont="1" applyFill="1" applyBorder="1" applyAlignment="1" applyProtection="1">
      <alignment horizontal="center" vertical="center"/>
    </xf>
    <xf numFmtId="0" fontId="0" fillId="78" borderId="0" xfId="0" applyFont="1" applyFill="1" applyBorder="1"/>
    <xf numFmtId="14" fontId="0" fillId="78" borderId="0" xfId="0" applyNumberFormat="1" applyFont="1" applyFill="1" applyAlignment="1" applyProtection="1">
      <alignment horizontal="center"/>
    </xf>
    <xf numFmtId="41" fontId="0" fillId="78" borderId="0" xfId="0" applyNumberFormat="1" applyFont="1" applyFill="1" applyBorder="1" applyAlignment="1">
      <alignment horizontal="center" vertical="center" wrapText="1"/>
    </xf>
    <xf numFmtId="14" fontId="0" fillId="78" borderId="63" xfId="439" applyNumberFormat="1" applyFont="1" applyFill="1" applyBorder="1" applyAlignment="1" applyProtection="1">
      <alignment horizontal="center" vertical="center"/>
    </xf>
    <xf numFmtId="169" fontId="0" fillId="74" borderId="64" xfId="439" applyNumberFormat="1" applyFont="1" applyFill="1" applyBorder="1" applyAlignment="1" applyProtection="1">
      <alignment vertical="center"/>
    </xf>
    <xf numFmtId="0" fontId="0" fillId="78" borderId="0" xfId="0" applyFont="1" applyFill="1" applyAlignment="1" applyProtection="1">
      <alignment wrapText="1"/>
    </xf>
    <xf numFmtId="0" fontId="0" fillId="0" borderId="0" xfId="0" applyFont="1" applyAlignment="1" applyProtection="1">
      <alignment vertical="center" wrapText="1"/>
    </xf>
    <xf numFmtId="0" fontId="0" fillId="0" borderId="0" xfId="0" applyFont="1" applyAlignment="1" applyProtection="1">
      <alignment vertical="center"/>
      <protection locked="0"/>
    </xf>
    <xf numFmtId="0" fontId="0" fillId="0" borderId="0" xfId="0" applyFont="1" applyAlignment="1" applyProtection="1">
      <alignment vertical="center"/>
    </xf>
    <xf numFmtId="39" fontId="0" fillId="0" borderId="0" xfId="0" applyNumberFormat="1" applyFont="1" applyAlignment="1" applyProtection="1">
      <alignment vertical="center"/>
    </xf>
    <xf numFmtId="0" fontId="0" fillId="0" borderId="0" xfId="0" applyFont="1" applyFill="1" applyBorder="1" applyAlignment="1" applyProtection="1">
      <alignment vertical="center"/>
    </xf>
    <xf numFmtId="164" fontId="0" fillId="0" borderId="28" xfId="439" applyNumberFormat="1" applyFont="1" applyFill="1" applyBorder="1" applyAlignment="1" applyProtection="1">
      <alignment vertical="center"/>
    </xf>
    <xf numFmtId="164" fontId="0" fillId="0" borderId="0" xfId="439" applyNumberFormat="1" applyFont="1" applyAlignment="1" applyProtection="1">
      <alignment vertical="center"/>
    </xf>
    <xf numFmtId="0" fontId="61" fillId="0" borderId="0" xfId="0" applyFont="1" applyAlignment="1" applyProtection="1">
      <alignment horizontal="center" vertical="center"/>
    </xf>
    <xf numFmtId="164" fontId="0" fillId="0" borderId="0" xfId="439" applyNumberFormat="1" applyFont="1" applyProtection="1"/>
    <xf numFmtId="0" fontId="0" fillId="0" borderId="0" xfId="0" applyFont="1" applyFill="1" applyAlignment="1" applyProtection="1">
      <alignment vertical="center" wrapText="1"/>
    </xf>
    <xf numFmtId="38" fontId="47" fillId="0" borderId="0" xfId="439" applyNumberFormat="1" applyFont="1" applyFill="1" applyAlignment="1" applyProtection="1">
      <alignment horizontal="center" vertical="center" wrapText="1"/>
    </xf>
    <xf numFmtId="0" fontId="0" fillId="0" borderId="0" xfId="0" applyNumberFormat="1" applyFont="1" applyFill="1" applyAlignment="1" applyProtection="1">
      <alignment wrapText="1"/>
    </xf>
    <xf numFmtId="0" fontId="0" fillId="0" borderId="0" xfId="0" applyFont="1" applyFill="1" applyAlignment="1" applyProtection="1">
      <alignment horizontal="center" vertical="center" wrapText="1"/>
    </xf>
    <xf numFmtId="0" fontId="0" fillId="0" borderId="0" xfId="0" applyNumberFormat="1" applyFont="1" applyFill="1" applyBorder="1" applyAlignment="1" applyProtection="1">
      <alignment horizontal="center" vertical="center" wrapText="1"/>
    </xf>
    <xf numFmtId="164" fontId="47" fillId="0" borderId="0" xfId="439" applyNumberFormat="1" applyFont="1" applyFill="1" applyProtection="1"/>
    <xf numFmtId="38" fontId="47" fillId="0" borderId="45" xfId="439" applyNumberFormat="1" applyFont="1" applyFill="1" applyBorder="1" applyAlignment="1" applyProtection="1">
      <alignment horizontal="center" vertical="center" wrapText="1"/>
    </xf>
    <xf numFmtId="0" fontId="41" fillId="0" borderId="59" xfId="0" applyFont="1" applyFill="1" applyBorder="1" applyAlignment="1">
      <alignment vertical="center"/>
    </xf>
    <xf numFmtId="174" fontId="41" fillId="28" borderId="0" xfId="439" applyNumberFormat="1" applyFont="1" applyFill="1" applyAlignment="1" applyProtection="1">
      <alignment horizontal="center" vertical="center"/>
      <protection locked="0"/>
    </xf>
    <xf numFmtId="181" fontId="162" fillId="82" borderId="0" xfId="30099" applyNumberFormat="1" applyFont="1" applyFill="1" applyAlignment="1">
      <alignment horizontal="right" vertical="top" indent="1" shrinkToFit="1"/>
    </xf>
    <xf numFmtId="0" fontId="47" fillId="0" borderId="0" xfId="30099" applyFont="1" applyAlignment="1">
      <alignment horizontal="left" vertical="top" wrapText="1" indent="1"/>
    </xf>
    <xf numFmtId="1" fontId="162" fillId="0" borderId="0" xfId="30099" applyNumberFormat="1" applyFont="1" applyAlignment="1">
      <alignment horizontal="center" vertical="top" shrinkToFit="1"/>
    </xf>
    <xf numFmtId="0" fontId="47" fillId="0" borderId="0" xfId="0" applyNumberFormat="1" applyFont="1" applyFill="1" applyAlignment="1" applyProtection="1">
      <alignment horizontal="left" vertical="center" wrapText="1"/>
    </xf>
    <xf numFmtId="181" fontId="162" fillId="0" borderId="0" xfId="30099" applyNumberFormat="1" applyFont="1" applyFill="1" applyAlignment="1">
      <alignment horizontal="right" vertical="top" indent="1" shrinkToFit="1"/>
    </xf>
    <xf numFmtId="1" fontId="162" fillId="82" borderId="0" xfId="30099" applyNumberFormat="1" applyFont="1" applyFill="1" applyAlignment="1">
      <alignment horizontal="left" vertical="top" indent="3" shrinkToFit="1"/>
    </xf>
    <xf numFmtId="181" fontId="162" fillId="0" borderId="0" xfId="30099" applyNumberFormat="1" applyFont="1" applyAlignment="1">
      <alignment horizontal="right" vertical="top" indent="1" shrinkToFit="1"/>
    </xf>
    <xf numFmtId="1" fontId="162" fillId="0" borderId="0" xfId="30099" applyNumberFormat="1" applyFont="1" applyFill="1" applyAlignment="1">
      <alignment horizontal="left" vertical="top" indent="3" shrinkToFit="1"/>
    </xf>
    <xf numFmtId="0" fontId="47" fillId="0" borderId="0" xfId="30099" applyFont="1" applyFill="1" applyAlignment="1">
      <alignment horizontal="left" vertical="top" wrapText="1"/>
    </xf>
    <xf numFmtId="164" fontId="35" fillId="0" borderId="0" xfId="439" applyNumberFormat="1" applyFont="1"/>
    <xf numFmtId="0" fontId="47" fillId="0" borderId="0" xfId="30099" applyFont="1" applyAlignment="1">
      <alignment horizontal="left" vertical="top" wrapText="1" indent="2"/>
    </xf>
    <xf numFmtId="0" fontId="56" fillId="0" borderId="0" xfId="0" applyFont="1" applyFill="1" applyAlignment="1" applyProtection="1">
      <alignment horizontal="left" vertical="center" wrapText="1"/>
    </xf>
    <xf numFmtId="164" fontId="35" fillId="0" borderId="0" xfId="439" applyNumberFormat="1" applyFont="1" applyAlignment="1">
      <alignment horizontal="center" vertical="center" wrapText="1"/>
    </xf>
    <xf numFmtId="0" fontId="35" fillId="0" borderId="0" xfId="439" applyNumberFormat="1" applyFont="1" applyAlignment="1">
      <alignment horizontal="center" vertical="center"/>
    </xf>
    <xf numFmtId="0" fontId="0" fillId="0" borderId="32" xfId="0" applyFont="1" applyFill="1" applyBorder="1" applyAlignment="1">
      <alignment horizontal="center" wrapText="1"/>
    </xf>
    <xf numFmtId="1" fontId="162" fillId="0" borderId="0" xfId="30099" applyNumberFormat="1" applyFont="1" applyFill="1" applyAlignment="1">
      <alignment horizontal="center" vertical="top" shrinkToFit="1"/>
    </xf>
    <xf numFmtId="0" fontId="47" fillId="0" borderId="0" xfId="0" applyFont="1" applyFill="1" applyAlignment="1" applyProtection="1">
      <alignment horizontal="left" vertical="center" wrapText="1"/>
      <protection hidden="1"/>
    </xf>
    <xf numFmtId="0" fontId="47" fillId="0" borderId="0" xfId="30099" applyFont="1" applyAlignment="1">
      <alignment horizontal="left" vertical="top" wrapText="1"/>
    </xf>
    <xf numFmtId="0" fontId="47" fillId="0" borderId="61" xfId="0" applyFont="1" applyFill="1" applyBorder="1" applyAlignment="1">
      <alignment vertical="center" wrapText="1"/>
    </xf>
    <xf numFmtId="1" fontId="162" fillId="82" borderId="0" xfId="30099" applyNumberFormat="1" applyFont="1" applyFill="1" applyAlignment="1">
      <alignment horizontal="center" vertical="top" shrinkToFit="1"/>
    </xf>
    <xf numFmtId="1" fontId="162" fillId="0" borderId="0" xfId="30099" applyNumberFormat="1" applyFont="1" applyAlignment="1">
      <alignment horizontal="left" vertical="top" indent="3" shrinkToFit="1"/>
    </xf>
    <xf numFmtId="0" fontId="47" fillId="0" borderId="0" xfId="30099" applyFont="1" applyAlignment="1">
      <alignment horizontal="center" vertical="top" wrapText="1"/>
    </xf>
    <xf numFmtId="0" fontId="162" fillId="0" borderId="0" xfId="30099" applyFont="1" applyAlignment="1">
      <alignment horizontal="left" wrapText="1"/>
    </xf>
    <xf numFmtId="0" fontId="47" fillId="82" borderId="0" xfId="30099" applyFont="1" applyFill="1" applyAlignment="1">
      <alignment horizontal="left" vertical="top" wrapText="1" indent="1"/>
    </xf>
    <xf numFmtId="0" fontId="47" fillId="82" borderId="0" xfId="30099" applyFont="1" applyFill="1" applyAlignment="1">
      <alignment horizontal="left" vertical="top" wrapText="1" indent="2"/>
    </xf>
    <xf numFmtId="0" fontId="0" fillId="0" borderId="0" xfId="0" applyFont="1" applyAlignment="1">
      <alignment horizontal="center" vertical="center" wrapText="1"/>
    </xf>
    <xf numFmtId="0" fontId="74" fillId="0" borderId="45" xfId="0" applyNumberFormat="1" applyFont="1" applyFill="1" applyBorder="1" applyAlignment="1" applyProtection="1">
      <alignment horizontal="left" vertical="center" wrapText="1"/>
    </xf>
    <xf numFmtId="0" fontId="66" fillId="0" borderId="61" xfId="0" applyFont="1" applyFill="1" applyBorder="1" applyAlignment="1">
      <alignment vertical="center" wrapText="1"/>
    </xf>
    <xf numFmtId="0" fontId="0" fillId="0" borderId="0" xfId="0" applyFont="1" applyProtection="1"/>
    <xf numFmtId="0" fontId="0" fillId="0" borderId="23" xfId="0" applyFont="1" applyFill="1" applyBorder="1" applyAlignment="1" applyProtection="1">
      <alignment vertical="center" wrapText="1"/>
    </xf>
    <xf numFmtId="0" fontId="0" fillId="22" borderId="0" xfId="0" applyFont="1" applyFill="1" applyBorder="1" applyAlignment="1" applyProtection="1">
      <alignment vertical="center"/>
    </xf>
    <xf numFmtId="0" fontId="0" fillId="0" borderId="0" xfId="0" applyNumberFormat="1" applyFont="1" applyFill="1" applyAlignment="1" applyProtection="1">
      <alignment horizontal="left" vertical="center" wrapText="1"/>
    </xf>
    <xf numFmtId="0" fontId="0" fillId="0" borderId="0" xfId="0" applyFont="1" applyProtection="1"/>
    <xf numFmtId="0" fontId="0" fillId="0" borderId="36" xfId="0" applyFont="1" applyFill="1" applyBorder="1" applyAlignment="1" applyProtection="1">
      <alignment vertical="center" wrapText="1"/>
    </xf>
    <xf numFmtId="0" fontId="0" fillId="22" borderId="0" xfId="0" applyFont="1" applyFill="1" applyBorder="1" applyAlignment="1" applyProtection="1">
      <alignment vertical="center"/>
    </xf>
    <xf numFmtId="0" fontId="41" fillId="0" borderId="0" xfId="0" applyFont="1" applyFill="1" applyAlignment="1" applyProtection="1">
      <alignment horizontal="right"/>
    </xf>
    <xf numFmtId="0" fontId="41" fillId="0" borderId="0" xfId="0" applyFont="1" applyFill="1" applyBorder="1" applyAlignment="1" applyProtection="1">
      <alignment horizontal="center"/>
    </xf>
    <xf numFmtId="0" fontId="0" fillId="34" borderId="0" xfId="0" applyFont="1" applyFill="1" applyAlignment="1" applyProtection="1">
      <alignment wrapText="1"/>
    </xf>
    <xf numFmtId="0" fontId="0" fillId="34" borderId="0" xfId="0" applyFont="1" applyFill="1" applyProtection="1"/>
    <xf numFmtId="14" fontId="0" fillId="0" borderId="0" xfId="0" applyNumberFormat="1" applyFont="1" applyFill="1" applyProtection="1"/>
    <xf numFmtId="164" fontId="41" fillId="29" borderId="16" xfId="439" applyNumberFormat="1" applyFont="1" applyFill="1" applyBorder="1" applyAlignment="1" applyProtection="1">
      <alignment horizontal="center" wrapText="1"/>
      <protection locked="0"/>
    </xf>
    <xf numFmtId="0" fontId="0" fillId="21" borderId="0" xfId="0" applyFont="1" applyFill="1" applyAlignment="1" applyProtection="1">
      <alignment wrapText="1"/>
    </xf>
    <xf numFmtId="0" fontId="0" fillId="21" borderId="16" xfId="0" applyNumberFormat="1" applyFont="1" applyFill="1" applyBorder="1" applyAlignment="1" applyProtection="1">
      <alignment horizontal="center"/>
    </xf>
    <xf numFmtId="0" fontId="0" fillId="21" borderId="0" xfId="0" applyFont="1" applyFill="1" applyProtection="1"/>
    <xf numFmtId="41" fontId="0" fillId="21" borderId="11" xfId="0" applyNumberFormat="1" applyFont="1" applyFill="1" applyBorder="1" applyAlignment="1" applyProtection="1">
      <alignment wrapText="1"/>
    </xf>
    <xf numFmtId="0" fontId="0" fillId="21" borderId="0" xfId="0" applyFont="1" applyFill="1" applyBorder="1" applyProtection="1"/>
    <xf numFmtId="40" fontId="47" fillId="21" borderId="16" xfId="0" applyNumberFormat="1" applyFont="1" applyFill="1" applyBorder="1" applyProtection="1"/>
    <xf numFmtId="41" fontId="0" fillId="21" borderId="12" xfId="0" applyNumberFormat="1" applyFont="1" applyFill="1" applyBorder="1" applyAlignment="1" applyProtection="1">
      <alignment wrapText="1"/>
    </xf>
    <xf numFmtId="0" fontId="41" fillId="21" borderId="10" xfId="0" applyFont="1" applyFill="1" applyBorder="1" applyAlignment="1" applyProtection="1">
      <alignment horizontal="center" wrapText="1"/>
    </xf>
    <xf numFmtId="0" fontId="41" fillId="21" borderId="0" xfId="0" applyFont="1" applyFill="1" applyBorder="1" applyAlignment="1" applyProtection="1">
      <alignment horizontal="center"/>
    </xf>
    <xf numFmtId="164" fontId="74" fillId="21" borderId="12" xfId="439" applyNumberFormat="1" applyFont="1" applyFill="1" applyBorder="1" applyAlignment="1" applyProtection="1">
      <alignment horizontal="center" wrapText="1"/>
    </xf>
    <xf numFmtId="0" fontId="41" fillId="21" borderId="22" xfId="0" applyFont="1" applyFill="1" applyBorder="1" applyAlignment="1" applyProtection="1">
      <alignment horizontal="center" wrapText="1"/>
    </xf>
    <xf numFmtId="41" fontId="73" fillId="28" borderId="0" xfId="439" applyNumberFormat="1" applyFont="1" applyFill="1" applyAlignment="1" applyProtection="1">
      <alignment wrapText="1"/>
    </xf>
    <xf numFmtId="41" fontId="74" fillId="0" borderId="0" xfId="0" applyNumberFormat="1" applyFont="1" applyFill="1" applyAlignment="1" applyProtection="1">
      <alignment wrapText="1"/>
    </xf>
    <xf numFmtId="0" fontId="0" fillId="0" borderId="0" xfId="0" applyFont="1" applyFill="1" applyAlignment="1" applyProtection="1">
      <alignment wrapText="1"/>
      <protection locked="0"/>
    </xf>
    <xf numFmtId="0" fontId="0" fillId="0" borderId="0" xfId="0" applyFont="1" applyFill="1" applyProtection="1">
      <protection locked="0"/>
    </xf>
    <xf numFmtId="164" fontId="0" fillId="0" borderId="0" xfId="0" applyNumberFormat="1" applyFont="1" applyFill="1" applyAlignment="1" applyProtection="1">
      <alignment wrapText="1"/>
      <protection locked="0"/>
    </xf>
    <xf numFmtId="0" fontId="73" fillId="0" borderId="0" xfId="0" applyFont="1" applyFill="1" applyAlignment="1" applyProtection="1">
      <alignment wrapText="1"/>
      <protection locked="0"/>
    </xf>
    <xf numFmtId="0" fontId="0" fillId="0" borderId="45" xfId="0" applyFont="1" applyFill="1" applyBorder="1" applyAlignment="1" applyProtection="1">
      <alignment wrapText="1"/>
      <protection locked="0"/>
    </xf>
    <xf numFmtId="41" fontId="73" fillId="0" borderId="0" xfId="439" applyNumberFormat="1" applyFont="1" applyFill="1" applyAlignment="1" applyProtection="1">
      <alignment wrapText="1"/>
    </xf>
    <xf numFmtId="38" fontId="0" fillId="0" borderId="0" xfId="0" applyNumberFormat="1" applyFont="1" applyFill="1" applyAlignment="1" applyProtection="1">
      <alignment wrapText="1"/>
      <protection locked="0"/>
    </xf>
    <xf numFmtId="37" fontId="0" fillId="29" borderId="0" xfId="439" applyNumberFormat="1" applyFont="1" applyFill="1" applyAlignment="1" applyProtection="1">
      <alignment horizontal="center" vertical="center"/>
      <protection locked="0"/>
    </xf>
    <xf numFmtId="0" fontId="0" fillId="34" borderId="0" xfId="0" applyNumberFormat="1" applyFont="1" applyFill="1" applyAlignment="1" applyProtection="1">
      <alignment horizontal="left" vertical="center" wrapText="1"/>
    </xf>
    <xf numFmtId="41" fontId="73" fillId="0" borderId="0" xfId="0" applyNumberFormat="1" applyFont="1" applyFill="1" applyAlignment="1" applyProtection="1">
      <alignment wrapText="1"/>
    </xf>
    <xf numFmtId="41" fontId="74" fillId="0" borderId="0" xfId="0" applyNumberFormat="1" applyFont="1" applyFill="1" applyBorder="1" applyAlignment="1" applyProtection="1">
      <alignment wrapText="1"/>
      <protection locked="0"/>
    </xf>
    <xf numFmtId="0" fontId="73" fillId="0" borderId="0" xfId="0" applyFont="1" applyFill="1" applyProtection="1"/>
    <xf numFmtId="164" fontId="0" fillId="0" borderId="45" xfId="0" applyNumberFormat="1" applyFont="1" applyFill="1" applyBorder="1" applyAlignment="1" applyProtection="1">
      <alignment wrapText="1"/>
      <protection locked="0"/>
    </xf>
    <xf numFmtId="0" fontId="74" fillId="0" borderId="0" xfId="0" applyFont="1" applyFill="1" applyAlignment="1" applyProtection="1">
      <alignment wrapText="1"/>
    </xf>
    <xf numFmtId="0" fontId="41" fillId="0" borderId="0" xfId="0" applyFont="1" applyFill="1" applyAlignment="1" applyProtection="1">
      <alignment horizontal="center" vertical="center" wrapText="1"/>
    </xf>
    <xf numFmtId="0" fontId="74" fillId="0" borderId="0" xfId="0" applyFont="1" applyFill="1" applyAlignment="1" applyProtection="1">
      <alignment horizontal="left" wrapText="1" indent="2"/>
    </xf>
    <xf numFmtId="0" fontId="0" fillId="0" borderId="0" xfId="0" applyFont="1" applyBorder="1" applyAlignment="1" applyProtection="1">
      <alignment wrapText="1"/>
    </xf>
    <xf numFmtId="41" fontId="74" fillId="0" borderId="45" xfId="0" applyNumberFormat="1" applyFont="1" applyFill="1" applyBorder="1" applyAlignment="1" applyProtection="1">
      <alignment wrapText="1"/>
    </xf>
    <xf numFmtId="41" fontId="74" fillId="0" borderId="45" xfId="0" applyNumberFormat="1" applyFont="1" applyBorder="1" applyAlignment="1">
      <alignment wrapText="1"/>
    </xf>
    <xf numFmtId="41" fontId="74" fillId="0" borderId="0" xfId="0" applyNumberFormat="1" applyFont="1" applyFill="1" applyAlignment="1">
      <alignment wrapText="1"/>
    </xf>
    <xf numFmtId="37" fontId="0" fillId="0" borderId="0" xfId="0" applyNumberFormat="1" applyFont="1" applyAlignment="1" applyProtection="1">
      <alignment wrapText="1"/>
      <protection locked="0"/>
    </xf>
    <xf numFmtId="164" fontId="0" fillId="0" borderId="0" xfId="0" applyNumberFormat="1" applyFont="1" applyAlignment="1" applyProtection="1">
      <alignment wrapText="1"/>
      <protection locked="0"/>
    </xf>
    <xf numFmtId="41" fontId="74" fillId="0" borderId="0" xfId="0" applyNumberFormat="1" applyFont="1" applyAlignment="1">
      <alignment wrapText="1"/>
    </xf>
    <xf numFmtId="37" fontId="0" fillId="0" borderId="45" xfId="0" applyNumberFormat="1" applyFont="1" applyFill="1" applyBorder="1" applyAlignment="1" applyProtection="1">
      <alignment wrapText="1"/>
      <protection locked="0"/>
    </xf>
    <xf numFmtId="3" fontId="0" fillId="28" borderId="0" xfId="439" applyNumberFormat="1" applyFont="1" applyFill="1" applyAlignment="1" applyProtection="1">
      <alignment horizontal="center" vertical="center"/>
      <protection locked="0"/>
    </xf>
    <xf numFmtId="0" fontId="0" fillId="0" borderId="45" xfId="0" applyNumberFormat="1" applyFont="1" applyFill="1" applyBorder="1" applyAlignment="1" applyProtection="1">
      <alignment vertical="center" wrapText="1"/>
    </xf>
    <xf numFmtId="0" fontId="41" fillId="0" borderId="0" xfId="0" applyNumberFormat="1" applyFont="1" applyFill="1" applyAlignment="1" applyProtection="1">
      <alignment wrapText="1"/>
    </xf>
    <xf numFmtId="0" fontId="0" fillId="34" borderId="0" xfId="0" applyNumberFormat="1" applyFont="1" applyFill="1" applyAlignment="1" applyProtection="1">
      <alignment vertical="center" wrapText="1"/>
    </xf>
    <xf numFmtId="41" fontId="74" fillId="0" borderId="0" xfId="0" applyNumberFormat="1" applyFont="1" applyFill="1" applyAlignment="1" applyProtection="1">
      <alignment horizontal="center" wrapText="1"/>
    </xf>
    <xf numFmtId="0" fontId="41" fillId="0" borderId="0" xfId="0" applyNumberFormat="1" applyFont="1" applyFill="1" applyAlignment="1" applyProtection="1">
      <alignment vertical="center" wrapText="1"/>
    </xf>
    <xf numFmtId="0" fontId="0" fillId="0" borderId="0" xfId="0" applyNumberFormat="1" applyFont="1" applyFill="1" applyAlignment="1" applyProtection="1">
      <alignment horizontal="left" vertical="center" wrapText="1" indent="3"/>
    </xf>
    <xf numFmtId="3" fontId="0" fillId="0" borderId="0" xfId="0" applyNumberFormat="1" applyFont="1" applyAlignment="1" applyProtection="1">
      <alignment horizontal="center" vertical="center"/>
    </xf>
    <xf numFmtId="0" fontId="0" fillId="0" borderId="14" xfId="0" applyNumberFormat="1" applyFont="1" applyFill="1" applyBorder="1" applyAlignment="1" applyProtection="1">
      <alignment vertical="center" wrapText="1"/>
    </xf>
    <xf numFmtId="0" fontId="0" fillId="0" borderId="14" xfId="0" applyNumberFormat="1" applyFont="1" applyFill="1" applyBorder="1" applyAlignment="1" applyProtection="1">
      <alignment horizontal="left" vertical="center" wrapText="1" indent="3"/>
    </xf>
    <xf numFmtId="3" fontId="0" fillId="0" borderId="0" xfId="0" applyNumberFormat="1" applyFont="1" applyFill="1" applyAlignment="1" applyProtection="1">
      <alignment horizontal="center" vertical="center" wrapText="1"/>
    </xf>
    <xf numFmtId="0" fontId="0" fillId="0" borderId="14" xfId="0" applyNumberFormat="1" applyFont="1" applyFill="1" applyBorder="1" applyAlignment="1" applyProtection="1">
      <alignment horizontal="left" vertical="center" wrapText="1" indent="6"/>
    </xf>
    <xf numFmtId="0" fontId="0" fillId="0" borderId="0" xfId="0" applyFont="1" applyAlignment="1" applyProtection="1">
      <protection locked="0"/>
    </xf>
    <xf numFmtId="39" fontId="0" fillId="0" borderId="0" xfId="439" applyNumberFormat="1" applyFont="1" applyFill="1" applyBorder="1" applyAlignment="1" applyProtection="1">
      <alignment horizontal="center" vertical="center" wrapText="1"/>
    </xf>
    <xf numFmtId="164" fontId="0" fillId="28" borderId="0" xfId="439" applyNumberFormat="1" applyFont="1" applyFill="1" applyProtection="1"/>
    <xf numFmtId="0" fontId="0" fillId="32" borderId="0" xfId="0" applyFont="1" applyFill="1" applyProtection="1"/>
    <xf numFmtId="164" fontId="0" fillId="0" borderId="23" xfId="439" applyNumberFormat="1" applyFont="1" applyFill="1" applyBorder="1" applyAlignment="1" applyProtection="1">
      <alignment horizontal="center" vertical="center" wrapText="1"/>
      <protection locked="0"/>
    </xf>
    <xf numFmtId="3" fontId="0" fillId="28" borderId="0" xfId="439" applyNumberFormat="1" applyFont="1" applyFill="1" applyAlignment="1" applyProtection="1">
      <alignment horizontal="center" vertical="center"/>
    </xf>
    <xf numFmtId="41" fontId="73" fillId="0" borderId="0" xfId="439" applyNumberFormat="1" applyFont="1" applyFill="1" applyAlignment="1" applyProtection="1">
      <alignment vertical="center" wrapText="1"/>
    </xf>
    <xf numFmtId="39" fontId="73" fillId="0" borderId="0" xfId="439" applyNumberFormat="1" applyFont="1" applyFill="1" applyBorder="1" applyAlignment="1" applyProtection="1">
      <alignment horizontal="center" vertical="center" wrapText="1"/>
    </xf>
    <xf numFmtId="168" fontId="0" fillId="0" borderId="0" xfId="0" applyNumberFormat="1" applyFont="1" applyFill="1" applyAlignment="1" applyProtection="1">
      <alignment wrapText="1"/>
    </xf>
    <xf numFmtId="168" fontId="0" fillId="0" borderId="0" xfId="0" applyNumberFormat="1" applyFont="1" applyProtection="1"/>
    <xf numFmtId="0" fontId="0" fillId="0" borderId="0" xfId="0" applyFont="1" applyFill="1" applyAlignment="1" applyProtection="1">
      <alignment horizontal="center" wrapText="1"/>
      <protection locked="0"/>
    </xf>
    <xf numFmtId="0" fontId="41" fillId="0" borderId="0" xfId="0" applyFont="1" applyAlignment="1" applyProtection="1">
      <alignment wrapText="1"/>
      <protection locked="0"/>
    </xf>
    <xf numFmtId="2" fontId="0" fillId="0" borderId="0" xfId="0" applyNumberFormat="1" applyFont="1" applyFill="1" applyProtection="1"/>
    <xf numFmtId="2" fontId="0" fillId="0" borderId="0" xfId="0" applyNumberFormat="1" applyFont="1" applyAlignment="1" applyProtection="1">
      <alignment wrapText="1"/>
      <protection locked="0"/>
    </xf>
    <xf numFmtId="0" fontId="0" fillId="34" borderId="0" xfId="0" applyFont="1" applyFill="1" applyAlignment="1">
      <alignment vertical="center" wrapText="1"/>
    </xf>
    <xf numFmtId="0" fontId="41" fillId="0" borderId="0" xfId="0" applyFont="1" applyAlignment="1" applyProtection="1">
      <alignment horizontal="center" wrapText="1"/>
      <protection locked="0"/>
    </xf>
    <xf numFmtId="49" fontId="0" fillId="29" borderId="0" xfId="0" applyNumberFormat="1" applyFont="1" applyFill="1" applyProtection="1">
      <protection locked="0"/>
    </xf>
    <xf numFmtId="0" fontId="0" fillId="34" borderId="45" xfId="0" applyNumberFormat="1" applyFont="1" applyFill="1" applyBorder="1" applyAlignment="1" applyProtection="1">
      <alignment vertical="center" wrapText="1"/>
    </xf>
    <xf numFmtId="14" fontId="0" fillId="29" borderId="0" xfId="439" applyNumberFormat="1" applyFont="1" applyFill="1" applyAlignment="1" applyProtection="1">
      <alignment horizontal="left" vertical="center" wrapText="1"/>
      <protection locked="0"/>
    </xf>
    <xf numFmtId="14" fontId="0" fillId="0" borderId="0" xfId="0" applyNumberFormat="1" applyFont="1"/>
    <xf numFmtId="0" fontId="0" fillId="0" borderId="22" xfId="0" applyFont="1" applyFill="1" applyBorder="1"/>
    <xf numFmtId="0" fontId="0" fillId="0" borderId="0" xfId="0" applyFont="1" applyBorder="1"/>
    <xf numFmtId="0" fontId="0" fillId="0" borderId="56" xfId="0" applyFont="1" applyBorder="1"/>
    <xf numFmtId="0" fontId="0" fillId="26" borderId="16" xfId="0" applyFont="1" applyFill="1" applyBorder="1" applyAlignment="1" applyProtection="1">
      <alignment horizontal="center"/>
    </xf>
    <xf numFmtId="0" fontId="0" fillId="0" borderId="11" xfId="0" applyFont="1" applyFill="1" applyBorder="1" applyAlignment="1" applyProtection="1">
      <alignment horizontal="center"/>
    </xf>
    <xf numFmtId="41" fontId="73" fillId="0" borderId="0" xfId="439" applyNumberFormat="1" applyFont="1" applyFill="1" applyAlignment="1" applyProtection="1">
      <alignment vertical="center" wrapText="1"/>
      <protection locked="0"/>
    </xf>
    <xf numFmtId="0" fontId="41" fillId="31" borderId="37" xfId="0" applyFont="1" applyFill="1" applyBorder="1" applyAlignment="1">
      <alignment horizontal="center" vertical="center" wrapText="1"/>
    </xf>
    <xf numFmtId="0" fontId="41" fillId="31" borderId="39" xfId="0" applyFont="1" applyFill="1" applyBorder="1" applyAlignment="1">
      <alignment horizontal="center" vertical="center" wrapText="1"/>
    </xf>
    <xf numFmtId="41" fontId="73" fillId="0" borderId="0" xfId="439" applyNumberFormat="1" applyFont="1" applyAlignment="1">
      <alignment vertical="center" wrapText="1"/>
    </xf>
    <xf numFmtId="49" fontId="0" fillId="31" borderId="13" xfId="0" applyNumberFormat="1" applyFont="1" applyFill="1" applyBorder="1" applyAlignment="1" applyProtection="1">
      <alignment horizontal="center"/>
      <protection locked="0"/>
    </xf>
    <xf numFmtId="14" fontId="0" fillId="31" borderId="13" xfId="0" applyNumberFormat="1" applyFont="1" applyFill="1" applyBorder="1" applyAlignment="1" applyProtection="1">
      <alignment horizontal="center"/>
      <protection locked="0"/>
    </xf>
    <xf numFmtId="49" fontId="37" fillId="31" borderId="13" xfId="611" applyNumberFormat="1" applyFont="1" applyFill="1" applyBorder="1" applyAlignment="1" applyProtection="1">
      <alignment horizontal="center"/>
      <protection locked="0"/>
    </xf>
    <xf numFmtId="41" fontId="0" fillId="0" borderId="0" xfId="439" applyNumberFormat="1" applyFont="1" applyFill="1" applyAlignment="1" applyProtection="1">
      <alignment vertical="center" wrapText="1"/>
    </xf>
    <xf numFmtId="0" fontId="0" fillId="0" borderId="0" xfId="0" applyFont="1" applyFill="1" applyAlignment="1" applyProtection="1">
      <alignment horizontal="center"/>
    </xf>
    <xf numFmtId="41" fontId="0" fillId="0" borderId="0" xfId="0" applyNumberFormat="1" applyFont="1" applyFill="1" applyAlignment="1" applyProtection="1">
      <alignment wrapText="1"/>
    </xf>
    <xf numFmtId="0" fontId="0" fillId="0" borderId="0" xfId="0" applyFont="1" applyFill="1" applyBorder="1" applyAlignment="1" applyProtection="1">
      <alignment horizontal="center"/>
    </xf>
    <xf numFmtId="41" fontId="0" fillId="0" borderId="0" xfId="0" applyNumberFormat="1" applyFont="1" applyAlignment="1" applyProtection="1">
      <alignment wrapText="1"/>
    </xf>
    <xf numFmtId="176" fontId="0" fillId="0" borderId="0" xfId="0" applyNumberFormat="1" applyFont="1" applyAlignment="1" applyProtection="1">
      <alignment wrapText="1"/>
    </xf>
    <xf numFmtId="0" fontId="41" fillId="0" borderId="0" xfId="0" applyFont="1" applyFill="1" applyBorder="1" applyAlignment="1" applyProtection="1">
      <alignment horizontal="left" vertical="center"/>
    </xf>
    <xf numFmtId="0" fontId="0" fillId="21" borderId="13" xfId="0" applyFont="1" applyFill="1" applyBorder="1" applyAlignment="1" applyProtection="1">
      <alignment horizontal="left" vertical="center"/>
    </xf>
    <xf numFmtId="0" fontId="0" fillId="21" borderId="16" xfId="0" applyFont="1" applyFill="1" applyBorder="1" applyAlignment="1" applyProtection="1">
      <alignment horizontal="left" vertical="center"/>
    </xf>
    <xf numFmtId="0" fontId="0" fillId="21" borderId="15" xfId="0" applyFont="1" applyFill="1" applyBorder="1" applyAlignment="1" applyProtection="1">
      <alignment horizontal="left" vertical="center"/>
    </xf>
    <xf numFmtId="0" fontId="0" fillId="21" borderId="0" xfId="0" applyFont="1" applyFill="1" applyBorder="1" applyAlignment="1" applyProtection="1">
      <alignment horizontal="left" vertical="center"/>
    </xf>
    <xf numFmtId="0" fontId="184" fillId="0" borderId="0" xfId="0" applyNumberFormat="1" applyFont="1" applyFill="1" applyAlignment="1" applyProtection="1">
      <alignment horizontal="left" vertical="center" wrapText="1"/>
    </xf>
    <xf numFmtId="0" fontId="0" fillId="0" borderId="45" xfId="0" applyFont="1" applyFill="1" applyBorder="1" applyAlignment="1" applyProtection="1">
      <alignment wrapText="1"/>
    </xf>
    <xf numFmtId="0" fontId="47" fillId="0" borderId="45" xfId="0" applyFont="1" applyFill="1" applyBorder="1" applyAlignment="1" applyProtection="1">
      <alignment wrapText="1"/>
    </xf>
    <xf numFmtId="0" fontId="184" fillId="0" borderId="0" xfId="0" applyFont="1" applyFill="1" applyAlignment="1" applyProtection="1">
      <alignment horizontal="left" vertical="center" wrapText="1"/>
    </xf>
    <xf numFmtId="0" fontId="66" fillId="0" borderId="36" xfId="0" applyNumberFormat="1" applyFont="1" applyFill="1" applyBorder="1" applyAlignment="1" applyProtection="1">
      <alignment horizontal="left" vertical="center" wrapText="1"/>
    </xf>
    <xf numFmtId="0" fontId="47" fillId="0" borderId="0" xfId="0" applyFont="1" applyFill="1" applyAlignment="1" applyProtection="1">
      <alignment wrapText="1"/>
    </xf>
    <xf numFmtId="0" fontId="66" fillId="0" borderId="0" xfId="0" applyFont="1" applyAlignment="1">
      <alignment wrapText="1"/>
    </xf>
    <xf numFmtId="0" fontId="47" fillId="0" borderId="45" xfId="0" applyFont="1" applyBorder="1" applyAlignment="1">
      <alignment horizontal="center" vertical="center" wrapText="1"/>
    </xf>
    <xf numFmtId="0" fontId="41" fillId="0" borderId="0" xfId="0" applyFont="1" applyFill="1" applyAlignment="1" applyProtection="1">
      <alignment horizontal="left" vertical="center" wrapText="1"/>
    </xf>
    <xf numFmtId="0" fontId="0" fillId="0" borderId="25" xfId="0" applyFont="1" applyFill="1" applyBorder="1" applyAlignment="1">
      <alignment horizontal="left" vertical="center" wrapText="1"/>
    </xf>
    <xf numFmtId="0" fontId="0" fillId="0" borderId="23" xfId="0" applyFont="1" applyBorder="1" applyAlignment="1">
      <alignment horizontal="left" vertical="center" wrapText="1"/>
    </xf>
    <xf numFmtId="0" fontId="0" fillId="0" borderId="0" xfId="0" applyFont="1" applyBorder="1" applyAlignment="1">
      <alignment horizontal="left" vertical="center" wrapText="1"/>
    </xf>
    <xf numFmtId="0" fontId="0" fillId="0" borderId="0" xfId="0" applyFont="1" applyFill="1" applyAlignment="1" applyProtection="1">
      <alignment vertical="center"/>
    </xf>
    <xf numFmtId="0" fontId="47" fillId="0" borderId="0" xfId="0" applyFont="1" applyFill="1" applyAlignment="1" applyProtection="1">
      <alignment horizontal="center" vertical="center" wrapText="1"/>
    </xf>
    <xf numFmtId="0" fontId="47" fillId="0" borderId="0" xfId="0" applyNumberFormat="1" applyFont="1" applyFill="1" applyAlignment="1" applyProtection="1">
      <alignment vertical="center" wrapText="1"/>
    </xf>
    <xf numFmtId="0" fontId="0" fillId="0" borderId="45" xfId="0" applyFont="1" applyFill="1" applyBorder="1" applyAlignment="1" applyProtection="1">
      <alignment horizontal="center" vertical="center" wrapText="1"/>
    </xf>
    <xf numFmtId="0" fontId="47" fillId="0" borderId="45" xfId="0" applyFont="1" applyFill="1" applyBorder="1" applyAlignment="1" applyProtection="1">
      <alignment horizontal="center" vertical="center" wrapText="1"/>
    </xf>
    <xf numFmtId="0" fontId="41" fillId="28" borderId="0" xfId="0" applyFont="1" applyFill="1" applyAlignment="1" applyProtection="1">
      <alignment horizontal="left" vertical="center"/>
    </xf>
    <xf numFmtId="0" fontId="0" fillId="28" borderId="0" xfId="0" applyFont="1" applyFill="1" applyAlignment="1" applyProtection="1">
      <alignment horizontal="left" vertical="center"/>
    </xf>
    <xf numFmtId="0" fontId="0" fillId="34" borderId="0" xfId="0" applyFont="1" applyFill="1" applyAlignment="1" applyProtection="1">
      <alignment horizontal="center" vertical="center" wrapText="1"/>
    </xf>
    <xf numFmtId="0" fontId="41" fillId="0" borderId="0" xfId="0" applyFont="1" applyAlignment="1" applyProtection="1">
      <alignment horizontal="center" vertical="center" wrapText="1"/>
    </xf>
    <xf numFmtId="0" fontId="0" fillId="0" borderId="14" xfId="0" applyFont="1" applyFill="1" applyBorder="1" applyAlignment="1" applyProtection="1">
      <alignment horizontal="center" vertical="center"/>
    </xf>
    <xf numFmtId="0" fontId="47" fillId="34" borderId="0" xfId="0" applyFont="1" applyFill="1" applyAlignment="1" applyProtection="1">
      <alignment horizontal="center" vertical="center" wrapText="1"/>
    </xf>
    <xf numFmtId="0" fontId="66" fillId="0" borderId="0" xfId="0" applyFont="1" applyFill="1" applyAlignment="1" applyProtection="1">
      <alignment horizontal="center" vertical="center" wrapText="1"/>
    </xf>
    <xf numFmtId="3" fontId="191" fillId="0" borderId="0" xfId="1540" applyFont="1" applyFill="1" applyAlignment="1" applyProtection="1">
      <alignment vertical="center" wrapText="1"/>
    </xf>
    <xf numFmtId="0" fontId="62" fillId="0" borderId="0" xfId="30099" applyFont="1" applyFill="1" applyAlignment="1">
      <alignment horizontal="left" vertical="top" wrapText="1"/>
    </xf>
    <xf numFmtId="0" fontId="62" fillId="0" borderId="0" xfId="0" applyFont="1" applyFill="1" applyAlignment="1" applyProtection="1">
      <alignment vertical="center" wrapText="1"/>
    </xf>
    <xf numFmtId="0" fontId="0" fillId="34" borderId="45" xfId="0" applyFont="1" applyFill="1" applyBorder="1" applyAlignment="1" applyProtection="1">
      <alignment horizontal="center" vertical="center" wrapText="1"/>
    </xf>
    <xf numFmtId="0" fontId="41" fillId="0" borderId="0" xfId="0" applyFont="1" applyFill="1" applyAlignment="1" applyProtection="1">
      <alignment horizontal="center" vertical="center"/>
    </xf>
    <xf numFmtId="38" fontId="0" fillId="0" borderId="0" xfId="0" applyNumberFormat="1" applyFont="1" applyProtection="1">
      <protection locked="0"/>
    </xf>
    <xf numFmtId="0" fontId="41" fillId="74" borderId="0" xfId="0" applyFont="1" applyFill="1" applyAlignment="1" applyProtection="1">
      <alignment horizontal="left" vertical="center" wrapText="1"/>
    </xf>
    <xf numFmtId="0" fontId="41" fillId="74" borderId="0" xfId="0" applyFont="1" applyFill="1" applyAlignment="1" applyProtection="1">
      <alignment vertical="center" wrapText="1"/>
    </xf>
    <xf numFmtId="0" fontId="41" fillId="74" borderId="0" xfId="0" applyFont="1" applyFill="1" applyAlignment="1" applyProtection="1">
      <alignment vertical="center"/>
    </xf>
    <xf numFmtId="0" fontId="41" fillId="74" borderId="0" xfId="0" applyFont="1" applyFill="1" applyAlignment="1" applyProtection="1"/>
    <xf numFmtId="0" fontId="0" fillId="74" borderId="0" xfId="0" applyFont="1" applyFill="1" applyAlignment="1" applyProtection="1"/>
    <xf numFmtId="0" fontId="41" fillId="74" borderId="0" xfId="0" applyFont="1" applyFill="1" applyAlignment="1" applyProtection="1">
      <alignment wrapText="1"/>
    </xf>
    <xf numFmtId="2" fontId="41" fillId="74" borderId="0" xfId="0" applyNumberFormat="1" applyFont="1" applyFill="1" applyAlignment="1" applyProtection="1">
      <alignment horizontal="center" vertical="center" wrapText="1"/>
      <protection locked="0"/>
    </xf>
    <xf numFmtId="0" fontId="74" fillId="74" borderId="0" xfId="0" applyFont="1" applyFill="1" applyAlignment="1" applyProtection="1">
      <alignment wrapText="1"/>
    </xf>
    <xf numFmtId="0" fontId="0" fillId="74" borderId="0" xfId="0" applyNumberFormat="1" applyFont="1" applyFill="1" applyAlignment="1" applyProtection="1">
      <alignment horizontal="left" vertical="center" wrapText="1"/>
    </xf>
    <xf numFmtId="164" fontId="0" fillId="74" borderId="0" xfId="439" applyNumberFormat="1" applyFont="1" applyFill="1" applyAlignment="1" applyProtection="1">
      <alignment vertical="center"/>
    </xf>
    <xf numFmtId="37" fontId="0" fillId="74" borderId="0" xfId="439" applyNumberFormat="1" applyFont="1" applyFill="1" applyAlignment="1" applyProtection="1">
      <alignment horizontal="center" vertical="center"/>
      <protection locked="0"/>
    </xf>
    <xf numFmtId="41" fontId="73" fillId="74" borderId="0" xfId="439" applyNumberFormat="1" applyFont="1" applyFill="1" applyAlignment="1" applyProtection="1">
      <alignment wrapText="1"/>
    </xf>
    <xf numFmtId="0" fontId="41" fillId="74" borderId="0" xfId="0" applyNumberFormat="1" applyFont="1" applyFill="1" applyAlignment="1" applyProtection="1">
      <alignment horizontal="left" vertical="center" wrapText="1"/>
    </xf>
    <xf numFmtId="164" fontId="0" fillId="74" borderId="0" xfId="439" applyNumberFormat="1" applyFont="1" applyFill="1" applyAlignment="1" applyProtection="1">
      <alignment horizontal="center" vertical="center"/>
      <protection locked="0"/>
    </xf>
    <xf numFmtId="41" fontId="74" fillId="74" borderId="0" xfId="439" applyNumberFormat="1" applyFont="1" applyFill="1" applyAlignment="1" applyProtection="1">
      <alignment wrapText="1"/>
    </xf>
    <xf numFmtId="0" fontId="62" fillId="74" borderId="0" xfId="0" applyFont="1" applyFill="1" applyAlignment="1" applyProtection="1">
      <alignment horizontal="left" vertical="center"/>
    </xf>
    <xf numFmtId="0" fontId="47" fillId="74" borderId="0" xfId="0" applyFont="1" applyFill="1" applyAlignment="1" applyProtection="1">
      <alignment horizontal="left" vertical="center"/>
    </xf>
    <xf numFmtId="0" fontId="0" fillId="74" borderId="0" xfId="0" applyNumberFormat="1" applyFont="1" applyFill="1" applyAlignment="1" applyProtection="1">
      <alignment wrapText="1"/>
    </xf>
    <xf numFmtId="0" fontId="0" fillId="74" borderId="0" xfId="0" applyFont="1" applyFill="1" applyAlignment="1" applyProtection="1">
      <alignment vertical="center"/>
    </xf>
    <xf numFmtId="164" fontId="0" fillId="74" borderId="0" xfId="0" applyNumberFormat="1" applyFont="1" applyFill="1" applyAlignment="1" applyProtection="1">
      <alignment vertical="center"/>
    </xf>
    <xf numFmtId="164" fontId="41" fillId="74" borderId="0" xfId="439" applyNumberFormat="1" applyFont="1" applyFill="1" applyAlignment="1" applyProtection="1">
      <alignment horizontal="center" vertical="center"/>
      <protection locked="0"/>
    </xf>
    <xf numFmtId="41" fontId="74" fillId="74" borderId="0" xfId="0" applyNumberFormat="1" applyFont="1" applyFill="1" applyAlignment="1" applyProtection="1">
      <alignment wrapText="1"/>
    </xf>
    <xf numFmtId="0" fontId="41" fillId="74" borderId="0" xfId="0" applyFont="1" applyFill="1" applyAlignment="1" applyProtection="1">
      <alignment horizontal="center" vertical="center"/>
      <protection locked="0"/>
    </xf>
    <xf numFmtId="0" fontId="74" fillId="74" borderId="0" xfId="0" applyFont="1" applyFill="1" applyAlignment="1" applyProtection="1"/>
    <xf numFmtId="0" fontId="41" fillId="74" borderId="0" xfId="0" applyFont="1" applyFill="1" applyAlignment="1" applyProtection="1">
      <alignment horizontal="center" vertical="center" wrapText="1"/>
      <protection locked="0"/>
    </xf>
    <xf numFmtId="0" fontId="74" fillId="74" borderId="0" xfId="0" applyFont="1" applyFill="1" applyAlignment="1" applyProtection="1">
      <alignment horizontal="left" wrapText="1" indent="2"/>
    </xf>
    <xf numFmtId="0" fontId="41" fillId="74" borderId="0" xfId="0" applyFont="1" applyFill="1" applyAlignment="1" applyProtection="1">
      <alignment horizontal="left" vertical="center"/>
    </xf>
    <xf numFmtId="0" fontId="0" fillId="74" borderId="0" xfId="0" applyFont="1" applyFill="1" applyAlignment="1" applyProtection="1">
      <alignment horizontal="left" vertical="center"/>
    </xf>
    <xf numFmtId="0" fontId="41" fillId="74" borderId="0" xfId="0" applyNumberFormat="1" applyFont="1" applyFill="1" applyAlignment="1" applyProtection="1">
      <alignment vertical="center" wrapText="1"/>
    </xf>
    <xf numFmtId="0" fontId="0" fillId="74" borderId="0" xfId="0" applyNumberFormat="1" applyFont="1" applyFill="1" applyAlignment="1" applyProtection="1">
      <alignment vertical="center" wrapText="1"/>
    </xf>
    <xf numFmtId="3" fontId="0" fillId="74" borderId="0" xfId="439" applyNumberFormat="1" applyFont="1" applyFill="1" applyAlignment="1" applyProtection="1">
      <alignment horizontal="center" vertical="center"/>
      <protection locked="0"/>
    </xf>
    <xf numFmtId="0" fontId="66" fillId="74" borderId="0" xfId="0" applyFont="1" applyFill="1" applyAlignment="1" applyProtection="1">
      <alignment horizontal="left" vertical="center"/>
    </xf>
    <xf numFmtId="3" fontId="41" fillId="74" borderId="0" xfId="0" applyNumberFormat="1" applyFont="1" applyFill="1" applyAlignment="1" applyProtection="1">
      <alignment horizontal="center" vertical="center"/>
      <protection locked="0"/>
    </xf>
    <xf numFmtId="3" fontId="41" fillId="74" borderId="0" xfId="0" applyNumberFormat="1" applyFont="1" applyFill="1" applyAlignment="1" applyProtection="1">
      <alignment horizontal="center" vertical="center" wrapText="1"/>
      <protection locked="0"/>
    </xf>
    <xf numFmtId="0" fontId="74" fillId="74" borderId="0" xfId="0" applyFont="1" applyFill="1" applyAlignment="1" applyProtection="1">
      <alignment vertical="center"/>
    </xf>
    <xf numFmtId="3" fontId="41" fillId="74" borderId="0" xfId="439" applyNumberFormat="1" applyFont="1" applyFill="1" applyAlignment="1" applyProtection="1">
      <alignment horizontal="center" vertical="center"/>
      <protection locked="0"/>
    </xf>
    <xf numFmtId="38" fontId="47" fillId="74" borderId="0" xfId="439" applyNumberFormat="1" applyFont="1" applyFill="1" applyAlignment="1" applyProtection="1">
      <alignment horizontal="center" vertical="center" wrapText="1"/>
    </xf>
    <xf numFmtId="0" fontId="0" fillId="74" borderId="0" xfId="0" applyFont="1" applyFill="1" applyAlignment="1" applyProtection="1">
      <alignment horizontal="center" vertical="center"/>
    </xf>
    <xf numFmtId="0" fontId="41" fillId="74" borderId="0" xfId="0" applyNumberFormat="1" applyFont="1" applyFill="1" applyAlignment="1" applyProtection="1">
      <alignment wrapText="1"/>
    </xf>
    <xf numFmtId="164" fontId="41" fillId="74" borderId="0" xfId="439" applyNumberFormat="1" applyFont="1" applyFill="1" applyAlignment="1" applyProtection="1">
      <alignment horizontal="center" wrapText="1"/>
    </xf>
    <xf numFmtId="3" fontId="41" fillId="74" borderId="0" xfId="439" applyNumberFormat="1" applyFont="1" applyFill="1" applyAlignment="1" applyProtection="1">
      <alignment horizontal="center" vertical="center" wrapText="1"/>
    </xf>
    <xf numFmtId="41" fontId="73" fillId="74" borderId="0" xfId="0" applyNumberFormat="1" applyFont="1" applyFill="1" applyAlignment="1" applyProtection="1">
      <alignment wrapText="1"/>
    </xf>
    <xf numFmtId="3" fontId="41" fillId="74" borderId="0" xfId="0" applyNumberFormat="1" applyFont="1" applyFill="1" applyAlignment="1" applyProtection="1">
      <alignment horizontal="center" vertical="center"/>
    </xf>
    <xf numFmtId="164" fontId="0" fillId="74" borderId="0" xfId="439" applyNumberFormat="1" applyFont="1" applyFill="1" applyProtection="1"/>
    <xf numFmtId="164" fontId="0" fillId="74" borderId="0" xfId="439" applyNumberFormat="1" applyFont="1" applyFill="1" applyAlignment="1" applyProtection="1">
      <alignment horizontal="center" vertical="center"/>
    </xf>
    <xf numFmtId="38" fontId="47" fillId="74" borderId="0" xfId="439" applyNumberFormat="1" applyFont="1" applyFill="1" applyProtection="1"/>
    <xf numFmtId="0" fontId="193" fillId="74" borderId="0" xfId="0" applyFont="1" applyFill="1" applyAlignment="1" applyProtection="1">
      <alignment horizontal="left" vertical="center"/>
    </xf>
    <xf numFmtId="37" fontId="0" fillId="74" borderId="0" xfId="439" applyNumberFormat="1" applyFont="1" applyFill="1" applyAlignment="1" applyProtection="1">
      <alignment horizontal="center" vertical="center"/>
    </xf>
    <xf numFmtId="38" fontId="41" fillId="74" borderId="0" xfId="0" applyNumberFormat="1" applyFont="1" applyFill="1" applyAlignment="1" applyProtection="1">
      <alignment horizontal="left" vertical="center"/>
    </xf>
    <xf numFmtId="0" fontId="74" fillId="74" borderId="0" xfId="0" applyFont="1" applyFill="1" applyAlignment="1" applyProtection="1">
      <alignment horizontal="left" vertical="center"/>
    </xf>
    <xf numFmtId="0" fontId="0" fillId="74" borderId="0" xfId="0" applyFont="1" applyFill="1" applyProtection="1"/>
    <xf numFmtId="0" fontId="0" fillId="74" borderId="0" xfId="0" applyFont="1" applyFill="1" applyAlignment="1" applyProtection="1">
      <alignment horizontal="center" vertical="center" wrapText="1"/>
    </xf>
    <xf numFmtId="0" fontId="41" fillId="74" borderId="0" xfId="0" applyFont="1" applyFill="1" applyAlignment="1" applyProtection="1">
      <alignment horizontal="center" vertical="center" wrapText="1"/>
    </xf>
    <xf numFmtId="41" fontId="0" fillId="74" borderId="0" xfId="439" applyNumberFormat="1" applyFont="1" applyFill="1" applyAlignment="1" applyProtection="1">
      <alignment vertical="center" wrapText="1"/>
      <protection locked="0"/>
    </xf>
    <xf numFmtId="41" fontId="0" fillId="74" borderId="0" xfId="439" applyNumberFormat="1" applyFont="1" applyFill="1" applyAlignment="1" applyProtection="1">
      <alignment vertical="center" wrapText="1"/>
    </xf>
    <xf numFmtId="0" fontId="0" fillId="74" borderId="0" xfId="0" applyFont="1" applyFill="1" applyAlignment="1" applyProtection="1">
      <alignment wrapText="1"/>
      <protection locked="0"/>
    </xf>
    <xf numFmtId="0" fontId="194" fillId="74" borderId="0" xfId="0" applyFont="1" applyFill="1" applyAlignment="1" applyProtection="1">
      <alignment horizontal="left" vertical="center"/>
    </xf>
    <xf numFmtId="0" fontId="86" fillId="74" borderId="0" xfId="0" applyFont="1" applyFill="1" applyAlignment="1" applyProtection="1">
      <alignment vertical="center"/>
    </xf>
    <xf numFmtId="0" fontId="195" fillId="74" borderId="0" xfId="0" applyFont="1" applyFill="1" applyAlignment="1" applyProtection="1">
      <alignment vertical="center"/>
      <protection locked="0"/>
    </xf>
    <xf numFmtId="0" fontId="66" fillId="74" borderId="36" xfId="0" applyNumberFormat="1" applyFont="1" applyFill="1" applyBorder="1" applyAlignment="1" applyProtection="1">
      <alignment horizontal="left" vertical="center" wrapText="1"/>
    </xf>
    <xf numFmtId="0" fontId="56" fillId="74" borderId="0" xfId="0" applyNumberFormat="1" applyFont="1" applyFill="1" applyAlignment="1" applyProtection="1">
      <alignment horizontal="left" vertical="center" wrapText="1"/>
    </xf>
    <xf numFmtId="168" fontId="41" fillId="29" borderId="0" xfId="439" applyNumberFormat="1" applyFont="1" applyFill="1" applyAlignment="1" applyProtection="1">
      <alignment horizontal="center" vertical="center"/>
      <protection locked="0"/>
    </xf>
    <xf numFmtId="0" fontId="62" fillId="74" borderId="0" xfId="0" applyFont="1" applyFill="1" applyAlignment="1">
      <alignment vertical="center" wrapText="1"/>
    </xf>
    <xf numFmtId="41" fontId="74" fillId="36" borderId="118" xfId="439" applyNumberFormat="1" applyFont="1" applyFill="1" applyBorder="1" applyAlignment="1">
      <alignment vertical="center" wrapText="1"/>
    </xf>
    <xf numFmtId="41" fontId="74" fillId="36" borderId="0" xfId="439" applyNumberFormat="1" applyFont="1" applyFill="1" applyAlignment="1">
      <alignment vertical="center" wrapText="1"/>
    </xf>
    <xf numFmtId="41" fontId="74" fillId="36" borderId="119" xfId="439" applyNumberFormat="1" applyFont="1" applyFill="1" applyBorder="1" applyAlignment="1">
      <alignment vertical="center" wrapText="1"/>
    </xf>
    <xf numFmtId="41" fontId="196" fillId="0" borderId="0" xfId="0" applyNumberFormat="1" applyFont="1" applyFill="1" applyAlignment="1" applyProtection="1">
      <alignment wrapText="1"/>
    </xf>
    <xf numFmtId="0" fontId="62" fillId="74" borderId="0" xfId="0" applyFont="1" applyFill="1" applyAlignment="1" applyProtection="1">
      <alignment vertical="center"/>
    </xf>
    <xf numFmtId="174" fontId="0" fillId="0" borderId="29" xfId="439" applyNumberFormat="1" applyFont="1" applyBorder="1" applyAlignment="1" applyProtection="1">
      <alignment vertical="center"/>
    </xf>
    <xf numFmtId="38" fontId="47" fillId="22" borderId="0" xfId="439" applyNumberFormat="1" applyFont="1" applyFill="1" applyAlignment="1" applyProtection="1">
      <alignment horizontal="center" vertical="center" wrapText="1"/>
    </xf>
    <xf numFmtId="167" fontId="0" fillId="80" borderId="87" xfId="545" applyNumberFormat="1" applyFont="1" applyFill="1" applyBorder="1"/>
    <xf numFmtId="37" fontId="0" fillId="0" borderId="108" xfId="0" applyNumberFormat="1" applyFont="1" applyFill="1" applyBorder="1" applyAlignment="1">
      <alignment horizontal="center" wrapText="1"/>
    </xf>
    <xf numFmtId="37" fontId="86" fillId="0" borderId="108" xfId="0" applyNumberFormat="1" applyFont="1" applyFill="1" applyBorder="1" applyAlignment="1">
      <alignment horizontal="center" wrapText="1"/>
    </xf>
    <xf numFmtId="41" fontId="74" fillId="0" borderId="0" xfId="0" applyNumberFormat="1" applyFont="1" applyFill="1" applyAlignment="1" applyProtection="1">
      <alignment vertical="center" wrapText="1"/>
    </xf>
    <xf numFmtId="0" fontId="0" fillId="78" borderId="10" xfId="0" applyFont="1" applyFill="1" applyBorder="1" applyAlignment="1">
      <alignment horizontal="left" vertical="center" wrapText="1"/>
    </xf>
    <xf numFmtId="0" fontId="166" fillId="73" borderId="57" xfId="0" applyFont="1" applyFill="1" applyBorder="1" applyAlignment="1">
      <alignment vertical="center" wrapText="1"/>
    </xf>
    <xf numFmtId="166" fontId="0" fillId="21" borderId="16" xfId="0" applyNumberFormat="1" applyFont="1" applyFill="1" applyBorder="1" applyProtection="1"/>
    <xf numFmtId="2" fontId="0" fillId="0" borderId="10" xfId="0" applyNumberFormat="1" applyFont="1" applyFill="1" applyBorder="1" applyAlignment="1">
      <alignment horizontal="center" wrapText="1"/>
    </xf>
    <xf numFmtId="37" fontId="0" fillId="0" borderId="10" xfId="0" applyNumberFormat="1" applyFont="1" applyFill="1" applyBorder="1" applyAlignment="1">
      <alignment horizontal="center" wrapText="1"/>
    </xf>
    <xf numFmtId="2" fontId="0" fillId="0" borderId="86" xfId="0" applyNumberFormat="1" applyFont="1" applyFill="1" applyBorder="1" applyAlignment="1">
      <alignment horizontal="center" wrapText="1"/>
    </xf>
    <xf numFmtId="37" fontId="0" fillId="0" borderId="89" xfId="0" applyNumberFormat="1" applyFont="1" applyFill="1" applyBorder="1" applyAlignment="1">
      <alignment horizontal="center" wrapText="1"/>
    </xf>
    <xf numFmtId="10" fontId="0" fillId="0" borderId="99" xfId="0" applyNumberFormat="1" applyFont="1" applyFill="1" applyBorder="1" applyAlignment="1">
      <alignment horizontal="center" wrapText="1"/>
    </xf>
    <xf numFmtId="0" fontId="41" fillId="78" borderId="10" xfId="0" applyFont="1" applyFill="1" applyBorder="1" applyAlignment="1">
      <alignment wrapText="1"/>
    </xf>
    <xf numFmtId="0" fontId="41" fillId="78" borderId="120" xfId="0" applyFont="1" applyFill="1" applyBorder="1" applyAlignment="1">
      <alignment wrapText="1"/>
    </xf>
    <xf numFmtId="10" fontId="0" fillId="0" borderId="84" xfId="4688" applyNumberFormat="1" applyFont="1" applyFill="1" applyBorder="1"/>
    <xf numFmtId="10" fontId="0" fillId="0" borderId="84" xfId="0" applyNumberFormat="1" applyFont="1" applyFill="1" applyBorder="1" applyAlignment="1">
      <alignment horizontal="center" wrapText="1"/>
    </xf>
    <xf numFmtId="0" fontId="0" fillId="0" borderId="121" xfId="0" applyFont="1" applyFill="1" applyBorder="1" applyProtection="1">
      <protection locked="0"/>
    </xf>
    <xf numFmtId="37" fontId="0" fillId="0" borderId="10" xfId="0" applyNumberFormat="1" applyFont="1" applyFill="1" applyBorder="1"/>
    <xf numFmtId="0" fontId="0" fillId="78" borderId="10" xfId="0" applyFont="1" applyFill="1" applyBorder="1" applyAlignment="1">
      <alignment horizontal="center" wrapText="1"/>
    </xf>
    <xf numFmtId="3" fontId="47" fillId="0" borderId="0" xfId="439" applyNumberFormat="1" applyFont="1" applyFill="1" applyAlignment="1" applyProtection="1">
      <alignment horizontal="center" vertical="center" wrapText="1"/>
    </xf>
    <xf numFmtId="0" fontId="0" fillId="78" borderId="86" xfId="0" applyFont="1" applyFill="1" applyBorder="1" applyAlignment="1">
      <alignment vertical="center" wrapText="1"/>
    </xf>
    <xf numFmtId="0" fontId="0" fillId="78" borderId="85" xfId="0" applyFont="1" applyFill="1" applyBorder="1" applyAlignment="1">
      <alignment vertical="center" wrapText="1"/>
    </xf>
    <xf numFmtId="0" fontId="0" fillId="78" borderId="85" xfId="0" applyFont="1" applyFill="1" applyBorder="1" applyAlignment="1">
      <alignment vertical="center"/>
    </xf>
    <xf numFmtId="0" fontId="0" fillId="78" borderId="90" xfId="0" applyFont="1" applyFill="1" applyBorder="1" applyAlignment="1">
      <alignment vertical="center"/>
    </xf>
    <xf numFmtId="0" fontId="41" fillId="78" borderId="85" xfId="0" applyFont="1" applyFill="1" applyBorder="1" applyAlignment="1">
      <alignment vertical="center" wrapText="1"/>
    </xf>
    <xf numFmtId="0" fontId="0" fillId="0" borderId="92" xfId="0" applyFont="1" applyFill="1" applyBorder="1" applyAlignment="1">
      <alignment horizontal="center" vertical="center" wrapText="1"/>
    </xf>
    <xf numFmtId="0" fontId="0" fillId="78" borderId="86" xfId="0" applyFont="1" applyFill="1" applyBorder="1" applyAlignment="1">
      <alignment horizontal="center" vertical="center" wrapText="1"/>
    </xf>
    <xf numFmtId="0" fontId="0" fillId="0" borderId="86" xfId="0" applyFont="1" applyFill="1" applyBorder="1" applyAlignment="1">
      <alignment horizontal="center" vertical="center" wrapText="1"/>
    </xf>
    <xf numFmtId="0" fontId="0" fillId="0" borderId="92" xfId="0" applyFont="1" applyFill="1" applyBorder="1" applyAlignment="1">
      <alignment horizontal="center" vertical="center"/>
    </xf>
    <xf numFmtId="0" fontId="0" fillId="0" borderId="86" xfId="0" applyFont="1" applyFill="1" applyBorder="1" applyAlignment="1">
      <alignment horizontal="center" vertical="center"/>
    </xf>
    <xf numFmtId="37" fontId="0" fillId="0" borderId="10" xfId="0" applyNumberFormat="1" applyFont="1" applyBorder="1" applyAlignment="1">
      <alignment vertical="center"/>
    </xf>
    <xf numFmtId="0" fontId="41" fillId="78" borderId="83" xfId="0" applyFont="1" applyFill="1" applyBorder="1" applyAlignment="1">
      <alignment vertical="center" wrapText="1"/>
    </xf>
    <xf numFmtId="0" fontId="0" fillId="78" borderId="101" xfId="0" applyFont="1" applyFill="1" applyBorder="1" applyAlignment="1">
      <alignment vertical="center" wrapText="1"/>
    </xf>
    <xf numFmtId="0" fontId="0" fillId="78" borderId="107" xfId="0" applyFont="1" applyFill="1" applyBorder="1" applyAlignment="1">
      <alignment vertical="center" wrapText="1"/>
    </xf>
    <xf numFmtId="0" fontId="0" fillId="78" borderId="99" xfId="0" applyFont="1" applyFill="1" applyBorder="1" applyAlignment="1">
      <alignment vertical="center" wrapText="1"/>
    </xf>
    <xf numFmtId="0" fontId="0" fillId="78" borderId="10" xfId="0" quotePrefix="1" applyFont="1" applyFill="1" applyBorder="1" applyAlignment="1">
      <alignment horizontal="center" vertical="center" wrapText="1"/>
    </xf>
    <xf numFmtId="0" fontId="0" fillId="78" borderId="84" xfId="0" quotePrefix="1" applyFont="1" applyFill="1" applyBorder="1" applyAlignment="1">
      <alignment horizontal="center" vertical="center" wrapText="1"/>
    </xf>
    <xf numFmtId="0" fontId="0" fillId="78" borderId="84" xfId="0" applyFont="1" applyFill="1" applyBorder="1" applyAlignment="1">
      <alignment vertical="center" wrapText="1"/>
    </xf>
    <xf numFmtId="164" fontId="47" fillId="0" borderId="10" xfId="439" applyNumberFormat="1" applyFont="1" applyFill="1" applyBorder="1" applyAlignment="1">
      <alignment horizontal="center"/>
    </xf>
    <xf numFmtId="0" fontId="0" fillId="78" borderId="0" xfId="0" applyFont="1" applyFill="1" applyBorder="1" applyProtection="1">
      <protection locked="0"/>
    </xf>
    <xf numFmtId="0" fontId="176" fillId="78" borderId="122" xfId="0" applyFont="1" applyFill="1" applyBorder="1" applyAlignment="1">
      <alignment wrapText="1"/>
    </xf>
    <xf numFmtId="9" fontId="0" fillId="78" borderId="84" xfId="4688" applyFont="1" applyFill="1" applyBorder="1" applyAlignment="1">
      <alignment horizontal="center" wrapText="1"/>
    </xf>
    <xf numFmtId="0" fontId="0" fillId="78" borderId="85" xfId="0" applyFont="1" applyFill="1" applyBorder="1" applyAlignment="1">
      <alignment horizontal="center" vertical="center" wrapText="1"/>
    </xf>
    <xf numFmtId="0" fontId="47" fillId="78" borderId="86" xfId="0" applyFont="1" applyFill="1" applyBorder="1" applyAlignment="1">
      <alignment horizontal="center" wrapText="1"/>
    </xf>
    <xf numFmtId="37" fontId="0" fillId="0" borderId="10" xfId="0" applyNumberFormat="1" applyFont="1" applyFill="1" applyBorder="1" applyAlignment="1">
      <alignment vertical="center"/>
    </xf>
    <xf numFmtId="0" fontId="0" fillId="78" borderId="99" xfId="0" applyFont="1" applyFill="1" applyBorder="1" applyAlignment="1">
      <alignment horizontal="center" vertical="center" wrapText="1"/>
    </xf>
    <xf numFmtId="37" fontId="0" fillId="78" borderId="108" xfId="0" applyNumberFormat="1" applyFont="1" applyFill="1" applyBorder="1" applyAlignment="1">
      <alignment horizontal="center" wrapText="1"/>
    </xf>
    <xf numFmtId="0" fontId="0" fillId="78" borderId="103" xfId="0" applyFont="1" applyFill="1" applyBorder="1" applyProtection="1">
      <protection locked="0"/>
    </xf>
    <xf numFmtId="43" fontId="0" fillId="0" borderId="10" xfId="439" applyNumberFormat="1" applyFont="1" applyFill="1" applyBorder="1" applyAlignment="1">
      <alignment horizontal="center"/>
    </xf>
    <xf numFmtId="43" fontId="47" fillId="0" borderId="10" xfId="439" applyNumberFormat="1" applyFont="1" applyFill="1" applyBorder="1" applyAlignment="1">
      <alignment horizontal="center"/>
    </xf>
    <xf numFmtId="0" fontId="136" fillId="78" borderId="15" xfId="30099" applyFont="1" applyFill="1" applyBorder="1" applyAlignment="1">
      <alignment horizontal="left" wrapText="1"/>
    </xf>
    <xf numFmtId="0" fontId="136" fillId="78" borderId="0" xfId="30099" applyFont="1" applyFill="1" applyAlignment="1">
      <alignment horizontal="left" wrapText="1"/>
    </xf>
    <xf numFmtId="0" fontId="136" fillId="78" borderId="60" xfId="30099" applyFont="1" applyFill="1" applyBorder="1" applyAlignment="1">
      <alignment horizontal="left" wrapText="1"/>
    </xf>
    <xf numFmtId="0" fontId="0" fillId="0" borderId="0" xfId="0" applyAlignment="1">
      <alignment wrapText="1"/>
    </xf>
    <xf numFmtId="0" fontId="0" fillId="0" borderId="0" xfId="0" applyAlignment="1">
      <alignment horizontal="left"/>
    </xf>
    <xf numFmtId="0" fontId="0" fillId="0" borderId="123" xfId="0" applyBorder="1"/>
    <xf numFmtId="0" fontId="0" fillId="0" borderId="81" xfId="0" applyBorder="1"/>
    <xf numFmtId="0" fontId="0" fillId="0" borderId="82" xfId="0" applyBorder="1"/>
    <xf numFmtId="0" fontId="0" fillId="0" borderId="126" xfId="0" applyBorder="1"/>
    <xf numFmtId="0" fontId="200" fillId="0" borderId="10" xfId="0" applyFont="1" applyBorder="1" applyAlignment="1">
      <alignment horizontal="center" vertical="center" wrapText="1"/>
    </xf>
    <xf numFmtId="0" fontId="0" fillId="0" borderId="74" xfId="0" applyBorder="1" applyAlignment="1">
      <alignment horizontal="center" wrapText="1"/>
    </xf>
    <xf numFmtId="1" fontId="0" fillId="0" borderId="0" xfId="0" applyNumberFormat="1"/>
    <xf numFmtId="0" fontId="200" fillId="0" borderId="84" xfId="0" applyFont="1" applyBorder="1" applyAlignment="1">
      <alignment horizontal="center" vertical="center" wrapText="1"/>
    </xf>
    <xf numFmtId="0" fontId="0" fillId="0" borderId="0" xfId="0" applyAlignment="1">
      <alignment horizontal="center" wrapText="1"/>
    </xf>
    <xf numFmtId="9" fontId="0" fillId="0" borderId="0" xfId="4688" applyFont="1" applyFill="1" applyBorder="1"/>
    <xf numFmtId="2" fontId="0" fillId="0" borderId="0" xfId="0" applyNumberFormat="1"/>
    <xf numFmtId="0" fontId="0" fillId="0" borderId="57" xfId="0" applyBorder="1" applyAlignment="1">
      <alignment horizontal="center" wrapText="1"/>
    </xf>
    <xf numFmtId="0" fontId="0" fillId="78" borderId="57" xfId="0" applyFill="1" applyBorder="1" applyAlignment="1">
      <alignment wrapText="1"/>
    </xf>
    <xf numFmtId="0" fontId="41" fillId="0" borderId="128" xfId="0" applyFont="1" applyBorder="1" applyAlignment="1">
      <alignment wrapText="1"/>
    </xf>
    <xf numFmtId="0" fontId="0" fillId="0" borderId="129" xfId="0" applyBorder="1"/>
    <xf numFmtId="0" fontId="0" fillId="0" borderId="129" xfId="0" applyBorder="1" applyAlignment="1">
      <alignment horizontal="center" wrapText="1"/>
    </xf>
    <xf numFmtId="0" fontId="0" fillId="0" borderId="129" xfId="0" applyBorder="1" applyAlignment="1">
      <alignment wrapText="1"/>
    </xf>
    <xf numFmtId="0" fontId="0" fillId="78" borderId="85" xfId="0" applyFill="1" applyBorder="1"/>
    <xf numFmtId="0" fontId="41" fillId="78" borderId="94" xfId="0" applyFont="1" applyFill="1" applyBorder="1" applyAlignment="1">
      <alignment horizontal="center" wrapText="1"/>
    </xf>
    <xf numFmtId="0" fontId="41" fillId="78" borderId="70" xfId="0" applyFont="1" applyFill="1" applyBorder="1" applyAlignment="1">
      <alignment horizontal="center"/>
    </xf>
    <xf numFmtId="37" fontId="0" fillId="0" borderId="57" xfId="0" applyNumberFormat="1" applyBorder="1" applyAlignment="1">
      <alignment horizontal="center"/>
    </xf>
    <xf numFmtId="0" fontId="0" fillId="0" borderId="131" xfId="0" applyBorder="1"/>
    <xf numFmtId="0" fontId="0" fillId="85" borderId="57" xfId="0" applyFill="1" applyBorder="1" applyAlignment="1">
      <alignment horizontal="center" wrapText="1"/>
    </xf>
    <xf numFmtId="37" fontId="47" fillId="0" borderId="57" xfId="0" applyNumberFormat="1" applyFont="1" applyBorder="1" applyAlignment="1">
      <alignment horizontal="center"/>
    </xf>
    <xf numFmtId="37" fontId="47" fillId="0" borderId="57" xfId="0" applyNumberFormat="1" applyFont="1" applyBorder="1" applyAlignment="1">
      <alignment horizontal="center" wrapText="1"/>
    </xf>
    <xf numFmtId="0" fontId="0" fillId="0" borderId="88" xfId="0" applyBorder="1"/>
    <xf numFmtId="0" fontId="0" fillId="0" borderId="88" xfId="0" applyBorder="1" applyAlignment="1">
      <alignment wrapText="1"/>
    </xf>
    <xf numFmtId="0" fontId="0" fillId="0" borderId="82" xfId="0" applyBorder="1" applyAlignment="1">
      <alignment wrapText="1"/>
    </xf>
    <xf numFmtId="0" fontId="0" fillId="0" borderId="94" xfId="0" applyBorder="1"/>
    <xf numFmtId="0" fontId="0" fillId="0" borderId="124" xfId="0" applyBorder="1"/>
    <xf numFmtId="0" fontId="39" fillId="78" borderId="57" xfId="0" applyFont="1" applyFill="1" applyBorder="1" applyAlignment="1">
      <alignment vertical="center" wrapText="1"/>
    </xf>
    <xf numFmtId="0" fontId="166" fillId="0" borderId="0" xfId="0" applyFont="1" applyFill="1" applyBorder="1" applyAlignment="1">
      <alignment vertical="center" wrapText="1"/>
    </xf>
    <xf numFmtId="0" fontId="0" fillId="0" borderId="125" xfId="0" applyBorder="1" applyAlignment="1">
      <alignment wrapText="1"/>
    </xf>
    <xf numFmtId="0" fontId="39" fillId="78" borderId="57" xfId="0" applyFont="1" applyFill="1" applyBorder="1" applyAlignment="1">
      <alignment horizontal="justify" vertical="center"/>
    </xf>
    <xf numFmtId="0" fontId="48" fillId="78" borderId="13" xfId="0" applyFont="1" applyFill="1" applyBorder="1" applyAlignment="1">
      <alignment vertical="center" wrapText="1"/>
    </xf>
    <xf numFmtId="0" fontId="48" fillId="0" borderId="94" xfId="0" applyFont="1" applyFill="1" applyBorder="1" applyAlignment="1">
      <alignment vertical="center"/>
    </xf>
    <xf numFmtId="0" fontId="0" fillId="0" borderId="57" xfId="0" applyFill="1" applyBorder="1" applyAlignment="1">
      <alignment horizontal="justify" vertical="center"/>
    </xf>
    <xf numFmtId="0" fontId="42" fillId="78" borderId="13" xfId="0" applyFont="1" applyFill="1" applyBorder="1" applyAlignment="1">
      <alignment horizontal="center" vertical="center"/>
    </xf>
    <xf numFmtId="49" fontId="0" fillId="0" borderId="0" xfId="0" applyNumberFormat="1" applyAlignment="1">
      <alignment horizontal="center" vertical="center"/>
    </xf>
    <xf numFmtId="0" fontId="66" fillId="0" borderId="0" xfId="0" applyFont="1" applyFill="1" applyBorder="1" applyAlignment="1">
      <alignment vertical="center" wrapText="1"/>
    </xf>
    <xf numFmtId="0" fontId="0" fillId="0" borderId="0" xfId="0" applyNumberFormat="1" applyFont="1" applyFill="1" applyBorder="1" applyAlignment="1">
      <alignment horizontal="center"/>
    </xf>
    <xf numFmtId="4" fontId="0" fillId="0" borderId="0" xfId="0" applyNumberFormat="1"/>
    <xf numFmtId="14" fontId="0" fillId="0" borderId="0" xfId="0" applyNumberFormat="1"/>
    <xf numFmtId="0" fontId="0" fillId="0" borderId="0" xfId="0"/>
    <xf numFmtId="43" fontId="36" fillId="0" borderId="0" xfId="440" applyFont="1" applyFill="1"/>
    <xf numFmtId="164" fontId="66" fillId="0" borderId="0" xfId="440" applyNumberFormat="1" applyFont="1" applyFill="1" applyAlignment="1" applyProtection="1">
      <alignment horizontal="center" vertical="center"/>
    </xf>
    <xf numFmtId="0" fontId="0" fillId="0" borderId="0" xfId="0" applyFill="1"/>
    <xf numFmtId="0" fontId="0" fillId="0" borderId="0" xfId="0" applyFill="1" applyAlignment="1">
      <alignment horizontal="center"/>
    </xf>
    <xf numFmtId="0" fontId="114" fillId="0" borderId="0" xfId="720" applyFont="1" applyFill="1" applyAlignment="1">
      <alignment wrapText="1"/>
    </xf>
    <xf numFmtId="0" fontId="36" fillId="0" borderId="0" xfId="720" applyFill="1" applyAlignment="1">
      <alignment wrapText="1"/>
    </xf>
    <xf numFmtId="0" fontId="0" fillId="0" borderId="0" xfId="0" applyFill="1" applyAlignment="1">
      <alignment wrapText="1"/>
    </xf>
    <xf numFmtId="1" fontId="201" fillId="0" borderId="0" xfId="720" applyNumberFormat="1" applyFont="1" applyFill="1" applyAlignment="1">
      <alignment horizontal="center" wrapText="1"/>
    </xf>
    <xf numFmtId="1" fontId="201" fillId="0" borderId="0" xfId="720" applyNumberFormat="1" applyFont="1" applyFill="1" applyAlignment="1">
      <alignment horizontal="center"/>
    </xf>
    <xf numFmtId="49" fontId="0" fillId="0" borderId="0" xfId="0" applyNumberFormat="1" applyFill="1" applyAlignment="1">
      <alignment horizontal="center" vertical="center"/>
    </xf>
    <xf numFmtId="49" fontId="129" fillId="0" borderId="0" xfId="705" applyNumberFormat="1" applyFont="1" applyFill="1" applyAlignment="1">
      <alignment horizontal="center" vertical="center" wrapText="1"/>
    </xf>
    <xf numFmtId="0" fontId="46" fillId="0" borderId="0" xfId="705" applyFont="1" applyFill="1" applyAlignment="1" applyProtection="1">
      <alignment vertical="center" wrapText="1"/>
      <protection locked="0"/>
    </xf>
    <xf numFmtId="0" fontId="36" fillId="0" borderId="0" xfId="720" applyFill="1"/>
    <xf numFmtId="38" fontId="0" fillId="0" borderId="0" xfId="0" applyNumberFormat="1" applyFill="1"/>
    <xf numFmtId="0" fontId="202" fillId="0" borderId="0" xfId="31722" applyFill="1" applyAlignment="1">
      <alignment horizontal="center"/>
    </xf>
    <xf numFmtId="40" fontId="202" fillId="0" borderId="0" xfId="31722" applyNumberFormat="1" applyFill="1" applyAlignment="1">
      <alignment horizontal="right"/>
    </xf>
    <xf numFmtId="40" fontId="0" fillId="0" borderId="0" xfId="0" applyNumberFormat="1" applyFill="1"/>
    <xf numFmtId="169" fontId="203" fillId="0" borderId="0" xfId="841" applyNumberFormat="1" applyFont="1" applyFill="1" applyAlignment="1">
      <alignment horizontal="center" vertical="center" wrapText="1"/>
    </xf>
    <xf numFmtId="0" fontId="204" fillId="0" borderId="0" xfId="841" applyFont="1" applyFill="1" applyAlignment="1">
      <alignment horizontal="left" vertical="center" wrapText="1"/>
    </xf>
    <xf numFmtId="49" fontId="203" fillId="0" borderId="0" xfId="841" applyNumberFormat="1" applyFont="1" applyFill="1" applyAlignment="1">
      <alignment horizontal="center" vertical="center" wrapText="1"/>
    </xf>
    <xf numFmtId="0" fontId="26" fillId="0" borderId="0" xfId="720" applyFont="1" applyFill="1" applyAlignment="1">
      <alignment horizontal="left" vertical="center" wrapText="1"/>
    </xf>
    <xf numFmtId="0" fontId="46" fillId="0" borderId="0" xfId="705" applyFont="1" applyFill="1" applyAlignment="1">
      <alignment vertical="center" wrapText="1"/>
    </xf>
    <xf numFmtId="40" fontId="87" fillId="0" borderId="0" xfId="31722" applyNumberFormat="1" applyFont="1" applyFill="1"/>
    <xf numFmtId="49" fontId="205" fillId="0" borderId="0" xfId="705" applyNumberFormat="1" applyFont="1" applyFill="1" applyAlignment="1">
      <alignment horizontal="center" vertical="center" wrapText="1"/>
    </xf>
    <xf numFmtId="3" fontId="206" fillId="0" borderId="0" xfId="1540" applyFont="1" applyFill="1" applyAlignment="1">
      <alignment vertical="center" wrapText="1"/>
    </xf>
    <xf numFmtId="0" fontId="204" fillId="0" borderId="0" xfId="31723" applyFont="1" applyFill="1" applyAlignment="1">
      <alignment horizontal="left" wrapText="1"/>
    </xf>
    <xf numFmtId="0" fontId="46" fillId="0" borderId="0" xfId="705" applyFont="1" applyFill="1" applyAlignment="1">
      <alignment wrapText="1"/>
    </xf>
    <xf numFmtId="0" fontId="207" fillId="0" borderId="0" xfId="705" applyFont="1" applyFill="1" applyAlignment="1">
      <alignment vertical="center" wrapText="1"/>
    </xf>
    <xf numFmtId="0" fontId="46" fillId="0" borderId="0" xfId="705" applyFont="1" applyFill="1" applyAlignment="1">
      <alignment horizontal="left" vertical="center" wrapText="1"/>
    </xf>
    <xf numFmtId="0" fontId="208" fillId="0" borderId="0" xfId="705" applyFont="1" applyFill="1" applyAlignment="1">
      <alignment horizontal="left" vertical="center" wrapText="1"/>
    </xf>
    <xf numFmtId="0" fontId="46" fillId="0" borderId="23" xfId="705" applyFont="1" applyFill="1" applyBorder="1" applyAlignment="1">
      <alignment vertical="center" wrapText="1"/>
    </xf>
    <xf numFmtId="0" fontId="41" fillId="0" borderId="0" xfId="0" applyFont="1" applyFill="1" applyAlignment="1">
      <alignment wrapText="1"/>
    </xf>
    <xf numFmtId="0" fontId="204" fillId="0" borderId="0" xfId="31724" applyFont="1" applyFill="1" applyAlignment="1">
      <alignment horizontal="left" wrapText="1"/>
    </xf>
    <xf numFmtId="3" fontId="205" fillId="0" borderId="0" xfId="1540" applyFont="1" applyFill="1" applyAlignment="1">
      <alignment horizontal="center" vertical="center" wrapText="1"/>
    </xf>
    <xf numFmtId="0" fontId="209" fillId="0" borderId="0" xfId="720" applyFont="1" applyFill="1" applyAlignment="1">
      <alignment horizontal="left" vertical="center" wrapText="1"/>
    </xf>
    <xf numFmtId="0" fontId="46" fillId="0" borderId="0" xfId="720" applyFont="1" applyFill="1"/>
    <xf numFmtId="40" fontId="66" fillId="0" borderId="0" xfId="0" applyNumberFormat="1" applyFont="1" applyFill="1"/>
    <xf numFmtId="0" fontId="129" fillId="0" borderId="0" xfId="705" applyFont="1" applyFill="1" applyAlignment="1">
      <alignment horizontal="center" vertical="center" wrapText="1"/>
    </xf>
    <xf numFmtId="0" fontId="7" fillId="0" borderId="0" xfId="720" applyFont="1" applyFill="1" applyAlignment="1">
      <alignment horizontal="center" vertical="center" wrapText="1"/>
    </xf>
    <xf numFmtId="166" fontId="0" fillId="0" borderId="0" xfId="0" applyNumberFormat="1" applyFill="1"/>
    <xf numFmtId="1" fontId="36" fillId="0" borderId="0" xfId="720" applyNumberFormat="1" applyFill="1" applyAlignment="1">
      <alignment horizontal="center" vertical="center" wrapText="1"/>
    </xf>
    <xf numFmtId="0" fontId="36" fillId="0" borderId="31" xfId="720" applyFill="1" applyBorder="1" applyAlignment="1">
      <alignment vertical="center" wrapText="1"/>
    </xf>
    <xf numFmtId="0" fontId="36" fillId="0" borderId="23" xfId="720" applyFill="1" applyBorder="1" applyAlignment="1">
      <alignment vertical="center" wrapText="1"/>
    </xf>
    <xf numFmtId="0" fontId="47" fillId="0" borderId="23" xfId="841" applyFont="1" applyFill="1" applyBorder="1" applyAlignment="1">
      <alignment horizontal="left" vertical="center" wrapText="1"/>
    </xf>
    <xf numFmtId="0" fontId="35" fillId="0" borderId="0" xfId="622" applyFill="1" applyAlignment="1">
      <alignment wrapText="1"/>
    </xf>
    <xf numFmtId="0" fontId="46" fillId="0" borderId="0" xfId="0" applyFont="1" applyFill="1" applyAlignment="1">
      <alignment horizontal="center" wrapText="1"/>
    </xf>
    <xf numFmtId="0" fontId="35" fillId="0" borderId="0" xfId="31725" applyFill="1" applyAlignment="1">
      <alignment wrapText="1"/>
    </xf>
    <xf numFmtId="0" fontId="46" fillId="0" borderId="0" xfId="0" applyFont="1" applyFill="1" applyAlignment="1">
      <alignment horizontal="left"/>
    </xf>
    <xf numFmtId="0" fontId="46" fillId="0" borderId="0" xfId="0" applyFont="1" applyFill="1"/>
    <xf numFmtId="0" fontId="46" fillId="0" borderId="0" xfId="3627" applyFont="1" applyFill="1" applyAlignment="1">
      <alignment wrapText="1"/>
    </xf>
    <xf numFmtId="0" fontId="26" fillId="0" borderId="0" xfId="3627" applyFont="1" applyFill="1" applyAlignment="1">
      <alignment horizontal="right" vertical="center" wrapText="1"/>
    </xf>
    <xf numFmtId="38" fontId="66" fillId="0" borderId="0" xfId="0" applyNumberFormat="1" applyFont="1" applyFill="1" applyAlignment="1">
      <alignment horizontal="right" vertical="center" wrapText="1"/>
    </xf>
    <xf numFmtId="0" fontId="46" fillId="0" borderId="0" xfId="3627" applyFont="1" applyFill="1"/>
    <xf numFmtId="0" fontId="210" fillId="0" borderId="0" xfId="0" applyFont="1" applyFill="1"/>
    <xf numFmtId="10" fontId="0" fillId="0" borderId="0" xfId="0" applyNumberFormat="1" applyFill="1"/>
    <xf numFmtId="164" fontId="46" fillId="0" borderId="0" xfId="3627" applyNumberFormat="1" applyFont="1" applyFill="1"/>
    <xf numFmtId="2" fontId="66" fillId="0" borderId="0" xfId="0" applyNumberFormat="1" applyFont="1" applyFill="1" applyAlignment="1">
      <alignment horizontal="center" vertical="center"/>
    </xf>
    <xf numFmtId="0" fontId="46" fillId="0" borderId="0" xfId="0" applyFont="1" applyFill="1" applyAlignment="1">
      <alignment wrapText="1"/>
    </xf>
    <xf numFmtId="0" fontId="26" fillId="0" borderId="0" xfId="3627" applyFont="1" applyFill="1" applyAlignment="1">
      <alignment horizontal="left" vertical="center" wrapText="1"/>
    </xf>
    <xf numFmtId="0" fontId="60" fillId="0" borderId="0" xfId="0" applyFont="1" applyFill="1" applyAlignment="1">
      <alignment vertical="center" wrapText="1"/>
    </xf>
    <xf numFmtId="0" fontId="46" fillId="0" borderId="0" xfId="0" applyFont="1" applyFill="1" applyAlignment="1">
      <alignment horizontal="center" vertical="center" wrapText="1"/>
    </xf>
    <xf numFmtId="0" fontId="211" fillId="0" borderId="0" xfId="0" applyFont="1" applyFill="1" applyAlignment="1">
      <alignment vertical="center" wrapText="1"/>
    </xf>
    <xf numFmtId="4" fontId="0" fillId="0" borderId="0" xfId="0" applyNumberFormat="1" applyFill="1"/>
    <xf numFmtId="0" fontId="41" fillId="0" borderId="64" xfId="0" applyFont="1" applyFill="1" applyBorder="1" applyAlignment="1">
      <alignment horizontal="center" vertical="center"/>
    </xf>
    <xf numFmtId="0" fontId="0" fillId="0" borderId="23" xfId="0" applyFill="1" applyBorder="1" applyAlignment="1">
      <alignment vertical="center" wrapText="1"/>
    </xf>
    <xf numFmtId="0" fontId="0" fillId="0" borderId="25" xfId="0" applyNumberFormat="1" applyFont="1" applyFill="1" applyBorder="1" applyAlignment="1">
      <alignment horizontal="center" vertical="center" wrapText="1"/>
    </xf>
    <xf numFmtId="164" fontId="47" fillId="22" borderId="0" xfId="439" applyNumberFormat="1" applyFont="1" applyFill="1" applyAlignment="1" applyProtection="1">
      <alignment horizontal="center" vertical="center" wrapText="1"/>
    </xf>
    <xf numFmtId="41" fontId="74" fillId="0" borderId="0" xfId="439" applyNumberFormat="1" applyFont="1" applyFill="1" applyAlignment="1" applyProtection="1">
      <alignment horizontal="center" vertical="center" wrapText="1"/>
      <protection locked="0"/>
    </xf>
    <xf numFmtId="0" fontId="131" fillId="26" borderId="0" xfId="30099" applyFont="1" applyFill="1" applyAlignment="1">
      <alignment horizontal="left" vertical="top" wrapText="1"/>
    </xf>
    <xf numFmtId="0" fontId="137" fillId="26" borderId="0" xfId="30099" applyFont="1" applyFill="1" applyAlignment="1">
      <alignment horizontal="left" wrapText="1"/>
    </xf>
    <xf numFmtId="0" fontId="131" fillId="26" borderId="0" xfId="30099" applyFont="1" applyFill="1" applyAlignment="1">
      <alignment horizontal="left" vertical="top" wrapText="1"/>
    </xf>
    <xf numFmtId="0" fontId="137" fillId="26" borderId="0" xfId="30099" applyFont="1" applyFill="1" applyAlignment="1">
      <alignment horizontal="left" wrapText="1"/>
    </xf>
    <xf numFmtId="0" fontId="0" fillId="0" borderId="0" xfId="0" applyAlignment="1"/>
    <xf numFmtId="0" fontId="0" fillId="0" borderId="0" xfId="0" applyFill="1" applyAlignment="1"/>
    <xf numFmtId="0" fontId="0" fillId="0" borderId="0" xfId="0" applyFont="1" applyAlignment="1" applyProtection="1"/>
    <xf numFmtId="0" fontId="0" fillId="0" borderId="32" xfId="0" applyFont="1" applyFill="1" applyBorder="1" applyAlignment="1">
      <alignment horizontal="center"/>
    </xf>
    <xf numFmtId="0" fontId="0" fillId="36" borderId="0" xfId="0" applyFont="1" applyFill="1" applyProtection="1"/>
    <xf numFmtId="164" fontId="52" fillId="0" borderId="0" xfId="0" applyNumberFormat="1" applyFont="1" applyAlignment="1">
      <alignment wrapText="1"/>
    </xf>
    <xf numFmtId="0" fontId="41" fillId="78" borderId="85" xfId="0" applyFont="1" applyFill="1" applyBorder="1" applyAlignment="1">
      <alignment horizontal="left"/>
    </xf>
    <xf numFmtId="0" fontId="0" fillId="78" borderId="132" xfId="0" applyFill="1" applyBorder="1"/>
    <xf numFmtId="0" fontId="212" fillId="77" borderId="57" xfId="0" applyFont="1" applyFill="1" applyBorder="1" applyAlignment="1">
      <alignment horizontal="center" vertical="center" wrapText="1"/>
    </xf>
    <xf numFmtId="0" fontId="198" fillId="0" borderId="0" xfId="0" applyFont="1"/>
    <xf numFmtId="0" fontId="213" fillId="73" borderId="0" xfId="0" applyFont="1" applyFill="1" applyAlignment="1">
      <alignment horizontal="justify" vertical="center"/>
    </xf>
    <xf numFmtId="0" fontId="213" fillId="73" borderId="0" xfId="0" applyFont="1" applyFill="1" applyAlignment="1">
      <alignment vertical="center"/>
    </xf>
    <xf numFmtId="0" fontId="0" fillId="0" borderId="0" xfId="0" applyAlignment="1">
      <alignment vertical="center"/>
    </xf>
    <xf numFmtId="0" fontId="213" fillId="73" borderId="0" xfId="0" applyFont="1" applyFill="1" applyAlignment="1">
      <alignment vertical="center" wrapText="1"/>
    </xf>
    <xf numFmtId="0" fontId="217" fillId="73" borderId="0" xfId="611" applyFont="1" applyFill="1" applyAlignment="1">
      <alignment vertical="center"/>
    </xf>
    <xf numFmtId="0" fontId="218" fillId="73" borderId="0" xfId="0" applyFont="1" applyFill="1" applyAlignment="1">
      <alignment vertical="center"/>
    </xf>
    <xf numFmtId="0" fontId="219" fillId="73" borderId="0" xfId="611" applyFont="1" applyFill="1" applyAlignment="1" applyProtection="1">
      <alignment vertical="center"/>
      <protection locked="0"/>
    </xf>
    <xf numFmtId="0" fontId="218" fillId="73" borderId="0" xfId="0" applyFont="1" applyFill="1"/>
    <xf numFmtId="0" fontId="219" fillId="73" borderId="0" xfId="611" applyFont="1" applyFill="1" applyProtection="1">
      <protection locked="0"/>
    </xf>
    <xf numFmtId="0" fontId="123" fillId="73" borderId="0" xfId="30098" applyFont="1" applyFill="1" applyAlignment="1">
      <alignment horizontal="left" vertical="center" wrapText="1" indent="1"/>
    </xf>
    <xf numFmtId="0" fontId="123" fillId="73" borderId="0" xfId="30098" quotePrefix="1" applyFont="1" applyFill="1" applyAlignment="1">
      <alignment horizontal="left" vertical="center" wrapText="1" indent="1"/>
    </xf>
    <xf numFmtId="0" fontId="222" fillId="73" borderId="0" xfId="30098" applyFont="1" applyFill="1" applyAlignment="1">
      <alignment vertical="center" wrapText="1"/>
    </xf>
    <xf numFmtId="0" fontId="37" fillId="0" borderId="0" xfId="611"/>
    <xf numFmtId="0" fontId="213" fillId="73" borderId="0" xfId="30098" applyFont="1" applyFill="1" applyAlignment="1">
      <alignment vertical="center" wrapText="1"/>
    </xf>
    <xf numFmtId="0" fontId="219" fillId="73" borderId="0" xfId="611" applyFont="1" applyFill="1" applyAlignment="1">
      <alignment vertical="center"/>
    </xf>
    <xf numFmtId="43" fontId="47" fillId="0" borderId="0" xfId="439" applyFont="1" applyFill="1" applyAlignment="1" applyProtection="1">
      <alignment horizontal="center" vertical="center" wrapText="1"/>
    </xf>
    <xf numFmtId="0" fontId="131" fillId="0" borderId="0" xfId="30099" applyFont="1" applyAlignment="1">
      <alignment horizontal="center" wrapText="1"/>
    </xf>
    <xf numFmtId="0" fontId="136" fillId="78" borderId="38" xfId="30099" applyFont="1" applyFill="1" applyBorder="1" applyAlignment="1"/>
    <xf numFmtId="0" fontId="224" fillId="78" borderId="38" xfId="30099" applyFont="1" applyFill="1" applyBorder="1" applyAlignment="1"/>
    <xf numFmtId="0" fontId="224" fillId="78" borderId="39" xfId="30099" applyFont="1" applyFill="1" applyBorder="1" applyAlignment="1"/>
    <xf numFmtId="0" fontId="225" fillId="78" borderId="15" xfId="30099" applyFont="1" applyFill="1" applyBorder="1" applyAlignment="1">
      <alignment horizontal="left" vertical="center"/>
    </xf>
    <xf numFmtId="0" fontId="225" fillId="78" borderId="0" xfId="30099" applyFont="1" applyFill="1" applyAlignment="1">
      <alignment wrapText="1"/>
    </xf>
    <xf numFmtId="14" fontId="0" fillId="0" borderId="0" xfId="0" applyNumberFormat="1" applyFont="1" applyProtection="1"/>
    <xf numFmtId="164" fontId="61" fillId="34" borderId="29" xfId="439" applyNumberFormat="1" applyFont="1" applyFill="1" applyBorder="1" applyAlignment="1" applyProtection="1">
      <alignment horizontal="center" vertical="center" wrapText="1"/>
    </xf>
    <xf numFmtId="0" fontId="0" fillId="34" borderId="25" xfId="0" applyNumberFormat="1" applyFont="1" applyFill="1" applyBorder="1" applyAlignment="1" applyProtection="1">
      <alignment horizontal="center" vertical="center" wrapText="1"/>
    </xf>
    <xf numFmtId="0" fontId="149" fillId="26" borderId="0" xfId="30099" applyFont="1" applyFill="1" applyAlignment="1">
      <alignment horizontal="right" vertical="center" wrapText="1"/>
    </xf>
    <xf numFmtId="0" fontId="137" fillId="0" borderId="0" xfId="30099" applyFont="1" applyAlignment="1">
      <alignment horizontal="left" vertical="top"/>
    </xf>
    <xf numFmtId="0" fontId="137" fillId="0" borderId="0" xfId="30099" applyFont="1" applyAlignment="1">
      <alignment vertical="top"/>
    </xf>
    <xf numFmtId="0" fontId="137" fillId="0" borderId="0" xfId="30099" applyFont="1" applyAlignment="1">
      <alignment horizontal="left"/>
    </xf>
    <xf numFmtId="0" fontId="137" fillId="0" borderId="0" xfId="30099" applyFont="1" applyFill="1" applyAlignment="1">
      <alignment horizontal="left"/>
    </xf>
    <xf numFmtId="0" fontId="154" fillId="26" borderId="0" xfId="30099" applyFont="1" applyFill="1" applyAlignment="1">
      <alignment vertical="center" wrapText="1"/>
    </xf>
    <xf numFmtId="0" fontId="158" fillId="26" borderId="0" xfId="30099" applyFont="1" applyFill="1" applyAlignment="1">
      <alignment horizontal="left" vertical="center" wrapText="1"/>
    </xf>
    <xf numFmtId="0" fontId="0" fillId="0" borderId="38" xfId="0" applyFont="1" applyBorder="1" applyAlignment="1">
      <alignment horizontal="left" wrapText="1"/>
    </xf>
    <xf numFmtId="0" fontId="0" fillId="0" borderId="13" xfId="0" applyFont="1" applyBorder="1" applyAlignment="1">
      <alignment horizontal="left" wrapText="1"/>
    </xf>
    <xf numFmtId="0" fontId="0" fillId="0" borderId="16" xfId="0" applyFont="1" applyBorder="1" applyAlignment="1">
      <alignment horizontal="left" wrapText="1"/>
    </xf>
    <xf numFmtId="0" fontId="0" fillId="0" borderId="13" xfId="0" applyFont="1" applyBorder="1" applyAlignment="1">
      <alignment horizontal="left"/>
    </xf>
    <xf numFmtId="0" fontId="0" fillId="0" borderId="16" xfId="0" applyFont="1" applyBorder="1" applyAlignment="1">
      <alignment horizontal="left"/>
    </xf>
    <xf numFmtId="0" fontId="0" fillId="0" borderId="13" xfId="0" applyFont="1" applyFill="1" applyBorder="1" applyAlignment="1">
      <alignment horizontal="left" wrapText="1"/>
    </xf>
    <xf numFmtId="0" fontId="0" fillId="0" borderId="16" xfId="0" applyFont="1" applyFill="1" applyBorder="1" applyAlignment="1">
      <alignment horizontal="left" wrapText="1"/>
    </xf>
    <xf numFmtId="0" fontId="0" fillId="27" borderId="16" xfId="0" applyFont="1" applyFill="1" applyBorder="1" applyAlignment="1" applyProtection="1">
      <alignment horizontal="center" wrapText="1"/>
      <protection locked="0"/>
    </xf>
    <xf numFmtId="0" fontId="0" fillId="27" borderId="11" xfId="0" applyFont="1" applyFill="1" applyBorder="1" applyAlignment="1" applyProtection="1">
      <alignment horizontal="center" wrapText="1"/>
      <protection locked="0"/>
    </xf>
    <xf numFmtId="0" fontId="0" fillId="21" borderId="13" xfId="0" applyFont="1" applyFill="1" applyBorder="1" applyAlignment="1" applyProtection="1">
      <alignment horizontal="left" vertical="center" wrapText="1"/>
    </xf>
    <xf numFmtId="0" fontId="0" fillId="21" borderId="16" xfId="0" applyFont="1" applyFill="1" applyBorder="1" applyAlignment="1" applyProtection="1">
      <alignment horizontal="left" vertical="center" wrapText="1"/>
    </xf>
    <xf numFmtId="0" fontId="0" fillId="74" borderId="0" xfId="0" applyFont="1" applyFill="1" applyAlignment="1" applyProtection="1">
      <alignment horizontal="left" vertical="center" wrapText="1"/>
    </xf>
    <xf numFmtId="0" fontId="41" fillId="0" borderId="13" xfId="0" applyFont="1" applyBorder="1" applyAlignment="1">
      <alignment horizontal="center"/>
    </xf>
    <xf numFmtId="0" fontId="41" fillId="0" borderId="16" xfId="0" applyFont="1" applyBorder="1" applyAlignment="1">
      <alignment horizontal="center"/>
    </xf>
    <xf numFmtId="0" fontId="41" fillId="0" borderId="11" xfId="0" applyFont="1" applyBorder="1" applyAlignment="1">
      <alignment horizontal="center"/>
    </xf>
    <xf numFmtId="0" fontId="62" fillId="74" borderId="117" xfId="0" applyFont="1" applyFill="1" applyBorder="1" applyAlignment="1">
      <alignment horizontal="center" vertical="center" wrapText="1"/>
    </xf>
    <xf numFmtId="0" fontId="131" fillId="0" borderId="13" xfId="30099" applyFont="1" applyBorder="1" applyAlignment="1" applyProtection="1">
      <alignment horizontal="left" vertical="center"/>
      <protection locked="0"/>
    </xf>
    <xf numFmtId="0" fontId="131" fillId="0" borderId="11" xfId="30099" applyFont="1" applyBorder="1" applyAlignment="1" applyProtection="1">
      <alignment horizontal="left" vertical="center"/>
      <protection locked="0"/>
    </xf>
    <xf numFmtId="0" fontId="137" fillId="26" borderId="0" xfId="30099" applyFont="1" applyFill="1" applyBorder="1" applyAlignment="1">
      <alignment horizontal="left" wrapText="1"/>
    </xf>
    <xf numFmtId="0" fontId="145" fillId="26" borderId="0" xfId="30099" applyFont="1" applyFill="1" applyAlignment="1">
      <alignment horizontal="left" vertical="center" wrapText="1"/>
    </xf>
    <xf numFmtId="0" fontId="131" fillId="0" borderId="66" xfId="30099" applyFont="1" applyBorder="1" applyAlignment="1" applyProtection="1">
      <alignment horizontal="left" vertical="center"/>
      <protection locked="0"/>
    </xf>
    <xf numFmtId="0" fontId="131" fillId="0" borderId="67" xfId="30099" applyFont="1" applyBorder="1" applyAlignment="1" applyProtection="1">
      <alignment horizontal="left" vertical="center"/>
      <protection locked="0"/>
    </xf>
    <xf numFmtId="0" fontId="131" fillId="0" borderId="68" xfId="30099" applyFont="1" applyBorder="1" applyAlignment="1" applyProtection="1">
      <alignment horizontal="left" vertical="center"/>
      <protection locked="0"/>
    </xf>
    <xf numFmtId="0" fontId="121" fillId="0" borderId="66" xfId="29597" applyFill="1" applyBorder="1" applyAlignment="1" applyProtection="1">
      <alignment horizontal="left" vertical="center"/>
      <protection locked="0"/>
    </xf>
    <xf numFmtId="0" fontId="131" fillId="26" borderId="0" xfId="30099" applyFont="1" applyFill="1" applyAlignment="1">
      <alignment horizontal="left" vertical="top" wrapText="1"/>
    </xf>
    <xf numFmtId="0" fontId="131" fillId="26" borderId="0" xfId="30099" applyFont="1" applyFill="1" applyAlignment="1">
      <alignment horizontal="left" vertical="center" wrapText="1"/>
    </xf>
    <xf numFmtId="0" fontId="131" fillId="26" borderId="71" xfId="30099" applyFont="1" applyFill="1" applyBorder="1" applyAlignment="1">
      <alignment horizontal="left" vertical="center" wrapText="1"/>
    </xf>
    <xf numFmtId="0" fontId="148" fillId="26" borderId="41" xfId="30099" applyFont="1" applyFill="1" applyBorder="1" applyAlignment="1">
      <alignment horizontal="center" vertical="center" wrapText="1"/>
    </xf>
    <xf numFmtId="164" fontId="138" fillId="79" borderId="13" xfId="30100" applyNumberFormat="1" applyFont="1" applyFill="1" applyBorder="1" applyAlignment="1">
      <alignment horizontal="center" vertical="center" wrapText="1"/>
    </xf>
    <xf numFmtId="164" fontId="138" fillId="79" borderId="16" xfId="30100" applyNumberFormat="1" applyFont="1" applyFill="1" applyBorder="1" applyAlignment="1">
      <alignment horizontal="center" vertical="center" wrapText="1"/>
    </xf>
    <xf numFmtId="164" fontId="138" fillId="79" borderId="11" xfId="30100" applyNumberFormat="1" applyFont="1" applyFill="1" applyBorder="1" applyAlignment="1">
      <alignment horizontal="center" vertical="center" wrapText="1"/>
    </xf>
    <xf numFmtId="0" fontId="132" fillId="78" borderId="13" xfId="30099" applyFont="1" applyFill="1" applyBorder="1" applyAlignment="1">
      <alignment horizontal="center" vertical="center" wrapText="1"/>
    </xf>
    <xf numFmtId="0" fontId="132" fillId="78" borderId="16" xfId="30099" applyFont="1" applyFill="1" applyBorder="1" applyAlignment="1">
      <alignment horizontal="center" vertical="center" wrapText="1"/>
    </xf>
    <xf numFmtId="0" fontId="132" fillId="78" borderId="11" xfId="30099" applyFont="1" applyFill="1" applyBorder="1" applyAlignment="1">
      <alignment horizontal="center" vertical="center" wrapText="1"/>
    </xf>
    <xf numFmtId="0" fontId="132" fillId="78" borderId="13" xfId="30099" applyFont="1" applyFill="1" applyBorder="1" applyAlignment="1">
      <alignment horizontal="center" vertical="top" wrapText="1"/>
    </xf>
    <xf numFmtId="0" fontId="132" fillId="78" borderId="16" xfId="30099" applyFont="1" applyFill="1" applyBorder="1" applyAlignment="1">
      <alignment horizontal="center" vertical="top" wrapText="1"/>
    </xf>
    <xf numFmtId="0" fontId="132" fillId="78" borderId="11" xfId="30099" applyFont="1" applyFill="1" applyBorder="1" applyAlignment="1">
      <alignment horizontal="center" vertical="top" wrapText="1"/>
    </xf>
    <xf numFmtId="164" fontId="134" fillId="79" borderId="13" xfId="30100" applyNumberFormat="1" applyFont="1" applyFill="1" applyBorder="1" applyAlignment="1">
      <alignment horizontal="center" vertical="center"/>
    </xf>
    <xf numFmtId="164" fontId="134" fillId="79" borderId="16" xfId="30100" applyNumberFormat="1" applyFont="1" applyFill="1" applyBorder="1" applyAlignment="1">
      <alignment horizontal="center" vertical="center"/>
    </xf>
    <xf numFmtId="164" fontId="134" fillId="79" borderId="11" xfId="30100" applyNumberFormat="1" applyFont="1" applyFill="1" applyBorder="1" applyAlignment="1">
      <alignment horizontal="center" vertical="center"/>
    </xf>
    <xf numFmtId="0" fontId="136" fillId="78" borderId="15" xfId="30099" applyFont="1" applyFill="1" applyBorder="1" applyAlignment="1">
      <alignment horizontal="left" wrapText="1"/>
    </xf>
    <xf numFmtId="0" fontId="136" fillId="78" borderId="0" xfId="30099" applyFont="1" applyFill="1" applyAlignment="1">
      <alignment horizontal="left" wrapText="1"/>
    </xf>
    <xf numFmtId="0" fontId="136" fillId="78" borderId="60" xfId="30099" applyFont="1" applyFill="1" applyBorder="1" applyAlignment="1">
      <alignment horizontal="left" wrapText="1"/>
    </xf>
    <xf numFmtId="0" fontId="131" fillId="26" borderId="0" xfId="30099" applyFont="1" applyFill="1" applyAlignment="1">
      <alignment horizontal="left" wrapText="1"/>
    </xf>
    <xf numFmtId="0" fontId="131" fillId="26" borderId="71" xfId="30099" applyFont="1" applyFill="1" applyBorder="1" applyAlignment="1">
      <alignment horizontal="left" wrapText="1"/>
    </xf>
    <xf numFmtId="0" fontId="136" fillId="78" borderId="40" xfId="30099" applyFont="1" applyFill="1" applyBorder="1" applyAlignment="1">
      <alignment horizontal="left" vertical="center" wrapText="1"/>
    </xf>
    <xf numFmtId="0" fontId="136" fillId="78" borderId="41" xfId="30099" applyFont="1" applyFill="1" applyBorder="1" applyAlignment="1">
      <alignment horizontal="left" vertical="center" wrapText="1"/>
    </xf>
    <xf numFmtId="0" fontId="136" fillId="78" borderId="42" xfId="30099" applyFont="1" applyFill="1" applyBorder="1" applyAlignment="1">
      <alignment horizontal="left" vertical="center" wrapText="1"/>
    </xf>
    <xf numFmtId="0" fontId="148" fillId="26" borderId="0" xfId="30099" applyFont="1" applyFill="1" applyAlignment="1">
      <alignment horizontal="center" vertical="center" wrapText="1"/>
    </xf>
    <xf numFmtId="0" fontId="143" fillId="26" borderId="15" xfId="30099" applyFont="1" applyFill="1" applyBorder="1" applyAlignment="1">
      <alignment horizontal="center" vertical="top"/>
    </xf>
    <xf numFmtId="0" fontId="143" fillId="26" borderId="0" xfId="30099" applyFont="1" applyFill="1" applyAlignment="1">
      <alignment horizontal="center" vertical="top"/>
    </xf>
    <xf numFmtId="0" fontId="143" fillId="26" borderId="0" xfId="30099" applyFont="1" applyFill="1" applyAlignment="1">
      <alignment horizontal="center" vertical="top" wrapText="1"/>
    </xf>
    <xf numFmtId="0" fontId="149" fillId="0" borderId="66" xfId="30099" applyFont="1" applyBorder="1" applyAlignment="1" applyProtection="1">
      <alignment horizontal="left" vertical="center"/>
      <protection locked="0"/>
    </xf>
    <xf numFmtId="0" fontId="149" fillId="0" borderId="67" xfId="30099" applyFont="1" applyBorder="1" applyAlignment="1" applyProtection="1">
      <alignment horizontal="left" vertical="center"/>
      <protection locked="0"/>
    </xf>
    <xf numFmtId="0" fontId="149" fillId="0" borderId="68" xfId="30099" applyFont="1" applyBorder="1" applyAlignment="1" applyProtection="1">
      <alignment horizontal="left" vertical="center"/>
      <protection locked="0"/>
    </xf>
    <xf numFmtId="0" fontId="152" fillId="26" borderId="0" xfId="30099" applyFont="1" applyFill="1" applyAlignment="1">
      <alignment horizontal="right" vertical="center" wrapText="1"/>
    </xf>
    <xf numFmtId="0" fontId="143" fillId="26" borderId="0" xfId="30099" applyFont="1" applyFill="1" applyAlignment="1">
      <alignment horizontal="left" vertical="center" wrapText="1"/>
    </xf>
    <xf numFmtId="0" fontId="131" fillId="26" borderId="60" xfId="30099" applyFont="1" applyFill="1" applyBorder="1" applyAlignment="1">
      <alignment horizontal="left" vertical="center" wrapText="1"/>
    </xf>
    <xf numFmtId="0" fontId="137" fillId="26" borderId="0" xfId="30099" applyFont="1" applyFill="1" applyAlignment="1">
      <alignment horizontal="left" wrapText="1"/>
    </xf>
    <xf numFmtId="0" fontId="137" fillId="26" borderId="60" xfId="30099" applyFont="1" applyFill="1" applyBorder="1" applyAlignment="1">
      <alignment horizontal="left" wrapText="1"/>
    </xf>
    <xf numFmtId="0" fontId="41" fillId="78" borderId="13" xfId="0" applyFont="1" applyFill="1" applyBorder="1" applyAlignment="1">
      <alignment horizontal="left" wrapText="1"/>
    </xf>
    <xf numFmtId="0" fontId="41" fillId="78" borderId="16" xfId="0" applyFont="1" applyFill="1" applyBorder="1" applyAlignment="1">
      <alignment horizontal="left" wrapText="1"/>
    </xf>
    <xf numFmtId="0" fontId="41" fillId="78" borderId="11" xfId="0" applyFont="1" applyFill="1" applyBorder="1" applyAlignment="1">
      <alignment horizontal="left" wrapText="1"/>
    </xf>
    <xf numFmtId="0" fontId="62" fillId="78" borderId="13" xfId="0" applyFont="1" applyFill="1" applyBorder="1" applyAlignment="1">
      <alignment horizontal="left" wrapText="1"/>
    </xf>
    <xf numFmtId="0" fontId="62" fillId="78" borderId="16" xfId="0" applyFont="1" applyFill="1" applyBorder="1" applyAlignment="1">
      <alignment horizontal="left" wrapText="1"/>
    </xf>
    <xf numFmtId="0" fontId="62" fillId="78" borderId="130" xfId="0" applyFont="1" applyFill="1" applyBorder="1" applyAlignment="1">
      <alignment horizontal="left" wrapText="1"/>
    </xf>
    <xf numFmtId="0" fontId="41" fillId="78" borderId="57" xfId="0" applyFont="1" applyFill="1" applyBorder="1" applyAlignment="1">
      <alignment horizontal="left" wrapText="1"/>
    </xf>
    <xf numFmtId="0" fontId="166" fillId="73" borderId="70" xfId="0" applyFont="1" applyFill="1" applyBorder="1" applyAlignment="1">
      <alignment horizontal="center" vertical="center" wrapText="1"/>
    </xf>
    <xf numFmtId="0" fontId="166" fillId="73" borderId="127" xfId="0" applyFont="1" applyFill="1" applyBorder="1" applyAlignment="1">
      <alignment horizontal="center" vertical="center" wrapText="1"/>
    </xf>
    <xf numFmtId="0" fontId="166" fillId="73" borderId="60" xfId="0" applyFont="1" applyFill="1" applyBorder="1" applyAlignment="1">
      <alignment horizontal="center" vertical="center" wrapText="1"/>
    </xf>
    <xf numFmtId="0" fontId="166" fillId="73" borderId="42" xfId="0" applyFont="1" applyFill="1" applyBorder="1" applyAlignment="1">
      <alignment horizontal="center" vertical="center" wrapText="1"/>
    </xf>
    <xf numFmtId="0" fontId="41" fillId="78" borderId="70" xfId="0" applyFont="1" applyFill="1" applyBorder="1" applyAlignment="1">
      <alignment horizontal="center" vertical="center" wrapText="1"/>
    </xf>
    <xf numFmtId="0" fontId="41" fillId="78" borderId="127" xfId="0" applyFont="1" applyFill="1" applyBorder="1" applyAlignment="1">
      <alignment horizontal="center" vertical="center" wrapText="1"/>
    </xf>
    <xf numFmtId="0" fontId="41" fillId="78" borderId="72" xfId="0" applyFont="1" applyFill="1" applyBorder="1" applyAlignment="1">
      <alignment horizontal="center" vertical="center" wrapText="1"/>
    </xf>
    <xf numFmtId="0" fontId="199" fillId="0" borderId="40" xfId="0" applyFont="1" applyBorder="1" applyAlignment="1">
      <alignment horizontal="center" vertical="center"/>
    </xf>
    <xf numFmtId="0" fontId="199" fillId="0" borderId="41" xfId="0" applyFont="1" applyBorder="1" applyAlignment="1">
      <alignment horizontal="center" vertical="center"/>
    </xf>
    <xf numFmtId="0" fontId="199" fillId="0" borderId="13" xfId="0" applyFont="1" applyBorder="1" applyAlignment="1">
      <alignment horizontal="center" vertical="center"/>
    </xf>
    <xf numFmtId="0" fontId="199" fillId="0" borderId="16" xfId="0" applyFont="1" applyBorder="1" applyAlignment="1">
      <alignment horizontal="center" vertical="center"/>
    </xf>
    <xf numFmtId="0" fontId="199" fillId="0" borderId="11" xfId="0" applyFont="1" applyBorder="1" applyAlignment="1">
      <alignment horizontal="center" vertical="center"/>
    </xf>
    <xf numFmtId="0" fontId="62" fillId="34" borderId="13" xfId="0" applyFont="1" applyFill="1" applyBorder="1" applyAlignment="1">
      <alignment horizontal="center" vertical="center" wrapText="1"/>
    </xf>
    <xf numFmtId="0" fontId="62" fillId="34" borderId="16" xfId="0" applyFont="1" applyFill="1" applyBorder="1" applyAlignment="1">
      <alignment horizontal="center" vertical="center" wrapText="1"/>
    </xf>
    <xf numFmtId="0" fontId="62" fillId="34" borderId="11" xfId="0" applyFont="1" applyFill="1" applyBorder="1" applyAlignment="1">
      <alignment horizontal="center" vertical="center" wrapText="1"/>
    </xf>
    <xf numFmtId="0" fontId="0" fillId="78" borderId="133" xfId="0" applyFill="1" applyBorder="1" applyAlignment="1">
      <alignment horizontal="center"/>
    </xf>
    <xf numFmtId="0" fontId="0" fillId="78" borderId="17" xfId="0" applyFill="1" applyBorder="1" applyAlignment="1">
      <alignment horizontal="center"/>
    </xf>
    <xf numFmtId="0" fontId="51" fillId="0" borderId="10" xfId="0" applyFont="1" applyBorder="1" applyAlignment="1">
      <alignment horizontal="center" vertical="center" wrapText="1"/>
    </xf>
    <xf numFmtId="0" fontId="41" fillId="0" borderId="22" xfId="0" applyFont="1" applyBorder="1" applyAlignment="1">
      <alignment horizontal="center" vertical="center"/>
    </xf>
    <xf numFmtId="0" fontId="41" fillId="0" borderId="0" xfId="0" applyFont="1" applyAlignment="1">
      <alignment horizontal="center" vertical="center"/>
    </xf>
    <xf numFmtId="0" fontId="41" fillId="0" borderId="84" xfId="0" applyFont="1" applyBorder="1" applyAlignment="1">
      <alignment horizontal="center" vertical="center"/>
    </xf>
    <xf numFmtId="0" fontId="41" fillId="0" borderId="134" xfId="0" applyFont="1" applyBorder="1" applyAlignment="1">
      <alignment horizontal="center" vertical="center"/>
    </xf>
    <xf numFmtId="0" fontId="51" fillId="0" borderId="84" xfId="0" applyFont="1" applyBorder="1" applyAlignment="1">
      <alignment horizontal="center" vertical="center"/>
    </xf>
    <xf numFmtId="0" fontId="41" fillId="78" borderId="87" xfId="0" applyFont="1" applyFill="1" applyBorder="1" applyAlignment="1">
      <alignment horizontal="left" wrapText="1"/>
    </xf>
    <xf numFmtId="0" fontId="41" fillId="78" borderId="93" xfId="0" applyFont="1" applyFill="1" applyBorder="1" applyAlignment="1">
      <alignment horizontal="left" wrapText="1"/>
    </xf>
    <xf numFmtId="0" fontId="41" fillId="78" borderId="92" xfId="0" applyFont="1" applyFill="1" applyBorder="1" applyAlignment="1">
      <alignment horizontal="left" wrapText="1"/>
    </xf>
    <xf numFmtId="0" fontId="41" fillId="78" borderId="112" xfId="0" applyFont="1" applyFill="1" applyBorder="1" applyAlignment="1">
      <alignment horizontal="left" wrapText="1"/>
    </xf>
    <xf numFmtId="0" fontId="41" fillId="78" borderId="108" xfId="0" applyFont="1" applyFill="1" applyBorder="1" applyAlignment="1">
      <alignment horizontal="left" wrapText="1"/>
    </xf>
    <xf numFmtId="0" fontId="0" fillId="78" borderId="79" xfId="0" applyFont="1" applyFill="1" applyBorder="1" applyAlignment="1">
      <alignment horizontal="center"/>
    </xf>
    <xf numFmtId="0" fontId="0" fillId="78" borderId="80" xfId="0" applyFont="1" applyFill="1" applyBorder="1" applyAlignment="1">
      <alignment horizontal="center"/>
    </xf>
    <xf numFmtId="0" fontId="51" fillId="73" borderId="10" xfId="0" applyFont="1" applyFill="1" applyBorder="1" applyAlignment="1">
      <alignment horizontal="center" vertical="center" wrapText="1"/>
    </xf>
    <xf numFmtId="0" fontId="48" fillId="73" borderId="10" xfId="0" applyFont="1" applyFill="1" applyBorder="1" applyAlignment="1">
      <alignment horizontal="center" vertical="center" wrapText="1"/>
    </xf>
    <xf numFmtId="0" fontId="48" fillId="73" borderId="84" xfId="0" applyFont="1" applyFill="1" applyBorder="1" applyAlignment="1">
      <alignment horizontal="center" vertical="center" wrapText="1"/>
    </xf>
    <xf numFmtId="0" fontId="0" fillId="73" borderId="10" xfId="0" applyFont="1" applyFill="1" applyBorder="1" applyAlignment="1">
      <alignment horizontal="center" vertical="center"/>
    </xf>
    <xf numFmtId="0" fontId="166" fillId="73" borderId="74" xfId="0" applyFont="1" applyFill="1" applyBorder="1" applyAlignment="1">
      <alignment horizontal="center" vertical="center" wrapText="1"/>
    </xf>
    <xf numFmtId="0" fontId="166" fillId="73" borderId="0" xfId="0" applyFont="1" applyFill="1" applyBorder="1" applyAlignment="1">
      <alignment horizontal="center" vertical="center" wrapText="1"/>
    </xf>
    <xf numFmtId="0" fontId="167" fillId="73" borderId="113" xfId="0" applyFont="1" applyFill="1" applyBorder="1" applyAlignment="1">
      <alignment horizontal="center" vertical="center" wrapText="1"/>
    </xf>
    <xf numFmtId="0" fontId="167" fillId="73" borderId="114" xfId="0" applyFont="1" applyFill="1" applyBorder="1" applyAlignment="1">
      <alignment horizontal="center" vertical="center" wrapText="1"/>
    </xf>
    <xf numFmtId="0" fontId="41" fillId="78" borderId="83" xfId="0" applyFont="1" applyFill="1" applyBorder="1" applyAlignment="1">
      <alignment horizontal="left" wrapText="1"/>
    </xf>
    <xf numFmtId="0" fontId="41" fillId="78" borderId="14" xfId="0" applyFont="1" applyFill="1" applyBorder="1" applyAlignment="1">
      <alignment horizontal="left" wrapText="1"/>
    </xf>
    <xf numFmtId="0" fontId="41" fillId="78" borderId="21" xfId="0" applyFont="1" applyFill="1" applyBorder="1" applyAlignment="1">
      <alignment horizontal="left" wrapText="1"/>
    </xf>
    <xf numFmtId="0" fontId="41" fillId="78" borderId="87" xfId="0" applyFont="1" applyFill="1" applyBorder="1" applyAlignment="1">
      <alignment horizontal="left" vertical="center" wrapText="1"/>
    </xf>
    <xf numFmtId="0" fontId="41" fillId="78" borderId="93" xfId="0" applyFont="1" applyFill="1" applyBorder="1" applyAlignment="1">
      <alignment horizontal="left" vertical="center" wrapText="1"/>
    </xf>
    <xf numFmtId="0" fontId="41" fillId="78" borderId="92" xfId="0" applyFont="1" applyFill="1" applyBorder="1" applyAlignment="1">
      <alignment horizontal="left" vertical="center" wrapText="1"/>
    </xf>
    <xf numFmtId="0" fontId="41" fillId="78" borderId="100" xfId="0" applyFont="1" applyFill="1" applyBorder="1" applyAlignment="1">
      <alignment horizontal="left" wrapText="1"/>
    </xf>
    <xf numFmtId="0" fontId="41" fillId="0" borderId="87" xfId="0" applyFont="1" applyFill="1" applyBorder="1" applyAlignment="1">
      <alignment horizontal="left" wrapText="1"/>
    </xf>
    <xf numFmtId="0" fontId="41" fillId="0" borderId="100" xfId="0" applyFont="1" applyFill="1" applyBorder="1" applyAlignment="1">
      <alignment horizontal="left" wrapText="1"/>
    </xf>
    <xf numFmtId="0" fontId="41" fillId="78" borderId="100" xfId="0" applyFont="1" applyFill="1" applyBorder="1" applyAlignment="1">
      <alignment horizontal="left" vertical="center" wrapText="1"/>
    </xf>
    <xf numFmtId="0" fontId="62" fillId="78" borderId="87" xfId="0" applyFont="1" applyFill="1" applyBorder="1" applyAlignment="1">
      <alignment horizontal="left" vertical="center" wrapText="1"/>
    </xf>
    <xf numFmtId="0" fontId="62" fillId="78" borderId="100" xfId="0" applyFont="1" applyFill="1" applyBorder="1" applyAlignment="1">
      <alignment horizontal="left" vertical="center" wrapText="1"/>
    </xf>
    <xf numFmtId="0" fontId="55" fillId="0" borderId="0" xfId="682" applyFont="1" applyAlignment="1">
      <alignment horizontal="left" wrapText="1"/>
    </xf>
    <xf numFmtId="0" fontId="175" fillId="27" borderId="0" xfId="682" applyFont="1" applyFill="1" applyAlignment="1">
      <alignment horizontal="left" vertical="center" wrapText="1"/>
    </xf>
    <xf numFmtId="0" fontId="172" fillId="0" borderId="0" xfId="682" applyFont="1" applyAlignment="1">
      <alignment horizontal="center" vertical="center"/>
    </xf>
    <xf numFmtId="0" fontId="41" fillId="27" borderId="0" xfId="682" applyFont="1" applyFill="1" applyAlignment="1">
      <alignment horizontal="left" wrapText="1"/>
    </xf>
    <xf numFmtId="0" fontId="47" fillId="0" borderId="0" xfId="30099" applyFont="1" applyAlignment="1">
      <alignment horizontal="left" vertical="top" wrapText="1" indent="4"/>
    </xf>
    <xf numFmtId="0" fontId="47" fillId="0" borderId="0" xfId="30099" applyFont="1" applyAlignment="1">
      <alignment horizontal="center" vertical="top" wrapText="1"/>
    </xf>
    <xf numFmtId="0" fontId="47" fillId="0" borderId="0" xfId="30099" applyFont="1" applyAlignment="1">
      <alignment horizontal="left" vertical="top" wrapText="1" indent="8"/>
    </xf>
    <xf numFmtId="0" fontId="47" fillId="0" borderId="0" xfId="30099" applyFont="1" applyAlignment="1">
      <alignment horizontal="left" vertical="center" wrapText="1" indent="1"/>
    </xf>
    <xf numFmtId="0" fontId="47" fillId="0" borderId="0" xfId="30099" applyFont="1" applyAlignment="1">
      <alignment horizontal="left" vertical="top" wrapText="1" indent="1"/>
    </xf>
    <xf numFmtId="0" fontId="47" fillId="0" borderId="0" xfId="30099" applyFont="1" applyAlignment="1">
      <alignment horizontal="left" vertical="top" wrapText="1" indent="5"/>
    </xf>
    <xf numFmtId="0" fontId="47" fillId="0" borderId="37" xfId="26000" applyFont="1" applyBorder="1" applyAlignment="1" applyProtection="1">
      <alignment horizontal="left" vertical="top" wrapText="1"/>
    </xf>
    <xf numFmtId="0" fontId="47" fillId="0" borderId="38" xfId="26000" applyFont="1" applyBorder="1" applyAlignment="1" applyProtection="1">
      <alignment horizontal="left" vertical="top" wrapText="1"/>
    </xf>
    <xf numFmtId="0" fontId="47" fillId="0" borderId="39" xfId="26000" applyFont="1" applyBorder="1" applyAlignment="1" applyProtection="1">
      <alignment horizontal="left" vertical="top" wrapText="1"/>
    </xf>
    <xf numFmtId="0" fontId="47" fillId="0" borderId="15" xfId="26000" applyFont="1" applyBorder="1" applyAlignment="1" applyProtection="1">
      <alignment horizontal="left" vertical="top" wrapText="1"/>
    </xf>
    <xf numFmtId="0" fontId="47" fillId="0" borderId="0" xfId="26000" applyFont="1" applyAlignment="1" applyProtection="1">
      <alignment horizontal="left" vertical="top" wrapText="1"/>
    </xf>
    <xf numFmtId="0" fontId="47" fillId="0" borderId="60" xfId="26000" applyFont="1" applyBorder="1" applyAlignment="1" applyProtection="1">
      <alignment horizontal="left" vertical="top" wrapText="1"/>
    </xf>
    <xf numFmtId="0" fontId="47" fillId="0" borderId="40" xfId="26000" applyFont="1" applyBorder="1" applyAlignment="1" applyProtection="1">
      <alignment horizontal="left" vertical="top" wrapText="1"/>
    </xf>
    <xf numFmtId="0" fontId="47" fillId="0" borderId="41" xfId="26000" applyFont="1" applyBorder="1" applyAlignment="1" applyProtection="1">
      <alignment horizontal="left" vertical="top" wrapText="1"/>
    </xf>
    <xf numFmtId="0" fontId="47" fillId="0" borderId="42" xfId="26000" applyFont="1" applyBorder="1" applyAlignment="1" applyProtection="1">
      <alignment horizontal="left" vertical="top" wrapText="1"/>
    </xf>
    <xf numFmtId="0" fontId="62" fillId="0" borderId="0" xfId="26000" applyFont="1" applyAlignment="1" applyProtection="1">
      <alignment horizontal="center" vertical="top"/>
    </xf>
    <xf numFmtId="0" fontId="62" fillId="0" borderId="0" xfId="26000" applyFont="1" applyAlignment="1" applyProtection="1">
      <alignment horizontal="center" vertical="top" wrapText="1"/>
    </xf>
    <xf numFmtId="0" fontId="169" fillId="0" borderId="73" xfId="26000" applyFont="1" applyBorder="1" applyAlignment="1" applyProtection="1">
      <alignment horizontal="left" vertical="top" wrapText="1"/>
    </xf>
    <xf numFmtId="0" fontId="169" fillId="0" borderId="74" xfId="26000" applyFont="1" applyBorder="1" applyAlignment="1" applyProtection="1">
      <alignment horizontal="left" vertical="top" wrapText="1"/>
    </xf>
    <xf numFmtId="0" fontId="169" fillId="0" borderId="75" xfId="26000" applyFont="1" applyBorder="1" applyAlignment="1" applyProtection="1">
      <alignment horizontal="left" vertical="top" wrapText="1"/>
    </xf>
    <xf numFmtId="0" fontId="169" fillId="0" borderId="22" xfId="26000" applyFont="1" applyBorder="1" applyAlignment="1" applyProtection="1">
      <alignment horizontal="left" vertical="top" wrapText="1"/>
    </xf>
    <xf numFmtId="0" fontId="169" fillId="0" borderId="0" xfId="26000" applyFont="1" applyAlignment="1" applyProtection="1">
      <alignment horizontal="left" vertical="top" wrapText="1"/>
    </xf>
    <xf numFmtId="0" fontId="169" fillId="0" borderId="56" xfId="26000" applyFont="1" applyBorder="1" applyAlignment="1" applyProtection="1">
      <alignment horizontal="left" vertical="top" wrapText="1"/>
    </xf>
    <xf numFmtId="0" fontId="169" fillId="0" borderId="76" xfId="26000" applyFont="1" applyBorder="1" applyAlignment="1" applyProtection="1">
      <alignment horizontal="left" vertical="top" wrapText="1"/>
    </xf>
    <xf numFmtId="0" fontId="169" fillId="0" borderId="17" xfId="26000" applyFont="1" applyBorder="1" applyAlignment="1" applyProtection="1">
      <alignment horizontal="left" vertical="top" wrapText="1"/>
    </xf>
    <xf numFmtId="0" fontId="169" fillId="0" borderId="77" xfId="26000" applyFont="1" applyBorder="1" applyAlignment="1" applyProtection="1">
      <alignment horizontal="left" vertical="top" wrapText="1"/>
    </xf>
    <xf numFmtId="0" fontId="62" fillId="0" borderId="41" xfId="26000" applyFont="1" applyBorder="1" applyAlignment="1" applyProtection="1">
      <alignment horizontal="left"/>
    </xf>
  </cellXfs>
  <cellStyles count="31726">
    <cellStyle name="20% - Accent1" xfId="29487" builtinId="30" customBuiltin="1"/>
    <cellStyle name="20% - Accent1 2" xfId="29499" xr:uid="{B4D97588-4E6D-4F66-9660-485579464908}"/>
    <cellStyle name="20% - Accent2" xfId="29489" builtinId="34" customBuiltin="1"/>
    <cellStyle name="20% - Accent2 2" xfId="29500" xr:uid="{35B0F212-66A1-472C-9A01-199A3F0DF76E}"/>
    <cellStyle name="20% - Accent3" xfId="29491" builtinId="38" customBuiltin="1"/>
    <cellStyle name="20% - Accent3 2" xfId="29501" xr:uid="{96A9D8D9-2163-4871-AD2A-E6FAD8327E91}"/>
    <cellStyle name="20% - Accent4" xfId="29493" builtinId="42" customBuiltin="1"/>
    <cellStyle name="20% - Accent4 2" xfId="29502" xr:uid="{85AD3608-5EC0-473E-ABF2-FE57FA5CFC47}"/>
    <cellStyle name="20% - Accent5" xfId="29495" builtinId="46" customBuiltin="1"/>
    <cellStyle name="20% - Accent5 2" xfId="29503" xr:uid="{2FAF7B59-7AF2-4277-AFB8-4CED4BCD4AA4}"/>
    <cellStyle name="20% - Accent6" xfId="29497" builtinId="50" customBuiltin="1"/>
    <cellStyle name="20% - Accent6 2" xfId="29504" xr:uid="{FD542BF9-873D-4C28-BB47-353BB6433DA7}"/>
    <cellStyle name="40% - Accent1" xfId="29488" builtinId="31" customBuiltin="1"/>
    <cellStyle name="40% - Accent1 2" xfId="29505" xr:uid="{0AA31246-28F2-4031-B39E-24F57F4DDC66}"/>
    <cellStyle name="40% - Accent2" xfId="29490" builtinId="35" customBuiltin="1"/>
    <cellStyle name="40% - Accent2 2" xfId="29506" xr:uid="{0339A947-B4EF-413F-9CAB-D0CABA162D0E}"/>
    <cellStyle name="40% - Accent3" xfId="29492" builtinId="39" customBuiltin="1"/>
    <cellStyle name="40% - Accent3 2" xfId="29507" xr:uid="{CE323443-EBFB-44AC-8BFD-1096489AD057}"/>
    <cellStyle name="40% - Accent4" xfId="29494" builtinId="43" customBuiltin="1"/>
    <cellStyle name="40% - Accent4 2" xfId="29508" xr:uid="{1DDF968D-ECA9-419B-B4EF-BD60D065FFB9}"/>
    <cellStyle name="40% - Accent5" xfId="29496" builtinId="47" customBuiltin="1"/>
    <cellStyle name="40% - Accent5 2" xfId="29509" xr:uid="{02D52EC3-9136-44C4-ABDC-79A2B992ECE6}"/>
    <cellStyle name="40% - Accent6" xfId="29498" builtinId="51" customBuiltin="1"/>
    <cellStyle name="40% - Accent6 2" xfId="29510" xr:uid="{7AB5FB25-D096-4925-8629-B2984C52A4A8}"/>
    <cellStyle name="60% - Accent1 2" xfId="29512" xr:uid="{7BFD2628-E072-4C2E-A30D-99A65338F113}"/>
    <cellStyle name="60% - Accent1 3" xfId="29511" xr:uid="{BA6653BC-E10F-49F1-922C-B37BD20BEE19}"/>
    <cellStyle name="60% - Accent2 2" xfId="29514" xr:uid="{B882DD0F-CF38-4110-A0B9-6D557E839E6F}"/>
    <cellStyle name="60% - Accent2 3" xfId="29513" xr:uid="{DBBEE3D1-BAA2-420D-AAD0-54977FAFD7AB}"/>
    <cellStyle name="60% - Accent3 2" xfId="29516" xr:uid="{B675D886-1249-408E-9624-ACBD29CE5E3B}"/>
    <cellStyle name="60% - Accent3 3" xfId="29515" xr:uid="{FFB5D201-005A-462D-82FC-535C7CE075BC}"/>
    <cellStyle name="60% - Accent4 2" xfId="29518" xr:uid="{CED353FE-23B8-41C5-8DF6-5B6EF71C5850}"/>
    <cellStyle name="60% - Accent4 3" xfId="29517" xr:uid="{70AF2E1E-CEC4-4808-B667-18848E7B237D}"/>
    <cellStyle name="60% - Accent5 2" xfId="29520" xr:uid="{24EFBFA3-A241-4B03-9CF7-1D6C9FDB8D68}"/>
    <cellStyle name="60% - Accent5 3" xfId="29519" xr:uid="{2FF37EA9-BACD-426F-A9D1-CB53E08211DE}"/>
    <cellStyle name="60% - Accent6 2" xfId="29522" xr:uid="{9E87C1BF-4265-43A7-B9CC-CEB53C8178E0}"/>
    <cellStyle name="60% - Accent6 3" xfId="29521" xr:uid="{ADE31EA4-598F-40AE-8C52-523F301B9003}"/>
    <cellStyle name="Accent1" xfId="4840" builtinId="29" customBuiltin="1"/>
    <cellStyle name="Accent1 - 20%" xfId="1" xr:uid="{00000000-0005-0000-0000-000000000000}"/>
    <cellStyle name="Accent1 - 20% 2" xfId="2" xr:uid="{00000000-0005-0000-0000-000001000000}"/>
    <cellStyle name="Accent1 - 40%" xfId="3" xr:uid="{00000000-0005-0000-0000-000002000000}"/>
    <cellStyle name="Accent1 - 40% 2" xfId="4" xr:uid="{00000000-0005-0000-0000-000003000000}"/>
    <cellStyle name="Accent1 - 60%" xfId="5" xr:uid="{00000000-0005-0000-0000-000004000000}"/>
    <cellStyle name="Accent1 10" xfId="6" xr:uid="{00000000-0005-0000-0000-000005000000}"/>
    <cellStyle name="Accent1 11" xfId="7" xr:uid="{00000000-0005-0000-0000-000006000000}"/>
    <cellStyle name="Accent1 12" xfId="8" xr:uid="{00000000-0005-0000-0000-000007000000}"/>
    <cellStyle name="Accent1 13" xfId="9" xr:uid="{00000000-0005-0000-0000-000008000000}"/>
    <cellStyle name="Accent1 14" xfId="10" xr:uid="{00000000-0005-0000-0000-000009000000}"/>
    <cellStyle name="Accent1 15" xfId="11" xr:uid="{00000000-0005-0000-0000-00000A000000}"/>
    <cellStyle name="Accent1 16" xfId="12" xr:uid="{00000000-0005-0000-0000-00000B000000}"/>
    <cellStyle name="Accent1 17" xfId="13" xr:uid="{00000000-0005-0000-0000-00000C000000}"/>
    <cellStyle name="Accent1 18" xfId="14" xr:uid="{00000000-0005-0000-0000-00000D000000}"/>
    <cellStyle name="Accent1 19" xfId="15" xr:uid="{00000000-0005-0000-0000-00000E000000}"/>
    <cellStyle name="Accent1 2" xfId="16" xr:uid="{00000000-0005-0000-0000-00000F000000}"/>
    <cellStyle name="Accent1 20" xfId="17" xr:uid="{00000000-0005-0000-0000-000010000000}"/>
    <cellStyle name="Accent1 21" xfId="18" xr:uid="{00000000-0005-0000-0000-000011000000}"/>
    <cellStyle name="Accent1 22" xfId="19" xr:uid="{00000000-0005-0000-0000-000012000000}"/>
    <cellStyle name="Accent1 23" xfId="20" xr:uid="{00000000-0005-0000-0000-000013000000}"/>
    <cellStyle name="Accent1 24" xfId="21" xr:uid="{00000000-0005-0000-0000-000014000000}"/>
    <cellStyle name="Accent1 25" xfId="22" xr:uid="{00000000-0005-0000-0000-000015000000}"/>
    <cellStyle name="Accent1 26" xfId="23" xr:uid="{00000000-0005-0000-0000-000016000000}"/>
    <cellStyle name="Accent1 27" xfId="24" xr:uid="{00000000-0005-0000-0000-000017000000}"/>
    <cellStyle name="Accent1 28" xfId="25" xr:uid="{00000000-0005-0000-0000-000018000000}"/>
    <cellStyle name="Accent1 29" xfId="26" xr:uid="{00000000-0005-0000-0000-000019000000}"/>
    <cellStyle name="Accent1 3" xfId="27" xr:uid="{00000000-0005-0000-0000-00001A000000}"/>
    <cellStyle name="Accent1 30" xfId="28" xr:uid="{00000000-0005-0000-0000-00001B000000}"/>
    <cellStyle name="Accent1 31" xfId="29" xr:uid="{00000000-0005-0000-0000-00001C000000}"/>
    <cellStyle name="Accent1 32" xfId="30" xr:uid="{00000000-0005-0000-0000-00001D000000}"/>
    <cellStyle name="Accent1 33" xfId="31" xr:uid="{00000000-0005-0000-0000-00001E000000}"/>
    <cellStyle name="Accent1 34" xfId="32" xr:uid="{00000000-0005-0000-0000-00001F000000}"/>
    <cellStyle name="Accent1 35" xfId="33" xr:uid="{00000000-0005-0000-0000-000020000000}"/>
    <cellStyle name="Accent1 35 2" xfId="29523" xr:uid="{9FFF7FF5-1157-4607-AB6B-BA41FCEAE106}"/>
    <cellStyle name="Accent1 36" xfId="34" xr:uid="{00000000-0005-0000-0000-000021000000}"/>
    <cellStyle name="Accent1 36 2" xfId="29524" xr:uid="{E3B298BA-9708-4B04-A4D8-5CCF3FB056F4}"/>
    <cellStyle name="Accent1 37" xfId="35" xr:uid="{00000000-0005-0000-0000-000022000000}"/>
    <cellStyle name="Accent1 38" xfId="36" xr:uid="{00000000-0005-0000-0000-000023000000}"/>
    <cellStyle name="Accent1 39" xfId="37" xr:uid="{00000000-0005-0000-0000-000024000000}"/>
    <cellStyle name="Accent1 4" xfId="38" xr:uid="{00000000-0005-0000-0000-000025000000}"/>
    <cellStyle name="Accent1 40" xfId="39" xr:uid="{00000000-0005-0000-0000-000026000000}"/>
    <cellStyle name="Accent1 41" xfId="40" xr:uid="{00000000-0005-0000-0000-000027000000}"/>
    <cellStyle name="Accent1 42" xfId="41" xr:uid="{00000000-0005-0000-0000-000028000000}"/>
    <cellStyle name="Accent1 43" xfId="42" xr:uid="{00000000-0005-0000-0000-000029000000}"/>
    <cellStyle name="Accent1 44" xfId="43" xr:uid="{00000000-0005-0000-0000-00002A000000}"/>
    <cellStyle name="Accent1 45" xfId="44" xr:uid="{00000000-0005-0000-0000-00002B000000}"/>
    <cellStyle name="Accent1 46" xfId="45" xr:uid="{00000000-0005-0000-0000-00002C000000}"/>
    <cellStyle name="Accent1 47" xfId="46" xr:uid="{00000000-0005-0000-0000-00002D000000}"/>
    <cellStyle name="Accent1 48" xfId="47" xr:uid="{00000000-0005-0000-0000-00002E000000}"/>
    <cellStyle name="Accent1 49" xfId="48" xr:uid="{00000000-0005-0000-0000-00002F000000}"/>
    <cellStyle name="Accent1 5" xfId="49" xr:uid="{00000000-0005-0000-0000-000030000000}"/>
    <cellStyle name="Accent1 50" xfId="50" xr:uid="{00000000-0005-0000-0000-000031000000}"/>
    <cellStyle name="Accent1 51" xfId="51" xr:uid="{00000000-0005-0000-0000-000032000000}"/>
    <cellStyle name="Accent1 52" xfId="52" xr:uid="{00000000-0005-0000-0000-000033000000}"/>
    <cellStyle name="Accent1 53" xfId="53" xr:uid="{00000000-0005-0000-0000-000034000000}"/>
    <cellStyle name="Accent1 54" xfId="54" xr:uid="{00000000-0005-0000-0000-000035000000}"/>
    <cellStyle name="Accent1 55" xfId="55" xr:uid="{00000000-0005-0000-0000-000036000000}"/>
    <cellStyle name="Accent1 56" xfId="56" xr:uid="{00000000-0005-0000-0000-000037000000}"/>
    <cellStyle name="Accent1 57" xfId="57" xr:uid="{00000000-0005-0000-0000-000038000000}"/>
    <cellStyle name="Accent1 58" xfId="58" xr:uid="{00000000-0005-0000-0000-000039000000}"/>
    <cellStyle name="Accent1 59" xfId="59" xr:uid="{00000000-0005-0000-0000-00003A000000}"/>
    <cellStyle name="Accent1 6" xfId="60" xr:uid="{00000000-0005-0000-0000-00003B000000}"/>
    <cellStyle name="Accent1 60" xfId="61" xr:uid="{00000000-0005-0000-0000-00003C000000}"/>
    <cellStyle name="Accent1 61" xfId="62" xr:uid="{00000000-0005-0000-0000-00003D000000}"/>
    <cellStyle name="Accent1 62" xfId="63" xr:uid="{00000000-0005-0000-0000-00003E000000}"/>
    <cellStyle name="Accent1 63" xfId="64" xr:uid="{00000000-0005-0000-0000-00003F000000}"/>
    <cellStyle name="Accent1 64" xfId="65" xr:uid="{00000000-0005-0000-0000-000040000000}"/>
    <cellStyle name="Accent1 65" xfId="66" xr:uid="{00000000-0005-0000-0000-000041000000}"/>
    <cellStyle name="Accent1 66" xfId="67" xr:uid="{00000000-0005-0000-0000-000042000000}"/>
    <cellStyle name="Accent1 67" xfId="68" xr:uid="{00000000-0005-0000-0000-000043000000}"/>
    <cellStyle name="Accent1 68" xfId="69" xr:uid="{00000000-0005-0000-0000-000044000000}"/>
    <cellStyle name="Accent1 69" xfId="22642" xr:uid="{081EF534-E64F-4523-85C5-C52D0496B0C3}"/>
    <cellStyle name="Accent1 7" xfId="70" xr:uid="{00000000-0005-0000-0000-000045000000}"/>
    <cellStyle name="Accent1 70" xfId="22942" xr:uid="{4DC46A14-6FD5-4703-B964-ECA4F0B990BA}"/>
    <cellStyle name="Accent1 71" xfId="23987" xr:uid="{88B3CE1F-60C4-438B-A98E-5663565F73D8}"/>
    <cellStyle name="Accent1 8" xfId="71" xr:uid="{00000000-0005-0000-0000-000046000000}"/>
    <cellStyle name="Accent1 9" xfId="72" xr:uid="{00000000-0005-0000-0000-000047000000}"/>
    <cellStyle name="Accent2" xfId="4841" builtinId="33" customBuiltin="1"/>
    <cellStyle name="Accent2 - 20%" xfId="73" xr:uid="{00000000-0005-0000-0000-000048000000}"/>
    <cellStyle name="Accent2 - 20% 2" xfId="74" xr:uid="{00000000-0005-0000-0000-000049000000}"/>
    <cellStyle name="Accent2 - 40%" xfId="75" xr:uid="{00000000-0005-0000-0000-00004A000000}"/>
    <cellStyle name="Accent2 - 40% 2" xfId="76" xr:uid="{00000000-0005-0000-0000-00004B000000}"/>
    <cellStyle name="Accent2 - 60%" xfId="77" xr:uid="{00000000-0005-0000-0000-00004C000000}"/>
    <cellStyle name="Accent2 10" xfId="78" xr:uid="{00000000-0005-0000-0000-00004D000000}"/>
    <cellStyle name="Accent2 11" xfId="79" xr:uid="{00000000-0005-0000-0000-00004E000000}"/>
    <cellStyle name="Accent2 12" xfId="80" xr:uid="{00000000-0005-0000-0000-00004F000000}"/>
    <cellStyle name="Accent2 13" xfId="81" xr:uid="{00000000-0005-0000-0000-000050000000}"/>
    <cellStyle name="Accent2 14" xfId="82" xr:uid="{00000000-0005-0000-0000-000051000000}"/>
    <cellStyle name="Accent2 15" xfId="83" xr:uid="{00000000-0005-0000-0000-000052000000}"/>
    <cellStyle name="Accent2 16" xfId="84" xr:uid="{00000000-0005-0000-0000-000053000000}"/>
    <cellStyle name="Accent2 17" xfId="85" xr:uid="{00000000-0005-0000-0000-000054000000}"/>
    <cellStyle name="Accent2 18" xfId="86" xr:uid="{00000000-0005-0000-0000-000055000000}"/>
    <cellStyle name="Accent2 19" xfId="87" xr:uid="{00000000-0005-0000-0000-000056000000}"/>
    <cellStyle name="Accent2 2" xfId="88" xr:uid="{00000000-0005-0000-0000-000057000000}"/>
    <cellStyle name="Accent2 20" xfId="89" xr:uid="{00000000-0005-0000-0000-000058000000}"/>
    <cellStyle name="Accent2 21" xfId="90" xr:uid="{00000000-0005-0000-0000-000059000000}"/>
    <cellStyle name="Accent2 22" xfId="91" xr:uid="{00000000-0005-0000-0000-00005A000000}"/>
    <cellStyle name="Accent2 23" xfId="92" xr:uid="{00000000-0005-0000-0000-00005B000000}"/>
    <cellStyle name="Accent2 24" xfId="93" xr:uid="{00000000-0005-0000-0000-00005C000000}"/>
    <cellStyle name="Accent2 25" xfId="94" xr:uid="{00000000-0005-0000-0000-00005D000000}"/>
    <cellStyle name="Accent2 26" xfId="95" xr:uid="{00000000-0005-0000-0000-00005E000000}"/>
    <cellStyle name="Accent2 27" xfId="96" xr:uid="{00000000-0005-0000-0000-00005F000000}"/>
    <cellStyle name="Accent2 28" xfId="97" xr:uid="{00000000-0005-0000-0000-000060000000}"/>
    <cellStyle name="Accent2 29" xfId="98" xr:uid="{00000000-0005-0000-0000-000061000000}"/>
    <cellStyle name="Accent2 3" xfId="99" xr:uid="{00000000-0005-0000-0000-000062000000}"/>
    <cellStyle name="Accent2 30" xfId="100" xr:uid="{00000000-0005-0000-0000-000063000000}"/>
    <cellStyle name="Accent2 31" xfId="101" xr:uid="{00000000-0005-0000-0000-000064000000}"/>
    <cellStyle name="Accent2 32" xfId="102" xr:uid="{00000000-0005-0000-0000-000065000000}"/>
    <cellStyle name="Accent2 33" xfId="103" xr:uid="{00000000-0005-0000-0000-000066000000}"/>
    <cellStyle name="Accent2 34" xfId="104" xr:uid="{00000000-0005-0000-0000-000067000000}"/>
    <cellStyle name="Accent2 35" xfId="105" xr:uid="{00000000-0005-0000-0000-000068000000}"/>
    <cellStyle name="Accent2 35 2" xfId="29525" xr:uid="{FA96348D-F8A4-4421-AC84-88F50463AE41}"/>
    <cellStyle name="Accent2 36" xfId="106" xr:uid="{00000000-0005-0000-0000-000069000000}"/>
    <cellStyle name="Accent2 36 2" xfId="29526" xr:uid="{86BE4F65-B181-4698-8143-0D4DAD8B01A3}"/>
    <cellStyle name="Accent2 37" xfId="107" xr:uid="{00000000-0005-0000-0000-00006A000000}"/>
    <cellStyle name="Accent2 38" xfId="108" xr:uid="{00000000-0005-0000-0000-00006B000000}"/>
    <cellStyle name="Accent2 39" xfId="109" xr:uid="{00000000-0005-0000-0000-00006C000000}"/>
    <cellStyle name="Accent2 4" xfId="110" xr:uid="{00000000-0005-0000-0000-00006D000000}"/>
    <cellStyle name="Accent2 40" xfId="111" xr:uid="{00000000-0005-0000-0000-00006E000000}"/>
    <cellStyle name="Accent2 41" xfId="112" xr:uid="{00000000-0005-0000-0000-00006F000000}"/>
    <cellStyle name="Accent2 42" xfId="113" xr:uid="{00000000-0005-0000-0000-000070000000}"/>
    <cellStyle name="Accent2 43" xfId="114" xr:uid="{00000000-0005-0000-0000-000071000000}"/>
    <cellStyle name="Accent2 44" xfId="115" xr:uid="{00000000-0005-0000-0000-000072000000}"/>
    <cellStyle name="Accent2 45" xfId="116" xr:uid="{00000000-0005-0000-0000-000073000000}"/>
    <cellStyle name="Accent2 46" xfId="117" xr:uid="{00000000-0005-0000-0000-000074000000}"/>
    <cellStyle name="Accent2 47" xfId="118" xr:uid="{00000000-0005-0000-0000-000075000000}"/>
    <cellStyle name="Accent2 48" xfId="119" xr:uid="{00000000-0005-0000-0000-000076000000}"/>
    <cellStyle name="Accent2 49" xfId="120" xr:uid="{00000000-0005-0000-0000-000077000000}"/>
    <cellStyle name="Accent2 5" xfId="121" xr:uid="{00000000-0005-0000-0000-000078000000}"/>
    <cellStyle name="Accent2 50" xfId="122" xr:uid="{00000000-0005-0000-0000-000079000000}"/>
    <cellStyle name="Accent2 51" xfId="123" xr:uid="{00000000-0005-0000-0000-00007A000000}"/>
    <cellStyle name="Accent2 52" xfId="124" xr:uid="{00000000-0005-0000-0000-00007B000000}"/>
    <cellStyle name="Accent2 53" xfId="125" xr:uid="{00000000-0005-0000-0000-00007C000000}"/>
    <cellStyle name="Accent2 54" xfId="126" xr:uid="{00000000-0005-0000-0000-00007D000000}"/>
    <cellStyle name="Accent2 55" xfId="127" xr:uid="{00000000-0005-0000-0000-00007E000000}"/>
    <cellStyle name="Accent2 56" xfId="128" xr:uid="{00000000-0005-0000-0000-00007F000000}"/>
    <cellStyle name="Accent2 57" xfId="129" xr:uid="{00000000-0005-0000-0000-000080000000}"/>
    <cellStyle name="Accent2 58" xfId="130" xr:uid="{00000000-0005-0000-0000-000081000000}"/>
    <cellStyle name="Accent2 59" xfId="131" xr:uid="{00000000-0005-0000-0000-000082000000}"/>
    <cellStyle name="Accent2 6" xfId="132" xr:uid="{00000000-0005-0000-0000-000083000000}"/>
    <cellStyle name="Accent2 60" xfId="133" xr:uid="{00000000-0005-0000-0000-000084000000}"/>
    <cellStyle name="Accent2 61" xfId="134" xr:uid="{00000000-0005-0000-0000-000085000000}"/>
    <cellStyle name="Accent2 62" xfId="135" xr:uid="{00000000-0005-0000-0000-000086000000}"/>
    <cellStyle name="Accent2 63" xfId="136" xr:uid="{00000000-0005-0000-0000-000087000000}"/>
    <cellStyle name="Accent2 64" xfId="137" xr:uid="{00000000-0005-0000-0000-000088000000}"/>
    <cellStyle name="Accent2 65" xfId="138" xr:uid="{00000000-0005-0000-0000-000089000000}"/>
    <cellStyle name="Accent2 66" xfId="139" xr:uid="{00000000-0005-0000-0000-00008A000000}"/>
    <cellStyle name="Accent2 67" xfId="140" xr:uid="{00000000-0005-0000-0000-00008B000000}"/>
    <cellStyle name="Accent2 68" xfId="141" xr:uid="{00000000-0005-0000-0000-00008C000000}"/>
    <cellStyle name="Accent2 69" xfId="24846" xr:uid="{5182FF0B-24DC-49CB-A283-39402094CB39}"/>
    <cellStyle name="Accent2 7" xfId="142" xr:uid="{00000000-0005-0000-0000-00008D000000}"/>
    <cellStyle name="Accent2 70" xfId="25154" xr:uid="{DB859796-D498-4E56-A125-E2DCDE4C795B}"/>
    <cellStyle name="Accent2 71" xfId="23714" xr:uid="{83A61C3E-87A1-4F6A-8122-B7A001AB4311}"/>
    <cellStyle name="Accent2 8" xfId="143" xr:uid="{00000000-0005-0000-0000-00008E000000}"/>
    <cellStyle name="Accent2 9" xfId="144" xr:uid="{00000000-0005-0000-0000-00008F000000}"/>
    <cellStyle name="Accent3" xfId="4842" builtinId="37" customBuiltin="1"/>
    <cellStyle name="Accent3 - 20%" xfId="145" xr:uid="{00000000-0005-0000-0000-000090000000}"/>
    <cellStyle name="Accent3 - 20% 2" xfId="146" xr:uid="{00000000-0005-0000-0000-000091000000}"/>
    <cellStyle name="Accent3 - 40%" xfId="147" xr:uid="{00000000-0005-0000-0000-000092000000}"/>
    <cellStyle name="Accent3 - 40% 2" xfId="148" xr:uid="{00000000-0005-0000-0000-000093000000}"/>
    <cellStyle name="Accent3 - 60%" xfId="149" xr:uid="{00000000-0005-0000-0000-000094000000}"/>
    <cellStyle name="Accent3 10" xfId="150" xr:uid="{00000000-0005-0000-0000-000095000000}"/>
    <cellStyle name="Accent3 11" xfId="151" xr:uid="{00000000-0005-0000-0000-000096000000}"/>
    <cellStyle name="Accent3 12" xfId="152" xr:uid="{00000000-0005-0000-0000-000097000000}"/>
    <cellStyle name="Accent3 13" xfId="153" xr:uid="{00000000-0005-0000-0000-000098000000}"/>
    <cellStyle name="Accent3 14" xfId="154" xr:uid="{00000000-0005-0000-0000-000099000000}"/>
    <cellStyle name="Accent3 15" xfId="155" xr:uid="{00000000-0005-0000-0000-00009A000000}"/>
    <cellStyle name="Accent3 16" xfId="156" xr:uid="{00000000-0005-0000-0000-00009B000000}"/>
    <cellStyle name="Accent3 17" xfId="157" xr:uid="{00000000-0005-0000-0000-00009C000000}"/>
    <cellStyle name="Accent3 18" xfId="158" xr:uid="{00000000-0005-0000-0000-00009D000000}"/>
    <cellStyle name="Accent3 19" xfId="159" xr:uid="{00000000-0005-0000-0000-00009E000000}"/>
    <cellStyle name="Accent3 2" xfId="160" xr:uid="{00000000-0005-0000-0000-00009F000000}"/>
    <cellStyle name="Accent3 20" xfId="161" xr:uid="{00000000-0005-0000-0000-0000A0000000}"/>
    <cellStyle name="Accent3 21" xfId="162" xr:uid="{00000000-0005-0000-0000-0000A1000000}"/>
    <cellStyle name="Accent3 22" xfId="163" xr:uid="{00000000-0005-0000-0000-0000A2000000}"/>
    <cellStyle name="Accent3 23" xfId="164" xr:uid="{00000000-0005-0000-0000-0000A3000000}"/>
    <cellStyle name="Accent3 24" xfId="165" xr:uid="{00000000-0005-0000-0000-0000A4000000}"/>
    <cellStyle name="Accent3 25" xfId="166" xr:uid="{00000000-0005-0000-0000-0000A5000000}"/>
    <cellStyle name="Accent3 26" xfId="167" xr:uid="{00000000-0005-0000-0000-0000A6000000}"/>
    <cellStyle name="Accent3 27" xfId="168" xr:uid="{00000000-0005-0000-0000-0000A7000000}"/>
    <cellStyle name="Accent3 28" xfId="169" xr:uid="{00000000-0005-0000-0000-0000A8000000}"/>
    <cellStyle name="Accent3 29" xfId="170" xr:uid="{00000000-0005-0000-0000-0000A9000000}"/>
    <cellStyle name="Accent3 3" xfId="171" xr:uid="{00000000-0005-0000-0000-0000AA000000}"/>
    <cellStyle name="Accent3 30" xfId="172" xr:uid="{00000000-0005-0000-0000-0000AB000000}"/>
    <cellStyle name="Accent3 31" xfId="173" xr:uid="{00000000-0005-0000-0000-0000AC000000}"/>
    <cellStyle name="Accent3 32" xfId="174" xr:uid="{00000000-0005-0000-0000-0000AD000000}"/>
    <cellStyle name="Accent3 33" xfId="175" xr:uid="{00000000-0005-0000-0000-0000AE000000}"/>
    <cellStyle name="Accent3 34" xfId="176" xr:uid="{00000000-0005-0000-0000-0000AF000000}"/>
    <cellStyle name="Accent3 35" xfId="177" xr:uid="{00000000-0005-0000-0000-0000B0000000}"/>
    <cellStyle name="Accent3 35 2" xfId="29527" xr:uid="{6D42C670-79BA-41D0-B5D2-B979219AF29B}"/>
    <cellStyle name="Accent3 36" xfId="178" xr:uid="{00000000-0005-0000-0000-0000B1000000}"/>
    <cellStyle name="Accent3 36 2" xfId="29528" xr:uid="{A5BB00BC-45FA-42BC-B4A9-6B9EE11739A5}"/>
    <cellStyle name="Accent3 37" xfId="179" xr:uid="{00000000-0005-0000-0000-0000B2000000}"/>
    <cellStyle name="Accent3 38" xfId="180" xr:uid="{00000000-0005-0000-0000-0000B3000000}"/>
    <cellStyle name="Accent3 39" xfId="181" xr:uid="{00000000-0005-0000-0000-0000B4000000}"/>
    <cellStyle name="Accent3 4" xfId="182" xr:uid="{00000000-0005-0000-0000-0000B5000000}"/>
    <cellStyle name="Accent3 40" xfId="183" xr:uid="{00000000-0005-0000-0000-0000B6000000}"/>
    <cellStyle name="Accent3 41" xfId="184" xr:uid="{00000000-0005-0000-0000-0000B7000000}"/>
    <cellStyle name="Accent3 42" xfId="185" xr:uid="{00000000-0005-0000-0000-0000B8000000}"/>
    <cellStyle name="Accent3 43" xfId="186" xr:uid="{00000000-0005-0000-0000-0000B9000000}"/>
    <cellStyle name="Accent3 44" xfId="187" xr:uid="{00000000-0005-0000-0000-0000BA000000}"/>
    <cellStyle name="Accent3 45" xfId="188" xr:uid="{00000000-0005-0000-0000-0000BB000000}"/>
    <cellStyle name="Accent3 46" xfId="189" xr:uid="{00000000-0005-0000-0000-0000BC000000}"/>
    <cellStyle name="Accent3 47" xfId="190" xr:uid="{00000000-0005-0000-0000-0000BD000000}"/>
    <cellStyle name="Accent3 48" xfId="191" xr:uid="{00000000-0005-0000-0000-0000BE000000}"/>
    <cellStyle name="Accent3 49" xfId="192" xr:uid="{00000000-0005-0000-0000-0000BF000000}"/>
    <cellStyle name="Accent3 5" xfId="193" xr:uid="{00000000-0005-0000-0000-0000C0000000}"/>
    <cellStyle name="Accent3 50" xfId="194" xr:uid="{00000000-0005-0000-0000-0000C1000000}"/>
    <cellStyle name="Accent3 51" xfId="195" xr:uid="{00000000-0005-0000-0000-0000C2000000}"/>
    <cellStyle name="Accent3 52" xfId="196" xr:uid="{00000000-0005-0000-0000-0000C3000000}"/>
    <cellStyle name="Accent3 53" xfId="197" xr:uid="{00000000-0005-0000-0000-0000C4000000}"/>
    <cellStyle name="Accent3 54" xfId="198" xr:uid="{00000000-0005-0000-0000-0000C5000000}"/>
    <cellStyle name="Accent3 55" xfId="199" xr:uid="{00000000-0005-0000-0000-0000C6000000}"/>
    <cellStyle name="Accent3 56" xfId="200" xr:uid="{00000000-0005-0000-0000-0000C7000000}"/>
    <cellStyle name="Accent3 57" xfId="201" xr:uid="{00000000-0005-0000-0000-0000C8000000}"/>
    <cellStyle name="Accent3 58" xfId="202" xr:uid="{00000000-0005-0000-0000-0000C9000000}"/>
    <cellStyle name="Accent3 59" xfId="203" xr:uid="{00000000-0005-0000-0000-0000CA000000}"/>
    <cellStyle name="Accent3 6" xfId="204" xr:uid="{00000000-0005-0000-0000-0000CB000000}"/>
    <cellStyle name="Accent3 60" xfId="205" xr:uid="{00000000-0005-0000-0000-0000CC000000}"/>
    <cellStyle name="Accent3 61" xfId="206" xr:uid="{00000000-0005-0000-0000-0000CD000000}"/>
    <cellStyle name="Accent3 62" xfId="207" xr:uid="{00000000-0005-0000-0000-0000CE000000}"/>
    <cellStyle name="Accent3 63" xfId="208" xr:uid="{00000000-0005-0000-0000-0000CF000000}"/>
    <cellStyle name="Accent3 64" xfId="209" xr:uid="{00000000-0005-0000-0000-0000D0000000}"/>
    <cellStyle name="Accent3 65" xfId="210" xr:uid="{00000000-0005-0000-0000-0000D1000000}"/>
    <cellStyle name="Accent3 66" xfId="211" xr:uid="{00000000-0005-0000-0000-0000D2000000}"/>
    <cellStyle name="Accent3 67" xfId="212" xr:uid="{00000000-0005-0000-0000-0000D3000000}"/>
    <cellStyle name="Accent3 68" xfId="213" xr:uid="{00000000-0005-0000-0000-0000D4000000}"/>
    <cellStyle name="Accent3 69" xfId="23406" xr:uid="{0A5F0C95-5616-4611-AF28-AA89E0277EF1}"/>
    <cellStyle name="Accent3 7" xfId="214" xr:uid="{00000000-0005-0000-0000-0000D5000000}"/>
    <cellStyle name="Accent3 70" xfId="25649" xr:uid="{E970874A-57B0-4CBC-9DC1-7D50C0AD51C2}"/>
    <cellStyle name="Accent3 71" xfId="25595" xr:uid="{AF994C2C-841D-49C9-8721-FA9396879B33}"/>
    <cellStyle name="Accent3 8" xfId="215" xr:uid="{00000000-0005-0000-0000-0000D6000000}"/>
    <cellStyle name="Accent3 9" xfId="216" xr:uid="{00000000-0005-0000-0000-0000D7000000}"/>
    <cellStyle name="Accent4" xfId="4843" builtinId="41" customBuiltin="1"/>
    <cellStyle name="Accent4 - 20%" xfId="217" xr:uid="{00000000-0005-0000-0000-0000D8000000}"/>
    <cellStyle name="Accent4 - 20% 2" xfId="218" xr:uid="{00000000-0005-0000-0000-0000D9000000}"/>
    <cellStyle name="Accent4 - 40%" xfId="219" xr:uid="{00000000-0005-0000-0000-0000DA000000}"/>
    <cellStyle name="Accent4 - 40% 2" xfId="220" xr:uid="{00000000-0005-0000-0000-0000DB000000}"/>
    <cellStyle name="Accent4 - 60%" xfId="221" xr:uid="{00000000-0005-0000-0000-0000DC000000}"/>
    <cellStyle name="Accent4 10" xfId="222" xr:uid="{00000000-0005-0000-0000-0000DD000000}"/>
    <cellStyle name="Accent4 11" xfId="223" xr:uid="{00000000-0005-0000-0000-0000DE000000}"/>
    <cellStyle name="Accent4 12" xfId="224" xr:uid="{00000000-0005-0000-0000-0000DF000000}"/>
    <cellStyle name="Accent4 13" xfId="225" xr:uid="{00000000-0005-0000-0000-0000E0000000}"/>
    <cellStyle name="Accent4 14" xfId="226" xr:uid="{00000000-0005-0000-0000-0000E1000000}"/>
    <cellStyle name="Accent4 15" xfId="227" xr:uid="{00000000-0005-0000-0000-0000E2000000}"/>
    <cellStyle name="Accent4 16" xfId="228" xr:uid="{00000000-0005-0000-0000-0000E3000000}"/>
    <cellStyle name="Accent4 17" xfId="229" xr:uid="{00000000-0005-0000-0000-0000E4000000}"/>
    <cellStyle name="Accent4 18" xfId="230" xr:uid="{00000000-0005-0000-0000-0000E5000000}"/>
    <cellStyle name="Accent4 19" xfId="231" xr:uid="{00000000-0005-0000-0000-0000E6000000}"/>
    <cellStyle name="Accent4 2" xfId="232" xr:uid="{00000000-0005-0000-0000-0000E7000000}"/>
    <cellStyle name="Accent4 20" xfId="233" xr:uid="{00000000-0005-0000-0000-0000E8000000}"/>
    <cellStyle name="Accent4 21" xfId="234" xr:uid="{00000000-0005-0000-0000-0000E9000000}"/>
    <cellStyle name="Accent4 22" xfId="235" xr:uid="{00000000-0005-0000-0000-0000EA000000}"/>
    <cellStyle name="Accent4 23" xfId="236" xr:uid="{00000000-0005-0000-0000-0000EB000000}"/>
    <cellStyle name="Accent4 24" xfId="237" xr:uid="{00000000-0005-0000-0000-0000EC000000}"/>
    <cellStyle name="Accent4 25" xfId="238" xr:uid="{00000000-0005-0000-0000-0000ED000000}"/>
    <cellStyle name="Accent4 26" xfId="239" xr:uid="{00000000-0005-0000-0000-0000EE000000}"/>
    <cellStyle name="Accent4 27" xfId="240" xr:uid="{00000000-0005-0000-0000-0000EF000000}"/>
    <cellStyle name="Accent4 28" xfId="241" xr:uid="{00000000-0005-0000-0000-0000F0000000}"/>
    <cellStyle name="Accent4 29" xfId="242" xr:uid="{00000000-0005-0000-0000-0000F1000000}"/>
    <cellStyle name="Accent4 3" xfId="243" xr:uid="{00000000-0005-0000-0000-0000F2000000}"/>
    <cellStyle name="Accent4 30" xfId="244" xr:uid="{00000000-0005-0000-0000-0000F3000000}"/>
    <cellStyle name="Accent4 31" xfId="245" xr:uid="{00000000-0005-0000-0000-0000F4000000}"/>
    <cellStyle name="Accent4 32" xfId="246" xr:uid="{00000000-0005-0000-0000-0000F5000000}"/>
    <cellStyle name="Accent4 33" xfId="247" xr:uid="{00000000-0005-0000-0000-0000F6000000}"/>
    <cellStyle name="Accent4 34" xfId="248" xr:uid="{00000000-0005-0000-0000-0000F7000000}"/>
    <cellStyle name="Accent4 35" xfId="249" xr:uid="{00000000-0005-0000-0000-0000F8000000}"/>
    <cellStyle name="Accent4 35 2" xfId="29529" xr:uid="{10BFA22F-D3BD-4505-8E2E-CD3D2ED897CC}"/>
    <cellStyle name="Accent4 36" xfId="250" xr:uid="{00000000-0005-0000-0000-0000F9000000}"/>
    <cellStyle name="Accent4 36 2" xfId="29530" xr:uid="{FABADF66-F8DE-4249-834D-B7AD889A11AF}"/>
    <cellStyle name="Accent4 37" xfId="251" xr:uid="{00000000-0005-0000-0000-0000FA000000}"/>
    <cellStyle name="Accent4 38" xfId="252" xr:uid="{00000000-0005-0000-0000-0000FB000000}"/>
    <cellStyle name="Accent4 39" xfId="253" xr:uid="{00000000-0005-0000-0000-0000FC000000}"/>
    <cellStyle name="Accent4 4" xfId="254" xr:uid="{00000000-0005-0000-0000-0000FD000000}"/>
    <cellStyle name="Accent4 40" xfId="255" xr:uid="{00000000-0005-0000-0000-0000FE000000}"/>
    <cellStyle name="Accent4 41" xfId="256" xr:uid="{00000000-0005-0000-0000-0000FF000000}"/>
    <cellStyle name="Accent4 42" xfId="257" xr:uid="{00000000-0005-0000-0000-000000010000}"/>
    <cellStyle name="Accent4 43" xfId="258" xr:uid="{00000000-0005-0000-0000-000001010000}"/>
    <cellStyle name="Accent4 44" xfId="259" xr:uid="{00000000-0005-0000-0000-000002010000}"/>
    <cellStyle name="Accent4 45" xfId="260" xr:uid="{00000000-0005-0000-0000-000003010000}"/>
    <cellStyle name="Accent4 46" xfId="261" xr:uid="{00000000-0005-0000-0000-000004010000}"/>
    <cellStyle name="Accent4 47" xfId="262" xr:uid="{00000000-0005-0000-0000-000005010000}"/>
    <cellStyle name="Accent4 48" xfId="263" xr:uid="{00000000-0005-0000-0000-000006010000}"/>
    <cellStyle name="Accent4 49" xfId="264" xr:uid="{00000000-0005-0000-0000-000007010000}"/>
    <cellStyle name="Accent4 5" xfId="265" xr:uid="{00000000-0005-0000-0000-000008010000}"/>
    <cellStyle name="Accent4 50" xfId="266" xr:uid="{00000000-0005-0000-0000-000009010000}"/>
    <cellStyle name="Accent4 51" xfId="267" xr:uid="{00000000-0005-0000-0000-00000A010000}"/>
    <cellStyle name="Accent4 52" xfId="268" xr:uid="{00000000-0005-0000-0000-00000B010000}"/>
    <cellStyle name="Accent4 53" xfId="269" xr:uid="{00000000-0005-0000-0000-00000C010000}"/>
    <cellStyle name="Accent4 54" xfId="270" xr:uid="{00000000-0005-0000-0000-00000D010000}"/>
    <cellStyle name="Accent4 55" xfId="271" xr:uid="{00000000-0005-0000-0000-00000E010000}"/>
    <cellStyle name="Accent4 56" xfId="272" xr:uid="{00000000-0005-0000-0000-00000F010000}"/>
    <cellStyle name="Accent4 57" xfId="273" xr:uid="{00000000-0005-0000-0000-000010010000}"/>
    <cellStyle name="Accent4 58" xfId="274" xr:uid="{00000000-0005-0000-0000-000011010000}"/>
    <cellStyle name="Accent4 59" xfId="275" xr:uid="{00000000-0005-0000-0000-000012010000}"/>
    <cellStyle name="Accent4 6" xfId="276" xr:uid="{00000000-0005-0000-0000-000013010000}"/>
    <cellStyle name="Accent4 60" xfId="277" xr:uid="{00000000-0005-0000-0000-000014010000}"/>
    <cellStyle name="Accent4 61" xfId="278" xr:uid="{00000000-0005-0000-0000-000015010000}"/>
    <cellStyle name="Accent4 62" xfId="279" xr:uid="{00000000-0005-0000-0000-000016010000}"/>
    <cellStyle name="Accent4 63" xfId="280" xr:uid="{00000000-0005-0000-0000-000017010000}"/>
    <cellStyle name="Accent4 64" xfId="281" xr:uid="{00000000-0005-0000-0000-000018010000}"/>
    <cellStyle name="Accent4 65" xfId="282" xr:uid="{00000000-0005-0000-0000-000019010000}"/>
    <cellStyle name="Accent4 66" xfId="283" xr:uid="{00000000-0005-0000-0000-00001A010000}"/>
    <cellStyle name="Accent4 67" xfId="284" xr:uid="{00000000-0005-0000-0000-00001B010000}"/>
    <cellStyle name="Accent4 68" xfId="285" xr:uid="{00000000-0005-0000-0000-00001C010000}"/>
    <cellStyle name="Accent4 69" xfId="23034" xr:uid="{AED4E30E-FB92-4A5C-BCC6-8ADCF62D9D7B}"/>
    <cellStyle name="Accent4 7" xfId="286" xr:uid="{00000000-0005-0000-0000-00001D010000}"/>
    <cellStyle name="Accent4 70" xfId="25088" xr:uid="{F41DF068-013E-42BF-8021-6272E34725E0}"/>
    <cellStyle name="Accent4 71" xfId="23848" xr:uid="{5FC22722-3052-4868-94D9-E5570379FEF4}"/>
    <cellStyle name="Accent4 8" xfId="287" xr:uid="{00000000-0005-0000-0000-00001E010000}"/>
    <cellStyle name="Accent4 9" xfId="288" xr:uid="{00000000-0005-0000-0000-00001F010000}"/>
    <cellStyle name="Accent5" xfId="4844" builtinId="45" customBuiltin="1"/>
    <cellStyle name="Accent5 - 20%" xfId="289" xr:uid="{00000000-0005-0000-0000-000020010000}"/>
    <cellStyle name="Accent5 - 20% 2" xfId="290" xr:uid="{00000000-0005-0000-0000-000021010000}"/>
    <cellStyle name="Accent5 - 40%" xfId="291" xr:uid="{00000000-0005-0000-0000-000022010000}"/>
    <cellStyle name="Accent5 - 40% 2" xfId="292" xr:uid="{00000000-0005-0000-0000-000023010000}"/>
    <cellStyle name="Accent5 - 60%" xfId="293" xr:uid="{00000000-0005-0000-0000-000024010000}"/>
    <cellStyle name="Accent5 10" xfId="294" xr:uid="{00000000-0005-0000-0000-000025010000}"/>
    <cellStyle name="Accent5 11" xfId="295" xr:uid="{00000000-0005-0000-0000-000026010000}"/>
    <cellStyle name="Accent5 12" xfId="296" xr:uid="{00000000-0005-0000-0000-000027010000}"/>
    <cellStyle name="Accent5 13" xfId="297" xr:uid="{00000000-0005-0000-0000-000028010000}"/>
    <cellStyle name="Accent5 14" xfId="298" xr:uid="{00000000-0005-0000-0000-000029010000}"/>
    <cellStyle name="Accent5 15" xfId="299" xr:uid="{00000000-0005-0000-0000-00002A010000}"/>
    <cellStyle name="Accent5 16" xfId="300" xr:uid="{00000000-0005-0000-0000-00002B010000}"/>
    <cellStyle name="Accent5 17" xfId="301" xr:uid="{00000000-0005-0000-0000-00002C010000}"/>
    <cellStyle name="Accent5 18" xfId="302" xr:uid="{00000000-0005-0000-0000-00002D010000}"/>
    <cellStyle name="Accent5 19" xfId="303" xr:uid="{00000000-0005-0000-0000-00002E010000}"/>
    <cellStyle name="Accent5 2" xfId="304" xr:uid="{00000000-0005-0000-0000-00002F010000}"/>
    <cellStyle name="Accent5 20" xfId="305" xr:uid="{00000000-0005-0000-0000-000030010000}"/>
    <cellStyle name="Accent5 21" xfId="306" xr:uid="{00000000-0005-0000-0000-000031010000}"/>
    <cellStyle name="Accent5 22" xfId="307" xr:uid="{00000000-0005-0000-0000-000032010000}"/>
    <cellStyle name="Accent5 23" xfId="308" xr:uid="{00000000-0005-0000-0000-000033010000}"/>
    <cellStyle name="Accent5 24" xfId="309" xr:uid="{00000000-0005-0000-0000-000034010000}"/>
    <cellStyle name="Accent5 25" xfId="310" xr:uid="{00000000-0005-0000-0000-000035010000}"/>
    <cellStyle name="Accent5 26" xfId="311" xr:uid="{00000000-0005-0000-0000-000036010000}"/>
    <cellStyle name="Accent5 27" xfId="312" xr:uid="{00000000-0005-0000-0000-000037010000}"/>
    <cellStyle name="Accent5 28" xfId="313" xr:uid="{00000000-0005-0000-0000-000038010000}"/>
    <cellStyle name="Accent5 29" xfId="314" xr:uid="{00000000-0005-0000-0000-000039010000}"/>
    <cellStyle name="Accent5 3" xfId="315" xr:uid="{00000000-0005-0000-0000-00003A010000}"/>
    <cellStyle name="Accent5 30" xfId="316" xr:uid="{00000000-0005-0000-0000-00003B010000}"/>
    <cellStyle name="Accent5 31" xfId="317" xr:uid="{00000000-0005-0000-0000-00003C010000}"/>
    <cellStyle name="Accent5 32" xfId="318" xr:uid="{00000000-0005-0000-0000-00003D010000}"/>
    <cellStyle name="Accent5 33" xfId="319" xr:uid="{00000000-0005-0000-0000-00003E010000}"/>
    <cellStyle name="Accent5 34" xfId="320" xr:uid="{00000000-0005-0000-0000-00003F010000}"/>
    <cellStyle name="Accent5 35" xfId="321" xr:uid="{00000000-0005-0000-0000-000040010000}"/>
    <cellStyle name="Accent5 35 2" xfId="29531" xr:uid="{458CA2AC-D926-4059-8065-048300B70009}"/>
    <cellStyle name="Accent5 36" xfId="322" xr:uid="{00000000-0005-0000-0000-000041010000}"/>
    <cellStyle name="Accent5 36 2" xfId="29532" xr:uid="{A6EDE9CD-F022-4472-B8FD-B7A2E5B13543}"/>
    <cellStyle name="Accent5 37" xfId="323" xr:uid="{00000000-0005-0000-0000-000042010000}"/>
    <cellStyle name="Accent5 38" xfId="324" xr:uid="{00000000-0005-0000-0000-000043010000}"/>
    <cellStyle name="Accent5 39" xfId="325" xr:uid="{00000000-0005-0000-0000-000044010000}"/>
    <cellStyle name="Accent5 4" xfId="326" xr:uid="{00000000-0005-0000-0000-000045010000}"/>
    <cellStyle name="Accent5 40" xfId="327" xr:uid="{00000000-0005-0000-0000-000046010000}"/>
    <cellStyle name="Accent5 41" xfId="328" xr:uid="{00000000-0005-0000-0000-000047010000}"/>
    <cellStyle name="Accent5 42" xfId="329" xr:uid="{00000000-0005-0000-0000-000048010000}"/>
    <cellStyle name="Accent5 43" xfId="330" xr:uid="{00000000-0005-0000-0000-000049010000}"/>
    <cellStyle name="Accent5 44" xfId="331" xr:uid="{00000000-0005-0000-0000-00004A010000}"/>
    <cellStyle name="Accent5 45" xfId="332" xr:uid="{00000000-0005-0000-0000-00004B010000}"/>
    <cellStyle name="Accent5 46" xfId="333" xr:uid="{00000000-0005-0000-0000-00004C010000}"/>
    <cellStyle name="Accent5 47" xfId="334" xr:uid="{00000000-0005-0000-0000-00004D010000}"/>
    <cellStyle name="Accent5 48" xfId="335" xr:uid="{00000000-0005-0000-0000-00004E010000}"/>
    <cellStyle name="Accent5 49" xfId="336" xr:uid="{00000000-0005-0000-0000-00004F010000}"/>
    <cellStyle name="Accent5 5" xfId="337" xr:uid="{00000000-0005-0000-0000-000050010000}"/>
    <cellStyle name="Accent5 50" xfId="338" xr:uid="{00000000-0005-0000-0000-000051010000}"/>
    <cellStyle name="Accent5 51" xfId="339" xr:uid="{00000000-0005-0000-0000-000052010000}"/>
    <cellStyle name="Accent5 52" xfId="340" xr:uid="{00000000-0005-0000-0000-000053010000}"/>
    <cellStyle name="Accent5 53" xfId="341" xr:uid="{00000000-0005-0000-0000-000054010000}"/>
    <cellStyle name="Accent5 54" xfId="342" xr:uid="{00000000-0005-0000-0000-000055010000}"/>
    <cellStyle name="Accent5 55" xfId="343" xr:uid="{00000000-0005-0000-0000-000056010000}"/>
    <cellStyle name="Accent5 56" xfId="344" xr:uid="{00000000-0005-0000-0000-000057010000}"/>
    <cellStyle name="Accent5 57" xfId="345" xr:uid="{00000000-0005-0000-0000-000058010000}"/>
    <cellStyle name="Accent5 58" xfId="346" xr:uid="{00000000-0005-0000-0000-000059010000}"/>
    <cellStyle name="Accent5 59" xfId="347" xr:uid="{00000000-0005-0000-0000-00005A010000}"/>
    <cellStyle name="Accent5 6" xfId="348" xr:uid="{00000000-0005-0000-0000-00005B010000}"/>
    <cellStyle name="Accent5 60" xfId="349" xr:uid="{00000000-0005-0000-0000-00005C010000}"/>
    <cellStyle name="Accent5 61" xfId="350" xr:uid="{00000000-0005-0000-0000-00005D010000}"/>
    <cellStyle name="Accent5 62" xfId="351" xr:uid="{00000000-0005-0000-0000-00005E010000}"/>
    <cellStyle name="Accent5 63" xfId="352" xr:uid="{00000000-0005-0000-0000-00005F010000}"/>
    <cellStyle name="Accent5 64" xfId="353" xr:uid="{00000000-0005-0000-0000-000060010000}"/>
    <cellStyle name="Accent5 65" xfId="354" xr:uid="{00000000-0005-0000-0000-000061010000}"/>
    <cellStyle name="Accent5 66" xfId="355" xr:uid="{00000000-0005-0000-0000-000062010000}"/>
    <cellStyle name="Accent5 67" xfId="356" xr:uid="{00000000-0005-0000-0000-000063010000}"/>
    <cellStyle name="Accent5 68" xfId="357" xr:uid="{00000000-0005-0000-0000-000064010000}"/>
    <cellStyle name="Accent5 69" xfId="22937" xr:uid="{26B30322-1C89-49D0-BA3E-F8658C186C8B}"/>
    <cellStyle name="Accent5 7" xfId="358" xr:uid="{00000000-0005-0000-0000-000065010000}"/>
    <cellStyle name="Accent5 70" xfId="25597" xr:uid="{07476C96-5AF1-4461-9D78-20043F9CC41D}"/>
    <cellStyle name="Accent5 71" xfId="23797" xr:uid="{A5A9B84C-234B-4744-B883-15586B3D4CBC}"/>
    <cellStyle name="Accent5 8" xfId="359" xr:uid="{00000000-0005-0000-0000-000066010000}"/>
    <cellStyle name="Accent5 9" xfId="360" xr:uid="{00000000-0005-0000-0000-000067010000}"/>
    <cellStyle name="Accent6" xfId="4845" builtinId="49" customBuiltin="1"/>
    <cellStyle name="Accent6 - 20%" xfId="361" xr:uid="{00000000-0005-0000-0000-000068010000}"/>
    <cellStyle name="Accent6 - 20% 2" xfId="362" xr:uid="{00000000-0005-0000-0000-000069010000}"/>
    <cellStyle name="Accent6 - 40%" xfId="363" xr:uid="{00000000-0005-0000-0000-00006A010000}"/>
    <cellStyle name="Accent6 - 40% 2" xfId="364" xr:uid="{00000000-0005-0000-0000-00006B010000}"/>
    <cellStyle name="Accent6 - 60%" xfId="365" xr:uid="{00000000-0005-0000-0000-00006C010000}"/>
    <cellStyle name="Accent6 10" xfId="366" xr:uid="{00000000-0005-0000-0000-00006D010000}"/>
    <cellStyle name="Accent6 11" xfId="367" xr:uid="{00000000-0005-0000-0000-00006E010000}"/>
    <cellStyle name="Accent6 12" xfId="368" xr:uid="{00000000-0005-0000-0000-00006F010000}"/>
    <cellStyle name="Accent6 13" xfId="369" xr:uid="{00000000-0005-0000-0000-000070010000}"/>
    <cellStyle name="Accent6 14" xfId="370" xr:uid="{00000000-0005-0000-0000-000071010000}"/>
    <cellStyle name="Accent6 15" xfId="371" xr:uid="{00000000-0005-0000-0000-000072010000}"/>
    <cellStyle name="Accent6 16" xfId="372" xr:uid="{00000000-0005-0000-0000-000073010000}"/>
    <cellStyle name="Accent6 17" xfId="373" xr:uid="{00000000-0005-0000-0000-000074010000}"/>
    <cellStyle name="Accent6 18" xfId="374" xr:uid="{00000000-0005-0000-0000-000075010000}"/>
    <cellStyle name="Accent6 19" xfId="375" xr:uid="{00000000-0005-0000-0000-000076010000}"/>
    <cellStyle name="Accent6 2" xfId="376" xr:uid="{00000000-0005-0000-0000-000077010000}"/>
    <cellStyle name="Accent6 20" xfId="377" xr:uid="{00000000-0005-0000-0000-000078010000}"/>
    <cellStyle name="Accent6 21" xfId="378" xr:uid="{00000000-0005-0000-0000-000079010000}"/>
    <cellStyle name="Accent6 22" xfId="379" xr:uid="{00000000-0005-0000-0000-00007A010000}"/>
    <cellStyle name="Accent6 23" xfId="380" xr:uid="{00000000-0005-0000-0000-00007B010000}"/>
    <cellStyle name="Accent6 24" xfId="381" xr:uid="{00000000-0005-0000-0000-00007C010000}"/>
    <cellStyle name="Accent6 25" xfId="382" xr:uid="{00000000-0005-0000-0000-00007D010000}"/>
    <cellStyle name="Accent6 26" xfId="383" xr:uid="{00000000-0005-0000-0000-00007E010000}"/>
    <cellStyle name="Accent6 27" xfId="384" xr:uid="{00000000-0005-0000-0000-00007F010000}"/>
    <cellStyle name="Accent6 28" xfId="385" xr:uid="{00000000-0005-0000-0000-000080010000}"/>
    <cellStyle name="Accent6 29" xfId="386" xr:uid="{00000000-0005-0000-0000-000081010000}"/>
    <cellStyle name="Accent6 3" xfId="387" xr:uid="{00000000-0005-0000-0000-000082010000}"/>
    <cellStyle name="Accent6 30" xfId="388" xr:uid="{00000000-0005-0000-0000-000083010000}"/>
    <cellStyle name="Accent6 31" xfId="389" xr:uid="{00000000-0005-0000-0000-000084010000}"/>
    <cellStyle name="Accent6 32" xfId="390" xr:uid="{00000000-0005-0000-0000-000085010000}"/>
    <cellStyle name="Accent6 33" xfId="391" xr:uid="{00000000-0005-0000-0000-000086010000}"/>
    <cellStyle name="Accent6 34" xfId="392" xr:uid="{00000000-0005-0000-0000-000087010000}"/>
    <cellStyle name="Accent6 35" xfId="393" xr:uid="{00000000-0005-0000-0000-000088010000}"/>
    <cellStyle name="Accent6 35 2" xfId="29533" xr:uid="{DF070521-6078-474F-9C65-EEACD7551C73}"/>
    <cellStyle name="Accent6 36" xfId="394" xr:uid="{00000000-0005-0000-0000-000089010000}"/>
    <cellStyle name="Accent6 36 2" xfId="29534" xr:uid="{6A8607BF-C02D-43C5-B5AD-66DF91CD1797}"/>
    <cellStyle name="Accent6 37" xfId="395" xr:uid="{00000000-0005-0000-0000-00008A010000}"/>
    <cellStyle name="Accent6 38" xfId="396" xr:uid="{00000000-0005-0000-0000-00008B010000}"/>
    <cellStyle name="Accent6 39" xfId="397" xr:uid="{00000000-0005-0000-0000-00008C010000}"/>
    <cellStyle name="Accent6 4" xfId="398" xr:uid="{00000000-0005-0000-0000-00008D010000}"/>
    <cellStyle name="Accent6 40" xfId="399" xr:uid="{00000000-0005-0000-0000-00008E010000}"/>
    <cellStyle name="Accent6 41" xfId="400" xr:uid="{00000000-0005-0000-0000-00008F010000}"/>
    <cellStyle name="Accent6 42" xfId="401" xr:uid="{00000000-0005-0000-0000-000090010000}"/>
    <cellStyle name="Accent6 43" xfId="402" xr:uid="{00000000-0005-0000-0000-000091010000}"/>
    <cellStyle name="Accent6 44" xfId="403" xr:uid="{00000000-0005-0000-0000-000092010000}"/>
    <cellStyle name="Accent6 45" xfId="404" xr:uid="{00000000-0005-0000-0000-000093010000}"/>
    <cellStyle name="Accent6 46" xfId="405" xr:uid="{00000000-0005-0000-0000-000094010000}"/>
    <cellStyle name="Accent6 47" xfId="406" xr:uid="{00000000-0005-0000-0000-000095010000}"/>
    <cellStyle name="Accent6 48" xfId="407" xr:uid="{00000000-0005-0000-0000-000096010000}"/>
    <cellStyle name="Accent6 49" xfId="408" xr:uid="{00000000-0005-0000-0000-000097010000}"/>
    <cellStyle name="Accent6 5" xfId="409" xr:uid="{00000000-0005-0000-0000-000098010000}"/>
    <cellStyle name="Accent6 50" xfId="410" xr:uid="{00000000-0005-0000-0000-000099010000}"/>
    <cellStyle name="Accent6 51" xfId="411" xr:uid="{00000000-0005-0000-0000-00009A010000}"/>
    <cellStyle name="Accent6 52" xfId="412" xr:uid="{00000000-0005-0000-0000-00009B010000}"/>
    <cellStyle name="Accent6 53" xfId="413" xr:uid="{00000000-0005-0000-0000-00009C010000}"/>
    <cellStyle name="Accent6 54" xfId="414" xr:uid="{00000000-0005-0000-0000-00009D010000}"/>
    <cellStyle name="Accent6 55" xfId="415" xr:uid="{00000000-0005-0000-0000-00009E010000}"/>
    <cellStyle name="Accent6 56" xfId="416" xr:uid="{00000000-0005-0000-0000-00009F010000}"/>
    <cellStyle name="Accent6 57" xfId="417" xr:uid="{00000000-0005-0000-0000-0000A0010000}"/>
    <cellStyle name="Accent6 58" xfId="418" xr:uid="{00000000-0005-0000-0000-0000A1010000}"/>
    <cellStyle name="Accent6 59" xfId="419" xr:uid="{00000000-0005-0000-0000-0000A2010000}"/>
    <cellStyle name="Accent6 6" xfId="420" xr:uid="{00000000-0005-0000-0000-0000A3010000}"/>
    <cellStyle name="Accent6 60" xfId="421" xr:uid="{00000000-0005-0000-0000-0000A4010000}"/>
    <cellStyle name="Accent6 61" xfId="422" xr:uid="{00000000-0005-0000-0000-0000A5010000}"/>
    <cellStyle name="Accent6 62" xfId="423" xr:uid="{00000000-0005-0000-0000-0000A6010000}"/>
    <cellStyle name="Accent6 63" xfId="424" xr:uid="{00000000-0005-0000-0000-0000A7010000}"/>
    <cellStyle name="Accent6 64" xfId="425" xr:uid="{00000000-0005-0000-0000-0000A8010000}"/>
    <cellStyle name="Accent6 65" xfId="426" xr:uid="{00000000-0005-0000-0000-0000A9010000}"/>
    <cellStyle name="Accent6 66" xfId="427" xr:uid="{00000000-0005-0000-0000-0000AA010000}"/>
    <cellStyle name="Accent6 67" xfId="428" xr:uid="{00000000-0005-0000-0000-0000AB010000}"/>
    <cellStyle name="Accent6 68" xfId="429" xr:uid="{00000000-0005-0000-0000-0000AC010000}"/>
    <cellStyle name="Accent6 69" xfId="24003" xr:uid="{893BB9CA-356D-471A-AD5F-9495431F0EFC}"/>
    <cellStyle name="Accent6 7" xfId="430" xr:uid="{00000000-0005-0000-0000-0000AD010000}"/>
    <cellStyle name="Accent6 70" xfId="23392" xr:uid="{600A1D35-8915-4E4F-910E-44B8813D2433}"/>
    <cellStyle name="Accent6 71" xfId="24895" xr:uid="{E9DA2F1C-4737-4689-9B35-D336BD388C4B}"/>
    <cellStyle name="Accent6 8" xfId="431" xr:uid="{00000000-0005-0000-0000-0000AE010000}"/>
    <cellStyle name="Accent6 9" xfId="432" xr:uid="{00000000-0005-0000-0000-0000AF010000}"/>
    <cellStyle name="AccountClassificationTotalRowBalanceCol" xfId="12256" xr:uid="{EC67F07D-7951-469F-8170-F5D0EECEF2B9}"/>
    <cellStyle name="AccountClassificationTotalRowDescCol" xfId="12257" xr:uid="{58C315D6-5F7A-4069-8511-56264FEB55D8}"/>
    <cellStyle name="AccountClassificationTotalRowJERefCol" xfId="12258" xr:uid="{A31CFF99-3CB9-4CA9-96B5-9617F3D74581}"/>
    <cellStyle name="AccountClassificationTotalRowNameCol" xfId="12259" xr:uid="{D8403E05-910B-416C-84D7-F4A4937E4F4E}"/>
    <cellStyle name="AccountClassificationTotalRowVarPectCol" xfId="12260" xr:uid="{0BE0B926-9C35-48BC-B042-7CE47D3A1851}"/>
    <cellStyle name="AccountClassificationTotalRowWPRefCol" xfId="12261" xr:uid="{925C4963-1C84-45C3-8947-534838B1E866}"/>
    <cellStyle name="AccountDetailRowBalanceCol" xfId="12262" xr:uid="{77667C83-8EFE-4812-AE3D-73F088645F26}"/>
    <cellStyle name="AccountDetailRowDescCol" xfId="12263" xr:uid="{F920A0ED-4A8B-4F46-8AB2-76F71763D448}"/>
    <cellStyle name="AccountDetailRowJERefCol" xfId="12264" xr:uid="{9813E5D3-12DB-437B-B303-16516C42BCDD}"/>
    <cellStyle name="AccountDetailRowNameCol" xfId="12265" xr:uid="{426F538C-E9A9-467F-B29B-D74FFDD9B789}"/>
    <cellStyle name="AccountDetailRowVarPectCol" xfId="12266" xr:uid="{07328471-F285-4FE4-A039-12C2FC29E23C}"/>
    <cellStyle name="AccountDetailRowWPRefCol" xfId="12267" xr:uid="{63D4C9A4-BEB1-48C5-9B6B-F97E2C59B285}"/>
    <cellStyle name="AccountNetIncomeLossRowBalanceCol" xfId="12268" xr:uid="{F448CEAA-67FF-4FC0-96A1-6BAFFBD6B911}"/>
    <cellStyle name="AccountNetIncomeLossRowDescCol" xfId="12269" xr:uid="{907304E3-D678-4386-80CB-0AE41803742B}"/>
    <cellStyle name="AccountNetIncomeLossRowJERefCol" xfId="12270" xr:uid="{4AD86227-B1E6-42D5-AC15-93DF6FB098AE}"/>
    <cellStyle name="AccountNetIncomeLossRowNameCol" xfId="12271" xr:uid="{6F1446DA-34A4-4BAF-AE61-E09B1700FDA3}"/>
    <cellStyle name="AccountNetIncomeLossRowWPRefCol" xfId="12272" xr:uid="{FB9B068C-3426-4FEC-9BCE-53BA3852EC52}"/>
    <cellStyle name="AccountTotalBalanceCol" xfId="12273" xr:uid="{62D17BB6-FF13-418C-9803-BAB02AACCA66}"/>
    <cellStyle name="AccountTotalDescCol" xfId="12274" xr:uid="{8B64D827-7F09-462E-AD85-47BFF4D4EC5F}"/>
    <cellStyle name="AccountTotalDetailRowBalanceCol" xfId="12275" xr:uid="{02C688DB-A53F-4634-A6D5-064A9432EEEE}"/>
    <cellStyle name="AccountTotalDetailRowDescCol" xfId="12276" xr:uid="{25B3EB54-7A7F-4CD3-885F-515F18EF8361}"/>
    <cellStyle name="AccountTotalDetailRowJERefCol" xfId="12277" xr:uid="{A63BC09C-87DF-40A4-B111-508D606087AE}"/>
    <cellStyle name="AccountTotalDetailRowNameCol" xfId="12278" xr:uid="{C8A154E5-6A0E-4713-A17B-7221D101338A}"/>
    <cellStyle name="AccountTotalDetailRowVarPectCol" xfId="12279" xr:uid="{84F7299E-C6F5-432C-BFBD-4CB12B0F8443}"/>
    <cellStyle name="AccountTotalDetailRowWPRefCol" xfId="12280" xr:uid="{3D152E01-12CD-4572-9BD1-848122C74E29}"/>
    <cellStyle name="AccountTotalJERefCol" xfId="12281" xr:uid="{D4B3EF14-29B4-479B-8ECA-AB86C6F7F9A7}"/>
    <cellStyle name="AccountTotalNameCol" xfId="12282" xr:uid="{2F9ADDFE-9B68-4482-9348-CA077A3EDE31}"/>
    <cellStyle name="AccountTotalVarPectCol" xfId="12283" xr:uid="{2442709C-27F3-4DDE-9EB7-6134EC287E40}"/>
    <cellStyle name="AccountTotalWPRefCol" xfId="12284" xr:uid="{7BE54512-808B-4A68-AD7A-9125B24E1990}"/>
    <cellStyle name="AccountTypeTotalRowBalanceCol" xfId="12285" xr:uid="{0BE8223E-693B-4C56-8A0A-753CB23F8E77}"/>
    <cellStyle name="AccountTypeTotalRowDescCol" xfId="12286" xr:uid="{E58BB922-D13D-408F-9FA2-B8C0E81CB2A6}"/>
    <cellStyle name="AccountTypeTotalRowJERefCol" xfId="12287" xr:uid="{E085CEA1-A898-4643-8859-2EC469AADDC6}"/>
    <cellStyle name="AccountTypeTotalRowNameCol" xfId="12288" xr:uid="{08BD6057-9984-4D2B-8FE3-BE14D7F0A517}"/>
    <cellStyle name="AccountTypeTotalRowVarPectCol" xfId="12289" xr:uid="{61376634-7F9D-4EE6-9142-386C6055B159}"/>
    <cellStyle name="AccountTypeTotalRowWPRefCol" xfId="12290" xr:uid="{48EB2C52-C95F-433B-AFFA-186036549B8C}"/>
    <cellStyle name="Bad" xfId="4832" builtinId="27" customBuiltin="1"/>
    <cellStyle name="Bad 2" xfId="433" xr:uid="{00000000-0005-0000-0000-0000B0010000}"/>
    <cellStyle name="Bad 3" xfId="434" xr:uid="{00000000-0005-0000-0000-0000B1010000}"/>
    <cellStyle name="Bad 4" xfId="29535" xr:uid="{9B249360-0FC1-414C-A036-E5117C73CAB0}"/>
    <cellStyle name="BlankRow" xfId="12291" xr:uid="{4121281A-F746-4EB3-9299-49886C4F50B5}"/>
    <cellStyle name="BlankRowJERefCol" xfId="12292" xr:uid="{4A2DC9E7-D0E0-4E32-854E-FD699096895D}"/>
    <cellStyle name="Calculation" xfId="4835" builtinId="22" customBuiltin="1"/>
    <cellStyle name="Calculation 2" xfId="435" xr:uid="{00000000-0005-0000-0000-0000B2010000}"/>
    <cellStyle name="Calculation 3" xfId="436" xr:uid="{00000000-0005-0000-0000-0000B3010000}"/>
    <cellStyle name="Calculation 4" xfId="29536" xr:uid="{69B00D0E-0C4F-4265-91AD-F9F8D74D5F25}"/>
    <cellStyle name="Check Cell" xfId="4837" builtinId="23" customBuiltin="1"/>
    <cellStyle name="Check Cell 2" xfId="437" xr:uid="{00000000-0005-0000-0000-0000B4010000}"/>
    <cellStyle name="Check Cell 3" xfId="438" xr:uid="{00000000-0005-0000-0000-0000B5010000}"/>
    <cellStyle name="Check Cell 4" xfId="29537" xr:uid="{6A797CFE-E1DB-4032-9CC3-6FDB2D608719}"/>
    <cellStyle name="ClassifiedGroupTotalRowBalanceCol" xfId="12293" xr:uid="{405D37AD-B4DC-4C92-8C46-7F7CFC07CBA4}"/>
    <cellStyle name="ClassifiedGroupTotalRowDescCol" xfId="12294" xr:uid="{E7D38FB1-798D-4C3C-98C6-838D02791D3A}"/>
    <cellStyle name="ClassifiedGroupTotalRowJERefCol" xfId="12295" xr:uid="{831BE3B0-EE1F-454E-B64E-69F4567A1AA3}"/>
    <cellStyle name="ClassifiedGroupTotalRowNameCol" xfId="12296" xr:uid="{C1AEECDB-0357-45C3-952A-630997EAB411}"/>
    <cellStyle name="ClassifiedGroupTotalRowVarPectCol" xfId="12297" xr:uid="{583C6BED-AEC6-4E68-A275-BAA2A7E3AB58}"/>
    <cellStyle name="ClassifiedGroupTotalRowWPRefCol" xfId="12298" xr:uid="{8A9A7AF6-C911-4BCB-89E3-3FDD97F991BE}"/>
    <cellStyle name="ColumnHeaderRowBalanceCol" xfId="12299" xr:uid="{7C7DE4C8-68BF-44E9-A73B-4EBD6CB0FF08}"/>
    <cellStyle name="ColumnHeaderRowBlankCol" xfId="12300" xr:uid="{2A222394-1C2F-4DA9-8F07-F4AD3EEF3074}"/>
    <cellStyle name="ColumnHeaderRowCreditCol" xfId="12301" xr:uid="{AB01A784-B20C-4530-8AB5-58C870EDC31F}"/>
    <cellStyle name="ColumnHeaderRowDebitCol" xfId="12302" xr:uid="{AA9769CB-8B00-4E2B-BB96-3990F105FE8C}"/>
    <cellStyle name="ColumnHeaderRowDescCol" xfId="12303" xr:uid="{068AC2D8-5FEE-4BA6-B901-D215B616B4D4}"/>
    <cellStyle name="ColumnHeaderRowJERefCol" xfId="12304" xr:uid="{C7181AB7-6507-49C6-928A-F0C56630FBFB}"/>
    <cellStyle name="ColumnHeaderRowNameCol" xfId="12305" xr:uid="{612FAA23-FF0B-4E7C-B59D-3FEBA5E19728}"/>
    <cellStyle name="ColumnHeaderRowVarPectCol" xfId="12306" xr:uid="{DEF1BC8B-0512-4843-AEB1-DB90351FCA08}"/>
    <cellStyle name="ColumnHeaderRowWPRefCol" xfId="12307" xr:uid="{FFAAEFC1-DBE6-4623-B0DF-2317B9F4CA0B}"/>
    <cellStyle name="ColumnMetadataRowBalanceCol" xfId="12308" xr:uid="{04DA5B81-7D03-4BE8-99F1-0766EFD488E2}"/>
    <cellStyle name="ColumnMetadataRowDescCol" xfId="12309" xr:uid="{13DB7B1F-19D8-432A-9D4E-1D5AF44731B8}"/>
    <cellStyle name="ColumnMetadataRowJERefCol" xfId="12310" xr:uid="{DBDAF870-853B-4BCC-BD1D-94D1E72596D5}"/>
    <cellStyle name="ColumnMetadataRowNameCol" xfId="12311" xr:uid="{40E06265-6E66-4B92-B6E2-3B3B201B073D}"/>
    <cellStyle name="ColumnMetadataRowVarPectCol" xfId="12312" xr:uid="{DDEC6B24-578F-4BEC-8F1B-38AD75381ACE}"/>
    <cellStyle name="ColumnMetadataRowWPRefCol" xfId="12313" xr:uid="{D32F0F8B-6E9B-454B-A50A-8D99187F6004}"/>
    <cellStyle name="Comma" xfId="439" builtinId="3"/>
    <cellStyle name="Comma 10" xfId="440" xr:uid="{00000000-0005-0000-0000-0000B7010000}"/>
    <cellStyle name="Comma 10 10" xfId="12490" xr:uid="{29AC07E5-A76C-458E-B700-07D379D9F7B0}"/>
    <cellStyle name="Comma 10 2" xfId="441" xr:uid="{00000000-0005-0000-0000-0000B8010000}"/>
    <cellStyle name="Comma 10 2 2" xfId="442" xr:uid="{00000000-0005-0000-0000-0000B9010000}"/>
    <cellStyle name="Comma 10 2 2 2" xfId="1562" xr:uid="{00000000-0005-0000-0000-0000BA010000}"/>
    <cellStyle name="Comma 10 2 2 2 2" xfId="23258" xr:uid="{D9BB79B8-EC73-46E8-8D77-2E16F508B2FE}"/>
    <cellStyle name="Comma 10 2 2 2 2 2" xfId="29794" xr:uid="{F4742CAB-EE8A-4F65-A5A1-A8EA60CAE710}"/>
    <cellStyle name="Comma 10 2 2 2 3" xfId="24673" xr:uid="{DDF8ACA5-2AFD-4024-B635-F103D987427D}"/>
    <cellStyle name="Comma 10 2 2 2 4" xfId="30048" xr:uid="{3022D834-5AD4-4789-AA9A-422519C0A007}"/>
    <cellStyle name="Comma 10 2 2 3" xfId="4848" xr:uid="{8F94D0E0-B6FC-4A5A-96EA-540CD9CE6C5C}"/>
    <cellStyle name="Comma 10 2 2 3 2" xfId="28026" xr:uid="{9E108CF4-A88E-4CA8-B7DD-2946C5BBAD03}"/>
    <cellStyle name="Comma 10 2 2 3 2 2" xfId="31200" xr:uid="{B8614D68-E4D5-449A-AC4B-CDF4ED1EE035}"/>
    <cellStyle name="Comma 10 2 2 3 2 3" xfId="30641" xr:uid="{DFF08651-449D-4396-9E32-8C7D875A6813}"/>
    <cellStyle name="Comma 10 2 2 3 3" xfId="27612" xr:uid="{6FAB1EFE-AC33-4147-AFD2-28C5CB62D791}"/>
    <cellStyle name="Comma 10 2 2 3 4" xfId="14136" xr:uid="{F3B714C7-5286-4F66-BD1E-FB5924FE93A4}"/>
    <cellStyle name="Comma 10 2 2 4" xfId="6589" xr:uid="{9056E6DA-5EE2-4826-8E91-19EEF6F31924}"/>
    <cellStyle name="Comma 10 2 2 4 2" xfId="16969" xr:uid="{DDBF2E34-1085-47E9-99D9-AA0D68F84FEB}"/>
    <cellStyle name="Comma 10 2 2 5" xfId="9422" xr:uid="{2BD3351E-5285-4068-A1CD-BDB9D3138106}"/>
    <cellStyle name="Comma 10 2 2 5 2" xfId="19802" xr:uid="{61E9841B-2269-452F-80E0-AFED4E54080A}"/>
    <cellStyle name="Comma 10 2 2 6" xfId="24958" xr:uid="{A4F3E5C3-5BA0-421D-8D09-1134D3D9172B}"/>
    <cellStyle name="Comma 10 2 2 7" xfId="13511" xr:uid="{CB1A8726-DCC6-4716-969A-F4081216B883}"/>
    <cellStyle name="Comma 10 2 3" xfId="1563" xr:uid="{00000000-0005-0000-0000-0000BB010000}"/>
    <cellStyle name="Comma 10 2 3 2" xfId="2663" xr:uid="{00000000-0005-0000-0000-000078010000}"/>
    <cellStyle name="Comma 10 2 3 2 2" xfId="7787" xr:uid="{5F8EE468-F6B4-4573-B120-25BA1906DD12}"/>
    <cellStyle name="Comma 10 2 3 2 2 2" xfId="18167" xr:uid="{176782E4-13ED-4672-B2E4-6297AD0C978B}"/>
    <cellStyle name="Comma 10 2 3 2 3" xfId="10620" xr:uid="{6A628ADD-E2E1-48FC-8D32-29571B3F0AC6}"/>
    <cellStyle name="Comma 10 2 3 2 3 2" xfId="21000" xr:uid="{DBA562FE-9BE1-4D99-B41E-9E56D35F26A8}"/>
    <cellStyle name="Comma 10 2 3 2 4" xfId="28610" xr:uid="{35C489F4-22D2-407C-B5BF-F853F4F9D7A3}"/>
    <cellStyle name="Comma 10 2 3 2 5" xfId="27160" xr:uid="{74CEBE64-5A54-4301-858A-2278E6D1CEE1}"/>
    <cellStyle name="Comma 10 2 3 2 6" xfId="15334" xr:uid="{59487802-4CB8-4A0C-A2FD-39623F13DE8E}"/>
    <cellStyle name="Comma 10 2 3 3" xfId="3641" xr:uid="{00000000-0005-0000-0000-0000BB010000}"/>
    <cellStyle name="Comma 10 2 3 4" xfId="5535" xr:uid="{2DF98002-6EFF-4F85-A30A-8AA3CBFF876D}"/>
    <cellStyle name="Comma 10 2 3 4 2" xfId="29749" xr:uid="{CF5D2640-E526-43E0-BA56-AD4FA4FBFC5A}"/>
    <cellStyle name="Comma 10 2 3 5" xfId="23967" xr:uid="{872D2A5E-2248-4DBD-A4C8-F9817C8FE0C9}"/>
    <cellStyle name="Comma 10 2 3 5 2" xfId="29840" xr:uid="{53EBA3A0-8A8E-41BA-BEEA-5C5EFEDBB1D3}"/>
    <cellStyle name="Comma 10 2 3 6" xfId="25642" xr:uid="{37760901-87CF-4549-AF24-A8609D3586EE}"/>
    <cellStyle name="Comma 10 2 3 7" xfId="13064" xr:uid="{11E1BAD5-65BA-4AE4-965F-56AA1D657AA5}"/>
    <cellStyle name="Comma 10 2 4" xfId="1561" xr:uid="{00000000-0005-0000-0000-0000BC010000}"/>
    <cellStyle name="Comma 10 2 4 2" xfId="4675" xr:uid="{76A30654-04E8-43F3-9BD2-5D61777624B5}"/>
    <cellStyle name="Comma 10 2 4 3" xfId="24996" xr:uid="{BCC21D0C-6164-4C0C-BE9D-19D73485CCD6}"/>
    <cellStyle name="Comma 10 2 4 3 2" xfId="29891" xr:uid="{3C345DA9-232A-4A53-AA10-55EDA166162A}"/>
    <cellStyle name="Comma 10 2 4 4" xfId="24681" xr:uid="{6007113F-9924-4D05-9E4A-D2077AEB8462}"/>
    <cellStyle name="Comma 10 2 4 5" xfId="26743" xr:uid="{77397AB9-4755-44AE-AC6E-A2E289AE7EE8}"/>
    <cellStyle name="Comma 10 2 5" xfId="3811" xr:uid="{A83598A2-AE72-45A7-B601-A55EF01150CB}"/>
    <cellStyle name="Comma 10 2 5 2" xfId="25194" xr:uid="{207B08F6-F371-4D90-A4E2-3906049E9723}"/>
    <cellStyle name="Comma 10 2 5 2 2" xfId="29675" xr:uid="{910931E2-DB10-4C31-A77B-FB04EFA1DED8}"/>
    <cellStyle name="Comma 10 2 5 2 2 2" xfId="31157" xr:uid="{21B53B7A-B52F-4990-BABE-5580191787F7}"/>
    <cellStyle name="Comma 10 2 5 2 3" xfId="30640" xr:uid="{7EC80DBB-6F40-40B4-9324-B9E60C405E46}"/>
    <cellStyle name="Comma 10 2 5 3" xfId="25744" xr:uid="{0CB8BCFE-C336-455F-AB49-F3C7B1BC9CDD}"/>
    <cellStyle name="Comma 10 2 5 4" xfId="26726" xr:uid="{E10D12CB-9FC4-43DF-9506-CC26BADEEDA0}"/>
    <cellStyle name="Comma 10 2 6" xfId="22924" xr:uid="{6875A78D-7D82-435D-82A6-AE342806D5C5}"/>
    <cellStyle name="Comma 10 2 6 2" xfId="29717" xr:uid="{75234A64-AAA0-42BA-A9EA-3C0DB2735BB4}"/>
    <cellStyle name="Comma 10 2 7" xfId="28538" xr:uid="{DC7A2659-338F-45FE-B0DB-9DBBE3311BDD}"/>
    <cellStyle name="Comma 10 2 7 2" xfId="29672" xr:uid="{C346A8C2-3DB3-42DB-A377-6D31684099AA}"/>
    <cellStyle name="Comma 10 2 7 2 2" xfId="31209" xr:uid="{3241FD88-2E3A-4A7F-91A8-62B6F4940F71}"/>
    <cellStyle name="Comma 10 2 8" xfId="29838" xr:uid="{40B22064-AAF7-4863-8F25-65D531C30E59}"/>
    <cellStyle name="Comma 10 2 9" xfId="29983" xr:uid="{E9094487-74F6-4A84-A11B-7F3935258FB1}"/>
    <cellStyle name="Comma 10 3" xfId="443" xr:uid="{00000000-0005-0000-0000-0000BD010000}"/>
    <cellStyle name="Comma 10 3 2" xfId="1564" xr:uid="{00000000-0005-0000-0000-0000BE010000}"/>
    <cellStyle name="Comma 10 3 2 2" xfId="2662" xr:uid="{00000000-0005-0000-0000-000079010000}"/>
    <cellStyle name="Comma 10 3 2 2 2" xfId="26600" xr:uid="{8D6FBC3B-4AE4-4914-9366-0DFD7FECC23F}"/>
    <cellStyle name="Comma 10 3 2 2 3" xfId="26096" xr:uid="{327F2421-D34A-4BF2-8FAF-3BEE61ADE475}"/>
    <cellStyle name="Comma 10 3 2 3" xfId="2056" xr:uid="{00000000-0005-0000-0000-0000BE010000}"/>
    <cellStyle name="Comma 10 3 2 4" xfId="23889" xr:uid="{AAA2E3EE-1A35-4B5E-8F80-42D80BD38AF3}"/>
    <cellStyle name="Comma 10 3 3" xfId="3710" xr:uid="{00000000-0005-0000-0000-0000BD010000}"/>
    <cellStyle name="Comma 10 3 3 2" xfId="8613" xr:uid="{2A78C46A-E05F-438C-BA51-FBD76F44447E}"/>
    <cellStyle name="Comma 10 3 3 2 2" xfId="18993" xr:uid="{010FD0E0-CF72-419E-8CF2-96500DC79564}"/>
    <cellStyle name="Comma 10 3 3 3" xfId="11446" xr:uid="{63F0ACF9-6F3B-49A6-8C71-695A93F58B79}"/>
    <cellStyle name="Comma 10 3 3 3 2" xfId="21826" xr:uid="{784215F6-1FD0-4B50-B45F-E127D94D8A4B}"/>
    <cellStyle name="Comma 10 3 3 4" xfId="28012" xr:uid="{2DC75837-1CB4-452D-A541-699F806A60CA}"/>
    <cellStyle name="Comma 10 3 3 5" xfId="26711" xr:uid="{7ED3D6DD-A23C-49A8-BB74-986A9754EE9B}"/>
    <cellStyle name="Comma 10 3 3 6" xfId="16160" xr:uid="{36F2651F-7F03-4479-9E44-CF2351D6B5C7}"/>
    <cellStyle name="Comma 10 3 4" xfId="3807" xr:uid="{EAE0A1BB-398B-4B0E-97CB-A6B937EE0D30}"/>
    <cellStyle name="Comma 10 3 4 2" xfId="8643" xr:uid="{B77E9739-E0B6-4CB6-A8E3-908742B6A29E}"/>
    <cellStyle name="Comma 10 3 4 2 2" xfId="19023" xr:uid="{EA9B0E7B-2A96-4591-9E19-673D8E0FF155}"/>
    <cellStyle name="Comma 10 3 4 2 3" xfId="31002" xr:uid="{E590BC16-15EE-4924-8848-778D3E4A89CE}"/>
    <cellStyle name="Comma 10 3 4 2 4" xfId="30642" xr:uid="{4DFC3DE0-3B6C-4F74-9DAC-4286A1C1DC94}"/>
    <cellStyle name="Comma 10 3 4 3" xfId="11476" xr:uid="{DD48EF75-8BB0-47E0-81A4-D35EC994FA2A}"/>
    <cellStyle name="Comma 10 3 4 3 2" xfId="21856" xr:uid="{B57C2FB3-340F-48A5-A7EF-B586DF7D40CF}"/>
    <cellStyle name="Comma 10 3 4 4" xfId="27990" xr:uid="{7D85175A-C573-446F-ACB0-0B75D0B2CB77}"/>
    <cellStyle name="Comma 10 3 4 5" xfId="26389" xr:uid="{A7958FA7-1C14-404A-B491-C01E167E4EDE}"/>
    <cellStyle name="Comma 10 3 4 6" xfId="16190" xr:uid="{A48C4FDC-3452-4999-A7E2-7585CD56C584}"/>
    <cellStyle name="Comma 10 3 5" xfId="4849" xr:uid="{A822458D-70D9-4B97-A615-B507EC140565}"/>
    <cellStyle name="Comma 10 3 5 2" xfId="14137" xr:uid="{73B791F9-DE67-4FFD-8BCD-ED93836E3ECA}"/>
    <cellStyle name="Comma 10 3 6" xfId="6590" xr:uid="{71392CA9-A50D-40B1-8EC0-5A00FF867C5C}"/>
    <cellStyle name="Comma 10 3 6 2" xfId="16970" xr:uid="{A3E61896-2352-411B-81DF-5E56AC748DE4}"/>
    <cellStyle name="Comma 10 3 7" xfId="9423" xr:uid="{9C025ABB-A3AD-49D7-B597-25A86D774F06}"/>
    <cellStyle name="Comma 10 3 7 2" xfId="19803" xr:uid="{45E9E58C-247D-4648-BCB9-2A448034C4E9}"/>
    <cellStyle name="Comma 10 3 8" xfId="26872" xr:uid="{DF5E808F-39A0-46CE-975A-3BD5A16775B2}"/>
    <cellStyle name="Comma 10 4" xfId="1565" xr:uid="{00000000-0005-0000-0000-0000BF010000}"/>
    <cellStyle name="Comma 10 4 2" xfId="3009" xr:uid="{00000000-0005-0000-0000-00007A010000}"/>
    <cellStyle name="Comma 10 4 2 2" xfId="8089" xr:uid="{6B599C17-3F10-44EB-ACDF-6655006877DD}"/>
    <cellStyle name="Comma 10 4 2 2 2" xfId="28776" xr:uid="{18929A66-F6E2-4BC7-8032-BFA3FDC7C4E0}"/>
    <cellStyle name="Comma 10 4 2 2 2 2" xfId="31214" xr:uid="{C5898CD3-95E5-4E55-97B3-E7DFF2EDE9B8}"/>
    <cellStyle name="Comma 10 4 2 2 2 3" xfId="30644" xr:uid="{15F7C382-4917-4D01-9DFB-DA9009983639}"/>
    <cellStyle name="Comma 10 4 2 2 3" xfId="27978" xr:uid="{EFE62449-1A0E-4B62-8359-06E7D869BAD5}"/>
    <cellStyle name="Comma 10 4 2 2 4" xfId="18469" xr:uid="{25D77FA2-7C98-4FC0-A588-80542FA22A9C}"/>
    <cellStyle name="Comma 10 4 2 3" xfId="10922" xr:uid="{3FF7D1D0-68C6-450B-8AEA-D136634A982B}"/>
    <cellStyle name="Comma 10 4 2 3 2" xfId="21302" xr:uid="{74F8CD23-12B9-4D52-9DD7-0188402C3A27}"/>
    <cellStyle name="Comma 10 4 2 4" xfId="23349" xr:uid="{0701B39B-16D4-4865-88AD-B061959F9C6E}"/>
    <cellStyle name="Comma 10 4 2 5" xfId="15636" xr:uid="{E41A848A-7876-4931-BCCB-1E3B4ADCEA7E}"/>
    <cellStyle name="Comma 10 4 3" xfId="3562" xr:uid="{00000000-0005-0000-0000-0000BF010000}"/>
    <cellStyle name="Comma 10 4 4" xfId="4391" xr:uid="{7996377A-9016-4AC6-B865-6A69B11B069A}"/>
    <cellStyle name="Comma 10 4 4 2" xfId="9163" xr:uid="{6CB582D5-41FF-4944-A280-0C4FE6078316}"/>
    <cellStyle name="Comma 10 4 4 2 2" xfId="19543" xr:uid="{27CC5494-322D-423C-BB28-E0A60C6110ED}"/>
    <cellStyle name="Comma 10 4 4 2 3" xfId="31057" xr:uid="{5579DD09-2BFB-4FE1-912C-2BC187101C35}"/>
    <cellStyle name="Comma 10 4 4 2 4" xfId="30643" xr:uid="{18A4DFC5-33A3-47FD-833B-2AE056D5805F}"/>
    <cellStyle name="Comma 10 4 4 3" xfId="11996" xr:uid="{09335994-8589-48E4-BFD4-26A50FF5AEA9}"/>
    <cellStyle name="Comma 10 4 4 3 2" xfId="22376" xr:uid="{4E488CB3-397C-426B-8403-440D39849D2B}"/>
    <cellStyle name="Comma 10 4 4 4" xfId="16710" xr:uid="{EA03CA2C-0671-499D-9482-3DE8228D1A5C}"/>
    <cellStyle name="Comma 10 4 5" xfId="5536" xr:uid="{1D2D61F4-F238-4E1D-88C6-0799050F2FDF}"/>
    <cellStyle name="Comma 10 4 5 2" xfId="29930" xr:uid="{2A9D8251-9F42-44B6-AE30-1987BF1D4A0C}"/>
    <cellStyle name="Comma 10 4 5 2 2" xfId="30955" xr:uid="{E9011422-05E3-4560-AAC8-5B0377BA6E5B}"/>
    <cellStyle name="Comma 10 4 6" xfId="23440" xr:uid="{1F415D9E-3343-4E70-B374-BF0C57340358}"/>
    <cellStyle name="Comma 10 4 7" xfId="13512" xr:uid="{93743F2C-543A-4E49-962E-7031F9E8B708}"/>
    <cellStyle name="Comma 10 5" xfId="1560" xr:uid="{00000000-0005-0000-0000-0000C0010000}"/>
    <cellStyle name="Comma 10 5 2" xfId="2653" xr:uid="{00000000-0005-0000-0000-00007B010000}"/>
    <cellStyle name="Comma 10 5 2 2" xfId="7778" xr:uid="{3DDBC7BE-A901-4188-A6BB-7D69CE764B7E}"/>
    <cellStyle name="Comma 10 5 2 2 2" xfId="18158" xr:uid="{3ED9956B-D763-45F4-8810-5149FC019E26}"/>
    <cellStyle name="Comma 10 5 2 3" xfId="10611" xr:uid="{26CDDB55-8FA7-4025-BB81-275208F0AB70}"/>
    <cellStyle name="Comma 10 5 2 3 2" xfId="20991" xr:uid="{1E7F1251-82E9-4624-8768-E0561EC9A6DC}"/>
    <cellStyle name="Comma 10 5 2 4" xfId="26074" xr:uid="{6532C758-C682-48C3-80A1-115C9B6CE70D}"/>
    <cellStyle name="Comma 10 5 2 5" xfId="26036" xr:uid="{851D1FE5-262F-47BB-AD32-6D95B7DB359F}"/>
    <cellStyle name="Comma 10 5 2 6" xfId="15325" xr:uid="{FCD4C034-6120-4AD9-ACB0-C0939607C6F5}"/>
    <cellStyle name="Comma 10 5 3" xfId="3591" xr:uid="{00000000-0005-0000-0000-0000C0010000}"/>
    <cellStyle name="Comma 10 5 4" xfId="5534" xr:uid="{3F9AD292-BB2B-40F9-81C9-C3017D3D9A9A}"/>
    <cellStyle name="Comma 10 5 4 2" xfId="29888" xr:uid="{6D06C6E3-D0AD-422D-A9DE-E301F61D463B}"/>
    <cellStyle name="Comma 10 5 5" xfId="23510" xr:uid="{F5391CC6-5F30-4E97-9853-0F67AF53CB19}"/>
    <cellStyle name="Comma 10 5 6" xfId="13055" xr:uid="{1711E3F4-ACE1-48FA-B5A8-3DBD139B8694}"/>
    <cellStyle name="Comma 10 6" xfId="2258" xr:uid="{00000000-0005-0000-0000-000075010000}"/>
    <cellStyle name="Comma 10 6 2" xfId="7385" xr:uid="{15130742-8A67-4621-8C40-0F3D4163C394}"/>
    <cellStyle name="Comma 10 6 2 2" xfId="26687" xr:uid="{79E726A4-9DA0-4DB0-B8E9-51BBC7EE02CC}"/>
    <cellStyle name="Comma 10 6 2 3" xfId="27825" xr:uid="{6FB07B07-2819-4851-9DF7-BD0DC7F568D1}"/>
    <cellStyle name="Comma 10 6 2 4" xfId="17765" xr:uid="{BB4334E2-C445-431B-8CDB-15B1B429D13F}"/>
    <cellStyle name="Comma 10 6 3" xfId="10218" xr:uid="{409859B8-66F3-45FA-80D9-F842B6ED1FC4}"/>
    <cellStyle name="Comma 10 6 3 2" xfId="20598" xr:uid="{CA42B181-1791-4D7F-BF63-367EF25451CB}"/>
    <cellStyle name="Comma 10 6 4" xfId="24019" xr:uid="{0581061B-923C-4723-8DC5-744752E54B59}"/>
    <cellStyle name="Comma 10 6 5" xfId="14932" xr:uid="{21E70192-B4A2-4CBD-B626-EC891C8A1715}"/>
    <cellStyle name="Comma 10 6 6" xfId="31267" xr:uid="{A4D5031B-2004-4538-BF8C-B4A048DF0DB4}"/>
    <cellStyle name="Comma 10 7" xfId="24295" xr:uid="{344DCAF3-DA96-45E3-9F88-C607554C61E4}"/>
    <cellStyle name="Comma 10 7 2" xfId="27814" xr:uid="{1067AA7F-8FEA-4C90-923A-936739E57666}"/>
    <cellStyle name="Comma 10 7 3" xfId="31152" xr:uid="{C5496218-A9DD-47F3-8C2E-81E3ADC8FD5D}"/>
    <cellStyle name="Comma 10 8" xfId="28005" xr:uid="{E7712595-FDE1-4527-8110-F08C9BD2B4D5}"/>
    <cellStyle name="Comma 10 9" xfId="26457" xr:uid="{34BF2C5E-A5C7-4A84-AB73-BFB00FFDC39F}"/>
    <cellStyle name="Comma 10 9 2" xfId="30398" xr:uid="{36D04115-A232-4017-8499-A0543DF30744}"/>
    <cellStyle name="Comma 11" xfId="444" xr:uid="{00000000-0005-0000-0000-0000C1010000}"/>
    <cellStyle name="Comma 11 10" xfId="13063" xr:uid="{8E0C7017-8DEA-40FD-985D-56991F403A78}"/>
    <cellStyle name="Comma 11 2" xfId="1567" xr:uid="{00000000-0005-0000-0000-0000C2010000}"/>
    <cellStyle name="Comma 11 2 2" xfId="3010" xr:uid="{00000000-0005-0000-0000-00007D010000}"/>
    <cellStyle name="Comma 11 2 2 2" xfId="8090" xr:uid="{5E38C6F0-92BC-4BB2-8A3E-EF11FEAFB91D}"/>
    <cellStyle name="Comma 11 2 2 2 2" xfId="18470" xr:uid="{FE827749-6B5E-41A8-9133-64CB55FDF8C5}"/>
    <cellStyle name="Comma 11 2 2 3" xfId="10923" xr:uid="{9525CB18-BD40-411F-A372-A378C8366764}"/>
    <cellStyle name="Comma 11 2 2 3 2" xfId="21303" xr:uid="{F204682C-033C-4E07-8752-E0A3AEBC9438}"/>
    <cellStyle name="Comma 11 2 2 4" xfId="23813" xr:uid="{6A8EB896-DA9B-42D5-92D6-733F06FBEA09}"/>
    <cellStyle name="Comma 11 2 2 4 2" xfId="30079" xr:uid="{1277A8FD-6083-436E-99F1-F49C951033A8}"/>
    <cellStyle name="Comma 11 2 2 5" xfId="27885" xr:uid="{B1387E97-B750-4462-BB42-E88FFD7D461E}"/>
    <cellStyle name="Comma 11 2 2 6" xfId="15637" xr:uid="{E2FD8341-04B0-40C5-A8B9-54B1723D69C1}"/>
    <cellStyle name="Comma 11 2 3" xfId="3634" xr:uid="{00000000-0005-0000-0000-0000C2010000}"/>
    <cellStyle name="Comma 11 2 3 2" xfId="27537" xr:uid="{9BF0D002-54D6-4672-940C-F391892866FB}"/>
    <cellStyle name="Comma 11 2 3 3" xfId="26789" xr:uid="{A21B1388-6E7D-4F54-BDEC-8951FFA22EF9}"/>
    <cellStyle name="Comma 11 2 4" xfId="5537" xr:uid="{85BC976A-D6DF-449B-8068-72E3AB781163}"/>
    <cellStyle name="Comma 11 2 4 2" xfId="29773" xr:uid="{687E3D0F-93F6-41FC-A263-BC359B09D7DC}"/>
    <cellStyle name="Comma 11 2 5" xfId="22658" xr:uid="{DF261529-5CBF-48FF-B11A-E4B73E8CE065}"/>
    <cellStyle name="Comma 11 2 5 2" xfId="27551" xr:uid="{19A3B2B9-8360-426E-920F-84472F4A25EE}"/>
    <cellStyle name="Comma 11 2 6" xfId="26591" xr:uid="{3DB6BBCB-30C4-456B-A531-F9B69381489D}"/>
    <cellStyle name="Comma 11 2 7" xfId="13513" xr:uid="{DFAE0D5A-3432-47A7-A8E2-7C9EDC2E8E11}"/>
    <cellStyle name="Comma 11 3" xfId="1568" xr:uid="{00000000-0005-0000-0000-0000C3010000}"/>
    <cellStyle name="Comma 11 3 2" xfId="2661" xr:uid="{00000000-0005-0000-0000-00007C010000}"/>
    <cellStyle name="Comma 11 3 2 2" xfId="7786" xr:uid="{B14EA288-52E0-47EB-9BA0-0823C2B83AE7}"/>
    <cellStyle name="Comma 11 3 2 2 2" xfId="18166" xr:uid="{0560D247-EB78-4545-81F1-4CAC6A923728}"/>
    <cellStyle name="Comma 11 3 2 3" xfId="10619" xr:uid="{8C430740-2DF2-47C0-ACE1-E0BCCC781C97}"/>
    <cellStyle name="Comma 11 3 2 3 2" xfId="20999" xr:uid="{391174CF-9412-4F8D-83DA-B4AE726E63DD}"/>
    <cellStyle name="Comma 11 3 2 4" xfId="15333" xr:uid="{C7E7A183-9066-4D98-BC1A-4F0C03C272B4}"/>
    <cellStyle name="Comma 11 3 2 5" xfId="30422" xr:uid="{9C10034A-DB87-4E31-9765-1BF6E5A23CE8}"/>
    <cellStyle name="Comma 11 3 3" xfId="3625" xr:uid="{00000000-0005-0000-0000-0000C3010000}"/>
    <cellStyle name="Comma 11 3 4" xfId="24017" xr:uid="{14E1B29C-AAA1-44F5-AD07-8E4FC697E6A9}"/>
    <cellStyle name="Comma 11 3 4 2" xfId="29748" xr:uid="{0055F465-A603-4D53-9DBD-2C902049CB61}"/>
    <cellStyle name="Comma 11 3 5" xfId="29890" xr:uid="{CCF74651-5B1C-4DDE-B115-CAD74F391071}"/>
    <cellStyle name="Comma 11 3 6" xfId="30008" xr:uid="{30856FF1-EAAD-4839-AAFB-735735686948}"/>
    <cellStyle name="Comma 11 4" xfId="1566" xr:uid="{00000000-0005-0000-0000-0000C4010000}"/>
    <cellStyle name="Comma 11 4 2" xfId="25795" xr:uid="{0F4819E6-8400-47DB-97BA-E4B83CC33474}"/>
    <cellStyle name="Comma 11 4 3" xfId="25826" xr:uid="{DEC04C91-C7FF-4AB4-AC6A-E34F8FE67955}"/>
    <cellStyle name="Comma 11 5" xfId="3857" xr:uid="{7F0E7226-DA02-4733-8EBF-63018CAE8A3E}"/>
    <cellStyle name="Comma 11 5 2" xfId="8689" xr:uid="{5F3D2954-FB8A-439F-9177-4FD20B4F2B0A}"/>
    <cellStyle name="Comma 11 5 2 2" xfId="28962" xr:uid="{4C38B510-AA8A-403A-83C8-5A36A526E45D}"/>
    <cellStyle name="Comma 11 5 2 3" xfId="26833" xr:uid="{3CC9D476-57D4-4B26-AE9D-90E08D6CEE9E}"/>
    <cellStyle name="Comma 11 5 2 4" xfId="19069" xr:uid="{0AAF2DCD-0D2C-4985-8C76-77EFB4A5B856}"/>
    <cellStyle name="Comma 11 5 2 5" xfId="31004" xr:uid="{E7EFB901-FFE8-4FD5-A500-07B63BEEACD2}"/>
    <cellStyle name="Comma 11 5 3" xfId="11522" xr:uid="{47F4E3D0-6E38-41CF-9E68-F0F1D2FCCC94}"/>
    <cellStyle name="Comma 11 5 3 2" xfId="21902" xr:uid="{2979FF1F-472C-4BE4-BBDB-9AE771FC2A2C}"/>
    <cellStyle name="Comma 11 5 4" xfId="25594" xr:uid="{8D907E07-DE0C-4EDB-A0C7-6D9DE2F35032}"/>
    <cellStyle name="Comma 11 5 5" xfId="16236" xr:uid="{58573940-3348-4AB4-BBD9-129E6CEA779B}"/>
    <cellStyle name="Comma 11 6" xfId="4850" xr:uid="{30A0D8D8-AAC0-467E-9791-B3C455F4C1A4}"/>
    <cellStyle name="Comma 11 6 2" xfId="28273" xr:uid="{6562DD5C-4E16-4F3E-BC7C-66B493874D9A}"/>
    <cellStyle name="Comma 11 6 3" xfId="26929" xr:uid="{D855C903-C8BC-4A7D-9D46-3B23F79B168B}"/>
    <cellStyle name="Comma 11 6 4" xfId="14138" xr:uid="{5A976A06-FC93-43F2-8D4C-DDDEFB6F70A4}"/>
    <cellStyle name="Comma 11 7" xfId="6591" xr:uid="{08C67E51-6066-46B6-8950-5C0747CE3E4F}"/>
    <cellStyle name="Comma 11 7 2" xfId="28655" xr:uid="{307FD33C-7482-47CA-958F-8E6E6255834A}"/>
    <cellStyle name="Comma 11 7 3" xfId="26370" xr:uid="{22241822-40B9-4C5F-BAA0-B4CEAA37248D}"/>
    <cellStyle name="Comma 11 7 4" xfId="16971" xr:uid="{6B3ADD83-2086-461E-A828-27C6E15B426B}"/>
    <cellStyle name="Comma 11 8" xfId="9424" xr:uid="{5BB44A02-409B-4D3D-9AF2-34F5E446AAE9}"/>
    <cellStyle name="Comma 11 8 2" xfId="19804" xr:uid="{8B3A9F9A-552F-4463-A641-D012EF865F7E}"/>
    <cellStyle name="Comma 11 9" xfId="23916" xr:uid="{E9B33E42-C20B-4F5B-97F7-8246E8E5F0E7}"/>
    <cellStyle name="Comma 12" xfId="1569" xr:uid="{00000000-0005-0000-0000-0000C5010000}"/>
    <cellStyle name="Comma 12 2" xfId="2428" xr:uid="{00000000-0005-0000-0000-00007E010000}"/>
    <cellStyle name="Comma 12 2 2" xfId="28671" xr:uid="{A187235A-CD3F-4FC3-B4B6-59B86A837F9C}"/>
    <cellStyle name="Comma 12 2 2 2" xfId="29787" xr:uid="{62F9D09B-9FF7-422B-A32D-3D37D1704DEF}"/>
    <cellStyle name="Comma 12 2 2 2 2" xfId="30646" xr:uid="{BACC46BC-C29D-4BF8-8F5B-BCC14C871348}"/>
    <cellStyle name="Comma 12 2 3" xfId="29656" xr:uid="{B47812A9-F555-454A-8F3F-946EFB179A34}"/>
    <cellStyle name="Comma 12 2 4" xfId="30096" xr:uid="{F83BC86D-1566-4D14-ACFD-F33C31141344}"/>
    <cellStyle name="Comma 12 3" xfId="3626" xr:uid="{00000000-0005-0000-0000-0000C5010000}"/>
    <cellStyle name="Comma 12 3 2" xfId="29788" xr:uid="{33AA548C-D797-4568-9126-E3D501F4FDC8}"/>
    <cellStyle name="Comma 12 3 3" xfId="29658" xr:uid="{11D32195-315E-49FB-ABE2-A5A93DFF4A4E}"/>
    <cellStyle name="Comma 12 4" xfId="5538" xr:uid="{A85C391B-D1F2-4216-9318-8F0D3F6AE60C}"/>
    <cellStyle name="Comma 12 4 2" xfId="29742" xr:uid="{8C58184A-BAEB-4E53-8424-41182C888A46}"/>
    <cellStyle name="Comma 12 4 2 2" xfId="30645" xr:uid="{EDF49783-1110-4297-BDA9-D7B8F2510818}"/>
    <cellStyle name="Comma 12 4 3" xfId="30561" xr:uid="{BD86C246-5046-425B-9AA5-444941F4BC54}"/>
    <cellStyle name="Comma 12 5" xfId="23517" xr:uid="{07A7475F-DD9D-4311-BCE3-CDFB929ABEC3}"/>
    <cellStyle name="Comma 12 5 2" xfId="24228" xr:uid="{737B9A1D-50A5-487A-9FD7-3644CCD4DE49}"/>
    <cellStyle name="Comma 12 6" xfId="29839" xr:uid="{6E14ACA3-AD72-4CFF-AC57-1A7106AAB474}"/>
    <cellStyle name="Comma 12 7" xfId="29984" xr:uid="{7B26457B-B100-45C9-AEF8-717D44DFD419}"/>
    <cellStyle name="Comma 12 8" xfId="29657" xr:uid="{018DB76F-8040-473C-9051-83E285BBCC78}"/>
    <cellStyle name="Comma 13" xfId="4847" xr:uid="{98FB8AE3-8A74-4A04-B00D-D9411690E8F8}"/>
    <cellStyle name="Comma 13 2" xfId="23769" xr:uid="{8137F544-9DC0-4A1D-A743-03E39E4E26C7}"/>
    <cellStyle name="Comma 13 3" xfId="27979" xr:uid="{280881A1-6BC3-460B-B930-F17C044447D4}"/>
    <cellStyle name="Comma 13 3 2" xfId="29987" xr:uid="{450A7152-C174-465E-A145-7A65D7CDF750}"/>
    <cellStyle name="Comma 13 4" xfId="14135" xr:uid="{B486616B-8B26-4DA6-8C53-0516518C48A3}"/>
    <cellStyle name="Comma 13 5" xfId="29615" xr:uid="{5F5E5C0E-EC18-477B-9B73-CD31B3561E61}"/>
    <cellStyle name="Comma 13 6" xfId="29590" xr:uid="{FB89F83E-E37C-4FFC-BA48-F04575448186}"/>
    <cellStyle name="Comma 13 6 2" xfId="30105" xr:uid="{74667268-208E-4EAB-8D25-919982D3AA46}"/>
    <cellStyle name="Comma 13 7" xfId="31694" xr:uid="{2B7125CE-691E-46A9-A75B-A95548906904}"/>
    <cellStyle name="Comma 14" xfId="6588" xr:uid="{086E4094-57BE-4FBE-A027-7BD0633E7C70}"/>
    <cellStyle name="Comma 14 2" xfId="16968" xr:uid="{1C47D78A-B6CF-4848-A816-4A799DD1F553}"/>
    <cellStyle name="Comma 15" xfId="9421" xr:uid="{A0D8A4E9-D361-4A4A-8D75-1F990BAA461F}"/>
    <cellStyle name="Comma 15 2" xfId="19801" xr:uid="{FFB068F8-D4CF-4B27-B252-D1FE2AC55C26}"/>
    <cellStyle name="Comma 16" xfId="12385" xr:uid="{2F36D744-A70D-4E96-A859-6F4569883850}"/>
    <cellStyle name="Comma 17" xfId="30100" xr:uid="{30B0F030-09BF-4437-91FA-9ED25A3FEA9F}"/>
    <cellStyle name="Comma 2" xfId="445" xr:uid="{00000000-0005-0000-0000-0000C6010000}"/>
    <cellStyle name="Comma 2 2" xfId="446" xr:uid="{00000000-0005-0000-0000-0000C7010000}"/>
    <cellStyle name="Comma 2 3" xfId="29539" xr:uid="{FF87FE22-8FF9-4CB2-B9A9-1CAE3BE8240A}"/>
    <cellStyle name="Comma 2 3 2" xfId="29627" xr:uid="{2FF2A936-0949-457A-B26A-E82D4DE91561}"/>
    <cellStyle name="Comma 2 3 3" xfId="29593" xr:uid="{9BDAE080-E5CC-418E-BF83-F4564BF71D85}"/>
    <cellStyle name="Comma 2 4" xfId="29540" xr:uid="{0E168A37-ECE3-4667-8B8B-59B3E1739C89}"/>
    <cellStyle name="Comma 2 5" xfId="29538" xr:uid="{9ACEBE5C-D959-4C0C-A362-D59AF18CF135}"/>
    <cellStyle name="Comma 3" xfId="447" xr:uid="{00000000-0005-0000-0000-0000C8010000}"/>
    <cellStyle name="Comma 3 2" xfId="448" xr:uid="{00000000-0005-0000-0000-0000C9010000}"/>
    <cellStyle name="Comma 3 2 2" xfId="29543" xr:uid="{84078DAF-EDCF-43CD-A64E-B780C7ADCCE3}"/>
    <cellStyle name="Comma 3 2 3" xfId="29542" xr:uid="{DDC3946A-F2B9-4B36-9F41-40F85EB2CBF2}"/>
    <cellStyle name="Comma 3 3" xfId="29544" xr:uid="{726CE31D-47C0-45A4-96F4-B60799298749}"/>
    <cellStyle name="Comma 3 3 2" xfId="29545" xr:uid="{C47C2F46-260D-4FDA-B2BD-10D1DFFEADB2}"/>
    <cellStyle name="Comma 3 3 3" xfId="29628" xr:uid="{CD3D052F-7127-4DEA-B161-3FEA76DFD702}"/>
    <cellStyle name="Comma 3 3 4" xfId="29594" xr:uid="{FABAFEB5-8032-4CAD-A462-DBE7A0863887}"/>
    <cellStyle name="Comma 3 4" xfId="29546" xr:uid="{EDEB217D-7C84-460A-8AD2-0CDC04253245}"/>
    <cellStyle name="Comma 3 5" xfId="29541" xr:uid="{B6A315B6-6A4C-4F1E-B295-BC34428F9581}"/>
    <cellStyle name="Comma 4" xfId="449" xr:uid="{00000000-0005-0000-0000-0000CA010000}"/>
    <cellStyle name="Comma 4 2" xfId="450" xr:uid="{00000000-0005-0000-0000-0000CB010000}"/>
    <cellStyle name="Comma 4 2 2" xfId="1571" xr:uid="{00000000-0005-0000-0000-0000CC010000}"/>
    <cellStyle name="Comma 4 2 2 2" xfId="25800" xr:uid="{6C936276-319B-4783-84AB-EFE78A676F45}"/>
    <cellStyle name="Comma 4 2 2 2 2" xfId="29827" xr:uid="{DE635B18-0487-4AE6-BFE3-D3C44E388539}"/>
    <cellStyle name="Comma 4 2 2 3" xfId="23122" xr:uid="{ECBCBC83-1276-4F3B-90ED-6EB6B5E3BEE4}"/>
    <cellStyle name="Comma 4 2 3" xfId="1572" xr:uid="{00000000-0005-0000-0000-0000CD010000}"/>
    <cellStyle name="Comma 4 2 3 2" xfId="31306" xr:uid="{49A9EC71-F7ED-4673-8683-2A4474D511C9}"/>
    <cellStyle name="Comma 4 2 3 3" xfId="31259" xr:uid="{23FD20D2-6052-4A6D-AD0A-35FA86F58AFB}"/>
    <cellStyle name="Comma 4 2 4" xfId="1570" xr:uid="{00000000-0005-0000-0000-0000CE010000}"/>
    <cellStyle name="Comma 4 2 5" xfId="30400" xr:uid="{5DA86F6A-D3C0-4A5F-9842-2E156ABF6968}"/>
    <cellStyle name="Comma 4 2 5 2" xfId="30423" xr:uid="{9B6E160E-E0CE-4CCE-BEB0-650117FAFF0C}"/>
    <cellStyle name="Comma 4 3" xfId="451" xr:uid="{00000000-0005-0000-0000-0000CF010000}"/>
    <cellStyle name="Comma 4 4" xfId="452" xr:uid="{00000000-0005-0000-0000-0000D0010000}"/>
    <cellStyle name="Comma 4 4 10" xfId="28449" xr:uid="{A9DC37B0-8CFA-4310-AAFD-BCD159EA3EDD}"/>
    <cellStyle name="Comma 4 4 11" xfId="14139" xr:uid="{8250F2EE-509B-49F5-8FBF-2BD44CC06118}"/>
    <cellStyle name="Comma 4 4 2" xfId="453" xr:uid="{00000000-0005-0000-0000-0000D1010000}"/>
    <cellStyle name="Comma 4 4 2 2" xfId="1575" xr:uid="{00000000-0005-0000-0000-0000D2010000}"/>
    <cellStyle name="Comma 4 4 2 3" xfId="1576" xr:uid="{00000000-0005-0000-0000-0000D3010000}"/>
    <cellStyle name="Comma 4 4 2 4" xfId="1574" xr:uid="{00000000-0005-0000-0000-0000D4010000}"/>
    <cellStyle name="Comma 4 4 2 5" xfId="6593" xr:uid="{610E9AB1-2307-4BBC-B77C-E877CA94AFC9}"/>
    <cellStyle name="Comma 4 4 2 5 2" xfId="16973" xr:uid="{0E82BE4F-B5B2-4C44-AEA4-E1860FE489C9}"/>
    <cellStyle name="Comma 4 4 2 6" xfId="9426" xr:uid="{C6BC21DB-B339-438F-A7ED-DD39A84D8F20}"/>
    <cellStyle name="Comma 4 4 2 6 2" xfId="19806" xr:uid="{860E20B2-5597-4943-816C-C02653EE99BB}"/>
    <cellStyle name="Comma 4 4 2 7" xfId="23638" xr:uid="{F00C2900-4C79-4650-9AB3-12D69A75DB55}"/>
    <cellStyle name="Comma 4 4 2 8" xfId="14140" xr:uid="{B456A1BF-4F23-4795-94B8-D827D09E4DA1}"/>
    <cellStyle name="Comma 4 4 3" xfId="1577" xr:uid="{00000000-0005-0000-0000-0000D5010000}"/>
    <cellStyle name="Comma 4 4 3 2" xfId="31307" xr:uid="{562EDFC7-98B1-48F5-955F-063537062A1F}"/>
    <cellStyle name="Comma 4 4 3 3" xfId="31270" xr:uid="{16BF9C11-0CAE-4CE6-9869-9C95A116E155}"/>
    <cellStyle name="Comma 4 4 4" xfId="1578" xr:uid="{00000000-0005-0000-0000-0000D6010000}"/>
    <cellStyle name="Comma 4 4 5" xfId="1573" xr:uid="{00000000-0005-0000-0000-0000D7010000}"/>
    <cellStyle name="Comma 4 4 6" xfId="6592" xr:uid="{0A8D3A67-A64F-4F53-AF0B-B594D2086FBC}"/>
    <cellStyle name="Comma 4 4 6 2" xfId="16972" xr:uid="{7B67508C-5F76-4FE1-BF6B-9F15A2B0DB00}"/>
    <cellStyle name="Comma 4 4 6 3" xfId="29822" xr:uid="{74EDB160-7CBA-4494-B188-F170C704F614}"/>
    <cellStyle name="Comma 4 4 7" xfId="9425" xr:uid="{566C6727-3490-4DCA-972B-8B31A47A8CF6}"/>
    <cellStyle name="Comma 4 4 7 2" xfId="19805" xr:uid="{6359102D-085E-4127-BB07-F596F983F298}"/>
    <cellStyle name="Comma 4 4 8" xfId="25495" xr:uid="{6D6D912C-EA9B-4831-9BCB-63F7FB0B1EA0}"/>
    <cellStyle name="Comma 4 4 9" xfId="23347" xr:uid="{088E0EFF-890F-451E-B14F-29F2F5D0498C}"/>
    <cellStyle name="Comma 4 5" xfId="454" xr:uid="{00000000-0005-0000-0000-0000D8010000}"/>
    <cellStyle name="Comma 4 5 2" xfId="1580" xr:uid="{00000000-0005-0000-0000-0000D9010000}"/>
    <cellStyle name="Comma 4 5 3" xfId="1581" xr:uid="{00000000-0005-0000-0000-0000DA010000}"/>
    <cellStyle name="Comma 4 5 4" xfId="1579" xr:uid="{00000000-0005-0000-0000-0000DB010000}"/>
    <cellStyle name="Comma 4 5 5" xfId="6594" xr:uid="{8A35B263-6F7A-49AC-8E7A-20930DCA1217}"/>
    <cellStyle name="Comma 4 5 5 2" xfId="16974" xr:uid="{9E7A9994-646C-4A7E-83E3-D82D76F3A78D}"/>
    <cellStyle name="Comma 4 5 6" xfId="9427" xr:uid="{1531D1A5-9674-41AD-95ED-44F3749628F4}"/>
    <cellStyle name="Comma 4 5 6 2" xfId="19807" xr:uid="{249AEF1A-76CC-48B8-9873-7EEABD898AE0}"/>
    <cellStyle name="Comma 4 5 7" xfId="25515" xr:uid="{0DEAA704-F95C-4E87-9110-9FD463A997C0}"/>
    <cellStyle name="Comma 4 5 8" xfId="14141" xr:uid="{A3A65910-F8AA-4619-B243-F249B19835F3}"/>
    <cellStyle name="Comma 4 6" xfId="1582" xr:uid="{00000000-0005-0000-0000-0000DC010000}"/>
    <cellStyle name="Comma 4 6 2" xfId="31308" xr:uid="{3EE936EE-7448-454D-8369-0075FED3742F}"/>
    <cellStyle name="Comma 4 6 3" xfId="31258" xr:uid="{AFF60B54-71D9-4F5E-95FC-6C8E9DA513F1}"/>
    <cellStyle name="Comma 4 7" xfId="29547" xr:uid="{B78349B5-AC35-4642-873C-F8F50234A6AC}"/>
    <cellStyle name="Comma 4 7 2" xfId="30399" xr:uid="{D7B37039-F76C-4235-9170-2C1DDBE8BEAC}"/>
    <cellStyle name="Comma 5" xfId="455" xr:uid="{00000000-0005-0000-0000-0000DD010000}"/>
    <cellStyle name="Comma 5 10" xfId="456" xr:uid="{00000000-0005-0000-0000-0000DE010000}"/>
    <cellStyle name="Comma 5 10 10" xfId="12503" xr:uid="{A85F005E-B09D-4C3C-B6DC-D559A6ED639C}"/>
    <cellStyle name="Comma 5 10 2" xfId="1584" xr:uid="{00000000-0005-0000-0000-0000DF010000}"/>
    <cellStyle name="Comma 5 10 2 2" xfId="3011" xr:uid="{00000000-0005-0000-0000-000088010000}"/>
    <cellStyle name="Comma 5 10 2 2 2" xfId="8091" xr:uid="{F1C70A20-B2B4-48DD-B456-14BC0DB6DEE9}"/>
    <cellStyle name="Comma 5 10 2 2 2 2" xfId="18471" xr:uid="{D65F5C81-3178-4486-8000-FCF3BEE00980}"/>
    <cellStyle name="Comma 5 10 2 2 2 2 2" xfId="31141" xr:uid="{BC4DE43E-54B6-47AE-8D8D-5E090F90402D}"/>
    <cellStyle name="Comma 5 10 2 2 2 2 3" xfId="30648" xr:uid="{780AA264-0FC4-467A-BD71-C14BFA2B4099}"/>
    <cellStyle name="Comma 5 10 2 2 3" xfId="10924" xr:uid="{B5528361-C365-4949-B220-3DC910C95B2B}"/>
    <cellStyle name="Comma 5 10 2 2 3 2" xfId="21304" xr:uid="{03F24B28-9B30-484A-95F2-76CD18C333A5}"/>
    <cellStyle name="Comma 5 10 2 2 4" xfId="23027" xr:uid="{6ED6C659-6C8B-4E98-AD16-21CAEAAA3990}"/>
    <cellStyle name="Comma 5 10 2 2 4 2" xfId="30078" xr:uid="{5D480D1D-8388-4F62-9CF4-9DBF9FA54D95}"/>
    <cellStyle name="Comma 5 10 2 2 5" xfId="28262" xr:uid="{0E89BC2C-AAC0-4BAF-90DA-612E91064FF9}"/>
    <cellStyle name="Comma 5 10 2 2 6" xfId="15638" xr:uid="{3D955D92-2834-48F1-81DE-3F0910DB23C3}"/>
    <cellStyle name="Comma 5 10 2 3" xfId="3683" xr:uid="{00000000-0005-0000-0000-0000DF010000}"/>
    <cellStyle name="Comma 5 10 2 3 2" xfId="27096" xr:uid="{A08B0E6B-8819-4B03-BF4E-42DDA3B90808}"/>
    <cellStyle name="Comma 5 10 2 3 3" xfId="26278" xr:uid="{D8061839-6EED-4DBC-8891-D026AE25DEC1}"/>
    <cellStyle name="Comma 5 10 2 4" xfId="5539" xr:uid="{6282514B-C4EC-426C-83CA-45A820F60EA8}"/>
    <cellStyle name="Comma 5 10 2 4 2" xfId="29774" xr:uid="{1FDA87F3-3FD6-448E-9F67-39316B95EE76}"/>
    <cellStyle name="Comma 5 10 2 4 2 2" xfId="31493" xr:uid="{1199F9C1-2C32-4C48-9889-51EEF7A981C2}"/>
    <cellStyle name="Comma 5 10 2 5" xfId="23292" xr:uid="{0EAE3213-47AE-4FC6-89F7-5549C8EC9759}"/>
    <cellStyle name="Comma 5 10 2 5 2" xfId="25832" xr:uid="{C3EB4B5C-4375-4089-99BE-C914117611CD}"/>
    <cellStyle name="Comma 5 10 2 6" xfId="26814" xr:uid="{5CB19104-F3F2-4DE7-808E-E41D689C1F77}"/>
    <cellStyle name="Comma 5 10 2 7" xfId="13514" xr:uid="{4AFFE940-20D3-42F6-9C7D-82F9186E7D63}"/>
    <cellStyle name="Comma 5 10 3" xfId="1585" xr:uid="{00000000-0005-0000-0000-0000E0010000}"/>
    <cellStyle name="Comma 5 10 3 2" xfId="2664" xr:uid="{00000000-0005-0000-0000-000089010000}"/>
    <cellStyle name="Comma 5 10 3 2 2" xfId="7788" xr:uid="{D863A7D1-FDB3-4B9D-BAAD-9D7D509DDC5B}"/>
    <cellStyle name="Comma 5 10 3 2 2 2" xfId="18168" xr:uid="{2A823F66-1FDA-4DB6-90BA-52A796C69F02}"/>
    <cellStyle name="Comma 5 10 3 2 2 2 2" xfId="31134" xr:uid="{D66B271E-31C5-428C-ACF2-9245CA7B6F3D}"/>
    <cellStyle name="Comma 5 10 3 2 2 2 3" xfId="30649" xr:uid="{5209E49B-98EE-4AAE-8B20-56D727995719}"/>
    <cellStyle name="Comma 5 10 3 2 3" xfId="10621" xr:uid="{B59C76FD-A4E9-4866-9F1E-6518BC0C5396}"/>
    <cellStyle name="Comma 5 10 3 2 3 2" xfId="21001" xr:uid="{47E7FFC6-63B5-4650-B36B-84C80C2755B8}"/>
    <cellStyle name="Comma 5 10 3 2 4" xfId="15335" xr:uid="{62DDD7AA-A1D8-420F-846E-73F0CBC3D630}"/>
    <cellStyle name="Comma 5 10 3 2 5" xfId="30424" xr:uid="{0D3BEB3D-D227-4EB9-9B37-EBD8C7DD146B}"/>
    <cellStyle name="Comma 5 10 3 3" xfId="3623" xr:uid="{00000000-0005-0000-0000-0000E0010000}"/>
    <cellStyle name="Comma 5 10 3 4" xfId="5540" xr:uid="{2F4176BB-1147-4705-9BF5-3478E814BF1F}"/>
    <cellStyle name="Comma 5 10 3 4 2" xfId="29750" xr:uid="{C0AE8EE6-7BBE-424E-806D-886FC26B0A0A}"/>
    <cellStyle name="Comma 5 10 3 5" xfId="24425" xr:uid="{440A3D29-60C1-4AFD-B777-DEDEC2F90CDC}"/>
    <cellStyle name="Comma 5 10 3 6" xfId="13065" xr:uid="{4A179273-1E94-4440-A91B-D0CE1562A50D}"/>
    <cellStyle name="Comma 5 10 4" xfId="1583" xr:uid="{00000000-0005-0000-0000-0000E1010000}"/>
    <cellStyle name="Comma 5 10 4 2" xfId="2271" xr:uid="{00000000-0005-0000-0000-000087010000}"/>
    <cellStyle name="Comma 5 10 4 2 2" xfId="7398" xr:uid="{2C0DCA8C-6BD6-4848-A250-23AB56676728}"/>
    <cellStyle name="Comma 5 10 4 2 2 2" xfId="17778" xr:uid="{B21D7D75-3244-4F26-B490-5EC2650D1448}"/>
    <cellStyle name="Comma 5 10 4 2 3" xfId="10231" xr:uid="{6B2CC225-FDF3-4BE5-9315-88A728D24FD6}"/>
    <cellStyle name="Comma 5 10 4 2 3 2" xfId="20611" xr:uid="{6E6A4E4B-61FB-458D-A4B9-C9CB4689F4FD}"/>
    <cellStyle name="Comma 5 10 4 2 4" xfId="28324" xr:uid="{7695E883-6177-431C-8532-EA8870BB0990}"/>
    <cellStyle name="Comma 5 10 4 2 5" xfId="28329" xr:uid="{FC723014-751A-4A40-BE67-D3567892532F}"/>
    <cellStyle name="Comma 5 10 4 2 6" xfId="14945" xr:uid="{352031EF-2D57-4537-BD5B-0BDF6743C8E4}"/>
    <cellStyle name="Comma 5 10 4 3" xfId="3577" xr:uid="{00000000-0005-0000-0000-0000E1010000}"/>
    <cellStyle name="Comma 5 10 4 4" xfId="23912" xr:uid="{A0E22693-D6AA-4593-989F-35C45B43184B}"/>
    <cellStyle name="Comma 5 10 5" xfId="3859" xr:uid="{F8C8D734-DCC5-4C88-B842-664E1299CBF0}"/>
    <cellStyle name="Comma 5 10 5 2" xfId="8691" xr:uid="{5E5913C1-036C-42F6-8350-C4BD4BAE9EF4}"/>
    <cellStyle name="Comma 5 10 5 2 2" xfId="28963" xr:uid="{7ED6E5D1-F2F9-47D7-B3B9-B23DAC9DEA56}"/>
    <cellStyle name="Comma 5 10 5 2 2 2" xfId="31241" xr:uid="{A60BA2E9-5E09-4F2A-9DB6-B3FEE45D40DC}"/>
    <cellStyle name="Comma 5 10 5 2 2 3" xfId="30647" xr:uid="{10006A27-5DF4-43B7-AE9F-0CE667495F20}"/>
    <cellStyle name="Comma 5 10 5 2 3" xfId="26070" xr:uid="{0A54DC91-F591-42A2-BA5E-7276541616CC}"/>
    <cellStyle name="Comma 5 10 5 2 4" xfId="19071" xr:uid="{273ED19A-6305-4A08-8B50-05B302DCC7A3}"/>
    <cellStyle name="Comma 5 10 5 3" xfId="11524" xr:uid="{0C78AAE6-034A-4A1B-8A3F-C1AD74B711C7}"/>
    <cellStyle name="Comma 5 10 5 3 2" xfId="21904" xr:uid="{3ACF1F89-59B6-459B-A2BF-64F748857E3F}"/>
    <cellStyle name="Comma 5 10 5 4" xfId="25303" xr:uid="{C0390E66-4C52-4772-BEDB-6D55E1EA2350}"/>
    <cellStyle name="Comma 5 10 5 5" xfId="16238" xr:uid="{7AC3AC5A-1212-49EF-A828-8E7C20DAFED6}"/>
    <cellStyle name="Comma 5 10 6" xfId="4852" xr:uid="{B5AA8CEF-C25B-4DA3-B914-31CD98DD93BF}"/>
    <cellStyle name="Comma 5 10 6 2" xfId="28046" xr:uid="{FD1B2980-5F21-4760-88F9-92CC3E105641}"/>
    <cellStyle name="Comma 5 10 6 3" xfId="26553" xr:uid="{EF223D4E-E1BC-4881-ABF4-3BBB515CECFC}"/>
    <cellStyle name="Comma 5 10 6 4" xfId="14143" xr:uid="{140302DF-BE3B-4369-92CC-B67CEE834879}"/>
    <cellStyle name="Comma 5 10 7" xfId="6596" xr:uid="{C3AD3989-BC4A-4AAA-AEC2-B08705FCE9B0}"/>
    <cellStyle name="Comma 5 10 7 2" xfId="28029" xr:uid="{B837468C-BEBF-4CEC-ADE2-12B1FCAED4F9}"/>
    <cellStyle name="Comma 5 10 7 3" xfId="27371" xr:uid="{8EED9F44-3498-430B-BC6B-CC256C591A9F}"/>
    <cellStyle name="Comma 5 10 7 4" xfId="16976" xr:uid="{75EEF300-26D6-4B14-B5AF-ECB65CBCCB05}"/>
    <cellStyle name="Comma 5 10 8" xfId="9429" xr:uid="{5484C410-9246-4841-A9A7-890E6C7CA77F}"/>
    <cellStyle name="Comma 5 10 8 2" xfId="19809" xr:uid="{FC6C34CB-2ADD-4980-9E17-6E4E388A755C}"/>
    <cellStyle name="Comma 5 10 9" xfId="23859" xr:uid="{2F610054-85E4-42A4-90E0-D52A865C355A}"/>
    <cellStyle name="Comma 5 11" xfId="457" xr:uid="{00000000-0005-0000-0000-0000E2010000}"/>
    <cellStyle name="Comma 5 11 10" xfId="12661" xr:uid="{1966AA8B-6911-4191-8EF9-D4B44BA16B12}"/>
    <cellStyle name="Comma 5 11 2" xfId="1587" xr:uid="{00000000-0005-0000-0000-0000E3010000}"/>
    <cellStyle name="Comma 5 11 2 2" xfId="3012" xr:uid="{00000000-0005-0000-0000-00008B010000}"/>
    <cellStyle name="Comma 5 11 2 2 2" xfId="8092" xr:uid="{A686F410-99C8-4E53-A4B9-F200FED0F5FE}"/>
    <cellStyle name="Comma 5 11 2 2 2 2" xfId="18472" xr:uid="{5B5E9A11-8327-49C7-852B-1B0EC750B7F4}"/>
    <cellStyle name="Comma 5 11 2 2 2 2 2" xfId="31142" xr:uid="{BEACBA90-14BE-4F92-B5E7-3C26563FBC82}"/>
    <cellStyle name="Comma 5 11 2 2 2 2 3" xfId="30650" xr:uid="{EE401E08-5210-4185-B9F9-C2D3DC80A78B}"/>
    <cellStyle name="Comma 5 11 2 2 2 3" xfId="30081" xr:uid="{E6661E45-819E-42CB-8A7D-43A8E81FC579}"/>
    <cellStyle name="Comma 5 11 2 2 3" xfId="10925" xr:uid="{8C6A2058-F80A-4732-A1AD-C675F255A21E}"/>
    <cellStyle name="Comma 5 11 2 2 3 2" xfId="21305" xr:uid="{9A7CB507-8DF3-4257-9E46-9E278E1B8C79}"/>
    <cellStyle name="Comma 5 11 2 2 4" xfId="26965" xr:uid="{CDD14B4E-3B05-4D91-99DD-069BE67AF33A}"/>
    <cellStyle name="Comma 5 11 2 2 5" xfId="27153" xr:uid="{DB84D4BF-7756-42ED-91FF-484D48E26118}"/>
    <cellStyle name="Comma 5 11 2 2 6" xfId="15639" xr:uid="{246F413A-E2AF-4FA9-B3F2-1839EB858537}"/>
    <cellStyle name="Comma 5 11 2 3" xfId="3667" xr:uid="{00000000-0005-0000-0000-0000E3010000}"/>
    <cellStyle name="Comma 5 11 2 4" xfId="5541" xr:uid="{4A98B1E2-1852-47FD-B8E3-2DAC983AEE30}"/>
    <cellStyle name="Comma 5 11 2 4 2" xfId="29775" xr:uid="{5B89B83B-E1C6-40C5-AF29-1ADC272529C9}"/>
    <cellStyle name="Comma 5 11 2 5" xfId="22728" xr:uid="{8D9ECDAE-292F-46A0-BFD2-DA9957370FAD}"/>
    <cellStyle name="Comma 5 11 2 6" xfId="13515" xr:uid="{39ABB685-FAC4-4C1E-B36A-85BFF7734362}"/>
    <cellStyle name="Comma 5 11 2 7" xfId="29988" xr:uid="{A3343EC1-8F20-4E29-86BB-E29B03AAC49D}"/>
    <cellStyle name="Comma 5 11 3" xfId="1588" xr:uid="{00000000-0005-0000-0000-0000E4010000}"/>
    <cellStyle name="Comma 5 11 3 2" xfId="23724" xr:uid="{DE4AAC3D-5400-4129-ACD2-D8964E8AE622}"/>
    <cellStyle name="Comma 5 11 3 2 2" xfId="29678" xr:uid="{9474F383-D5BD-41F9-8619-741081722E0E}"/>
    <cellStyle name="Comma 5 11 3 2 2 2" xfId="30651" xr:uid="{14E09C75-6A48-4605-B0CF-75A08A9D1184}"/>
    <cellStyle name="Comma 5 11 3 3" xfId="25078" xr:uid="{C5B7A41E-9D71-47D2-9EF7-127D9DBA2D47}"/>
    <cellStyle name="Comma 5 11 3 3 2" xfId="30089" xr:uid="{234EB7E4-AF97-4EA4-B207-EBADEEC79F40}"/>
    <cellStyle name="Comma 5 11 3 3 3" xfId="29790" xr:uid="{93461E03-FAE1-47C5-BE60-8136A914F2E8}"/>
    <cellStyle name="Comma 5 11 3 4" xfId="29931" xr:uid="{ED92591A-7C8B-4C2B-9824-630241CBB16F}"/>
    <cellStyle name="Comma 5 11 3 5" xfId="30049" xr:uid="{A605A163-DF82-49C7-BA28-2842EBC3D630}"/>
    <cellStyle name="Comma 5 11 3 6" xfId="29659" xr:uid="{88614ECA-9FAA-44D9-8706-EB4957BA3CF1}"/>
    <cellStyle name="Comma 5 11 4" xfId="1586" xr:uid="{00000000-0005-0000-0000-0000E5010000}"/>
    <cellStyle name="Comma 5 11 4 2" xfId="25781" xr:uid="{DBEBD298-D49E-492E-82DD-D45AE9C70099}"/>
    <cellStyle name="Comma 5 11 4 2 2" xfId="29791" xr:uid="{6E3F2F72-313F-4976-A168-08F65B495545}"/>
    <cellStyle name="Comma 5 11 4 2 2 2" xfId="30652" xr:uid="{DD9EEB0E-77BF-4E10-96B5-564B49FC67E2}"/>
    <cellStyle name="Comma 5 11 4 3" xfId="25812" xr:uid="{3DDE5F0F-E80C-49A7-A2F9-760F7B731187}"/>
    <cellStyle name="Comma 5 11 5" xfId="4118" xr:uid="{326795D2-3CE4-4B44-9613-7463CD743D12}"/>
    <cellStyle name="Comma 5 11 5 2" xfId="8890" xr:uid="{ECCB6D7E-C429-4896-A166-281E63951623}"/>
    <cellStyle name="Comma 5 11 5 2 2" xfId="19270" xr:uid="{C44CDE0A-5662-497E-A88C-E6558F00915E}"/>
    <cellStyle name="Comma 5 11 5 3" xfId="11723" xr:uid="{9AAE4BD8-E8D5-4F67-964B-77E7561EB31F}"/>
    <cellStyle name="Comma 5 11 5 3 2" xfId="22103" xr:uid="{C0BEB642-CEF7-49CD-A5E0-AF132CFA3016}"/>
    <cellStyle name="Comma 5 11 5 4" xfId="26947" xr:uid="{8FCFEBD1-9C61-417C-9361-BA6BACD9EE18}"/>
    <cellStyle name="Comma 5 11 5 5" xfId="26068" xr:uid="{A550E6A6-0D23-4FF4-817E-3EF3384416BB}"/>
    <cellStyle name="Comma 5 11 5 6" xfId="16437" xr:uid="{C1A61E72-5B41-4C1D-93D9-C0FF857E260F}"/>
    <cellStyle name="Comma 5 11 6" xfId="4853" xr:uid="{7F35F456-CEA9-47F3-ACCB-BB64D045948A}"/>
    <cellStyle name="Comma 5 11 6 2" xfId="27442" xr:uid="{1ACF7B3B-8BF9-4617-AFD7-425DDFC57C66}"/>
    <cellStyle name="Comma 5 11 6 3" xfId="27439" xr:uid="{FDE17731-3386-4AC0-A1F8-63BB2D8DAC43}"/>
    <cellStyle name="Comma 5 11 6 4" xfId="14144" xr:uid="{4AD93818-DB36-44F7-BA3F-4C514E4885F1}"/>
    <cellStyle name="Comma 5 11 7" xfId="6597" xr:uid="{E603367D-691C-488F-8700-9B7F21B923E4}"/>
    <cellStyle name="Comma 5 11 7 2" xfId="16977" xr:uid="{F038355B-C278-4949-A2DC-F6D04B005AFA}"/>
    <cellStyle name="Comma 5 11 8" xfId="9430" xr:uid="{43960141-1975-43C7-BB87-1966EFE5FC2B}"/>
    <cellStyle name="Comma 5 11 8 2" xfId="19810" xr:uid="{0AFB9F97-FB29-46DD-B839-C554FF6E03EE}"/>
    <cellStyle name="Comma 5 11 9" xfId="25325" xr:uid="{D9CE3968-1E51-41A1-A7DC-42C9DD7789D6}"/>
    <cellStyle name="Comma 5 12" xfId="458" xr:uid="{00000000-0005-0000-0000-0000E6010000}"/>
    <cellStyle name="Comma 5 12 2" xfId="1590" xr:uid="{00000000-0005-0000-0000-0000E7010000}"/>
    <cellStyle name="Comma 5 12 2 2" xfId="23644" xr:uid="{EF680471-4A71-491B-8847-27ACE345D225}"/>
    <cellStyle name="Comma 5 12 2 2 2" xfId="29803" xr:uid="{28069167-96F1-4760-B171-26C9359F893A}"/>
    <cellStyle name="Comma 5 12 2 2 2 2" xfId="30654" xr:uid="{1C15ADE8-9C6B-4E22-ABDB-1CDE3C1EAEF3}"/>
    <cellStyle name="Comma 5 12 2 3" xfId="25392" xr:uid="{743C3469-6FF5-41E6-ABC2-03AE1A3F0028}"/>
    <cellStyle name="Comma 5 12 2 3 2" xfId="30095" xr:uid="{8FDA08CE-536E-4BFE-98F8-7C70F6A1D15C}"/>
    <cellStyle name="Comma 5 12 2 3 3" xfId="29789" xr:uid="{4BBFA82A-C001-427F-A921-B1CB7AFDA3A9}"/>
    <cellStyle name="Comma 5 12 2 4" xfId="29920" xr:uid="{004245DF-BDE0-4333-8AC4-755018D8E4AD}"/>
    <cellStyle name="Comma 5 12 2 5" xfId="30034" xr:uid="{0ACE1595-6482-489E-B630-577F27B231A3}"/>
    <cellStyle name="Comma 5 12 2 6" xfId="29654" xr:uid="{2C57DB15-B736-4E88-AEC9-323F5ACFBD95}"/>
    <cellStyle name="Comma 5 12 3" xfId="1591" xr:uid="{00000000-0005-0000-0000-0000E8010000}"/>
    <cellStyle name="Comma 5 12 3 2" xfId="23256" xr:uid="{6D57B10A-6741-4069-93BF-29EFDF4F6C0B}"/>
    <cellStyle name="Comma 5 12 3 3" xfId="24384" xr:uid="{F61EDBCB-4E7F-4373-BBB6-91316B7F1263}"/>
    <cellStyle name="Comma 5 12 4" xfId="1589" xr:uid="{00000000-0005-0000-0000-0000E9010000}"/>
    <cellStyle name="Comma 5 12 5" xfId="4854" xr:uid="{F159FDFA-5E1D-4A42-9FB3-8400939452AE}"/>
    <cellStyle name="Comma 5 12 5 2" xfId="14145" xr:uid="{6CAB6457-CDF0-43E9-8573-01A4850CBF99}"/>
    <cellStyle name="Comma 5 12 5 2 2" xfId="31113" xr:uid="{C0AE9176-2E0B-4399-B7EF-13AFE3E0D51C}"/>
    <cellStyle name="Comma 5 12 5 2 3" xfId="30653" xr:uid="{540D4B2D-5839-41C4-BB67-C634993101F7}"/>
    <cellStyle name="Comma 5 12 6" xfId="6598" xr:uid="{3A255307-572F-4096-BE3B-A84D759EBA98}"/>
    <cellStyle name="Comma 5 12 6 2" xfId="16978" xr:uid="{C2E33B45-1448-434C-98E9-36181F6C14F8}"/>
    <cellStyle name="Comma 5 12 7" xfId="9431" xr:uid="{DE176410-6284-42C9-B0CF-A8C658E03F46}"/>
    <cellStyle name="Comma 5 12 7 2" xfId="19811" xr:uid="{DB459E27-E6F7-4C87-A63E-D5F7A6CC076E}"/>
    <cellStyle name="Comma 5 12 8" xfId="24809" xr:uid="{90958A69-207E-4B87-B4BE-8D883B54759B}"/>
    <cellStyle name="Comma 5 12 9" xfId="13359" xr:uid="{19A90194-FA7E-440E-AF4A-92CD549DEC9F}"/>
    <cellStyle name="Comma 5 13" xfId="1592" xr:uid="{00000000-0005-0000-0000-0000EA010000}"/>
    <cellStyle name="Comma 5 13 2" xfId="2429" xr:uid="{00000000-0005-0000-0000-00008D010000}"/>
    <cellStyle name="Comma 5 13 2 2" xfId="7554" xr:uid="{B91CD4AA-AFD9-47AC-B12D-1B567D59EEF3}"/>
    <cellStyle name="Comma 5 13 2 2 2" xfId="17934" xr:uid="{E8437ED8-2295-4E8E-BDF0-609A90FEDE0F}"/>
    <cellStyle name="Comma 5 13 2 2 2 2" xfId="31131" xr:uid="{449A2E8F-2AC7-47DC-B478-E5E05118B3AB}"/>
    <cellStyle name="Comma 5 13 2 2 2 3" xfId="30655" xr:uid="{9E013BF8-2A6D-4407-97E0-37CC1EB70273}"/>
    <cellStyle name="Comma 5 13 2 3" xfId="10387" xr:uid="{BFE02990-9404-4EE5-99FB-5B33B4DA9EDF}"/>
    <cellStyle name="Comma 5 13 2 3 2" xfId="20767" xr:uid="{2A4646E5-E7C9-419B-BD7A-C79F73C315A2}"/>
    <cellStyle name="Comma 5 13 2 4" xfId="27801" xr:uid="{5006A1E1-AA79-4A0C-B7B1-2FEC3203E50F}"/>
    <cellStyle name="Comma 5 13 2 5" xfId="26644" xr:uid="{B9000EF6-D70E-4F90-9CE9-E75B119014F2}"/>
    <cellStyle name="Comma 5 13 2 6" xfId="15101" xr:uid="{508A87DE-C77E-4F26-8878-27C69F773A5A}"/>
    <cellStyle name="Comma 5 13 3" xfId="3576" xr:uid="{00000000-0005-0000-0000-0000EA010000}"/>
    <cellStyle name="Comma 5 13 4" xfId="5542" xr:uid="{EA1DAE49-7147-4C06-8D39-0EAFAC4C7544}"/>
    <cellStyle name="Comma 5 13 4 2" xfId="29743" xr:uid="{83290D88-98BF-4B31-878D-137425176835}"/>
    <cellStyle name="Comma 5 13 5" xfId="25275" xr:uid="{25255301-425F-471E-91E5-8CA85BD8C643}"/>
    <cellStyle name="Comma 5 13 6" xfId="12814" xr:uid="{04EED2F0-E263-4E01-BB71-1A5052885D35}"/>
    <cellStyle name="Comma 5 14" xfId="2156" xr:uid="{00000000-0005-0000-0000-000086010000}"/>
    <cellStyle name="Comma 5 14 2" xfId="7283" xr:uid="{822762EF-D3DA-4F0E-A147-996E17AEA36E}"/>
    <cellStyle name="Comma 5 14 2 2" xfId="27689" xr:uid="{0256D1D7-ED9F-4C82-97E0-9170310A5329}"/>
    <cellStyle name="Comma 5 14 2 2 2" xfId="31195" xr:uid="{A859EBA4-C66C-49BD-9DEA-1AB3109F716F}"/>
    <cellStyle name="Comma 5 14 2 2 3" xfId="30656" xr:uid="{BEC1FD1F-B5EC-4F1A-BCDF-25B7ACE13F58}"/>
    <cellStyle name="Comma 5 14 2 3" xfId="28280" xr:uid="{3C9C4E2E-B9DF-4364-90C5-E2FDD470EA95}"/>
    <cellStyle name="Comma 5 14 2 4" xfId="17663" xr:uid="{3738291B-0565-419F-B166-FACBBDEE0D75}"/>
    <cellStyle name="Comma 5 14 3" xfId="10116" xr:uid="{65636AD0-40EA-4BAF-9ABF-40BCE104B2C9}"/>
    <cellStyle name="Comma 5 14 3 2" xfId="20496" xr:uid="{6F491D37-1CB8-413E-A52B-4D7C95D189A8}"/>
    <cellStyle name="Comma 5 14 4" xfId="24735" xr:uid="{C9CBED3C-72E0-4E12-887C-B3DEBF97CEC8}"/>
    <cellStyle name="Comma 5 14 5" xfId="14830" xr:uid="{9DAB25E0-335E-450D-B4EF-01133EEBCC53}"/>
    <cellStyle name="Comma 5 15" xfId="3777" xr:uid="{027FE1B2-BC1A-461C-BAA0-62514BD1464F}"/>
    <cellStyle name="Comma 5 15 2" xfId="8618" xr:uid="{F937F0BE-13DB-4336-9B90-88F49A5B7AED}"/>
    <cellStyle name="Comma 5 15 2 2" xfId="18998" xr:uid="{406AA88D-B0B1-4594-932D-2CCB31970E22}"/>
    <cellStyle name="Comma 5 15 3" xfId="11451" xr:uid="{61CAAD24-E5D7-4864-B98A-9508BBD6E09F}"/>
    <cellStyle name="Comma 5 15 3 2" xfId="21831" xr:uid="{6D8E4531-45E2-4E20-86E7-0D1E6B5CA0F6}"/>
    <cellStyle name="Comma 5 15 4" xfId="23604" xr:uid="{EF87A7D9-884A-4F64-B1B7-C8CC7C6997AF}"/>
    <cellStyle name="Comma 5 15 5" xfId="27458" xr:uid="{89903692-C0B4-4F40-89C4-C75A817A2DC4}"/>
    <cellStyle name="Comma 5 15 6" xfId="16165" xr:uid="{4DDC0FBF-B94A-4F81-BE4B-8A9FFDB8C8BD}"/>
    <cellStyle name="Comma 5 16" xfId="4851" xr:uid="{AAA3F902-D68A-45E2-99C8-03FE656262D7}"/>
    <cellStyle name="Comma 5 16 2" xfId="14142" xr:uid="{D008B574-2BA2-43A2-880B-6754BDBFEAFF}"/>
    <cellStyle name="Comma 5 17" xfId="6595" xr:uid="{EE2E808B-4607-4A07-9806-599DB57C2243}"/>
    <cellStyle name="Comma 5 17 2" xfId="16975" xr:uid="{B081372B-6E11-43A4-9C57-E86647752419}"/>
    <cellStyle name="Comma 5 18" xfId="9428" xr:uid="{D1DEE1ED-E00D-45EE-88AE-80066179EB47}"/>
    <cellStyle name="Comma 5 18 2" xfId="19808" xr:uid="{957E1A22-9D68-491A-BBAD-B4FA4FDEB1B3}"/>
    <cellStyle name="Comma 5 19" xfId="24648" xr:uid="{9055C8F1-409E-4A3A-8DD3-7D0245A6EEF9}"/>
    <cellStyle name="Comma 5 2" xfId="459" xr:uid="{00000000-0005-0000-0000-0000EB010000}"/>
    <cellStyle name="Comma 5 2 10" xfId="30621" xr:uid="{6CBFC4BF-7DDA-4C8A-94A9-9E3C38E62A4B}"/>
    <cellStyle name="Comma 5 2 11" xfId="30919" xr:uid="{8F444BA6-836C-451D-A598-AB3984741623}"/>
    <cellStyle name="Comma 5 2 2" xfId="460" xr:uid="{00000000-0005-0000-0000-0000EC010000}"/>
    <cellStyle name="Comma 5 2 2 2" xfId="1594" xr:uid="{00000000-0005-0000-0000-0000ED010000}"/>
    <cellStyle name="Comma 5 2 2 2 2" xfId="30598" xr:uid="{F2BDA96F-A29A-44D4-96C7-93F474199524}"/>
    <cellStyle name="Comma 5 2 2 2 2 2" xfId="30658" xr:uid="{7828C1F8-5535-4B0E-A3F8-9190370F23A7}"/>
    <cellStyle name="Comma 5 2 2 2 3" xfId="30562" xr:uid="{FE94402B-6C78-43D2-9887-F6959E6CC981}"/>
    <cellStyle name="Comma 5 2 2 2 4" xfId="30927" xr:uid="{3089C8D7-EDC7-49C2-98BE-A8D0DB944D04}"/>
    <cellStyle name="Comma 5 2 2 3" xfId="1595" xr:uid="{00000000-0005-0000-0000-0000EE010000}"/>
    <cellStyle name="Comma 5 2 2 3 2" xfId="30614" xr:uid="{8A82B498-C017-42E6-9D27-435A4DAFCF79}"/>
    <cellStyle name="Comma 5 2 2 3 2 2" xfId="30659" xr:uid="{84E2DE58-A4C0-4259-9280-0F10CD7AD0EB}"/>
    <cellStyle name="Comma 5 2 2 3 3" xfId="30575" xr:uid="{08126CC7-7B32-4987-B56B-3E8A92004100}"/>
    <cellStyle name="Comma 5 2 2 3 4" xfId="30941" xr:uid="{85BC386F-6704-42BC-B35B-A909453864AD}"/>
    <cellStyle name="Comma 5 2 2 4" xfId="1593" xr:uid="{00000000-0005-0000-0000-0000EF010000}"/>
    <cellStyle name="Comma 5 2 2 4 2" xfId="30550" xr:uid="{2B6B9656-2890-4C76-9E86-2F9A400B5207}"/>
    <cellStyle name="Comma 5 2 2 4 2 2" xfId="30660" xr:uid="{ABCDE278-9ADF-4B7C-B51D-6A70B9BEFAB0}"/>
    <cellStyle name="Comma 5 2 2 5" xfId="6599" xr:uid="{273D3645-09BF-4A18-A4AB-EDE25B05A3A6}"/>
    <cellStyle name="Comma 5 2 2 5 2" xfId="16979" xr:uid="{2C95035C-ACBA-47B5-BDB7-B687EB0B1702}"/>
    <cellStyle name="Comma 5 2 2 5 2 2" xfId="30657" xr:uid="{E4E4FE59-056E-41F0-8A6A-EBAEB1C31ADE}"/>
    <cellStyle name="Comma 5 2 2 5 3" xfId="30425" xr:uid="{81309697-6C75-42F8-A5FC-85A5EDEE9FEF}"/>
    <cellStyle name="Comma 5 2 2 6" xfId="9432" xr:uid="{FAAC16A9-4153-4AFD-B1F8-20E8F3A87C8C}"/>
    <cellStyle name="Comma 5 2 2 6 2" xfId="19812" xr:uid="{145F7030-0050-4EBD-8D41-3709A9B0904C}"/>
    <cellStyle name="Comma 5 2 2 7" xfId="25027" xr:uid="{DE75B844-EBEC-4A64-A7E9-57FF65839502}"/>
    <cellStyle name="Comma 5 2 2 8" xfId="14146" xr:uid="{58BAEC72-D61F-4682-9993-3944940B8945}"/>
    <cellStyle name="Comma 5 2 2 9" xfId="29549" xr:uid="{D4CDF6AA-3C1C-45DB-BF23-683A3F5A2E8F}"/>
    <cellStyle name="Comma 5 2 3" xfId="29550" xr:uid="{FF57FBA9-0AC5-4F16-B51E-CE304EC6B7FE}"/>
    <cellStyle name="Comma 5 2 3 2" xfId="31243" xr:uid="{794021D0-B7E1-43D6-8B4B-606F025E00C3}"/>
    <cellStyle name="Comma 5 2 3 3" xfId="30410" xr:uid="{8B4B4793-C486-440B-BCBB-9B72DFB4032F}"/>
    <cellStyle name="Comma 5 2 4" xfId="29548" xr:uid="{508F08B6-13CA-453B-BC60-59F1E4465DDC}"/>
    <cellStyle name="Comma 5 2 4 2" xfId="30426" xr:uid="{30BD32B9-0394-4F1A-8237-D6AC5BD7AB92}"/>
    <cellStyle name="Comma 5 2 4 2 2" xfId="30599" xr:uid="{7C326B72-A0A1-4BC5-AB91-EEAB81161F94}"/>
    <cellStyle name="Comma 5 2 4 2 2 2" xfId="30661" xr:uid="{ED5AF7EF-0B78-407A-864D-EEEBE05E98FC}"/>
    <cellStyle name="Comma 5 2 4 2 3" xfId="30563" xr:uid="{92CD2FD6-65B4-444B-9BD4-8BD03B652048}"/>
    <cellStyle name="Comma 5 2 4 2 4" xfId="30928" xr:uid="{9F33CA11-07C6-481C-A78E-213CF504BA88}"/>
    <cellStyle name="Comma 5 2 4 3" xfId="30551" xr:uid="{0F4C2308-2688-446C-A27E-BFCE11140C68}"/>
    <cellStyle name="Comma 5 2 4 3 2" xfId="30633" xr:uid="{CFB4CA51-42B2-4BF5-9AF9-673F00BD5CFD}"/>
    <cellStyle name="Comma 5 2 4 3 3" xfId="30943" xr:uid="{35CEEE63-7BB2-4EEA-83CF-5333A9F63EF4}"/>
    <cellStyle name="Comma 5 2 4 4" xfId="30581" xr:uid="{79C2FE9C-BC47-45D3-81C7-55923423D801}"/>
    <cellStyle name="Comma 5 2 4 5" xfId="30622" xr:uid="{2D2FE097-3E58-4E43-B405-32F2F658B65A}"/>
    <cellStyle name="Comma 5 2 4 6" xfId="30920" xr:uid="{FFFC894D-F0FF-4CEA-9DAF-F49F3E52EACB}"/>
    <cellStyle name="Comma 5 2 4 7" xfId="31242" xr:uid="{2E5D930F-8B70-4941-B7AD-A1A539EE389A}"/>
    <cellStyle name="Comma 5 2 4 8" xfId="30411" xr:uid="{2F788AFF-2365-4173-9AD4-9EB5EE2CD90F}"/>
    <cellStyle name="Comma 5 2 5" xfId="30412" xr:uid="{1B854D74-2C11-4B25-A896-E9F8E6D4D71C}"/>
    <cellStyle name="Comma 5 2 5 2" xfId="30427" xr:uid="{C24CF4A1-604C-4A78-A752-E05C845168E9}"/>
    <cellStyle name="Comma 5 2 5 2 2" xfId="30600" xr:uid="{10A672CB-2ACF-4A8A-BC8B-83FA20866661}"/>
    <cellStyle name="Comma 5 2 5 2 2 2" xfId="30662" xr:uid="{96AF56BC-6E91-454F-A913-1B5EF260B524}"/>
    <cellStyle name="Comma 5 2 5 2 3" xfId="30564" xr:uid="{EB087388-5735-47DA-A778-C37D3BA09F7B}"/>
    <cellStyle name="Comma 5 2 5 2 4" xfId="30929" xr:uid="{9C5FD4B9-51E1-40C8-A1C0-B9DA63A12820}"/>
    <cellStyle name="Comma 5 2 5 3" xfId="30582" xr:uid="{594004CE-4C85-49C3-98D5-50D24316BFB4}"/>
    <cellStyle name="Comma 5 2 5 3 2" xfId="30634" xr:uid="{5DF27414-0425-4CEA-9FF2-B029A5DDBF7D}"/>
    <cellStyle name="Comma 5 2 5 3 3" xfId="30944" xr:uid="{7FF4A0CA-6FEC-4011-9105-1F245F102EA7}"/>
    <cellStyle name="Comma 5 2 5 4" xfId="30623" xr:uid="{8D5CFC01-28FD-48B9-B5AE-BF61C0025B69}"/>
    <cellStyle name="Comma 5 2 5 5" xfId="30921" xr:uid="{8B4C09D8-9DF0-4BAC-A0B6-095950680402}"/>
    <cellStyle name="Comma 5 2 6" xfId="30549" xr:uid="{5C64EDE1-D10D-405A-BEBE-498A5BCE0F98}"/>
    <cellStyle name="Comma 5 2 7" xfId="30572" xr:uid="{02BF2878-498D-48D7-8F68-577919C83D6F}"/>
    <cellStyle name="Comma 5 2 7 2" xfId="30611" xr:uid="{C0CD91E5-D6C5-434A-96EB-1B3A036C6BBA}"/>
    <cellStyle name="Comma 5 2 7 3" xfId="30630" xr:uid="{F8EDEA31-A8F6-431F-BA36-CFAAABCD185E}"/>
    <cellStyle name="Comma 5 2 7 4" xfId="30937" xr:uid="{47F7B796-4D4E-4909-966E-3439D41D5605}"/>
    <cellStyle name="Comma 5 2 8" xfId="30547" xr:uid="{B1DF5FDB-1841-4554-815D-7CDC6C437CC6}"/>
    <cellStyle name="Comma 5 2 9" xfId="30579" xr:uid="{A369C976-3FD5-4322-AB61-3F6F862BE607}"/>
    <cellStyle name="Comma 5 20" xfId="12386" xr:uid="{302159E2-6CC0-46FF-9364-3A8433ED91B2}"/>
    <cellStyle name="Comma 5 3" xfId="461" xr:uid="{00000000-0005-0000-0000-0000F0010000}"/>
    <cellStyle name="Comma 5 3 10" xfId="4855" xr:uid="{2846F87B-F3CD-4BF8-9488-62CC1D0AA1F2}"/>
    <cellStyle name="Comma 5 3 10 2" xfId="14147" xr:uid="{50684423-3D64-4A82-B41B-9419936B23DE}"/>
    <cellStyle name="Comma 5 3 11" xfId="6600" xr:uid="{693DB301-C91E-4232-BB0E-39CDBBE5076F}"/>
    <cellStyle name="Comma 5 3 11 2" xfId="16980" xr:uid="{3AE9192F-FC94-46DB-A683-7733A5EFF8B5}"/>
    <cellStyle name="Comma 5 3 12" xfId="9433" xr:uid="{34D918AF-B59B-4DA7-96F7-480CE83D0911}"/>
    <cellStyle name="Comma 5 3 12 2" xfId="19813" xr:uid="{1F161FA1-6088-47C1-BDE8-F54460BB08FE}"/>
    <cellStyle name="Comma 5 3 13" xfId="25309" xr:uid="{D7859DD7-1B89-4767-A0D2-196C4B8D2D83}"/>
    <cellStyle name="Comma 5 3 14" xfId="12412" xr:uid="{9909FE86-2089-41F8-9D0E-7276470C2221}"/>
    <cellStyle name="Comma 5 3 2" xfId="462" xr:uid="{00000000-0005-0000-0000-0000F1010000}"/>
    <cellStyle name="Comma 5 3 2 10" xfId="6601" xr:uid="{82695B62-7D76-42AB-BEFC-75E567F2A3C5}"/>
    <cellStyle name="Comma 5 3 2 10 2" xfId="16981" xr:uid="{9AD20C4B-E731-46C2-8BEC-0FFD687EC178}"/>
    <cellStyle name="Comma 5 3 2 11" xfId="9434" xr:uid="{AED80BCA-D092-4C6C-971E-3050E72CFF57}"/>
    <cellStyle name="Comma 5 3 2 11 2" xfId="19814" xr:uid="{987CAEBC-5AB8-49B8-B758-D587955279AF}"/>
    <cellStyle name="Comma 5 3 2 12" xfId="23920" xr:uid="{56197C97-EB7B-40EC-AFA2-7AEAB10C8886}"/>
    <cellStyle name="Comma 5 3 2 13" xfId="12472" xr:uid="{EFBC7B92-3047-49CF-805D-2C6A6223921F}"/>
    <cellStyle name="Comma 5 3 2 2" xfId="463" xr:uid="{00000000-0005-0000-0000-0000F2010000}"/>
    <cellStyle name="Comma 5 3 2 2 10" xfId="13037" xr:uid="{86B57A63-967D-49F1-9028-3928CA4FAF65}"/>
    <cellStyle name="Comma 5 3 2 2 2" xfId="1599" xr:uid="{00000000-0005-0000-0000-0000F3010000}"/>
    <cellStyle name="Comma 5 3 2 2 2 2" xfId="3015" xr:uid="{00000000-0005-0000-0000-000093010000}"/>
    <cellStyle name="Comma 5 3 2 2 2 2 2" xfId="6158" xr:uid="{4ACBE935-4C4A-4B58-AA67-CBC1AD567848}"/>
    <cellStyle name="Comma 5 3 2 2 2 2 2 2" xfId="25952" xr:uid="{A03F8AD1-6D73-462F-AC3F-273225650954}"/>
    <cellStyle name="Comma 5 3 2 2 2 2 2 3" xfId="25885" xr:uid="{4BB2DC81-1E90-4372-9987-27A20831971A}"/>
    <cellStyle name="Comma 5 3 2 2 2 2 2 4" xfId="15642" xr:uid="{4AF74E66-2D4F-40C8-B6A6-07DB4000C240}"/>
    <cellStyle name="Comma 5 3 2 2 2 2 3" xfId="8095" xr:uid="{9E795528-EFE8-49EC-A3CC-54ADBF1342DE}"/>
    <cellStyle name="Comma 5 3 2 2 2 2 3 2" xfId="28777" xr:uid="{0CBF15F0-D411-4526-93F7-EFED3C06D888}"/>
    <cellStyle name="Comma 5 3 2 2 2 2 3 3" xfId="27265" xr:uid="{4C183DF4-8D04-46F2-A7C1-5EE37A5A7CDB}"/>
    <cellStyle name="Comma 5 3 2 2 2 2 3 4" xfId="18475" xr:uid="{18E6D797-2AE3-43E1-A6BE-04E5FC2EB0F6}"/>
    <cellStyle name="Comma 5 3 2 2 2 2 4" xfId="10928" xr:uid="{AFB79152-8464-4800-9AF1-921E7BAF005A}"/>
    <cellStyle name="Comma 5 3 2 2 2 2 4 2" xfId="21308" xr:uid="{39BF4066-2DEB-466C-B501-D053D1037734}"/>
    <cellStyle name="Comma 5 3 2 2 2 2 5" xfId="24319" xr:uid="{E61FFCE0-15C8-4B0D-A412-90E5D4DF8AD6}"/>
    <cellStyle name="Comma 5 3 2 2 2 2 6" xfId="13518" xr:uid="{4E597990-8807-4D77-97E7-E28E02E3D3DD}"/>
    <cellStyle name="Comma 5 3 2 2 2 3" xfId="2667" xr:uid="{00000000-0005-0000-0000-000092010000}"/>
    <cellStyle name="Comma 5 3 2 2 2 3 2" xfId="7791" xr:uid="{A991F633-EC7B-4AE2-AF36-3AFF910B0ED8}"/>
    <cellStyle name="Comma 5 3 2 2 2 3 2 2" xfId="27575" xr:uid="{55463535-088B-4D65-8D51-0F8E527C73E6}"/>
    <cellStyle name="Comma 5 3 2 2 2 3 2 3" xfId="27858" xr:uid="{520E163C-1648-451D-9381-D1B444BA6975}"/>
    <cellStyle name="Comma 5 3 2 2 2 3 2 4" xfId="18171" xr:uid="{D8D0AAD4-15A0-4209-9D40-CC4375AD633E}"/>
    <cellStyle name="Comma 5 3 2 2 2 3 3" xfId="10624" xr:uid="{23424A55-1186-4AE1-8B15-D60B73FB2413}"/>
    <cellStyle name="Comma 5 3 2 2 2 3 3 2" xfId="21004" xr:uid="{D45E85F7-0528-446F-8AEF-F2444471BE38}"/>
    <cellStyle name="Comma 5 3 2 2 2 3 4" xfId="24773" xr:uid="{F6C426D8-D850-4C02-A12E-6C68D7A11502}"/>
    <cellStyle name="Comma 5 3 2 2 2 3 5" xfId="15338" xr:uid="{16A4BAA9-88C4-414D-BFF5-062C8FED3C61}"/>
    <cellStyle name="Comma 5 3 2 2 2 4" xfId="3630" xr:uid="{00000000-0005-0000-0000-0000F3010000}"/>
    <cellStyle name="Comma 5 3 2 2 2 5" xfId="4252" xr:uid="{9B0E90D9-C0F7-49FF-A548-FF90C88E6C49}"/>
    <cellStyle name="Comma 5 3 2 2 2 5 2" xfId="9024" xr:uid="{DB214821-C42B-4F8D-9BBF-71FC6C4AEED3}"/>
    <cellStyle name="Comma 5 3 2 2 2 5 2 2" xfId="19404" xr:uid="{3CCFE505-B22F-4BE5-BFD5-27F625009463}"/>
    <cellStyle name="Comma 5 3 2 2 2 5 2 3" xfId="31028" xr:uid="{D5BC14E3-2A5D-4C04-A1B3-FB7278D938D5}"/>
    <cellStyle name="Comma 5 3 2 2 2 5 2 4" xfId="30663" xr:uid="{88978C8C-DE0D-41D5-B666-4404FA6D88AC}"/>
    <cellStyle name="Comma 5 3 2 2 2 5 3" xfId="11857" xr:uid="{879F1394-5F75-4E90-ACCF-2DB416637DF2}"/>
    <cellStyle name="Comma 5 3 2 2 2 5 3 2" xfId="22237" xr:uid="{A8BFC29A-4346-4751-A9D7-8EBC270E9334}"/>
    <cellStyle name="Comma 5 3 2 2 2 5 4" xfId="16571" xr:uid="{3BACECC7-6A25-4BBD-A5D0-C82353F7F629}"/>
    <cellStyle name="Comma 5 3 2 2 2 6" xfId="5546" xr:uid="{4AA9B774-4921-4980-9DB7-0CEF866568F6}"/>
    <cellStyle name="Comma 5 3 2 2 2 6 2" xfId="29893" xr:uid="{9C519322-6E9C-4E0B-84A2-5A544F46923B}"/>
    <cellStyle name="Comma 5 3 2 2 2 6 2 2" xfId="30956" xr:uid="{405A5DEB-8EC3-4ABC-8B7D-3B894A42504F}"/>
    <cellStyle name="Comma 5 3 2 2 2 7" xfId="23725" xr:uid="{8A8F9509-66DC-46AC-A9A7-817B49144E49}"/>
    <cellStyle name="Comma 5 3 2 2 2 8" xfId="13068" xr:uid="{B50D4B53-697A-42B9-9F93-70A744787325}"/>
    <cellStyle name="Comma 5 3 2 2 3" xfId="1600" xr:uid="{00000000-0005-0000-0000-0000F4010000}"/>
    <cellStyle name="Comma 5 3 2 2 3 2" xfId="3016" xr:uid="{00000000-0005-0000-0000-000094010000}"/>
    <cellStyle name="Comma 5 3 2 2 3 2 2" xfId="8096" xr:uid="{7BF9BB9B-26F6-4A7B-B741-6401840D44C4}"/>
    <cellStyle name="Comma 5 3 2 2 3 2 2 2" xfId="28778" xr:uid="{97F5D130-40E9-49C6-BF88-F44C1C5917AA}"/>
    <cellStyle name="Comma 5 3 2 2 3 2 2 3" xfId="27874" xr:uid="{1C2254A3-A181-4089-A9AD-37492C817900}"/>
    <cellStyle name="Comma 5 3 2 2 3 2 2 4" xfId="18476" xr:uid="{EF665B60-996B-4090-9883-5AF6CE2B9F40}"/>
    <cellStyle name="Comma 5 3 2 2 3 2 3" xfId="10929" xr:uid="{F7202109-0539-401A-8DA8-FE6FE6E715B4}"/>
    <cellStyle name="Comma 5 3 2 2 3 2 3 2" xfId="21309" xr:uid="{7E1FA1D7-80F6-4007-BA48-786A08D6E488}"/>
    <cellStyle name="Comma 5 3 2 2 3 2 4" xfId="23283" xr:uid="{E29E3FB4-1142-46D5-B9BC-FBCC0D3E4AF6}"/>
    <cellStyle name="Comma 5 3 2 2 3 2 5" xfId="15643" xr:uid="{F739DFD7-5A02-4961-B2FF-23F1CB84962A}"/>
    <cellStyle name="Comma 5 3 2 2 3 3" xfId="2083" xr:uid="{00000000-0005-0000-0000-0000F4010000}"/>
    <cellStyle name="Comma 5 3 2 2 3 4" xfId="4392" xr:uid="{933C8226-C46F-4342-AB1B-1DC1B1F37B70}"/>
    <cellStyle name="Comma 5 3 2 2 3 4 2" xfId="9164" xr:uid="{08B4E032-80CB-4825-8075-E7E720E1D674}"/>
    <cellStyle name="Comma 5 3 2 2 3 4 2 2" xfId="19544" xr:uid="{5E6B521C-CC61-48D2-A240-A3DE4FF65289}"/>
    <cellStyle name="Comma 5 3 2 2 3 4 2 3" xfId="31058" xr:uid="{7B903B43-0C6D-49A6-9727-D8D888B7F2E1}"/>
    <cellStyle name="Comma 5 3 2 2 3 4 2 4" xfId="30664" xr:uid="{041D7F03-0160-44D8-BDD1-0265CDA0BADC}"/>
    <cellStyle name="Comma 5 3 2 2 3 4 3" xfId="11997" xr:uid="{86F94323-154D-4FD7-B637-754FD397809D}"/>
    <cellStyle name="Comma 5 3 2 2 3 4 3 2" xfId="22377" xr:uid="{6E1276EF-499F-4B69-A23D-99DCD957C31B}"/>
    <cellStyle name="Comma 5 3 2 2 3 4 4" xfId="16711" xr:uid="{BFA2BFEE-AA3F-48EB-B522-19E3AA60155E}"/>
    <cellStyle name="Comma 5 3 2 2 3 5" xfId="5547" xr:uid="{87BB5A44-0A84-4354-8A20-3DE740BDB9D5}"/>
    <cellStyle name="Comma 5 3 2 2 3 5 2" xfId="29934" xr:uid="{494685AF-0887-4B2F-B673-AAA2D6A71859}"/>
    <cellStyle name="Comma 5 3 2 2 3 6" xfId="25168" xr:uid="{35E2B19E-F3CF-4FCD-A416-6AA019C43B9E}"/>
    <cellStyle name="Comma 5 3 2 2 3 7" xfId="13519" xr:uid="{81206A3F-C747-4698-B559-B3F885CD8D9A}"/>
    <cellStyle name="Comma 5 3 2 2 4" xfId="1598" xr:uid="{00000000-0005-0000-0000-0000F5010000}"/>
    <cellStyle name="Comma 5 3 2 2 4 2" xfId="3014" xr:uid="{00000000-0005-0000-0000-000095010000}"/>
    <cellStyle name="Comma 5 3 2 2 4 2 2" xfId="8094" xr:uid="{E89D21E1-B455-4D7D-9B2F-B8E34618380A}"/>
    <cellStyle name="Comma 5 3 2 2 4 2 2 2" xfId="18474" xr:uid="{F97B71C0-7501-4349-B040-6C9E49273439}"/>
    <cellStyle name="Comma 5 3 2 2 4 2 3" xfId="10927" xr:uid="{080E1EBD-51A9-4D41-8C45-D42D6FC9F519}"/>
    <cellStyle name="Comma 5 3 2 2 4 2 3 2" xfId="21307" xr:uid="{113E7A58-A99D-4BCF-A0FB-13EB1CE0409A}"/>
    <cellStyle name="Comma 5 3 2 2 4 2 4" xfId="28675" xr:uid="{8DE688C5-537B-47A8-AE3F-35341CEE66EF}"/>
    <cellStyle name="Comma 5 3 2 2 4 2 5" xfId="25944" xr:uid="{AAFF93DB-5388-405A-A1AD-12F8FD651DE5}"/>
    <cellStyle name="Comma 5 3 2 2 4 2 6" xfId="15641" xr:uid="{FDB837A0-16E1-4F02-98AD-01678890DB27}"/>
    <cellStyle name="Comma 5 3 2 2 4 3" xfId="3652" xr:uid="{00000000-0005-0000-0000-0000F5010000}"/>
    <cellStyle name="Comma 5 3 2 2 4 4" xfId="5545" xr:uid="{A02B8927-C6C9-4981-8371-BC5F4FFB90CF}"/>
    <cellStyle name="Comma 5 3 2 2 4 4 2" xfId="29933" xr:uid="{9B2CC529-1177-42F3-BD02-4244CA3CA83A}"/>
    <cellStyle name="Comma 5 3 2 2 4 5" xfId="24206" xr:uid="{EA34B4EF-3E9F-4C0B-9FF3-F638CFE397CA}"/>
    <cellStyle name="Comma 5 3 2 2 4 6" xfId="13517" xr:uid="{970BC1FE-57FD-4E25-9E11-06B96A5F0C91}"/>
    <cellStyle name="Comma 5 3 2 2 5" xfId="4238" xr:uid="{8B6E58F7-0192-48F8-B6FC-70C1E0C133D5}"/>
    <cellStyle name="Comma 5 3 2 2 5 2" xfId="9010" xr:uid="{55FBEF45-EC69-4E11-8A17-A2E69465326C}"/>
    <cellStyle name="Comma 5 3 2 2 5 2 2" xfId="29081" xr:uid="{2407A847-EA3F-4F61-90DC-C97610FFA662}"/>
    <cellStyle name="Comma 5 3 2 2 5 2 3" xfId="28458" xr:uid="{B7915A89-7465-4B46-84A0-1E8D8551BF38}"/>
    <cellStyle name="Comma 5 3 2 2 5 2 4" xfId="19390" xr:uid="{3D06A3B1-A1DD-475F-9DD4-C89790FEBBE5}"/>
    <cellStyle name="Comma 5 3 2 2 5 2 5" xfId="31026" xr:uid="{5C44E956-2742-49E9-8428-22740D671C8D}"/>
    <cellStyle name="Comma 5 3 2 2 5 3" xfId="11843" xr:uid="{E403C161-1D3D-4082-B650-A1F1DFC3CB8D}"/>
    <cellStyle name="Comma 5 3 2 2 5 3 2" xfId="22223" xr:uid="{1AA8CE2E-465D-43DC-B1AC-5FDDB5246458}"/>
    <cellStyle name="Comma 5 3 2 2 5 4" xfId="22671" xr:uid="{3AD68E01-C7E2-4706-BA90-4956E1ADB08D}"/>
    <cellStyle name="Comma 5 3 2 2 5 5" xfId="16557" xr:uid="{EE68A2B4-8AF6-4162-878E-A65980BC098E}"/>
    <cellStyle name="Comma 5 3 2 2 6" xfId="4857" xr:uid="{708195BE-D60E-45FC-849B-1AAC97801F00}"/>
    <cellStyle name="Comma 5 3 2 2 6 2" xfId="28559" xr:uid="{BD568B2A-F9B1-4D17-B640-3623EE7CAC30}"/>
    <cellStyle name="Comma 5 3 2 2 6 3" xfId="26166" xr:uid="{27C47F0C-B9F6-4597-822F-2C5F7C5FB64F}"/>
    <cellStyle name="Comma 5 3 2 2 6 4" xfId="14149" xr:uid="{63953720-10EC-4643-9AEE-69438185FB2A}"/>
    <cellStyle name="Comma 5 3 2 2 7" xfId="6602" xr:uid="{98B5AC0E-D832-4D8B-A0D5-351EC6061F08}"/>
    <cellStyle name="Comma 5 3 2 2 7 2" xfId="28195" xr:uid="{263BDD9F-C289-4B89-BC07-2907BA8F8736}"/>
    <cellStyle name="Comma 5 3 2 2 7 3" xfId="26026" xr:uid="{1E22E622-71C9-4916-8A9F-4FB5D10C03E0}"/>
    <cellStyle name="Comma 5 3 2 2 7 4" xfId="16982" xr:uid="{F96EF380-ECEA-4B8A-B4D9-F0425A7C9CFC}"/>
    <cellStyle name="Comma 5 3 2 2 8" xfId="9435" xr:uid="{112738C0-1CC2-44AE-AF8B-F23ECC39055F}"/>
    <cellStyle name="Comma 5 3 2 2 8 2" xfId="19815" xr:uid="{49B65756-72B0-4442-A8AC-48CA29401AB9}"/>
    <cellStyle name="Comma 5 3 2 2 9" xfId="23279" xr:uid="{EA252DCF-1D4A-43F0-A927-AF12D7AE13F8}"/>
    <cellStyle name="Comma 5 3 2 3" xfId="1601" xr:uid="{00000000-0005-0000-0000-0000F6010000}"/>
    <cellStyle name="Comma 5 3 2 3 2" xfId="3017" xr:uid="{00000000-0005-0000-0000-000097010000}"/>
    <cellStyle name="Comma 5 3 2 3 2 2" xfId="6159" xr:uid="{61D413E5-DB6E-492C-8B47-02BFADD98E21}"/>
    <cellStyle name="Comma 5 3 2 3 2 2 2" xfId="25667" xr:uid="{ECD3007B-AB55-4924-8E44-EED1B3DC4895}"/>
    <cellStyle name="Comma 5 3 2 3 2 2 2 2" xfId="26049" xr:uid="{36AB2384-EEB9-48E6-9997-4A4F24685914}"/>
    <cellStyle name="Comma 5 3 2 3 2 2 2 3" xfId="31162" xr:uid="{6B1BD7C4-2E44-416A-8483-EDEB32572E10}"/>
    <cellStyle name="Comma 5 3 2 3 2 2 3" xfId="28228" xr:uid="{63A53D60-5E09-4E12-ACDB-9B7AC43BF2CD}"/>
    <cellStyle name="Comma 5 3 2 3 2 2 4" xfId="15644" xr:uid="{EFA7C0C6-9201-495A-A865-995833A44D24}"/>
    <cellStyle name="Comma 5 3 2 3 2 3" xfId="8097" xr:uid="{B86FB38A-9BC1-4484-8EA8-4961DCEEA2B6}"/>
    <cellStyle name="Comma 5 3 2 3 2 3 2" xfId="28779" xr:uid="{8E8F1AE3-0968-4CC5-8846-550B57BF6B4B}"/>
    <cellStyle name="Comma 5 3 2 3 2 3 3" xfId="26722" xr:uid="{0D322364-39A8-470B-B24C-D568B9D2FEC7}"/>
    <cellStyle name="Comma 5 3 2 3 2 3 4" xfId="18477" xr:uid="{E0830030-E6EA-49BD-9317-AC595E66A444}"/>
    <cellStyle name="Comma 5 3 2 3 2 4" xfId="10930" xr:uid="{FE919D4E-E0F3-474A-AE0E-73AD100D68B2}"/>
    <cellStyle name="Comma 5 3 2 3 2 4 2" xfId="21310" xr:uid="{40EFF97C-5646-4488-A410-46C0045165E4}"/>
    <cellStyle name="Comma 5 3 2 3 2 5" xfId="24028" xr:uid="{CD10D5B4-473A-4837-9D31-ADDEF8B2B89E}"/>
    <cellStyle name="Comma 5 3 2 3 2 6" xfId="13520" xr:uid="{F2D4A119-DAE8-4320-9336-1EC7D87368E9}"/>
    <cellStyle name="Comma 5 3 2 3 3" xfId="2666" xr:uid="{00000000-0005-0000-0000-000096010000}"/>
    <cellStyle name="Comma 5 3 2 3 3 2" xfId="7790" xr:uid="{9AACB940-3DD7-460F-BF72-CB1198BE3E42}"/>
    <cellStyle name="Comma 5 3 2 3 3 2 2" xfId="28428" xr:uid="{1023DED4-034C-46C0-85AC-E55C64504142}"/>
    <cellStyle name="Comma 5 3 2 3 3 2 3" xfId="27883" xr:uid="{0134A244-51A5-4514-91B5-7BF4B14291DF}"/>
    <cellStyle name="Comma 5 3 2 3 3 2 4" xfId="18170" xr:uid="{CD83C855-375E-42AB-82A6-EC06AC3537AF}"/>
    <cellStyle name="Comma 5 3 2 3 3 3" xfId="10623" xr:uid="{7D0E0F47-584A-4397-86E5-2949A996BB3E}"/>
    <cellStyle name="Comma 5 3 2 3 3 3 2" xfId="21003" xr:uid="{ADF39D8E-AE79-4AB7-AD70-FF8655E0AFED}"/>
    <cellStyle name="Comma 5 3 2 3 3 4" xfId="25383" xr:uid="{D656B3E5-9EF2-4DD3-BA23-B63C217627B7}"/>
    <cellStyle name="Comma 5 3 2 3 3 5" xfId="15337" xr:uid="{893B97A2-BE70-498A-8C77-CAFC1444F47C}"/>
    <cellStyle name="Comma 5 3 2 3 4" xfId="3611" xr:uid="{00000000-0005-0000-0000-0000F6010000}"/>
    <cellStyle name="Comma 5 3 2 3 5" xfId="4251" xr:uid="{44E3EAE7-C7AC-466B-AE28-FC315EF010FC}"/>
    <cellStyle name="Comma 5 3 2 3 5 2" xfId="9023" xr:uid="{889AFE3D-6BB3-4C48-92E0-0E45863380EE}"/>
    <cellStyle name="Comma 5 3 2 3 5 2 2" xfId="19403" xr:uid="{E5D4D153-2C86-4B7D-9F94-8A5AD69EF39D}"/>
    <cellStyle name="Comma 5 3 2 3 5 2 3" xfId="31027" xr:uid="{DE62BA68-8C4C-4A75-84AA-7F79DFE185D2}"/>
    <cellStyle name="Comma 5 3 2 3 5 2 4" xfId="30665" xr:uid="{40E91CE9-FAE0-4A4A-BB16-C0782A9D60D7}"/>
    <cellStyle name="Comma 5 3 2 3 5 3" xfId="11856" xr:uid="{DADCD709-37B4-4618-B5FD-4AE2F0C1050E}"/>
    <cellStyle name="Comma 5 3 2 3 5 3 2" xfId="22236" xr:uid="{CB66ED33-56C5-423C-9D31-29B86F28C6AA}"/>
    <cellStyle name="Comma 5 3 2 3 5 4" xfId="16570" xr:uid="{C5B36E00-2B2E-4003-81E3-B89E0D229188}"/>
    <cellStyle name="Comma 5 3 2 3 6" xfId="5548" xr:uid="{B675D260-A30F-4DB2-8CCD-E217F8346325}"/>
    <cellStyle name="Comma 5 3 2 3 6 2" xfId="29718" xr:uid="{E2CF8A21-A49D-4062-A218-0B7CB0D745A6}"/>
    <cellStyle name="Comma 5 3 2 3 6 2 2" xfId="30957" xr:uid="{8F8C2ECC-CE5A-415D-A9CD-A9A3EDB1C7F9}"/>
    <cellStyle name="Comma 5 3 2 3 7" xfId="25269" xr:uid="{3CB50019-DC2C-4BE2-BB7E-167334EBA095}"/>
    <cellStyle name="Comma 5 3 2 3 8" xfId="13067" xr:uid="{C7A9DA37-CC33-48B6-8AFD-0CC48BE10F24}"/>
    <cellStyle name="Comma 5 3 2 4" xfId="1602" xr:uid="{00000000-0005-0000-0000-0000F7010000}"/>
    <cellStyle name="Comma 5 3 2 4 2" xfId="3018" xr:uid="{00000000-0005-0000-0000-000098010000}"/>
    <cellStyle name="Comma 5 3 2 4 2 2" xfId="8098" xr:uid="{C7649695-9281-40EA-BB91-55CC922A7359}"/>
    <cellStyle name="Comma 5 3 2 4 2 2 2" xfId="28780" xr:uid="{73990E74-1063-4255-A950-145D40281FFC}"/>
    <cellStyle name="Comma 5 3 2 4 2 2 2 2" xfId="31215" xr:uid="{C3151A16-BBA8-47F1-A872-2F3F10860F06}"/>
    <cellStyle name="Comma 5 3 2 4 2 2 2 3" xfId="30667" xr:uid="{1B5DB8C6-AAB9-479C-98EA-E8DAB47A0D09}"/>
    <cellStyle name="Comma 5 3 2 4 2 2 3" xfId="28348" xr:uid="{6684CE6F-2062-42C8-A041-7C5C9ADAC89D}"/>
    <cellStyle name="Comma 5 3 2 4 2 2 4" xfId="18478" xr:uid="{A58B8445-4EA5-4F14-B674-E98BB3523479}"/>
    <cellStyle name="Comma 5 3 2 4 2 3" xfId="10931" xr:uid="{170AFC33-D754-4BB6-ADAD-71308ACC902B}"/>
    <cellStyle name="Comma 5 3 2 4 2 3 2" xfId="21311" xr:uid="{382608E5-F476-4240-AC66-B91D74DE86B0}"/>
    <cellStyle name="Comma 5 3 2 4 2 4" xfId="25771" xr:uid="{732E71AD-9C09-4D82-AB83-AE567D70BE03}"/>
    <cellStyle name="Comma 5 3 2 4 2 5" xfId="15645" xr:uid="{CDBE3585-32BB-4492-839A-0E8CFA0B33E5}"/>
    <cellStyle name="Comma 5 3 2 4 3" xfId="2155" xr:uid="{00000000-0005-0000-0000-0000F7010000}"/>
    <cellStyle name="Comma 5 3 2 4 4" xfId="4393" xr:uid="{A11BE978-7C2A-4394-B26B-C7F4156424D0}"/>
    <cellStyle name="Comma 5 3 2 4 4 2" xfId="9165" xr:uid="{ABCD93B8-6116-4838-BC4E-BD3F86BD9464}"/>
    <cellStyle name="Comma 5 3 2 4 4 2 2" xfId="19545" xr:uid="{7303CAFF-93EF-4D28-99B6-A7799A67C027}"/>
    <cellStyle name="Comma 5 3 2 4 4 2 3" xfId="31059" xr:uid="{266785F0-BEB9-43B7-A016-7C4C3192ADB9}"/>
    <cellStyle name="Comma 5 3 2 4 4 2 4" xfId="30666" xr:uid="{3AD4EE4D-9551-418A-A0B9-356D5465EE87}"/>
    <cellStyle name="Comma 5 3 2 4 4 3" xfId="11998" xr:uid="{F2C5D82A-3446-44EE-ADA2-622A64BC7972}"/>
    <cellStyle name="Comma 5 3 2 4 4 3 2" xfId="22378" xr:uid="{D3A438AE-22B9-4BF7-9A7E-B7A500B209C5}"/>
    <cellStyle name="Comma 5 3 2 4 4 4" xfId="16712" xr:uid="{688E38BA-6390-4979-8098-4A0E3F26AF46}"/>
    <cellStyle name="Comma 5 3 2 4 5" xfId="5549" xr:uid="{24FE49EC-6989-4913-AFE3-094A4DA83C58}"/>
    <cellStyle name="Comma 5 3 2 4 5 2" xfId="29935" xr:uid="{33DA0D6C-2126-4F0E-A5AD-154CF23F8B14}"/>
    <cellStyle name="Comma 5 3 2 4 5 2 2" xfId="30958" xr:uid="{B6288167-F3EF-48C0-9EAE-9F49B165C7FC}"/>
    <cellStyle name="Comma 5 3 2 4 6" xfId="23774" xr:uid="{CCFD7A9C-E3C1-4C88-93AF-DC3BE8DD6499}"/>
    <cellStyle name="Comma 5 3 2 4 7" xfId="13521" xr:uid="{2C9F4BCD-5F48-4543-A7F2-D47531FE48C9}"/>
    <cellStyle name="Comma 5 3 2 5" xfId="1597" xr:uid="{00000000-0005-0000-0000-0000F8010000}"/>
    <cellStyle name="Comma 5 3 2 5 2" xfId="3013" xr:uid="{00000000-0005-0000-0000-000099010000}"/>
    <cellStyle name="Comma 5 3 2 5 2 2" xfId="8093" xr:uid="{C79E0C8B-DE33-4890-BAA4-05C189D1E714}"/>
    <cellStyle name="Comma 5 3 2 5 2 2 2" xfId="18473" xr:uid="{7EF0285E-B82D-4ADC-AE91-8D0851496857}"/>
    <cellStyle name="Comma 5 3 2 5 2 3" xfId="10926" xr:uid="{A9FFAA07-10E2-4625-9206-79875381F6C4}"/>
    <cellStyle name="Comma 5 3 2 5 2 3 2" xfId="21306" xr:uid="{3ABF3A2F-5123-4D62-A035-B10E9ECD90ED}"/>
    <cellStyle name="Comma 5 3 2 5 2 4" xfId="28563" xr:uid="{0471347A-EF47-40DE-B68E-DDD0854A5373}"/>
    <cellStyle name="Comma 5 3 2 5 2 5" xfId="27095" xr:uid="{58216308-30EB-43DB-A323-330DCF8340DF}"/>
    <cellStyle name="Comma 5 3 2 5 2 6" xfId="15640" xr:uid="{A31B7C43-EE6B-4F45-9CDF-31D1101A763E}"/>
    <cellStyle name="Comma 5 3 2 5 3" xfId="3629" xr:uid="{00000000-0005-0000-0000-0000F8010000}"/>
    <cellStyle name="Comma 5 3 2 5 4" xfId="5544" xr:uid="{FAF9A496-4265-4C3D-953B-05827F327311}"/>
    <cellStyle name="Comma 5 3 2 5 4 2" xfId="29932" xr:uid="{25AF1F10-0E1C-4936-BC83-2F9C841885FC}"/>
    <cellStyle name="Comma 5 3 2 5 5" xfId="24469" xr:uid="{AFB6647A-227D-41B4-B74F-6277070C58F5}"/>
    <cellStyle name="Comma 5 3 2 5 6" xfId="13516" xr:uid="{8580C680-8BC7-47F0-9872-44A355965C65}"/>
    <cellStyle name="Comma 5 3 2 6" xfId="2546" xr:uid="{00000000-0005-0000-0000-00009A010000}"/>
    <cellStyle name="Comma 5 3 2 6 2" xfId="5818" xr:uid="{B42CD3E3-B5A0-4D7F-8ED6-F0A83CF718C6}"/>
    <cellStyle name="Comma 5 3 2 6 2 2" xfId="28226" xr:uid="{A3F780B0-638F-4FD6-864E-68C5B39D6DCA}"/>
    <cellStyle name="Comma 5 3 2 6 2 2 2" xfId="31204" xr:uid="{53FEDC8F-7233-40C0-B6A8-00E9C84B4D91}"/>
    <cellStyle name="Comma 5 3 2 6 2 2 3" xfId="30668" xr:uid="{55A9D467-3BFB-4E0E-9EC3-17611FFA3CE0}"/>
    <cellStyle name="Comma 5 3 2 6 2 3" xfId="26315" xr:uid="{B534AB36-6FE0-4D08-B9F6-3B18A67C9BC7}"/>
    <cellStyle name="Comma 5 3 2 6 2 4" xfId="15218" xr:uid="{19F8B05B-7B1B-413C-8AEF-99A00CA1990A}"/>
    <cellStyle name="Comma 5 3 2 6 3" xfId="7671" xr:uid="{B119D217-FEE9-4F39-9C46-B07449B1D556}"/>
    <cellStyle name="Comma 5 3 2 6 3 2" xfId="18051" xr:uid="{8137A127-67FA-4FC0-9A4B-CF57A49A2EA3}"/>
    <cellStyle name="Comma 5 3 2 6 4" xfId="10504" xr:uid="{AFE80641-2117-4BB7-8F7D-9121896F10AB}"/>
    <cellStyle name="Comma 5 3 2 6 4 2" xfId="20884" xr:uid="{2522E95E-9C3D-499A-8E4E-9A06D5634F9F}"/>
    <cellStyle name="Comma 5 3 2 6 5" xfId="22987" xr:uid="{49B7F587-D701-4986-A250-A409BE3237B0}"/>
    <cellStyle name="Comma 5 3 2 6 6" xfId="12934" xr:uid="{5B135D3C-09AD-4E30-BB6B-60138CF8FFB5}"/>
    <cellStyle name="Comma 5 3 2 7" xfId="2240" xr:uid="{00000000-0005-0000-0000-000090010000}"/>
    <cellStyle name="Comma 5 3 2 7 2" xfId="7367" xr:uid="{EBB7595B-8065-4FFE-912A-3A960CFAF648}"/>
    <cellStyle name="Comma 5 3 2 7 2 2" xfId="17747" xr:uid="{F4A253BF-AA6D-44B8-88D2-5771908DBA10}"/>
    <cellStyle name="Comma 5 3 2 7 3" xfId="10200" xr:uid="{08E08A14-B7D5-4DC3-8546-79A2B7CA1538}"/>
    <cellStyle name="Comma 5 3 2 7 3 2" xfId="20580" xr:uid="{19789572-D886-48F5-AF6F-5C39143B76A0}"/>
    <cellStyle name="Comma 5 3 2 7 4" xfId="25551" xr:uid="{3905059D-883A-43CF-8FD1-2A2577249EE8}"/>
    <cellStyle name="Comma 5 3 2 7 5" xfId="27770" xr:uid="{5536DCEE-0E1D-4E26-B20B-64C6BD9A4356}"/>
    <cellStyle name="Comma 5 3 2 7 6" xfId="14914" xr:uid="{39D80824-8F21-4CB3-9694-DB4CEDD343F5}"/>
    <cellStyle name="Comma 5 3 2 8" xfId="3793" xr:uid="{819F03ED-7C8B-456D-823F-A9502DAE0057}"/>
    <cellStyle name="Comma 5 3 2 8 2" xfId="8629" xr:uid="{E4B0903F-6E6F-4A8E-B1B9-EE2A8455EE72}"/>
    <cellStyle name="Comma 5 3 2 8 2 2" xfId="19009" xr:uid="{8DB4F203-1121-416C-B01F-9F2B947A4396}"/>
    <cellStyle name="Comma 5 3 2 8 3" xfId="11462" xr:uid="{A35D6D00-4B8A-4B1E-8343-7C9D122B4970}"/>
    <cellStyle name="Comma 5 3 2 8 3 2" xfId="21842" xr:uid="{7A10F71C-48B8-4D48-B76C-C08E02C7E26E}"/>
    <cellStyle name="Comma 5 3 2 8 4" xfId="26924" xr:uid="{81ED6D7E-DED7-4A6D-950B-948283FEF26C}"/>
    <cellStyle name="Comma 5 3 2 8 5" xfId="27135" xr:uid="{FA637432-DA40-4BB9-A677-FFE8F7735C16}"/>
    <cellStyle name="Comma 5 3 2 8 6" xfId="16176" xr:uid="{22A43F48-9D88-40D3-91A0-EBEB420A8735}"/>
    <cellStyle name="Comma 5 3 2 9" xfId="4856" xr:uid="{D5470E20-D035-4D15-BFDA-251B57D6DBDA}"/>
    <cellStyle name="Comma 5 3 2 9 2" xfId="14148" xr:uid="{3FA9249D-3FC7-4517-AC59-94301A61B933}"/>
    <cellStyle name="Comma 5 3 3" xfId="464" xr:uid="{00000000-0005-0000-0000-0000F9010000}"/>
    <cellStyle name="Comma 5 3 3 10" xfId="9436" xr:uid="{21C97C8C-6484-4207-9292-8BAD5BA7D5B0}"/>
    <cellStyle name="Comma 5 3 3 10 2" xfId="19816" xr:uid="{DC75FED8-810B-4248-890D-5DD7BA087CF4}"/>
    <cellStyle name="Comma 5 3 3 11" xfId="22999" xr:uid="{EF9388E6-D73B-48FD-8E97-5A2B90364689}"/>
    <cellStyle name="Comma 5 3 3 12" xfId="12505" xr:uid="{69B7EA0F-CE62-4329-AF05-BA99CE648FEA}"/>
    <cellStyle name="Comma 5 3 3 2" xfId="1604" xr:uid="{00000000-0005-0000-0000-0000FA010000}"/>
    <cellStyle name="Comma 5 3 3 2 2" xfId="3020" xr:uid="{00000000-0005-0000-0000-00009D010000}"/>
    <cellStyle name="Comma 5 3 3 2 2 2" xfId="6160" xr:uid="{F0378657-A031-41C3-8F41-6A3B1C9D7262}"/>
    <cellStyle name="Comma 5 3 3 2 2 2 2" xfId="24487" xr:uid="{83A5BCE7-FA93-4046-B93F-7DBF3B6AB5B0}"/>
    <cellStyle name="Comma 5 3 3 2 2 2 2 2" xfId="28429" xr:uid="{736DE6AB-161D-4636-A9C4-28D443D12817}"/>
    <cellStyle name="Comma 5 3 3 2 2 2 2 3" xfId="31153" xr:uid="{E1BB7096-EC90-4029-B5A7-0FAD42F4C98A}"/>
    <cellStyle name="Comma 5 3 3 2 2 2 3" xfId="25862" xr:uid="{EF41CB2E-81DC-4902-9327-C9A51BC071F7}"/>
    <cellStyle name="Comma 5 3 3 2 2 2 4" xfId="15647" xr:uid="{C0FB2A2C-4C20-4F64-9D84-D761A735928E}"/>
    <cellStyle name="Comma 5 3 3 2 2 3" xfId="8100" xr:uid="{B2675BE1-25A0-44ED-A687-FABA010D7052}"/>
    <cellStyle name="Comma 5 3 3 2 2 3 2" xfId="28782" xr:uid="{CD187FE2-8FC9-4015-BA37-C9208C8B8BCD}"/>
    <cellStyle name="Comma 5 3 3 2 2 3 3" xfId="27515" xr:uid="{A9561C34-DD72-4C66-8DF2-57C9CBED73B7}"/>
    <cellStyle name="Comma 5 3 3 2 2 3 4" xfId="18480" xr:uid="{79D6A84A-3C44-4127-B3BE-F560C8722588}"/>
    <cellStyle name="Comma 5 3 3 2 2 4" xfId="10933" xr:uid="{FC1448B2-004C-4E12-9A63-CEFA1F59C4C9}"/>
    <cellStyle name="Comma 5 3 3 2 2 4 2" xfId="21313" xr:uid="{7117E778-8A37-419F-9809-286168CEAAF0}"/>
    <cellStyle name="Comma 5 3 3 2 2 5" xfId="24861" xr:uid="{B51606ED-93C3-4546-96D3-BF8C0BF40DBF}"/>
    <cellStyle name="Comma 5 3 3 2 2 6" xfId="13523" xr:uid="{D52808DA-9BA2-40FA-B25F-1CE8A6D6144A}"/>
    <cellStyle name="Comma 5 3 3 2 3" xfId="2668" xr:uid="{00000000-0005-0000-0000-00009C010000}"/>
    <cellStyle name="Comma 5 3 3 2 3 2" xfId="7792" xr:uid="{BA0259BC-20EC-4EC6-A19B-378E2BF4E5BD}"/>
    <cellStyle name="Comma 5 3 3 2 3 2 2" xfId="26041" xr:uid="{6782B069-944B-4921-902D-DAC3C150A5C8}"/>
    <cellStyle name="Comma 5 3 3 2 3 2 3" xfId="27403" xr:uid="{AB192F4A-9390-4A16-84D9-2950F8504D98}"/>
    <cellStyle name="Comma 5 3 3 2 3 2 4" xfId="18172" xr:uid="{D16734CC-6C0E-4BC9-A5A0-189B1E08715C}"/>
    <cellStyle name="Comma 5 3 3 2 3 3" xfId="10625" xr:uid="{32D673C7-F16B-40F9-AC5C-B8145FC66C24}"/>
    <cellStyle name="Comma 5 3 3 2 3 3 2" xfId="21005" xr:uid="{B3228333-204B-4211-857B-61CFE09A4DD0}"/>
    <cellStyle name="Comma 5 3 3 2 3 4" xfId="24832" xr:uid="{E9D5CFD3-D44C-4075-AD3A-C62EE31B5ADB}"/>
    <cellStyle name="Comma 5 3 3 2 3 5" xfId="15339" xr:uid="{2B66F20E-EAA4-4812-8730-8E1672063F27}"/>
    <cellStyle name="Comma 5 3 3 2 4" xfId="3581" xr:uid="{00000000-0005-0000-0000-0000FA010000}"/>
    <cellStyle name="Comma 5 3 3 2 5" xfId="4253" xr:uid="{A5CF6D28-9ECD-4973-BC14-8B113A41CBB2}"/>
    <cellStyle name="Comma 5 3 3 2 5 2" xfId="9025" xr:uid="{81DA8887-A952-4CB5-B5A0-720526160502}"/>
    <cellStyle name="Comma 5 3 3 2 5 2 2" xfId="19405" xr:uid="{9F87F3FB-8163-420F-AF07-B1B25D8E6B97}"/>
    <cellStyle name="Comma 5 3 3 2 5 2 3" xfId="31029" xr:uid="{C0D2D35F-E7B3-441D-B8A9-807C30CBF4A0}"/>
    <cellStyle name="Comma 5 3 3 2 5 2 4" xfId="30670" xr:uid="{17AF4E78-0E6D-4FCF-AFAC-0D2D6FE5164D}"/>
    <cellStyle name="Comma 5 3 3 2 5 3" xfId="11858" xr:uid="{39BC5741-8C7C-4596-95A7-4B99CB39F1EF}"/>
    <cellStyle name="Comma 5 3 3 2 5 3 2" xfId="22238" xr:uid="{02B4F7AC-9C43-4DF6-B35E-A78401953B0E}"/>
    <cellStyle name="Comma 5 3 3 2 5 4" xfId="26577" xr:uid="{715E5C5C-3872-4D4B-8066-80917DA2B00F}"/>
    <cellStyle name="Comma 5 3 3 2 5 5" xfId="26522" xr:uid="{DD64C3BF-EB63-4953-9816-A8B3F2938B93}"/>
    <cellStyle name="Comma 5 3 3 2 5 6" xfId="16572" xr:uid="{C7F6F558-EB37-4FA6-8D0D-9C76D89D3C31}"/>
    <cellStyle name="Comma 5 3 3 2 6" xfId="5551" xr:uid="{4187F2AE-FC25-459C-94F0-C08F8C49EAB6}"/>
    <cellStyle name="Comma 5 3 3 2 6 2" xfId="29719" xr:uid="{96A1D024-8268-4E76-B2EC-700DAF216034}"/>
    <cellStyle name="Comma 5 3 3 2 6 2 2" xfId="30959" xr:uid="{DAE0FF1E-EF08-43F3-A73C-BAA7B7306C91}"/>
    <cellStyle name="Comma 5 3 3 2 7" xfId="23667" xr:uid="{91BF73DA-EC0B-44F2-A377-D678D1D931C6}"/>
    <cellStyle name="Comma 5 3 3 2 8" xfId="13069" xr:uid="{5A1B561C-420F-4222-BE17-44FB8D23587F}"/>
    <cellStyle name="Comma 5 3 3 3" xfId="1605" xr:uid="{00000000-0005-0000-0000-0000FB010000}"/>
    <cellStyle name="Comma 5 3 3 3 2" xfId="3021" xr:uid="{00000000-0005-0000-0000-00009E010000}"/>
    <cellStyle name="Comma 5 3 3 3 2 2" xfId="8101" xr:uid="{71351A0E-9600-4E72-9840-11F6678BBA7E}"/>
    <cellStyle name="Comma 5 3 3 3 2 2 2" xfId="28783" xr:uid="{9AF95032-FDC7-426E-9FA5-3DDF7531EC3F}"/>
    <cellStyle name="Comma 5 3 3 3 2 2 3" xfId="27359" xr:uid="{AF8FC180-40A7-4467-8461-0F02DD4D3C6E}"/>
    <cellStyle name="Comma 5 3 3 3 2 2 4" xfId="18481" xr:uid="{BAF314CE-CF4C-437D-A00F-570FFE58EC30}"/>
    <cellStyle name="Comma 5 3 3 3 2 3" xfId="10934" xr:uid="{9B76D318-B1E9-436A-B992-2D64252C7AAD}"/>
    <cellStyle name="Comma 5 3 3 3 2 3 2" xfId="21314" xr:uid="{AE67A613-5087-430B-B428-D0B0FF8BF451}"/>
    <cellStyle name="Comma 5 3 3 3 2 4" xfId="25807" xr:uid="{2996B49C-510E-4B6E-8C70-DF8541473783}"/>
    <cellStyle name="Comma 5 3 3 3 2 5" xfId="15648" xr:uid="{439D8AF1-C819-4298-9444-E5ED4AB96272}"/>
    <cellStyle name="Comma 5 3 3 3 3" xfId="2055" xr:uid="{00000000-0005-0000-0000-0000FB010000}"/>
    <cellStyle name="Comma 5 3 3 3 4" xfId="4394" xr:uid="{E89B999B-B3E7-4A73-B66A-50781482C73F}"/>
    <cellStyle name="Comma 5 3 3 3 4 2" xfId="9166" xr:uid="{0A5DB9DD-14BB-4F28-A06E-2A646C46ABCE}"/>
    <cellStyle name="Comma 5 3 3 3 4 2 2" xfId="19546" xr:uid="{581AD4F7-33A4-49D4-A773-0A7A76E058D0}"/>
    <cellStyle name="Comma 5 3 3 3 4 2 3" xfId="31060" xr:uid="{4C1E76E2-FBC7-4E4E-BC49-BD83C1CFD7C0}"/>
    <cellStyle name="Comma 5 3 3 3 4 2 4" xfId="30671" xr:uid="{8927AF79-460F-4196-92BC-16D0CE048F72}"/>
    <cellStyle name="Comma 5 3 3 3 4 3" xfId="11999" xr:uid="{ECEED630-A621-4A01-985D-EC78683A2B49}"/>
    <cellStyle name="Comma 5 3 3 3 4 3 2" xfId="22379" xr:uid="{8BB66300-1C6C-4C6D-A151-2182056A2E3F}"/>
    <cellStyle name="Comma 5 3 3 3 4 4" xfId="16713" xr:uid="{F9F95F45-93EF-40F5-AC66-AD859F54452C}"/>
    <cellStyle name="Comma 5 3 3 3 5" xfId="5552" xr:uid="{852AF332-CD15-420F-91F8-CD9F12875AF9}"/>
    <cellStyle name="Comma 5 3 3 3 5 2" xfId="29699" xr:uid="{81B28F9D-8AA9-4910-9A48-4EE65C1022E0}"/>
    <cellStyle name="Comma 5 3 3 3 6" xfId="24382" xr:uid="{6D46F744-F4D0-4A9F-9F98-39B09CFF4FD0}"/>
    <cellStyle name="Comma 5 3 3 3 7" xfId="13524" xr:uid="{40CE92C6-202E-42EA-AB24-0F2B6A178776}"/>
    <cellStyle name="Comma 5 3 3 4" xfId="1603" xr:uid="{00000000-0005-0000-0000-0000FC010000}"/>
    <cellStyle name="Comma 5 3 3 4 2" xfId="3019" xr:uid="{00000000-0005-0000-0000-00009F010000}"/>
    <cellStyle name="Comma 5 3 3 4 2 2" xfId="8099" xr:uid="{544E758B-4173-4486-A0FD-B7C1D5A3EED0}"/>
    <cellStyle name="Comma 5 3 3 4 2 2 2" xfId="28781" xr:uid="{A34ACBBC-9EE0-472C-9E4A-0F0C3102D445}"/>
    <cellStyle name="Comma 5 3 3 4 2 2 3" xfId="26393" xr:uid="{8094F510-7D49-4500-B375-D05024E145D1}"/>
    <cellStyle name="Comma 5 3 3 4 2 2 4" xfId="18479" xr:uid="{DE0004DC-80FC-462D-ADDF-B69BDB1B718B}"/>
    <cellStyle name="Comma 5 3 3 4 2 3" xfId="10932" xr:uid="{B25731BD-804C-4A9E-94AD-51A601972723}"/>
    <cellStyle name="Comma 5 3 3 4 2 3 2" xfId="21312" xr:uid="{63806544-5C9C-47C4-A9F0-C8C812469FC6}"/>
    <cellStyle name="Comma 5 3 3 4 2 4" xfId="24979" xr:uid="{DD48F4C4-F4A9-4991-A28A-CF8D24A7DB4B}"/>
    <cellStyle name="Comma 5 3 3 4 2 5" xfId="15646" xr:uid="{A4823BE1-F88F-4F66-8ABE-6DCF50AEBAD5}"/>
    <cellStyle name="Comma 5 3 3 4 3" xfId="3704" xr:uid="{00000000-0005-0000-0000-0000FC010000}"/>
    <cellStyle name="Comma 5 3 3 4 4" xfId="5550" xr:uid="{5EA18817-182A-4DFF-8D89-0C3B4AD4769E}"/>
    <cellStyle name="Comma 5 3 3 4 4 2" xfId="29936" xr:uid="{F801DD17-8BA2-4F48-B19F-F2110F15120C}"/>
    <cellStyle name="Comma 5 3 3 4 5" xfId="22784" xr:uid="{28BD268A-AF7A-4331-B04E-590DC67114E4}"/>
    <cellStyle name="Comma 5 3 3 4 6" xfId="13522" xr:uid="{D513B4F0-EF6D-4187-B69B-9D767B48BF27}"/>
    <cellStyle name="Comma 5 3 3 5" xfId="2589" xr:uid="{00000000-0005-0000-0000-0000A0010000}"/>
    <cellStyle name="Comma 5 3 3 5 2" xfId="5854" xr:uid="{F93E9B1A-A474-44AD-9395-8F643A337802}"/>
    <cellStyle name="Comma 5 3 3 5 2 2" xfId="28752" xr:uid="{AD7343D1-0323-418F-966B-5DFEE866B907}"/>
    <cellStyle name="Comma 5 3 3 5 2 3" xfId="28710" xr:uid="{DBB1E1D6-6DF3-4BDF-8453-31841EAB8F09}"/>
    <cellStyle name="Comma 5 3 3 5 2 4" xfId="15261" xr:uid="{C78FEB5F-3916-4BD9-B5FF-ADF57A710E6D}"/>
    <cellStyle name="Comma 5 3 3 5 3" xfId="7714" xr:uid="{81760B78-A9B0-4018-A496-74E26CE4CD25}"/>
    <cellStyle name="Comma 5 3 3 5 3 2" xfId="18094" xr:uid="{BCD8DF04-D3F8-4C0A-8D37-D472ED1AA488}"/>
    <cellStyle name="Comma 5 3 3 5 4" xfId="10547" xr:uid="{8670A055-8060-4167-93CD-3AAB90DF24CC}"/>
    <cellStyle name="Comma 5 3 3 5 4 2" xfId="20927" xr:uid="{493FCFEE-0696-4A32-8BAC-C911CA24105A}"/>
    <cellStyle name="Comma 5 3 3 5 5" xfId="25161" xr:uid="{F2723F95-640E-438A-8BEA-F437A339DAA5}"/>
    <cellStyle name="Comma 5 3 3 5 6" xfId="12977" xr:uid="{C6C066F2-0406-4047-A8EC-2FB91660F9AE}"/>
    <cellStyle name="Comma 5 3 3 6" xfId="2273" xr:uid="{00000000-0005-0000-0000-00009B010000}"/>
    <cellStyle name="Comma 5 3 3 6 2" xfId="7400" xr:uid="{FAB0EE96-DD8A-40E2-B692-599100EC51FB}"/>
    <cellStyle name="Comma 5 3 3 6 2 2" xfId="17780" xr:uid="{0F830196-7FD9-443B-B78A-D7133708C2FC}"/>
    <cellStyle name="Comma 5 3 3 6 3" xfId="10233" xr:uid="{67535CCC-4C98-40AE-B35C-FD216819F253}"/>
    <cellStyle name="Comma 5 3 3 6 3 2" xfId="20613" xr:uid="{2D325197-2147-4F08-912E-F2E8AA980477}"/>
    <cellStyle name="Comma 5 3 3 6 4" xfId="23544" xr:uid="{1042610D-7F33-4480-B089-520213FF025D}"/>
    <cellStyle name="Comma 5 3 3 6 5" xfId="27225" xr:uid="{B1BAB9D3-0C62-4C88-849A-8A400AC682EA}"/>
    <cellStyle name="Comma 5 3 3 6 6" xfId="14947" xr:uid="{AB5082DF-CE94-4F51-916D-22419B9D714A}"/>
    <cellStyle name="Comma 5 3 3 7" xfId="3812" xr:uid="{BC3C2040-D90E-4060-AED6-93DE29ED2268}"/>
    <cellStyle name="Comma 5 3 3 7 2" xfId="8646" xr:uid="{71EDDCD3-CC4F-4D95-B169-0A01B59DB261}"/>
    <cellStyle name="Comma 5 3 3 7 2 2" xfId="19026" xr:uid="{175A5B1F-63F3-43FA-9B65-558145EB4872}"/>
    <cellStyle name="Comma 5 3 3 7 2 3" xfId="31003" xr:uid="{5E573AEF-FC93-4A83-AC2B-6937BAD6C83E}"/>
    <cellStyle name="Comma 5 3 3 7 2 4" xfId="30669" xr:uid="{F7EA0D66-97C4-40F3-A931-FCFE523E7601}"/>
    <cellStyle name="Comma 5 3 3 7 3" xfId="11479" xr:uid="{EAD417FE-C5D1-4E96-857A-95331B6CD7F4}"/>
    <cellStyle name="Comma 5 3 3 7 3 2" xfId="21859" xr:uid="{D52723FC-C70A-485A-891B-DE707F47651B}"/>
    <cellStyle name="Comma 5 3 3 7 4" xfId="27876" xr:uid="{8C26BB6C-E7A8-4A15-AC6D-0A61A02A7810}"/>
    <cellStyle name="Comma 5 3 3 7 5" xfId="27704" xr:uid="{2A29C485-21F3-42A8-B796-D0BF79DF086E}"/>
    <cellStyle name="Comma 5 3 3 7 6" xfId="16193" xr:uid="{26DB009D-FA95-4A62-A9AC-DBEF575AF7B8}"/>
    <cellStyle name="Comma 5 3 3 8" xfId="4858" xr:uid="{1DAA2A46-40FE-4552-920E-DD12D41D0ABB}"/>
    <cellStyle name="Comma 5 3 3 8 2" xfId="14150" xr:uid="{0EA1FB59-CBD9-436C-BF4A-2E2AF687C5E1}"/>
    <cellStyle name="Comma 5 3 3 9" xfId="6603" xr:uid="{35DA5AA4-DCFA-4B61-A537-26CFA0B983D5}"/>
    <cellStyle name="Comma 5 3 3 9 2" xfId="16983" xr:uid="{383A706C-65B6-4384-93C8-AEA46C24A694}"/>
    <cellStyle name="Comma 5 3 4" xfId="465" xr:uid="{00000000-0005-0000-0000-0000FD010000}"/>
    <cellStyle name="Comma 5 3 4 10" xfId="12663" xr:uid="{E3A457C5-1DC6-4D31-B493-CEB14676FFE2}"/>
    <cellStyle name="Comma 5 3 4 2" xfId="1607" xr:uid="{00000000-0005-0000-0000-0000FE010000}"/>
    <cellStyle name="Comma 5 3 4 2 2" xfId="3022" xr:uid="{00000000-0005-0000-0000-0000A2010000}"/>
    <cellStyle name="Comma 5 3 4 2 2 2" xfId="8102" xr:uid="{0331F688-59BC-4FE3-B4ED-DBDE87F225FE}"/>
    <cellStyle name="Comma 5 3 4 2 2 2 2" xfId="28784" xr:uid="{6A7DE4A5-9E82-4180-A907-2CFB72549A4D}"/>
    <cellStyle name="Comma 5 3 4 2 2 2 3" xfId="27842" xr:uid="{A8F0501A-D808-4877-8417-EE54528C2650}"/>
    <cellStyle name="Comma 5 3 4 2 2 2 4" xfId="18482" xr:uid="{3BD662D0-16FB-49C2-BF66-E642E1206413}"/>
    <cellStyle name="Comma 5 3 4 2 2 3" xfId="10935" xr:uid="{B20721C7-DD83-4D5E-95AF-810D14072C7F}"/>
    <cellStyle name="Comma 5 3 4 2 2 3 2" xfId="21315" xr:uid="{4C747FC6-9EE2-4CFE-A9AA-C0B508C14E23}"/>
    <cellStyle name="Comma 5 3 4 2 2 4" xfId="22881" xr:uid="{88E6124C-4E8C-4A16-949E-CBE25C6106E4}"/>
    <cellStyle name="Comma 5 3 4 2 2 5" xfId="15649" xr:uid="{D90D7B85-E6F5-4A2B-97FA-EA362F3F6127}"/>
    <cellStyle name="Comma 5 3 4 2 3" xfId="3596" xr:uid="{00000000-0005-0000-0000-0000FE010000}"/>
    <cellStyle name="Comma 5 3 4 2 4" xfId="5553" xr:uid="{35E0FB29-70AE-49EE-AD4C-77EC9E6EEAEA}"/>
    <cellStyle name="Comma 5 3 4 2 4 2" xfId="29937" xr:uid="{F7D8417D-86B8-44F3-8192-B6ED212C1704}"/>
    <cellStyle name="Comma 5 3 4 2 5" xfId="22938" xr:uid="{582C414B-198D-4637-B347-4B42CEFBB74A}"/>
    <cellStyle name="Comma 5 3 4 2 6" xfId="13525" xr:uid="{D84DC151-B278-47F9-B950-3A81B18250F8}"/>
    <cellStyle name="Comma 5 3 4 3" xfId="1608" xr:uid="{00000000-0005-0000-0000-0000FF010000}"/>
    <cellStyle name="Comma 5 3 4 3 2" xfId="2665" xr:uid="{00000000-0005-0000-0000-0000A3010000}"/>
    <cellStyle name="Comma 5 3 4 3 2 2" xfId="7789" xr:uid="{8AA74F61-6495-4F7E-A39B-B89DFF004744}"/>
    <cellStyle name="Comma 5 3 4 3 2 2 2" xfId="18169" xr:uid="{0E429779-8103-4747-B43C-F6EBCB513CD7}"/>
    <cellStyle name="Comma 5 3 4 3 2 3" xfId="10622" xr:uid="{A45B6330-0CC5-40C8-A69D-6E85EF031BC0}"/>
    <cellStyle name="Comma 5 3 4 3 2 3 2" xfId="21002" xr:uid="{2F0E2A0C-09FF-4E44-858C-81BB4579D738}"/>
    <cellStyle name="Comma 5 3 4 3 2 4" xfId="28634" xr:uid="{CE7A6B10-8A87-4297-BEC1-DA9E42555B67}"/>
    <cellStyle name="Comma 5 3 4 3 2 5" xfId="27180" xr:uid="{046E0A85-377B-433E-A7F9-442127F24884}"/>
    <cellStyle name="Comma 5 3 4 3 2 6" xfId="15336" xr:uid="{0FA2FB61-1314-4E5D-8D6A-EFBD4F4D6146}"/>
    <cellStyle name="Comma 5 3 4 3 3" xfId="2864" xr:uid="{00000000-0005-0000-0000-0000FF010000}"/>
    <cellStyle name="Comma 5 3 4 3 4" xfId="5554" xr:uid="{4D8E9BD3-63C9-4A5A-A1CD-7F725C1BEB6C}"/>
    <cellStyle name="Comma 5 3 4 3 4 2" xfId="29892" xr:uid="{28B005BD-8B7C-45F5-88C2-4C22FDFB4F10}"/>
    <cellStyle name="Comma 5 3 4 3 5" xfId="22739" xr:uid="{F2E0233A-5D31-42C9-8526-FBEE444B357C}"/>
    <cellStyle name="Comma 5 3 4 3 6" xfId="13066" xr:uid="{3A9E7DDA-C199-40C1-A7A4-35AB462E9097}"/>
    <cellStyle name="Comma 5 3 4 4" xfId="1606" xr:uid="{00000000-0005-0000-0000-000000020000}"/>
    <cellStyle name="Comma 5 3 4 4 2" xfId="4651" xr:uid="{3114D812-06FF-427C-8717-B5A3AE78D681}"/>
    <cellStyle name="Comma 5 3 4 4 2 2" xfId="9404" xr:uid="{755A4772-9956-4090-86E0-B56777673956}"/>
    <cellStyle name="Comma 5 3 4 4 2 2 2" xfId="19784" xr:uid="{7E46F6B6-485C-498F-B613-E1BEAF63E804}"/>
    <cellStyle name="Comma 5 3 4 4 2 3" xfId="12237" xr:uid="{AF7D70A5-A9E3-4116-AC18-EF98F134E557}"/>
    <cellStyle name="Comma 5 3 4 4 2 3 2" xfId="22617" xr:uid="{684292E3-A794-4384-9C3E-1EE9BE35DE1E}"/>
    <cellStyle name="Comma 5 3 4 4 2 4" xfId="16951" xr:uid="{080785A3-86CC-4292-8712-52952C8DFA39}"/>
    <cellStyle name="Comma 5 3 4 4 3" xfId="23069" xr:uid="{E1AC5A32-0335-49F7-8FAA-551698E3F7C0}"/>
    <cellStyle name="Comma 5 3 4 5" xfId="4120" xr:uid="{50AC6762-96F6-4507-990A-01F8DAFEBCCF}"/>
    <cellStyle name="Comma 5 3 4 5 2" xfId="8892" xr:uid="{568733DA-31B9-473C-B8A9-922D2E52570C}"/>
    <cellStyle name="Comma 5 3 4 5 2 2" xfId="19272" xr:uid="{4A7D6035-9E3D-47C7-8510-0B6ABD285CE8}"/>
    <cellStyle name="Comma 5 3 4 5 2 3" xfId="31006" xr:uid="{652E968E-D3FA-4707-B01D-97094D6B1424}"/>
    <cellStyle name="Comma 5 3 4 5 2 4" xfId="30672" xr:uid="{4E2D6263-25F4-463D-94D3-1CFE66A370DC}"/>
    <cellStyle name="Comma 5 3 4 5 3" xfId="11725" xr:uid="{DBFF6D81-ADC5-48C1-98D0-A780BD9804B3}"/>
    <cellStyle name="Comma 5 3 4 5 3 2" xfId="22105" xr:uid="{DC651E95-936F-4B8A-9A96-1B6E764FEFB6}"/>
    <cellStyle name="Comma 5 3 4 5 4" xfId="26229" xr:uid="{DE9C6979-592B-4537-ABBE-3101AFB3908B}"/>
    <cellStyle name="Comma 5 3 4 5 5" xfId="27930" xr:uid="{A867C619-3AC0-4C8E-BC10-124D5F1A6923}"/>
    <cellStyle name="Comma 5 3 4 5 6" xfId="16439" xr:uid="{65CAFCD8-BCF5-48B5-A2F6-7B51FAB9BE2C}"/>
    <cellStyle name="Comma 5 3 4 6" xfId="4859" xr:uid="{9A11D7C7-2F2C-4554-B860-DA57FB9EC9B5}"/>
    <cellStyle name="Comma 5 3 4 6 2" xfId="14151" xr:uid="{03648C94-FD9A-4DAD-908E-CDC4D8281447}"/>
    <cellStyle name="Comma 5 3 4 7" xfId="6604" xr:uid="{B417F8B8-E539-4FE6-92B7-7D34C566A5B1}"/>
    <cellStyle name="Comma 5 3 4 7 2" xfId="16984" xr:uid="{0B3709B3-08A6-4B88-B474-2A383A7BD0EE}"/>
    <cellStyle name="Comma 5 3 4 8" xfId="9437" xr:uid="{CEA750C3-DF05-411F-9FD7-5AC383E5B8BD}"/>
    <cellStyle name="Comma 5 3 4 8 2" xfId="19817" xr:uid="{56B0C3E0-9D69-47D7-A834-6A8D51E2137E}"/>
    <cellStyle name="Comma 5 3 4 9" xfId="25174" xr:uid="{5AA03A37-5A4A-404D-A0C2-D2A1B9AEEB9F}"/>
    <cellStyle name="Comma 5 3 5" xfId="1609" xr:uid="{00000000-0005-0000-0000-000001020000}"/>
    <cellStyle name="Comma 5 3 5 2" xfId="3023" xr:uid="{00000000-0005-0000-0000-0000A4010000}"/>
    <cellStyle name="Comma 5 3 5 2 2" xfId="8103" xr:uid="{758D0A3D-DAE7-44D0-A070-611359FDD246}"/>
    <cellStyle name="Comma 5 3 5 2 2 2" xfId="28785" xr:uid="{9062B341-5510-4E13-B903-2662C3340177}"/>
    <cellStyle name="Comma 5 3 5 2 2 2 2" xfId="31216" xr:uid="{4560F66A-A4EC-44A6-90F1-5DA7986E04EA}"/>
    <cellStyle name="Comma 5 3 5 2 2 2 3" xfId="30674" xr:uid="{DCC66FAA-4E41-4EFB-9B03-216E82F99718}"/>
    <cellStyle name="Comma 5 3 5 2 2 3" xfId="25941" xr:uid="{FBBCB61A-313E-4E94-8410-0262FF9D8802}"/>
    <cellStyle name="Comma 5 3 5 2 2 4" xfId="18483" xr:uid="{C080EA8A-3A8F-4907-904E-D727E657353D}"/>
    <cellStyle name="Comma 5 3 5 2 3" xfId="10936" xr:uid="{56CC6414-4972-4AFC-A6DD-34C624E1B419}"/>
    <cellStyle name="Comma 5 3 5 2 3 2" xfId="21316" xr:uid="{C2F48BB0-9443-4B3E-AD42-19FA47EAB766}"/>
    <cellStyle name="Comma 5 3 5 2 4" xfId="25664" xr:uid="{11363C39-2A83-45E4-A831-F7C2468C73A4}"/>
    <cellStyle name="Comma 5 3 5 2 5" xfId="15650" xr:uid="{D87C9E01-C85F-4ED0-9A81-B5F7E31832ED}"/>
    <cellStyle name="Comma 5 3 5 3" xfId="3602" xr:uid="{00000000-0005-0000-0000-000001020000}"/>
    <cellStyle name="Comma 5 3 5 4" xfId="4395" xr:uid="{2AAD49C6-F25C-4FEE-BC85-F6DD7FF6AC65}"/>
    <cellStyle name="Comma 5 3 5 4 2" xfId="9167" xr:uid="{8D231905-9E5A-4AD9-8620-5F84B5A7C17C}"/>
    <cellStyle name="Comma 5 3 5 4 2 2" xfId="19547" xr:uid="{5C116791-A505-459C-8E6E-EA12199F8041}"/>
    <cellStyle name="Comma 5 3 5 4 2 3" xfId="31061" xr:uid="{157988F9-5057-414A-B1C6-730F9F4629FF}"/>
    <cellStyle name="Comma 5 3 5 4 2 4" xfId="30673" xr:uid="{BC30637A-9309-45D6-B3EA-4136BB8A9DA2}"/>
    <cellStyle name="Comma 5 3 5 4 3" xfId="12000" xr:uid="{B917A9A5-B207-4ACF-929B-2989CF6C2283}"/>
    <cellStyle name="Comma 5 3 5 4 3 2" xfId="22380" xr:uid="{38E7E0D5-7429-44F4-AFB3-38229BE78DFC}"/>
    <cellStyle name="Comma 5 3 5 4 4" xfId="16714" xr:uid="{175FEC41-7C4F-471D-B879-5DCA32C7206B}"/>
    <cellStyle name="Comma 5 3 5 5" xfId="5555" xr:uid="{C0DE5202-95C0-4D16-83EC-A289F96C16FA}"/>
    <cellStyle name="Comma 5 3 5 5 2" xfId="29688" xr:uid="{F9F675D5-8113-4588-A3AE-224FC6F06B9F}"/>
    <cellStyle name="Comma 5 3 5 5 2 2" xfId="30960" xr:uid="{7875E500-DBEB-4CA4-AF12-2A9373028ADD}"/>
    <cellStyle name="Comma 5 3 5 6" xfId="25007" xr:uid="{6FD117B5-253E-4683-980E-CE6A211B6540}"/>
    <cellStyle name="Comma 5 3 5 7" xfId="13526" xr:uid="{0312A79F-B65F-46C8-9C32-2363B1DFCD16}"/>
    <cellStyle name="Comma 5 3 6" xfId="1610" xr:uid="{00000000-0005-0000-0000-000002020000}"/>
    <cellStyle name="Comma 5 3 6 2" xfId="2868" xr:uid="{00000000-0005-0000-0000-0000A5010000}"/>
    <cellStyle name="Comma 5 3 6 2 2" xfId="7985" xr:uid="{6C75DD22-BAC2-43AF-A1DF-B913CA37946C}"/>
    <cellStyle name="Comma 5 3 6 2 2 2" xfId="27297" xr:uid="{550C79C4-424A-402D-A115-80536B730495}"/>
    <cellStyle name="Comma 5 3 6 2 2 2 2" xfId="31189" xr:uid="{2214C770-FEBD-4FB2-8153-96FA46F9B13C}"/>
    <cellStyle name="Comma 5 3 6 2 2 2 3" xfId="30675" xr:uid="{70A150DB-6F83-42B0-A715-A16026A0644F}"/>
    <cellStyle name="Comma 5 3 6 2 2 3" xfId="26651" xr:uid="{0FA4C828-FE98-48CD-B312-BE8BE8001D66}"/>
    <cellStyle name="Comma 5 3 6 2 2 4" xfId="18365" xr:uid="{D688AB4A-C9EF-46F0-BFAB-28181B29323E}"/>
    <cellStyle name="Comma 5 3 6 2 3" xfId="10818" xr:uid="{5DC9755E-65C5-48DE-8CB9-8D8B044123B9}"/>
    <cellStyle name="Comma 5 3 6 2 3 2" xfId="21198" xr:uid="{E32A3CCE-3D50-4B57-AC37-E959EA59D368}"/>
    <cellStyle name="Comma 5 3 6 2 4" xfId="24165" xr:uid="{98256179-2AFA-4BBD-AF1C-2212B824FFBB}"/>
    <cellStyle name="Comma 5 3 6 2 5" xfId="15532" xr:uid="{8772BB40-D294-4585-963C-C800C2298ABE}"/>
    <cellStyle name="Comma 5 3 6 3" xfId="2057" xr:uid="{00000000-0005-0000-0000-000002020000}"/>
    <cellStyle name="Comma 5 3 6 4" xfId="5556" xr:uid="{C05D109D-6652-4B9A-B615-B29DAFDDCF9C}"/>
    <cellStyle name="Comma 5 3 6 4 2" xfId="29921" xr:uid="{C51E7046-954C-4FA0-81CA-3ABC12CDE141}"/>
    <cellStyle name="Comma 5 3 6 5" xfId="25228" xr:uid="{35AD5475-35E1-4B46-B4D5-98072003B9E3}"/>
    <cellStyle name="Comma 5 3 6 6" xfId="13361" xr:uid="{637BCB59-9FD8-453A-8DE5-CAC6E29F7DE5}"/>
    <cellStyle name="Comma 5 3 7" xfId="1596" xr:uid="{00000000-0005-0000-0000-000003020000}"/>
    <cellStyle name="Comma 5 3 7 2" xfId="2486" xr:uid="{00000000-0005-0000-0000-0000A6010000}"/>
    <cellStyle name="Comma 5 3 7 2 2" xfId="7611" xr:uid="{8429CEE5-936D-468A-822B-C4CC7D55E6F9}"/>
    <cellStyle name="Comma 5 3 7 2 2 2" xfId="17991" xr:uid="{5B549C2E-BFBF-46F3-8BC1-EC8F7DEC457C}"/>
    <cellStyle name="Comma 5 3 7 2 3" xfId="10444" xr:uid="{76E73FD1-063B-40AC-AC21-F2235F1DFC88}"/>
    <cellStyle name="Comma 5 3 7 2 3 2" xfId="20824" xr:uid="{4ECD8354-400C-4E94-BA8D-F1178449204C}"/>
    <cellStyle name="Comma 5 3 7 2 4" xfId="26880" xr:uid="{1CD15196-0267-4571-B546-85F3A9E5E4A2}"/>
    <cellStyle name="Comma 5 3 7 2 5" xfId="26994" xr:uid="{38242EE3-63CD-40FA-A09A-C1D97EB7E08D}"/>
    <cellStyle name="Comma 5 3 7 2 6" xfId="15158" xr:uid="{6AAB141B-DDBB-4B37-83CD-94D3952143BF}"/>
    <cellStyle name="Comma 5 3 7 3" xfId="3610" xr:uid="{00000000-0005-0000-0000-000003020000}"/>
    <cellStyle name="Comma 5 3 7 4" xfId="5543" xr:uid="{FF6B865B-76D6-4913-99E7-9488269AFAE4}"/>
    <cellStyle name="Comma 5 3 7 4 2" xfId="29868" xr:uid="{148AE6C6-3C9E-4E6D-95C0-D85C88EDADA5}"/>
    <cellStyle name="Comma 5 3 7 5" xfId="23169" xr:uid="{F2189D89-1652-4A6C-9C40-0E90C543D6E8}"/>
    <cellStyle name="Comma 5 3 7 6" xfId="12874" xr:uid="{09689B8C-3687-4CBB-AD02-AA18D1CD2591}"/>
    <cellStyle name="Comma 5 3 8" xfId="2180" xr:uid="{00000000-0005-0000-0000-00008F010000}"/>
    <cellStyle name="Comma 5 3 8 2" xfId="7307" xr:uid="{A52BF028-91EB-4672-BDCF-61C1BA0F6877}"/>
    <cellStyle name="Comma 5 3 8 2 2" xfId="17687" xr:uid="{3A25C420-D2EC-4CD9-8BAB-5F879B622CC1}"/>
    <cellStyle name="Comma 5 3 8 2 2 2" xfId="31121" xr:uid="{CF07C3AB-2C4D-472D-BC21-58F5BE798A45}"/>
    <cellStyle name="Comma 5 3 8 2 2 3" xfId="30676" xr:uid="{DD5071D3-B176-4A5E-B3EE-C9BC5649DD83}"/>
    <cellStyle name="Comma 5 3 8 3" xfId="10140" xr:uid="{6B2EA7A1-3C2A-469B-8FBD-27E70E7CA9FE}"/>
    <cellStyle name="Comma 5 3 8 3 2" xfId="20520" xr:uid="{821C99FD-689E-4A20-B7AA-25477B773790}"/>
    <cellStyle name="Comma 5 3 8 4" xfId="22786" xr:uid="{FCA71F4A-E844-45E6-B2A5-C25112314239}"/>
    <cellStyle name="Comma 5 3 8 5" xfId="28213" xr:uid="{6C4B6CBB-763E-4914-B3F5-4DE7E806DCA7}"/>
    <cellStyle name="Comma 5 3 8 6" xfId="14854" xr:uid="{0EFEE67B-54B6-4A44-9DAA-EAEAD63C43FD}"/>
    <cellStyle name="Comma 5 3 9" xfId="3860" xr:uid="{BD759C4A-C152-4D28-9136-4603EA7965D9}"/>
    <cellStyle name="Comma 5 3 9 2" xfId="8692" xr:uid="{2B3ED32A-7A08-4245-9A73-AA5797EFF1F5}"/>
    <cellStyle name="Comma 5 3 9 2 2" xfId="19072" xr:uid="{D8803375-2527-4510-BBD5-2D9A262E6CFC}"/>
    <cellStyle name="Comma 5 3 9 3" xfId="11525" xr:uid="{28CB0750-B495-4B8B-8162-0152EE2FC7D8}"/>
    <cellStyle name="Comma 5 3 9 3 2" xfId="21905" xr:uid="{129315D9-8AD4-42D6-8C58-A3FC0B5BCC16}"/>
    <cellStyle name="Comma 5 3 9 4" xfId="26470" xr:uid="{59683E98-A4F8-461D-8F11-FDDDDAF3320A}"/>
    <cellStyle name="Comma 5 3 9 5" xfId="26002" xr:uid="{8F1D2142-D936-4E2D-8BC4-16790819D8E1}"/>
    <cellStyle name="Comma 5 3 9 6" xfId="16239" xr:uid="{5BA957D4-5450-4E3C-BD98-81AE95564B85}"/>
    <cellStyle name="Comma 5 4" xfId="466" xr:uid="{00000000-0005-0000-0000-000004020000}"/>
    <cellStyle name="Comma 5 4 10" xfId="4860" xr:uid="{1D48C26C-529B-472F-9FD3-5BF62F1AEC33}"/>
    <cellStyle name="Comma 5 4 10 2" xfId="14152" xr:uid="{E3D512D4-630F-41EE-A9BB-E6B82CC22B4C}"/>
    <cellStyle name="Comma 5 4 11" xfId="6605" xr:uid="{A57298B7-5099-4365-B724-03702B5CFDF7}"/>
    <cellStyle name="Comma 5 4 11 2" xfId="16985" xr:uid="{B493B554-1F48-4913-A55F-6DAE801F5DFA}"/>
    <cellStyle name="Comma 5 4 12" xfId="9438" xr:uid="{8F6A6276-7F5B-4793-A0A0-363AB0CF308E}"/>
    <cellStyle name="Comma 5 4 12 2" xfId="19818" xr:uid="{16298050-3149-4BAC-98F6-74F4689F4960}"/>
    <cellStyle name="Comma 5 4 13" xfId="24743" xr:uid="{BC77B1D8-AA73-45EC-B2D0-5CB99A3F84A7}"/>
    <cellStyle name="Comma 5 4 14" xfId="12446" xr:uid="{B6172012-8C99-44AE-8F12-79EBD00E31F0}"/>
    <cellStyle name="Comma 5 4 2" xfId="467" xr:uid="{00000000-0005-0000-0000-000005020000}"/>
    <cellStyle name="Comma 5 4 2 10" xfId="9439" xr:uid="{9179DD7C-FF76-4128-A4F8-FEC06C341DEF}"/>
    <cellStyle name="Comma 5 4 2 10 2" xfId="19819" xr:uid="{B10C79F5-1CE0-4412-B278-2A8BC4FAE3C2}"/>
    <cellStyle name="Comma 5 4 2 11" xfId="23092" xr:uid="{4FE24631-C7D7-4F33-BAC0-3B827083DC9F}"/>
    <cellStyle name="Comma 5 4 2 12" xfId="12506" xr:uid="{2952C624-78DA-4836-AC75-424E492B18E4}"/>
    <cellStyle name="Comma 5 4 2 2" xfId="468" xr:uid="{00000000-0005-0000-0000-000006020000}"/>
    <cellStyle name="Comma 5 4 2 2 10" xfId="13071" xr:uid="{F679514C-B4BA-43DC-83B3-A529B99A07B5}"/>
    <cellStyle name="Comma 5 4 2 2 2" xfId="1614" xr:uid="{00000000-0005-0000-0000-000007020000}"/>
    <cellStyle name="Comma 5 4 2 2 2 2" xfId="3025" xr:uid="{00000000-0005-0000-0000-0000AA010000}"/>
    <cellStyle name="Comma 5 4 2 2 2 2 2" xfId="8105" xr:uid="{EA20ED8E-EC4F-4A46-90AC-980EE3AE3BA5}"/>
    <cellStyle name="Comma 5 4 2 2 2 2 2 2" xfId="28787" xr:uid="{2BBE52B5-D896-4E59-847F-74A30D6B9169}"/>
    <cellStyle name="Comma 5 4 2 2 2 2 2 3" xfId="26232" xr:uid="{FB64F316-FCE4-479A-B3CF-2801908AE5FC}"/>
    <cellStyle name="Comma 5 4 2 2 2 2 2 4" xfId="18485" xr:uid="{F935C9F6-EC71-439E-84C9-0F96AEEE17E2}"/>
    <cellStyle name="Comma 5 4 2 2 2 2 3" xfId="10938" xr:uid="{FE22D365-3292-4297-961D-1F55EABBF6B9}"/>
    <cellStyle name="Comma 5 4 2 2 2 2 3 2" xfId="21318" xr:uid="{C7299ECD-40A9-45CF-9F05-3286C1E437F1}"/>
    <cellStyle name="Comma 5 4 2 2 2 2 4" xfId="25738" xr:uid="{82C15EC4-AA15-4183-B53D-1323C89E1F7D}"/>
    <cellStyle name="Comma 5 4 2 2 2 2 5" xfId="15652" xr:uid="{62961680-01A7-4209-8590-52B26877995D}"/>
    <cellStyle name="Comma 5 4 2 2 2 3" xfId="2043" xr:uid="{00000000-0005-0000-0000-000007020000}"/>
    <cellStyle name="Comma 5 4 2 2 2 4" xfId="5559" xr:uid="{9B0E2C47-CA6A-4D5E-AD71-7458A8ABD26C}"/>
    <cellStyle name="Comma 5 4 2 2 2 4 2" xfId="29939" xr:uid="{E77E4B37-1023-473D-B823-A966092B7334}"/>
    <cellStyle name="Comma 5 4 2 2 2 5" xfId="23454" xr:uid="{6CD4595C-6861-4235-BA54-68DDDAE0C84C}"/>
    <cellStyle name="Comma 5 4 2 2 2 6" xfId="13528" xr:uid="{D0D933B0-ECB4-4725-B67B-EFE6C27B71B3}"/>
    <cellStyle name="Comma 5 4 2 2 3" xfId="1615" xr:uid="{00000000-0005-0000-0000-000008020000}"/>
    <cellStyle name="Comma 5 4 2 2 3 2" xfId="4633" xr:uid="{029813EF-0C19-4030-B37D-0A57A3B96EDC}"/>
    <cellStyle name="Comma 5 4 2 2 3 2 2" xfId="9400" xr:uid="{83FFACF2-BD4E-4875-950A-D929986B00C4}"/>
    <cellStyle name="Comma 5 4 2 2 3 2 2 2" xfId="19780" xr:uid="{7082B909-59D5-4F20-A285-AEA2FBDD5040}"/>
    <cellStyle name="Comma 5 4 2 2 3 2 3" xfId="12233" xr:uid="{19779298-5525-44F8-A001-D7530121B6CB}"/>
    <cellStyle name="Comma 5 4 2 2 3 2 3 2" xfId="22613" xr:uid="{2262B76A-4056-4500-B9E7-4300D0C9C3F4}"/>
    <cellStyle name="Comma 5 4 2 2 3 2 4" xfId="27764" xr:uid="{E7C85F02-B2A7-4DB9-9E73-482C42434E54}"/>
    <cellStyle name="Comma 5 4 2 2 3 2 5" xfId="26258" xr:uid="{D5E448E2-BF3B-40D1-A378-066099C8B329}"/>
    <cellStyle name="Comma 5 4 2 2 3 2 6" xfId="16947" xr:uid="{B4372306-01C5-4D82-9FED-E99CCB459B53}"/>
    <cellStyle name="Comma 5 4 2 2 3 3" xfId="22704" xr:uid="{1D5236FC-9549-4EA0-81BD-CE1B9C468209}"/>
    <cellStyle name="Comma 5 4 2 2 3 3 2" xfId="29895" xr:uid="{F005C7EF-F97C-4135-81B0-7BB5D359B727}"/>
    <cellStyle name="Comma 5 4 2 2 3 4" xfId="30010" xr:uid="{BEF40FD6-867C-4F0E-B7D5-D2A9EEDAE25F}"/>
    <cellStyle name="Comma 5 4 2 2 4" xfId="1613" xr:uid="{00000000-0005-0000-0000-000009020000}"/>
    <cellStyle name="Comma 5 4 2 2 4 2" xfId="26903" xr:uid="{8B3A6ADC-228E-48ED-A885-CFF25D8A396D}"/>
    <cellStyle name="Comma 5 4 2 2 4 3" xfId="26323" xr:uid="{F4B2F6D5-A474-46A9-8F94-8D112600F312}"/>
    <cellStyle name="Comma 5 4 2 2 5" xfId="4255" xr:uid="{94E6B12B-8FC1-4DE0-B083-4FDCE28DDC27}"/>
    <cellStyle name="Comma 5 4 2 2 5 2" xfId="9027" xr:uid="{15CA4CCE-3BB0-40ED-8350-10E15D7F217D}"/>
    <cellStyle name="Comma 5 4 2 2 5 2 2" xfId="19407" xr:uid="{12ADC1E7-AA36-4E16-8615-6B7923E98D5B}"/>
    <cellStyle name="Comma 5 4 2 2 5 2 3" xfId="31031" xr:uid="{B6F58660-A39C-4763-8A43-9C253FD9994C}"/>
    <cellStyle name="Comma 5 4 2 2 5 2 4" xfId="30677" xr:uid="{3DD2E12D-D946-4D8E-BE9E-BC2E33A64C5A}"/>
    <cellStyle name="Comma 5 4 2 2 5 3" xfId="11860" xr:uid="{1E83BF6E-F781-4EA4-9237-AFFDA5387236}"/>
    <cellStyle name="Comma 5 4 2 2 5 3 2" xfId="22240" xr:uid="{92533BAA-0FD6-449E-9104-0CCCCCDB50AE}"/>
    <cellStyle name="Comma 5 4 2 2 5 4" xfId="26563" xr:uid="{C1BA1425-9E76-4A22-B3D6-4072D9002CB3}"/>
    <cellStyle name="Comma 5 4 2 2 5 5" xfId="28269" xr:uid="{388DF011-908B-4433-81A3-9DCA9F6C3536}"/>
    <cellStyle name="Comma 5 4 2 2 5 6" xfId="16574" xr:uid="{209BCF79-AF66-48F7-8274-BD45D9F2383A}"/>
    <cellStyle name="Comma 5 4 2 2 6" xfId="4862" xr:uid="{67D8F83A-0B26-4F7B-AAF7-0C8E2228640D}"/>
    <cellStyle name="Comma 5 4 2 2 6 2" xfId="26183" xr:uid="{A5EC4C71-2369-4370-9963-12B6E20FE564}"/>
    <cellStyle name="Comma 5 4 2 2 6 3" xfId="27952" xr:uid="{D5ADD2F5-6B62-496C-8D67-B4D8D8DC522E}"/>
    <cellStyle name="Comma 5 4 2 2 6 4" xfId="14154" xr:uid="{EFEF7F03-CF64-4C12-9D8E-B48412366F48}"/>
    <cellStyle name="Comma 5 4 2 2 7" xfId="6607" xr:uid="{C1715601-8BE8-41E4-ADDE-C4400BF2EB67}"/>
    <cellStyle name="Comma 5 4 2 2 7 2" xfId="16987" xr:uid="{1226F693-D9D5-4E31-A85E-7784024A14B2}"/>
    <cellStyle name="Comma 5 4 2 2 8" xfId="9440" xr:uid="{A1302C41-E495-4C14-A8F8-16B8C36D8361}"/>
    <cellStyle name="Comma 5 4 2 2 8 2" xfId="19820" xr:uid="{679229E6-8636-4656-A26D-59C01348E6E8}"/>
    <cellStyle name="Comma 5 4 2 2 9" xfId="23422" xr:uid="{0924F89F-6F52-491C-A22E-589ABCC42D44}"/>
    <cellStyle name="Comma 5 4 2 3" xfId="1616" xr:uid="{00000000-0005-0000-0000-00000A020000}"/>
    <cellStyle name="Comma 5 4 2 3 2" xfId="3026" xr:uid="{00000000-0005-0000-0000-0000AB010000}"/>
    <cellStyle name="Comma 5 4 2 3 2 2" xfId="8106" xr:uid="{EED70E13-BE7B-4678-A41B-45C9E7272B29}"/>
    <cellStyle name="Comma 5 4 2 3 2 2 2" xfId="28788" xr:uid="{AB6D42C7-2029-46F9-A52C-A3AD957F5CBD}"/>
    <cellStyle name="Comma 5 4 2 3 2 2 2 2" xfId="31217" xr:uid="{D2B06BC6-FAB0-4DD2-A415-01FA1A682016}"/>
    <cellStyle name="Comma 5 4 2 3 2 2 2 3" xfId="30679" xr:uid="{6F17634A-C656-4BDE-ABDE-631F7F98A05E}"/>
    <cellStyle name="Comma 5 4 2 3 2 2 3" xfId="26815" xr:uid="{E641B174-FC80-447B-982B-FA1085F2F6B7}"/>
    <cellStyle name="Comma 5 4 2 3 2 2 4" xfId="18486" xr:uid="{7F9BCBB4-471B-4EA5-ADB7-A80F22D43026}"/>
    <cellStyle name="Comma 5 4 2 3 2 3" xfId="10939" xr:uid="{236309D7-0030-4FCF-8B49-451F53A7D494}"/>
    <cellStyle name="Comma 5 4 2 3 2 3 2" xfId="21319" xr:uid="{B4F1412B-A567-476F-83CE-DB2ACE05D08D}"/>
    <cellStyle name="Comma 5 4 2 3 2 4" xfId="24432" xr:uid="{EA06F90E-5982-41EE-92F2-0499DA4964BE}"/>
    <cellStyle name="Comma 5 4 2 3 2 5" xfId="15653" xr:uid="{B71C47D4-217C-469B-96C3-F1EB6C84FF9D}"/>
    <cellStyle name="Comma 5 4 2 3 3" xfId="3552" xr:uid="{00000000-0005-0000-0000-00000A020000}"/>
    <cellStyle name="Comma 5 4 2 3 4" xfId="4396" xr:uid="{C0798F50-EF80-4A20-93E0-006CA9D829A0}"/>
    <cellStyle name="Comma 5 4 2 3 4 2" xfId="9168" xr:uid="{43042E25-CB5C-47C2-A2F4-011280BF9103}"/>
    <cellStyle name="Comma 5 4 2 3 4 2 2" xfId="19548" xr:uid="{7DFCC59E-0E17-4AAC-931C-0D01EF511EE0}"/>
    <cellStyle name="Comma 5 4 2 3 4 2 3" xfId="31062" xr:uid="{D3CF83B4-480B-415E-AF73-CCC5FA70C824}"/>
    <cellStyle name="Comma 5 4 2 3 4 2 4" xfId="30678" xr:uid="{10FA5DDB-8E66-4A39-BFBF-D09CDB0960E7}"/>
    <cellStyle name="Comma 5 4 2 3 4 3" xfId="12001" xr:uid="{EC3C3287-2360-484C-92DF-E17AF91AB05A}"/>
    <cellStyle name="Comma 5 4 2 3 4 3 2" xfId="22381" xr:uid="{299460AF-281C-432E-A179-83F2322EFBE0}"/>
    <cellStyle name="Comma 5 4 2 3 4 4" xfId="16715" xr:uid="{7045EF56-7D75-4AB4-8BBA-A5D1B01F2501}"/>
    <cellStyle name="Comma 5 4 2 3 5" xfId="5560" xr:uid="{97604BB0-D113-4C21-BD40-6821A10747B4}"/>
    <cellStyle name="Comma 5 4 2 3 5 2" xfId="29689" xr:uid="{9F3CE6F8-799E-4FBC-A9D4-FAF867C49683}"/>
    <cellStyle name="Comma 5 4 2 3 5 2 2" xfId="30961" xr:uid="{F99190AE-028F-4301-BB9F-1110E074192D}"/>
    <cellStyle name="Comma 5 4 2 3 6" xfId="25082" xr:uid="{760031E4-17F9-4F60-B100-A75C80B388CD}"/>
    <cellStyle name="Comma 5 4 2 3 7" xfId="13529" xr:uid="{8971C047-6B78-4A98-8661-AE1EE4AFAEC6}"/>
    <cellStyle name="Comma 5 4 2 4" xfId="1617" xr:uid="{00000000-0005-0000-0000-00000B020000}"/>
    <cellStyle name="Comma 5 4 2 4 2" xfId="3024" xr:uid="{00000000-0005-0000-0000-0000AC010000}"/>
    <cellStyle name="Comma 5 4 2 4 2 2" xfId="8104" xr:uid="{CD7F43E1-A195-453F-9428-67A5367ED0FC}"/>
    <cellStyle name="Comma 5 4 2 4 2 2 2" xfId="28786" xr:uid="{893EDE12-C789-440E-A5E6-D2E446A43108}"/>
    <cellStyle name="Comma 5 4 2 4 2 2 3" xfId="27938" xr:uid="{D41DA84E-62FD-4DDD-8FE1-59B1FC86080B}"/>
    <cellStyle name="Comma 5 4 2 4 2 2 4" xfId="18484" xr:uid="{969D78BF-FFA2-482B-BE51-E2B15457F2AC}"/>
    <cellStyle name="Comma 5 4 2 4 2 3" xfId="10937" xr:uid="{36D20D32-6922-4DAF-9FFF-D1128DCFE3B0}"/>
    <cellStyle name="Comma 5 4 2 4 2 3 2" xfId="21317" xr:uid="{E6D73F05-1AC7-4415-88AD-F7BFA622E7FD}"/>
    <cellStyle name="Comma 5 4 2 4 2 4" xfId="25402" xr:uid="{D6E0E10F-5AE4-4958-B643-36CC7186385B}"/>
    <cellStyle name="Comma 5 4 2 4 2 5" xfId="15651" xr:uid="{AAD24CF7-75F3-477B-BD9F-FD99901C31B7}"/>
    <cellStyle name="Comma 5 4 2 4 3" xfId="2091" xr:uid="{00000000-0005-0000-0000-00000B020000}"/>
    <cellStyle name="Comma 5 4 2 4 4" xfId="5561" xr:uid="{367EBB3B-9A5D-4E70-8502-526CC8EEFD64}"/>
    <cellStyle name="Comma 5 4 2 4 4 2" xfId="29938" xr:uid="{397CB543-DEA8-462F-98D6-8A7C5CBC8C95}"/>
    <cellStyle name="Comma 5 4 2 4 5" xfId="25452" xr:uid="{A78836C0-9C3F-4A71-9865-3E134F9F9869}"/>
    <cellStyle name="Comma 5 4 2 4 6" xfId="13527" xr:uid="{7C2D413A-7D28-492A-AC1F-190E04F2DCC2}"/>
    <cellStyle name="Comma 5 4 2 5" xfId="1612" xr:uid="{00000000-0005-0000-0000-00000C020000}"/>
    <cellStyle name="Comma 5 4 2 5 2" xfId="2520" xr:uid="{00000000-0005-0000-0000-0000AD010000}"/>
    <cellStyle name="Comma 5 4 2 5 2 2" xfId="7645" xr:uid="{2F7DA5C6-9586-4F5D-AE68-7CD82B7C8997}"/>
    <cellStyle name="Comma 5 4 2 5 2 2 2" xfId="18025" xr:uid="{85BFFD5B-E734-4F36-8344-980DFCA79E2D}"/>
    <cellStyle name="Comma 5 4 2 5 2 3" xfId="10478" xr:uid="{325C1CC2-FAB0-4500-84F1-A6DB5E96C059}"/>
    <cellStyle name="Comma 5 4 2 5 2 3 2" xfId="20858" xr:uid="{DD2A588C-0EB7-4B27-9178-0066A568C1F0}"/>
    <cellStyle name="Comma 5 4 2 5 2 4" xfId="26777" xr:uid="{1DAB286D-B9DE-4006-8FF6-49E8C689EBD6}"/>
    <cellStyle name="Comma 5 4 2 5 2 5" xfId="27374" xr:uid="{6D6C1A46-AAB2-46B8-8580-7B36634F4C63}"/>
    <cellStyle name="Comma 5 4 2 5 2 6" xfId="15192" xr:uid="{87CEDEDA-1153-4083-9E9D-A2B243471068}"/>
    <cellStyle name="Comma 5 4 2 5 3" xfId="2092" xr:uid="{00000000-0005-0000-0000-00000C020000}"/>
    <cellStyle name="Comma 5 4 2 5 4" xfId="5558" xr:uid="{4E922189-714E-4A1D-B143-1B1B37D4BEDB}"/>
    <cellStyle name="Comma 5 4 2 5 4 2" xfId="29874" xr:uid="{B8527FC9-A446-4C93-90A2-78F2ABD5D9FB}"/>
    <cellStyle name="Comma 5 4 2 5 5" xfId="24244" xr:uid="{B9D0E415-8F23-47CF-8A8C-815BC6E447D7}"/>
    <cellStyle name="Comma 5 4 2 5 6" xfId="12908" xr:uid="{04735AAE-C34A-4C98-A551-5D35C81D981F}"/>
    <cellStyle name="Comma 5 4 2 6" xfId="2274" xr:uid="{00000000-0005-0000-0000-0000A8010000}"/>
    <cellStyle name="Comma 5 4 2 6 2" xfId="7401" xr:uid="{C4D29E37-E937-4213-8011-53A649BF8387}"/>
    <cellStyle name="Comma 5 4 2 6 2 2" xfId="17781" xr:uid="{50535CE2-176B-44F6-8F53-18B08078F264}"/>
    <cellStyle name="Comma 5 4 2 6 3" xfId="10234" xr:uid="{C11CD73B-D665-4282-9909-7BEA0E03E343}"/>
    <cellStyle name="Comma 5 4 2 6 3 2" xfId="20614" xr:uid="{3C900819-92F0-4C29-86E1-A90B3F340B79}"/>
    <cellStyle name="Comma 5 4 2 6 4" xfId="23243" xr:uid="{9170021C-F572-4BFC-9E71-0C62EEF9F5A4}"/>
    <cellStyle name="Comma 5 4 2 6 5" xfId="26292" xr:uid="{16576467-156A-4AC5-AACD-FFB47F3651C2}"/>
    <cellStyle name="Comma 5 4 2 6 6" xfId="14948" xr:uid="{A6D5D595-F74E-4986-8614-649D99B447FE}"/>
    <cellStyle name="Comma 5 4 2 7" xfId="3813" xr:uid="{9D313B6A-787D-4B1D-96BC-FC7E8E9C69D9}"/>
    <cellStyle name="Comma 5 4 2 7 2" xfId="8647" xr:uid="{8D8FECC0-9209-4BF6-94DC-38891174D0A1}"/>
    <cellStyle name="Comma 5 4 2 7 2 2" xfId="19027" xr:uid="{FC6A1C3B-4011-4141-98E7-6E7225CF8182}"/>
    <cellStyle name="Comma 5 4 2 7 3" xfId="11480" xr:uid="{6C74612B-7684-473A-A5AD-0C7FDCFC6F51}"/>
    <cellStyle name="Comma 5 4 2 7 3 2" xfId="21860" xr:uid="{61FC8D87-FC3B-4683-A3A1-92B7C9DC0668}"/>
    <cellStyle name="Comma 5 4 2 7 4" xfId="27008" xr:uid="{E0519768-0706-49AF-82A6-D4EF53FEF956}"/>
    <cellStyle name="Comma 5 4 2 7 5" xfId="28337" xr:uid="{A01A049B-33F1-40CC-8F9A-4F140969FBB0}"/>
    <cellStyle name="Comma 5 4 2 7 6" xfId="16194" xr:uid="{5A771593-0D2F-4BAE-A121-4F586A9A6162}"/>
    <cellStyle name="Comma 5 4 2 8" xfId="4861" xr:uid="{07C3C6D5-8D9B-4F87-9BC9-439937FDDCDF}"/>
    <cellStyle name="Comma 5 4 2 8 2" xfId="14153" xr:uid="{A359451D-B9A3-423B-9FC3-F6153889FDAE}"/>
    <cellStyle name="Comma 5 4 2 9" xfId="6606" xr:uid="{A520841F-3B08-4596-BDA9-ED3368ED9B23}"/>
    <cellStyle name="Comma 5 4 2 9 2" xfId="16986" xr:uid="{4AF28F1A-B467-4C04-8415-C91949B57C06}"/>
    <cellStyle name="Comma 5 4 3" xfId="469" xr:uid="{00000000-0005-0000-0000-00000D020000}"/>
    <cellStyle name="Comma 5 4 3 10" xfId="23706" xr:uid="{A54C64E4-FDA8-4148-A401-937C1E7A73AF}"/>
    <cellStyle name="Comma 5 4 3 11" xfId="12664" xr:uid="{B661D04C-5254-4F42-8351-EECE14F478AC}"/>
    <cellStyle name="Comma 5 4 3 2" xfId="1619" xr:uid="{00000000-0005-0000-0000-00000E020000}"/>
    <cellStyle name="Comma 5 4 3 2 2" xfId="3028" xr:uid="{00000000-0005-0000-0000-0000B0010000}"/>
    <cellStyle name="Comma 5 4 3 2 2 2" xfId="6161" xr:uid="{007C8220-9E72-4BAC-B90C-B53B0AE74FAB}"/>
    <cellStyle name="Comma 5 4 3 2 2 2 2" xfId="25450" xr:uid="{97DB1598-8191-4E16-9586-822C9BC3758B}"/>
    <cellStyle name="Comma 5 4 3 2 2 2 2 2" xfId="26125" xr:uid="{DD2A8CEA-F24E-4480-B9E2-C8CD0FCEA4A9}"/>
    <cellStyle name="Comma 5 4 3 2 2 2 2 3" xfId="31159" xr:uid="{E403FF4C-B1E8-42E1-9ECF-5008D27D4796}"/>
    <cellStyle name="Comma 5 4 3 2 2 2 3" xfId="27120" xr:uid="{A67FDF58-D503-44D7-A6C8-5FE8BA41B622}"/>
    <cellStyle name="Comma 5 4 3 2 2 2 4" xfId="15655" xr:uid="{B034BDF8-FC69-46BC-90DE-D9403E18391A}"/>
    <cellStyle name="Comma 5 4 3 2 2 3" xfId="8108" xr:uid="{E598174F-287F-4572-B1A1-FA3FA63DC608}"/>
    <cellStyle name="Comma 5 4 3 2 2 3 2" xfId="28790" xr:uid="{2784C87B-4856-4C8C-A5B1-BD78685B3398}"/>
    <cellStyle name="Comma 5 4 3 2 2 3 3" xfId="26482" xr:uid="{7E6A0C62-E0F7-4E9F-886B-37B8DE9B1EFA}"/>
    <cellStyle name="Comma 5 4 3 2 2 3 4" xfId="18488" xr:uid="{4BAB502A-E8E4-46CC-BADE-EB1E9176D641}"/>
    <cellStyle name="Comma 5 4 3 2 2 4" xfId="10941" xr:uid="{79BECDAC-D215-4AFF-AA74-F202E53545ED}"/>
    <cellStyle name="Comma 5 4 3 2 2 4 2" xfId="21321" xr:uid="{BBF7FD93-6C7E-4339-B1B9-D64E62673328}"/>
    <cellStyle name="Comma 5 4 3 2 2 5" xfId="23995" xr:uid="{1BF88E1E-0E42-4AE9-8589-BC18D54148E2}"/>
    <cellStyle name="Comma 5 4 3 2 2 6" xfId="13531" xr:uid="{2B93960E-C652-4963-9F39-86A958088D1E}"/>
    <cellStyle name="Comma 5 4 3 2 3" xfId="2669" xr:uid="{00000000-0005-0000-0000-0000AF010000}"/>
    <cellStyle name="Comma 5 4 3 2 3 2" xfId="7793" xr:uid="{29C61830-5722-46D3-9DAB-D49707DA8E72}"/>
    <cellStyle name="Comma 5 4 3 2 3 2 2" xfId="26439" xr:uid="{45522648-ECBC-42E6-A492-F2D7056F4061}"/>
    <cellStyle name="Comma 5 4 3 2 3 2 3" xfId="27567" xr:uid="{EC6AD633-0590-464F-B742-4AAD568083A8}"/>
    <cellStyle name="Comma 5 4 3 2 3 2 4" xfId="18173" xr:uid="{94FF7FCC-CA04-44D3-A23D-1AE82DB8DFBD}"/>
    <cellStyle name="Comma 5 4 3 2 3 3" xfId="10626" xr:uid="{588F3232-50E6-4B31-86E2-69B6884A609E}"/>
    <cellStyle name="Comma 5 4 3 2 3 3 2" xfId="21006" xr:uid="{9CA785BF-A464-42FF-AA90-C95EAF49E234}"/>
    <cellStyle name="Comma 5 4 3 2 3 4" xfId="22863" xr:uid="{9D03AB9B-A8BC-4B40-9EB2-1933D4677D5E}"/>
    <cellStyle name="Comma 5 4 3 2 3 5" xfId="15340" xr:uid="{85C94FF9-25F6-4B97-9A38-A6E174A0AFB4}"/>
    <cellStyle name="Comma 5 4 3 2 4" xfId="3633" xr:uid="{00000000-0005-0000-0000-00000E020000}"/>
    <cellStyle name="Comma 5 4 3 2 5" xfId="4256" xr:uid="{7200444E-36DD-40CC-A077-CB29E63090CC}"/>
    <cellStyle name="Comma 5 4 3 2 5 2" xfId="9028" xr:uid="{B7DD77EA-D0F5-44BE-8B7C-41F10A4FB4CA}"/>
    <cellStyle name="Comma 5 4 3 2 5 2 2" xfId="19408" xr:uid="{9CD73D97-72A6-4940-9CEA-CA2ED02A124E}"/>
    <cellStyle name="Comma 5 4 3 2 5 2 3" xfId="31032" xr:uid="{DEF4EEB6-28AB-41BA-BFF2-7A7C61321EAB}"/>
    <cellStyle name="Comma 5 4 3 2 5 2 4" xfId="30681" xr:uid="{4EF6A5C3-375D-4403-9D1B-8D91B43C7AAA}"/>
    <cellStyle name="Comma 5 4 3 2 5 3" xfId="11861" xr:uid="{3BC6F72F-6810-4E85-B279-7CA58D925647}"/>
    <cellStyle name="Comma 5 4 3 2 5 3 2" xfId="22241" xr:uid="{51E916BA-CC2D-459A-B6A1-3506AFEBB662}"/>
    <cellStyle name="Comma 5 4 3 2 5 4" xfId="26038" xr:uid="{D6C4F451-91EA-470B-971B-25737311E52E}"/>
    <cellStyle name="Comma 5 4 3 2 5 5" xfId="26757" xr:uid="{07070A58-2038-4788-B080-E99E8AAB0DB7}"/>
    <cellStyle name="Comma 5 4 3 2 5 6" xfId="16575" xr:uid="{6AB58FED-965A-4A90-89E4-5B8C6C458E1B}"/>
    <cellStyle name="Comma 5 4 3 2 6" xfId="5563" xr:uid="{0FC98FF7-0826-4572-9CD4-63A4F734F6B2}"/>
    <cellStyle name="Comma 5 4 3 2 6 2" xfId="29720" xr:uid="{1A4A5A7C-7351-43D2-B3DF-864B1C97F00E}"/>
    <cellStyle name="Comma 5 4 3 2 6 2 2" xfId="30962" xr:uid="{4E9CD10B-1971-4E18-B1AD-EC7A5CB51431}"/>
    <cellStyle name="Comma 5 4 3 2 7" xfId="25243" xr:uid="{E65C12E8-DC8E-4F43-A6F1-ACB2A325DBD0}"/>
    <cellStyle name="Comma 5 4 3 2 8" xfId="13072" xr:uid="{F5F43466-C211-4776-AF9D-DDE52683B12C}"/>
    <cellStyle name="Comma 5 4 3 3" xfId="1620" xr:uid="{00000000-0005-0000-0000-00000F020000}"/>
    <cellStyle name="Comma 5 4 3 3 2" xfId="3029" xr:uid="{00000000-0005-0000-0000-0000B1010000}"/>
    <cellStyle name="Comma 5 4 3 3 2 2" xfId="8109" xr:uid="{21D221E8-5CDF-42B8-8726-C36E1D13454B}"/>
    <cellStyle name="Comma 5 4 3 3 2 2 2" xfId="28791" xr:uid="{25427AF7-1EF5-4BFD-9C61-49EDAE307D36}"/>
    <cellStyle name="Comma 5 4 3 3 2 2 3" xfId="28649" xr:uid="{25A91A5C-6912-44A7-B87D-0861BA1D38C7}"/>
    <cellStyle name="Comma 5 4 3 3 2 2 4" xfId="18489" xr:uid="{A7005E7D-2924-427E-90C8-632355687328}"/>
    <cellStyle name="Comma 5 4 3 3 2 3" xfId="10942" xr:uid="{12204D70-4E27-44E3-9AFD-18876A76CE59}"/>
    <cellStyle name="Comma 5 4 3 3 2 3 2" xfId="21322" xr:uid="{87642076-E9AC-4641-A3E6-16D8AD8A7BB8}"/>
    <cellStyle name="Comma 5 4 3 3 2 4" xfId="23701" xr:uid="{1033E001-F0E5-4315-B6E7-0A9A4BD607EE}"/>
    <cellStyle name="Comma 5 4 3 3 2 5" xfId="15656" xr:uid="{F1F47C60-F8BF-4361-8E85-E74D26093C21}"/>
    <cellStyle name="Comma 5 4 3 3 3" xfId="2044" xr:uid="{00000000-0005-0000-0000-00000F020000}"/>
    <cellStyle name="Comma 5 4 3 3 4" xfId="4397" xr:uid="{85D2CB15-88A6-4002-AA7C-5761F9B91E5C}"/>
    <cellStyle name="Comma 5 4 3 3 4 2" xfId="9169" xr:uid="{00E7C148-6EDA-4D34-893B-F6DEBC2073FF}"/>
    <cellStyle name="Comma 5 4 3 3 4 2 2" xfId="19549" xr:uid="{DAC92D93-F217-44AA-970E-561D4800668F}"/>
    <cellStyle name="Comma 5 4 3 3 4 2 3" xfId="31063" xr:uid="{4ECFCCE6-377C-43EB-B657-8F00BA251960}"/>
    <cellStyle name="Comma 5 4 3 3 4 2 4" xfId="30682" xr:uid="{3876AF0A-6E4D-4053-9A80-038F6DCD8EF8}"/>
    <cellStyle name="Comma 5 4 3 3 4 3" xfId="12002" xr:uid="{35C058BB-9759-431E-885F-7F98DC2A6C29}"/>
    <cellStyle name="Comma 5 4 3 3 4 3 2" xfId="22382" xr:uid="{E3443B56-0121-40BF-AE68-C899DD11A811}"/>
    <cellStyle name="Comma 5 4 3 3 4 4" xfId="16716" xr:uid="{EDE226BF-9D13-44AC-89AD-E4F29700CB0D}"/>
    <cellStyle name="Comma 5 4 3 3 5" xfId="5564" xr:uid="{CB1F3A00-B75F-4580-BEC4-2FB23FC80572}"/>
    <cellStyle name="Comma 5 4 3 3 5 2" xfId="29705" xr:uid="{B15CE909-C9C3-40A0-8455-FE5E12A46018}"/>
    <cellStyle name="Comma 5 4 3 3 6" xfId="25163" xr:uid="{79F7B079-FFD0-4DA0-8150-C726C678947B}"/>
    <cellStyle name="Comma 5 4 3 3 7" xfId="13532" xr:uid="{59996E9E-78E0-4B64-96DD-3AD884FD1666}"/>
    <cellStyle name="Comma 5 4 3 4" xfId="1618" xr:uid="{00000000-0005-0000-0000-000010020000}"/>
    <cellStyle name="Comma 5 4 3 4 2" xfId="3027" xr:uid="{00000000-0005-0000-0000-0000B2010000}"/>
    <cellStyle name="Comma 5 4 3 4 2 2" xfId="8107" xr:uid="{96D7AE74-E695-404F-81C4-4EA797556071}"/>
    <cellStyle name="Comma 5 4 3 4 2 2 2" xfId="28789" xr:uid="{5960A96B-0473-4B28-AEDC-C7BD3AB868CE}"/>
    <cellStyle name="Comma 5 4 3 4 2 2 3" xfId="26093" xr:uid="{78FA1F45-C57F-4D00-B91D-7A03815D502C}"/>
    <cellStyle name="Comma 5 4 3 4 2 2 4" xfId="18487" xr:uid="{A56470FA-94B7-417E-AEBF-173CE26C4E83}"/>
    <cellStyle name="Comma 5 4 3 4 2 3" xfId="10940" xr:uid="{32FB1CCB-8E0A-481E-B76F-2744A46249AF}"/>
    <cellStyle name="Comma 5 4 3 4 2 3 2" xfId="21320" xr:uid="{613AADE1-7FE2-42F5-8AA4-8D6735553A79}"/>
    <cellStyle name="Comma 5 4 3 4 2 4" xfId="24212" xr:uid="{63573AED-2580-472C-AD90-5EEF2F1FB914}"/>
    <cellStyle name="Comma 5 4 3 4 2 5" xfId="15654" xr:uid="{DC71AA64-C50E-4457-869F-B2627816983D}"/>
    <cellStyle name="Comma 5 4 3 4 3" xfId="3644" xr:uid="{00000000-0005-0000-0000-000010020000}"/>
    <cellStyle name="Comma 5 4 3 4 4" xfId="5562" xr:uid="{7C03D70E-5086-4C6D-89E3-E9DB53357221}"/>
    <cellStyle name="Comma 5 4 3 4 4 2" xfId="29940" xr:uid="{0A80C9F8-3AA4-40ED-9AE4-5B274546AA28}"/>
    <cellStyle name="Comma 5 4 3 4 5" xfId="22996" xr:uid="{109649F7-7F1A-41B7-87D5-89D403649DB1}"/>
    <cellStyle name="Comma 5 4 3 4 6" xfId="13530" xr:uid="{A6EA4EFA-D95C-4307-A04E-A185CBB3D0BA}"/>
    <cellStyle name="Comma 5 4 3 5" xfId="2623" xr:uid="{00000000-0005-0000-0000-0000B3010000}"/>
    <cellStyle name="Comma 5 4 3 5 2" xfId="5885" xr:uid="{1FD7A4FB-A677-461F-AAC8-CBCB299F47FC}"/>
    <cellStyle name="Comma 5 4 3 5 2 2" xfId="27233" xr:uid="{8A40900A-961D-405D-8C1D-225441C3E1AB}"/>
    <cellStyle name="Comma 5 4 3 5 2 3" xfId="28685" xr:uid="{E32526B3-B64F-4931-9F6F-616CDE538A9A}"/>
    <cellStyle name="Comma 5 4 3 5 2 4" xfId="15295" xr:uid="{18158932-8E28-46CD-8ECF-32D906D7477A}"/>
    <cellStyle name="Comma 5 4 3 5 3" xfId="7748" xr:uid="{0C8AE889-C234-4D69-AD0B-CE037DCEF8A3}"/>
    <cellStyle name="Comma 5 4 3 5 3 2" xfId="18128" xr:uid="{EEC08685-7170-4EC5-BA6B-A76101532903}"/>
    <cellStyle name="Comma 5 4 3 5 4" xfId="10581" xr:uid="{31059A43-759B-4EDA-9C5D-880D1C749B48}"/>
    <cellStyle name="Comma 5 4 3 5 4 2" xfId="20961" xr:uid="{9DCA322E-49D9-4DC6-81F2-37AE927F1A29}"/>
    <cellStyle name="Comma 5 4 3 5 5" xfId="23547" xr:uid="{A4636B19-FBD1-43FA-A18C-B4585C90E5FD}"/>
    <cellStyle name="Comma 5 4 3 5 6" xfId="13011" xr:uid="{A5BBE2FB-0D8F-46FA-B94B-EAE035E23A46}"/>
    <cellStyle name="Comma 5 4 3 6" xfId="4121" xr:uid="{B0917393-0791-4B08-93AB-D0505818BC45}"/>
    <cellStyle name="Comma 5 4 3 6 2" xfId="8893" xr:uid="{A913B0F0-37E6-44C2-9608-68BA783E94B4}"/>
    <cellStyle name="Comma 5 4 3 6 2 2" xfId="19273" xr:uid="{E8318EBE-72F5-494C-9577-C99C8D5324E2}"/>
    <cellStyle name="Comma 5 4 3 6 2 3" xfId="31007" xr:uid="{F0229DE4-DA70-4444-888D-FB38F150BD65}"/>
    <cellStyle name="Comma 5 4 3 6 2 4" xfId="30680" xr:uid="{B578D268-E4DF-43C5-9C96-327C24967103}"/>
    <cellStyle name="Comma 5 4 3 6 3" xfId="11726" xr:uid="{681068A9-FB73-4D20-9927-5713336CFBE7}"/>
    <cellStyle name="Comma 5 4 3 6 3 2" xfId="22106" xr:uid="{337B2FBA-E6AB-4444-B7CC-F3B78ED31589}"/>
    <cellStyle name="Comma 5 4 3 6 4" xfId="23915" xr:uid="{6ADD72EB-FF18-46E3-B04C-1BA026AD2C9B}"/>
    <cellStyle name="Comma 5 4 3 6 5" xfId="26615" xr:uid="{84350A5C-096B-4A1F-BA16-7CE280504E2D}"/>
    <cellStyle name="Comma 5 4 3 6 6" xfId="16440" xr:uid="{68110F5E-5FAD-434E-93FD-3B4A47E9ECF5}"/>
    <cellStyle name="Comma 5 4 3 7" xfId="4863" xr:uid="{A240C9B6-55E4-4374-B1DF-9A086F346D6E}"/>
    <cellStyle name="Comma 5 4 3 7 2" xfId="27089" xr:uid="{89D53217-DF21-40B2-AB82-FC0954B7D310}"/>
    <cellStyle name="Comma 5 4 3 7 3" xfId="27731" xr:uid="{86F77ADB-B0E9-422F-9F9A-5CB7BEEBC18E}"/>
    <cellStyle name="Comma 5 4 3 7 4" xfId="14155" xr:uid="{C4B0A41C-5947-45ED-8358-35CE0465EFEB}"/>
    <cellStyle name="Comma 5 4 3 8" xfId="6608" xr:uid="{FC7E9C22-45D7-4533-9861-B9F9C7C7FAFD}"/>
    <cellStyle name="Comma 5 4 3 8 2" xfId="16988" xr:uid="{4898B56F-4FA9-4A9A-89CF-EB1664D1B240}"/>
    <cellStyle name="Comma 5 4 3 9" xfId="9441" xr:uid="{C659FD1A-67C9-44C8-95C6-EFAC335E9A81}"/>
    <cellStyle name="Comma 5 4 3 9 2" xfId="19821" xr:uid="{1BA271D6-C8C5-4E3F-B9C1-5947FC94DD91}"/>
    <cellStyle name="Comma 5 4 4" xfId="470" xr:uid="{00000000-0005-0000-0000-000011020000}"/>
    <cellStyle name="Comma 5 4 4 10" xfId="13070" xr:uid="{EB520593-34BA-4E5E-94BA-C49A73C54C6F}"/>
    <cellStyle name="Comma 5 4 4 2" xfId="1622" xr:uid="{00000000-0005-0000-0000-000012020000}"/>
    <cellStyle name="Comma 5 4 4 2 2" xfId="3030" xr:uid="{00000000-0005-0000-0000-0000B5010000}"/>
    <cellStyle name="Comma 5 4 4 2 2 2" xfId="8110" xr:uid="{290FC8F3-15F3-4BEF-9B10-48879780ECA7}"/>
    <cellStyle name="Comma 5 4 4 2 2 2 2" xfId="28792" xr:uid="{0C03508E-AAB2-4125-B7C0-1A41F0DBF503}"/>
    <cellStyle name="Comma 5 4 4 2 2 2 3" xfId="26279" xr:uid="{19B9AA86-C3EF-40BA-BFBD-CFAE038525C9}"/>
    <cellStyle name="Comma 5 4 4 2 2 2 4" xfId="18490" xr:uid="{5284C830-663D-43D1-A0D0-AAAA32887826}"/>
    <cellStyle name="Comma 5 4 4 2 2 3" xfId="10943" xr:uid="{F9FA5684-0770-45A3-A466-745760E72C89}"/>
    <cellStyle name="Comma 5 4 4 2 2 3 2" xfId="21323" xr:uid="{779D5D81-E695-46AF-A985-5A313B01AFFE}"/>
    <cellStyle name="Comma 5 4 4 2 2 4" xfId="24807" xr:uid="{60A2FF48-03F1-48DD-A1A5-04965444BA76}"/>
    <cellStyle name="Comma 5 4 4 2 2 5" xfId="15657" xr:uid="{6716B62F-D1BA-41B9-BFE9-7657228B1592}"/>
    <cellStyle name="Comma 5 4 4 2 3" xfId="2061" xr:uid="{00000000-0005-0000-0000-000012020000}"/>
    <cellStyle name="Comma 5 4 4 2 4" xfId="5565" xr:uid="{D16A0D10-FBA3-4EA5-8CE1-1E4196985AAF}"/>
    <cellStyle name="Comma 5 4 4 2 4 2" xfId="29941" xr:uid="{F25E46E9-8558-4043-ADCB-9C9C47D7CEFB}"/>
    <cellStyle name="Comma 5 4 4 2 5" xfId="23001" xr:uid="{2BF63B1D-1E5E-43E0-9D3C-3640ADEC249D}"/>
    <cellStyle name="Comma 5 4 4 2 6" xfId="13533" xr:uid="{D8C0D2BF-AC83-44C3-A0AD-982213DAA7E5}"/>
    <cellStyle name="Comma 5 4 4 3" xfId="1623" xr:uid="{00000000-0005-0000-0000-000013020000}"/>
    <cellStyle name="Comma 5 4 4 3 2" xfId="4644" xr:uid="{AA605243-E9A8-42CE-AFF2-C3FB06670C65}"/>
    <cellStyle name="Comma 5 4 4 3 2 2" xfId="9402" xr:uid="{5F7BF688-ADB8-476E-A01C-0694B5EDBD1C}"/>
    <cellStyle name="Comma 5 4 4 3 2 2 2" xfId="19782" xr:uid="{593A7D09-AA36-489A-A4D5-203E0941D4F0}"/>
    <cellStyle name="Comma 5 4 4 3 2 3" xfId="12235" xr:uid="{E8AB7BAB-0100-426A-A9CD-5D95269558B2}"/>
    <cellStyle name="Comma 5 4 4 3 2 3 2" xfId="22615" xr:uid="{9E4CA505-3EE2-42CF-BC54-2A3EA58EBA52}"/>
    <cellStyle name="Comma 5 4 4 3 2 4" xfId="27285" xr:uid="{C261FBD2-0745-4F7C-88BD-83FB3946F1E3}"/>
    <cellStyle name="Comma 5 4 4 3 2 5" xfId="26696" xr:uid="{98D782FF-D647-48EA-89DB-175218B28C99}"/>
    <cellStyle name="Comma 5 4 4 3 2 6" xfId="16949" xr:uid="{0CC32059-AEF4-48E9-B9D7-C4C7B59AA66C}"/>
    <cellStyle name="Comma 5 4 4 3 3" xfId="24396" xr:uid="{383C249C-D118-473B-9C1E-889FE84F2D07}"/>
    <cellStyle name="Comma 5 4 4 3 3 2" xfId="29894" xr:uid="{8D77C375-FDEC-4907-A255-D0B6239AD792}"/>
    <cellStyle name="Comma 5 4 4 3 4" xfId="30009" xr:uid="{CDF06ABB-B7EB-4325-89E0-F9CB296CBBCC}"/>
    <cellStyle name="Comma 5 4 4 4" xfId="1621" xr:uid="{00000000-0005-0000-0000-000014020000}"/>
    <cellStyle name="Comma 5 4 4 5" xfId="4254" xr:uid="{20B90C1C-34CA-4215-8DD8-975AECD84294}"/>
    <cellStyle name="Comma 5 4 4 5 2" xfId="9026" xr:uid="{A812A268-AD3A-4FCD-83AB-6D1D8FE34016}"/>
    <cellStyle name="Comma 5 4 4 5 2 2" xfId="19406" xr:uid="{B2FF5CD4-C747-4981-9DF0-CA1385916856}"/>
    <cellStyle name="Comma 5 4 4 5 2 3" xfId="31030" xr:uid="{DAB37AB3-6C01-4DC1-9197-01E7A80416DE}"/>
    <cellStyle name="Comma 5 4 4 5 2 4" xfId="30683" xr:uid="{1F8F53D2-8B33-42D3-9E60-E867CD366200}"/>
    <cellStyle name="Comma 5 4 4 5 3" xfId="11859" xr:uid="{621705D9-DE19-48F4-82CF-C0A9E1616150}"/>
    <cellStyle name="Comma 5 4 4 5 3 2" xfId="22239" xr:uid="{1A7A7CFB-9B9C-4907-981F-39F7047E6056}"/>
    <cellStyle name="Comma 5 4 4 5 4" xfId="28372" xr:uid="{585164CC-9B2A-4316-925F-EF9B482CDB71}"/>
    <cellStyle name="Comma 5 4 4 5 5" xfId="26146" xr:uid="{307E018B-9018-4695-92A4-8DE0D898F420}"/>
    <cellStyle name="Comma 5 4 4 5 6" xfId="16573" xr:uid="{6CC63D45-A75B-423C-82A7-E72353DFE1E4}"/>
    <cellStyle name="Comma 5 4 4 6" xfId="4864" xr:uid="{40464597-81CF-4B3A-BDBE-A56B8D31FCF5}"/>
    <cellStyle name="Comma 5 4 4 6 2" xfId="14156" xr:uid="{ED84718F-BA5C-47DD-A8B0-7AAB56D3BC03}"/>
    <cellStyle name="Comma 5 4 4 7" xfId="6609" xr:uid="{CC1F996B-D609-457F-9A2E-D7DFA7F4B274}"/>
    <cellStyle name="Comma 5 4 4 7 2" xfId="16989" xr:uid="{718DC36B-78FF-4911-BA8F-30594FD38B51}"/>
    <cellStyle name="Comma 5 4 4 8" xfId="9442" xr:uid="{F9A7B80C-75B2-4BAC-B3C2-4574E940388C}"/>
    <cellStyle name="Comma 5 4 4 8 2" xfId="19822" xr:uid="{D37551E2-3897-4D74-8D80-3C488577C95B}"/>
    <cellStyle name="Comma 5 4 4 9" xfId="23363" xr:uid="{4C0AD912-540B-4296-94BC-BB12EC26B90D}"/>
    <cellStyle name="Comma 5 4 5" xfId="1624" xr:uid="{00000000-0005-0000-0000-000015020000}"/>
    <cellStyle name="Comma 5 4 5 2" xfId="3031" xr:uid="{00000000-0005-0000-0000-0000B6010000}"/>
    <cellStyle name="Comma 5 4 5 2 2" xfId="8111" xr:uid="{CA1995C3-89FB-4891-8F58-E90990A049DF}"/>
    <cellStyle name="Comma 5 4 5 2 2 2" xfId="28793" xr:uid="{C8A76B4C-5A93-4F7F-9EC3-80FE72D4677F}"/>
    <cellStyle name="Comma 5 4 5 2 2 2 2" xfId="31218" xr:uid="{F2BAD945-64C0-4B38-8C09-26DD496487BE}"/>
    <cellStyle name="Comma 5 4 5 2 2 2 3" xfId="30685" xr:uid="{A3310739-5307-4198-8F24-D15B491AA5A8}"/>
    <cellStyle name="Comma 5 4 5 2 2 3" xfId="27732" xr:uid="{A2C6750A-A58B-4E1E-A08F-98C689786567}"/>
    <cellStyle name="Comma 5 4 5 2 2 4" xfId="18491" xr:uid="{4170FDDD-D94A-4BBE-BF71-F250007E7FB9}"/>
    <cellStyle name="Comma 5 4 5 2 3" xfId="10944" xr:uid="{CDF1C62F-6B25-4CFF-982E-25A5F01676E6}"/>
    <cellStyle name="Comma 5 4 5 2 3 2" xfId="21324" xr:uid="{E326CDF0-D07C-4323-8623-BD92212513E8}"/>
    <cellStyle name="Comma 5 4 5 2 4" xfId="23268" xr:uid="{C379944C-8374-42A4-955A-6C718EA081D2}"/>
    <cellStyle name="Comma 5 4 5 2 5" xfId="15658" xr:uid="{50152E7A-E97E-470C-89FA-97C7B34C4030}"/>
    <cellStyle name="Comma 5 4 5 3" xfId="2082" xr:uid="{00000000-0005-0000-0000-000015020000}"/>
    <cellStyle name="Comma 5 4 5 4" xfId="4398" xr:uid="{B00051C5-3A2E-424F-9C46-B4DD74FD8567}"/>
    <cellStyle name="Comma 5 4 5 4 2" xfId="9170" xr:uid="{3351EA1B-65B1-4144-9B49-1360FCB0E530}"/>
    <cellStyle name="Comma 5 4 5 4 2 2" xfId="19550" xr:uid="{55CFBDE5-84A5-4D40-B8A8-6A85D07AD007}"/>
    <cellStyle name="Comma 5 4 5 4 2 3" xfId="31064" xr:uid="{3984102B-822A-450E-A43C-4246090CCDB8}"/>
    <cellStyle name="Comma 5 4 5 4 2 4" xfId="30684" xr:uid="{588785B0-3463-43A7-92E2-9D66925BECD9}"/>
    <cellStyle name="Comma 5 4 5 4 3" xfId="12003" xr:uid="{D9CDB029-0734-47C7-9758-9DB8F9DFEC28}"/>
    <cellStyle name="Comma 5 4 5 4 3 2" xfId="22383" xr:uid="{5F9F1B0A-C1AD-4056-8E63-28913330970F}"/>
    <cellStyle name="Comma 5 4 5 4 4" xfId="16717" xr:uid="{DCCB65D7-1687-4250-A4D9-2A157B3BE969}"/>
    <cellStyle name="Comma 5 4 5 5" xfId="5566" xr:uid="{A128631B-3428-414E-9F25-8FA6699F8D03}"/>
    <cellStyle name="Comma 5 4 5 5 2" xfId="29684" xr:uid="{4487DE43-472A-4A71-9B22-68844F54F5CF}"/>
    <cellStyle name="Comma 5 4 5 5 2 2" xfId="30963" xr:uid="{7EF5E265-F8DD-42D8-916E-4FE670324B78}"/>
    <cellStyle name="Comma 5 4 5 6" xfId="23185" xr:uid="{E54F51E7-4A6B-4E4B-A0BF-F9D227F9A808}"/>
    <cellStyle name="Comma 5 4 5 7" xfId="13534" xr:uid="{4A7D1C38-FFE0-4648-8561-028E3DBF36DB}"/>
    <cellStyle name="Comma 5 4 6" xfId="1625" xr:uid="{00000000-0005-0000-0000-000016020000}"/>
    <cellStyle name="Comma 5 4 6 2" xfId="2869" xr:uid="{00000000-0005-0000-0000-0000B7010000}"/>
    <cellStyle name="Comma 5 4 6 2 2" xfId="7986" xr:uid="{E435F86A-2CC6-49A9-AFBB-303D9970770D}"/>
    <cellStyle name="Comma 5 4 6 2 2 2" xfId="27333" xr:uid="{C14A4527-489D-49CA-8263-A009DCE0942E}"/>
    <cellStyle name="Comma 5 4 6 2 2 2 2" xfId="31190" xr:uid="{65375153-FF84-4309-A5AB-7211D688AF6C}"/>
    <cellStyle name="Comma 5 4 6 2 2 2 3" xfId="30686" xr:uid="{AA82D6A9-E423-4665-BA59-CD8573E965C4}"/>
    <cellStyle name="Comma 5 4 6 2 2 3" xfId="28490" xr:uid="{B7E8DAA1-3088-46D4-8D75-C4437F530D14}"/>
    <cellStyle name="Comma 5 4 6 2 2 4" xfId="18366" xr:uid="{6FCCB180-A23C-4F85-AEF6-C321E54E6834}"/>
    <cellStyle name="Comma 5 4 6 2 3" xfId="10819" xr:uid="{B7D4ED36-7A7D-4D50-9C34-32F1FCEEB96B}"/>
    <cellStyle name="Comma 5 4 6 2 3 2" xfId="21199" xr:uid="{62C2CE69-C784-46E2-914F-274D400EAFA3}"/>
    <cellStyle name="Comma 5 4 6 2 4" xfId="25066" xr:uid="{6BBF8F4F-1CD9-4076-B1A7-09911CA21A3E}"/>
    <cellStyle name="Comma 5 4 6 2 5" xfId="15533" xr:uid="{DE69EAE8-F98B-43F5-8716-641AF55870C8}"/>
    <cellStyle name="Comma 5 4 6 3" xfId="2861" xr:uid="{00000000-0005-0000-0000-000016020000}"/>
    <cellStyle name="Comma 5 4 6 4" xfId="5567" xr:uid="{69214C48-DCEC-47C1-B288-7DDCDBE36611}"/>
    <cellStyle name="Comma 5 4 6 4 2" xfId="29922" xr:uid="{DEBEC20E-7EF6-43C2-8010-087AFB98BA3B}"/>
    <cellStyle name="Comma 5 4 6 5" xfId="23950" xr:uid="{D763EBFC-6C85-47DB-BF46-3F62DBDA0A3A}"/>
    <cellStyle name="Comma 5 4 6 6" xfId="13362" xr:uid="{04BD029C-329B-4756-BEB3-2C4C6D3058CA}"/>
    <cellStyle name="Comma 5 4 7" xfId="1611" xr:uid="{00000000-0005-0000-0000-000017020000}"/>
    <cellStyle name="Comma 5 4 7 2" xfId="2460" xr:uid="{00000000-0005-0000-0000-0000B8010000}"/>
    <cellStyle name="Comma 5 4 7 2 2" xfId="7585" xr:uid="{AF3A6ABC-EA18-499E-8302-4132FA53E347}"/>
    <cellStyle name="Comma 5 4 7 2 2 2" xfId="17965" xr:uid="{5FB56155-C1E5-4258-89D8-7CC001110979}"/>
    <cellStyle name="Comma 5 4 7 2 3" xfId="10418" xr:uid="{DB0901B6-366E-4321-8D44-501B5AC115C6}"/>
    <cellStyle name="Comma 5 4 7 2 3 2" xfId="20798" xr:uid="{E77F0AC0-C7B3-4BBA-AAB4-8B4BB4CFC112}"/>
    <cellStyle name="Comma 5 4 7 2 4" xfId="26839" xr:uid="{CA8A0B08-9241-4228-9AAC-005A8275049B}"/>
    <cellStyle name="Comma 5 4 7 2 5" xfId="28624" xr:uid="{08CA900D-3108-40F0-A0BF-412B4D4CF914}"/>
    <cellStyle name="Comma 5 4 7 2 6" xfId="15132" xr:uid="{49423BB8-D6C1-46B5-96AA-110BAC1F6EA3}"/>
    <cellStyle name="Comma 5 4 7 3" xfId="3571" xr:uid="{00000000-0005-0000-0000-000017020000}"/>
    <cellStyle name="Comma 5 4 7 4" xfId="5557" xr:uid="{C75D7C05-F3B8-47BC-AC18-1C130F1A3B1B}"/>
    <cellStyle name="Comma 5 4 7 4 2" xfId="29862" xr:uid="{81821E37-88CD-41E0-A9C6-01CE1D5393AD}"/>
    <cellStyle name="Comma 5 4 7 5" xfId="24553" xr:uid="{71BFF522-A16F-49DA-837C-7E42E5B76A6E}"/>
    <cellStyle name="Comma 5 4 7 6" xfId="12848" xr:uid="{8E51FA3F-6D37-4105-BEBC-E890E8758154}"/>
    <cellStyle name="Comma 5 4 8" xfId="2214" xr:uid="{00000000-0005-0000-0000-0000A7010000}"/>
    <cellStyle name="Comma 5 4 8 2" xfId="7341" xr:uid="{1A171DF4-532B-47D3-98C5-03A480295C1B}"/>
    <cellStyle name="Comma 5 4 8 2 2" xfId="17721" xr:uid="{7308A606-410B-47CE-99C3-0436B50B8890}"/>
    <cellStyle name="Comma 5 4 8 2 2 2" xfId="31122" xr:uid="{5C2AB8B5-A73F-4FCC-AF90-57C166D98ABC}"/>
    <cellStyle name="Comma 5 4 8 2 2 3" xfId="30687" xr:uid="{E0BA424B-14C3-40B8-BACF-E009F7A5BEF5}"/>
    <cellStyle name="Comma 5 4 8 3" xfId="10174" xr:uid="{126C35F2-D091-47B6-B645-26AFB0694491}"/>
    <cellStyle name="Comma 5 4 8 3 2" xfId="20554" xr:uid="{3D4826B6-0EF4-4003-83B2-EDCF147287E8}"/>
    <cellStyle name="Comma 5 4 8 4" xfId="25150" xr:uid="{AEA9DE12-F05C-49F9-BCF2-0E58271C6F3E}"/>
    <cellStyle name="Comma 5 4 8 5" xfId="26622" xr:uid="{9B2279ED-8D13-41EF-B0F1-FE3DB7938777}"/>
    <cellStyle name="Comma 5 4 8 6" xfId="14888" xr:uid="{8B96C28A-B2B6-409E-9599-4F4859E521CC}"/>
    <cellStyle name="Comma 5 4 9" xfId="3861" xr:uid="{A30A1CB2-A210-4F10-856F-40B6121D2558}"/>
    <cellStyle name="Comma 5 4 9 2" xfId="8693" xr:uid="{1ED45EE7-2EA9-473D-86DE-E17D78E615AF}"/>
    <cellStyle name="Comma 5 4 9 2 2" xfId="19073" xr:uid="{278B5468-A8C2-4D77-B9D9-13FB01429D0E}"/>
    <cellStyle name="Comma 5 4 9 3" xfId="11526" xr:uid="{3D4477C4-5222-4F2D-8032-84C6717135D5}"/>
    <cellStyle name="Comma 5 4 9 3 2" xfId="21906" xr:uid="{81609EBF-B4EB-4152-B331-6F85F557B933}"/>
    <cellStyle name="Comma 5 4 9 4" xfId="27234" xr:uid="{60CC41BC-C2A6-4347-88DB-37769B7CA3D5}"/>
    <cellStyle name="Comma 5 4 9 5" xfId="26868" xr:uid="{DFF90D36-9659-4AAE-BA1B-59A41E577559}"/>
    <cellStyle name="Comma 5 4 9 6" xfId="16240" xr:uid="{F488F3F8-EB13-4588-8975-0230DAE4D758}"/>
    <cellStyle name="Comma 5 5" xfId="471" xr:uid="{00000000-0005-0000-0000-000018020000}"/>
    <cellStyle name="Comma 5 5 10" xfId="6610" xr:uid="{F68913B7-AB9A-423B-9BE1-EFB136CF76FE}"/>
    <cellStyle name="Comma 5 5 10 2" xfId="16990" xr:uid="{8FA09342-F31D-4E3E-9EDE-CFEFF2707D50}"/>
    <cellStyle name="Comma 5 5 11" xfId="9443" xr:uid="{3FF3BF7D-1FC3-4E33-960B-6813663D50E1}"/>
    <cellStyle name="Comma 5 5 11 2" xfId="19823" xr:uid="{C3E9E9FB-8587-4430-9E52-506174192954}"/>
    <cellStyle name="Comma 5 5 12" xfId="23560" xr:uid="{125990ED-B5A7-4AB8-9572-BF563C0E05B1}"/>
    <cellStyle name="Comma 5 5 13" xfId="12429" xr:uid="{022737FE-02B8-4339-8C4F-B93412874188}"/>
    <cellStyle name="Comma 5 5 2" xfId="472" xr:uid="{00000000-0005-0000-0000-000019020000}"/>
    <cellStyle name="Comma 5 5 2 10" xfId="9444" xr:uid="{925AA75C-30CF-4EA6-A444-1464D695D594}"/>
    <cellStyle name="Comma 5 5 2 10 2" xfId="19824" xr:uid="{C068C876-61E0-4591-85E9-E222158C415F}"/>
    <cellStyle name="Comma 5 5 2 11" xfId="23936" xr:uid="{FEA3F40E-8559-4999-954B-23BDB5010D03}"/>
    <cellStyle name="Comma 5 5 2 12" xfId="12507" xr:uid="{B305CE50-276F-4120-9C6D-6EE1DD38937B}"/>
    <cellStyle name="Comma 5 5 2 2" xfId="473" xr:uid="{00000000-0005-0000-0000-00001A020000}"/>
    <cellStyle name="Comma 5 5 2 2 10" xfId="13074" xr:uid="{35FF24D1-3374-49A1-94AB-48660EFC3E29}"/>
    <cellStyle name="Comma 5 5 2 2 2" xfId="1629" xr:uid="{00000000-0005-0000-0000-00001B020000}"/>
    <cellStyle name="Comma 5 5 2 2 2 2" xfId="3033" xr:uid="{00000000-0005-0000-0000-0000BC010000}"/>
    <cellStyle name="Comma 5 5 2 2 2 2 2" xfId="8113" xr:uid="{2AE85520-C8C8-457E-ACA9-529C269B9E3F}"/>
    <cellStyle name="Comma 5 5 2 2 2 2 2 2" xfId="28795" xr:uid="{D7A53197-3458-482B-840E-70A789FC1E24}"/>
    <cellStyle name="Comma 5 5 2 2 2 2 2 3" xfId="28240" xr:uid="{75899C5E-C4FB-419E-8A6B-99C3547D7C46}"/>
    <cellStyle name="Comma 5 5 2 2 2 2 2 4" xfId="18493" xr:uid="{36264E9A-D330-40AA-B391-E41E2315BC41}"/>
    <cellStyle name="Comma 5 5 2 2 2 2 3" xfId="10946" xr:uid="{BBEF4E85-2A45-41F4-AEDE-728924247D1F}"/>
    <cellStyle name="Comma 5 5 2 2 2 2 3 2" xfId="21326" xr:uid="{E9C5795C-00C5-4855-8AF9-5D6C25640AEC}"/>
    <cellStyle name="Comma 5 5 2 2 2 2 4" xfId="24162" xr:uid="{E433F28E-FBD0-461A-A44F-7B9039781C0F}"/>
    <cellStyle name="Comma 5 5 2 2 2 2 5" xfId="15660" xr:uid="{3F5497FD-51CD-4B7C-B9ED-AAA49343CBCE}"/>
    <cellStyle name="Comma 5 5 2 2 2 3" xfId="3547" xr:uid="{00000000-0005-0000-0000-00001B020000}"/>
    <cellStyle name="Comma 5 5 2 2 2 4" xfId="5569" xr:uid="{8149337E-E2F7-4BC3-B2AD-3A48DB4611B4}"/>
    <cellStyle name="Comma 5 5 2 2 2 4 2" xfId="29943" xr:uid="{0D010CB5-5F6A-4720-B93A-F2E76E3D3185}"/>
    <cellStyle name="Comma 5 5 2 2 2 5" xfId="23271" xr:uid="{324F7F2A-F9B4-427B-BAA0-884E742FA9CB}"/>
    <cellStyle name="Comma 5 5 2 2 2 6" xfId="13536" xr:uid="{FA17DD78-577E-4F4A-A4A3-79140DA28301}"/>
    <cellStyle name="Comma 5 5 2 2 3" xfId="1630" xr:uid="{00000000-0005-0000-0000-00001C020000}"/>
    <cellStyle name="Comma 5 5 2 2 3 2" xfId="4662" xr:uid="{B2F37315-6DCC-4AA8-91CB-5196813D8346}"/>
    <cellStyle name="Comma 5 5 2 2 3 2 2" xfId="9411" xr:uid="{E47A1DEC-3551-413C-B44C-FBAAD200C832}"/>
    <cellStyle name="Comma 5 5 2 2 3 2 2 2" xfId="19791" xr:uid="{AD92439A-7503-45C2-BAA6-A5D77D862B3A}"/>
    <cellStyle name="Comma 5 5 2 2 3 2 3" xfId="12244" xr:uid="{EC7FCFC4-452B-4FE3-BBC1-FCE6A21A9DDF}"/>
    <cellStyle name="Comma 5 5 2 2 3 2 3 2" xfId="22624" xr:uid="{62C16D63-B217-422C-A300-74BA0214C757}"/>
    <cellStyle name="Comma 5 5 2 2 3 2 4" xfId="26364" xr:uid="{C2C9F031-3AEA-4B32-94D5-A68C41FAC102}"/>
    <cellStyle name="Comma 5 5 2 2 3 2 5" xfId="25991" xr:uid="{B7C7B693-B722-4F40-ACDA-74BB51F20522}"/>
    <cellStyle name="Comma 5 5 2 2 3 2 6" xfId="16958" xr:uid="{4DE22B44-2151-4B51-9726-162B99792D9D}"/>
    <cellStyle name="Comma 5 5 2 2 3 3" xfId="22715" xr:uid="{92B2D0D1-AC90-443C-9981-82F2B0565022}"/>
    <cellStyle name="Comma 5 5 2 2 3 3 2" xfId="29897" xr:uid="{2E172FD6-8857-4391-B419-ABFDC80BB508}"/>
    <cellStyle name="Comma 5 5 2 2 3 4" xfId="30011" xr:uid="{90B5CBFA-773D-4DCA-9D81-2CAA54A6CBB0}"/>
    <cellStyle name="Comma 5 5 2 2 4" xfId="1628" xr:uid="{00000000-0005-0000-0000-00001D020000}"/>
    <cellStyle name="Comma 5 5 2 2 4 2" xfId="26906" xr:uid="{6F7A2ECF-25AB-4CBD-817C-55807B88D221}"/>
    <cellStyle name="Comma 5 5 2 2 4 3" xfId="26324" xr:uid="{947B228F-946F-4CAA-BA52-7D37CF416252}"/>
    <cellStyle name="Comma 5 5 2 2 5" xfId="4257" xr:uid="{F425CFC7-105B-4CC0-8870-3014D73014C3}"/>
    <cellStyle name="Comma 5 5 2 2 5 2" xfId="9029" xr:uid="{13C3FDE2-5559-4AEB-9363-A03CE57D7938}"/>
    <cellStyle name="Comma 5 5 2 2 5 2 2" xfId="19409" xr:uid="{E5AFDC7D-2E76-478B-A5FE-40C3176D389A}"/>
    <cellStyle name="Comma 5 5 2 2 5 2 3" xfId="31033" xr:uid="{4BA37740-99D8-4CB4-B471-35EA920B8290}"/>
    <cellStyle name="Comma 5 5 2 2 5 2 4" xfId="30688" xr:uid="{AC70B46C-F6DA-4750-B6ED-B64C9D0A9C69}"/>
    <cellStyle name="Comma 5 5 2 2 5 3" xfId="11862" xr:uid="{2A39EEE8-F51A-4BD9-908B-5D918AC6FF8E}"/>
    <cellStyle name="Comma 5 5 2 2 5 3 2" xfId="22242" xr:uid="{89075ACE-3FFD-40C2-9CDA-923A33AE603B}"/>
    <cellStyle name="Comma 5 5 2 2 5 4" xfId="28470" xr:uid="{B2944A0E-2792-4E36-A6CD-5BA38F961C86}"/>
    <cellStyle name="Comma 5 5 2 2 5 5" xfId="27173" xr:uid="{932979F3-F365-4C93-B50C-E510F37D9E15}"/>
    <cellStyle name="Comma 5 5 2 2 5 6" xfId="16576" xr:uid="{E20AC4C6-B379-465A-9BA2-31180D5B832E}"/>
    <cellStyle name="Comma 5 5 2 2 6" xfId="4867" xr:uid="{2C2AF93C-FB36-43A0-A025-409ECF6C1BDB}"/>
    <cellStyle name="Comma 5 5 2 2 6 2" xfId="28232" xr:uid="{9D1E46B6-8E75-4D25-932A-5044949B17DB}"/>
    <cellStyle name="Comma 5 5 2 2 6 3" xfId="27319" xr:uid="{6ECABCF4-B3A6-49C3-A88A-0474DCE8E380}"/>
    <cellStyle name="Comma 5 5 2 2 6 4" xfId="14159" xr:uid="{AE8ED646-516E-47B4-8B48-EF4F052525B9}"/>
    <cellStyle name="Comma 5 5 2 2 7" xfId="6612" xr:uid="{43DD63CF-7129-4C83-8E53-6FBBDEAA6ABB}"/>
    <cellStyle name="Comma 5 5 2 2 7 2" xfId="16992" xr:uid="{EBEC6825-98E7-4C94-BEFF-7A674D1AC88D}"/>
    <cellStyle name="Comma 5 5 2 2 8" xfId="9445" xr:uid="{35DFDB9E-357C-4E4D-BC65-96DC64BA8B9F}"/>
    <cellStyle name="Comma 5 5 2 2 8 2" xfId="19825" xr:uid="{63F93CB6-2331-402A-A896-3CC3EE713676}"/>
    <cellStyle name="Comma 5 5 2 2 9" xfId="24569" xr:uid="{E63E51D1-8FE3-41BB-B561-CB42C3286D6B}"/>
    <cellStyle name="Comma 5 5 2 3" xfId="1631" xr:uid="{00000000-0005-0000-0000-00001E020000}"/>
    <cellStyle name="Comma 5 5 2 3 2" xfId="3034" xr:uid="{00000000-0005-0000-0000-0000BD010000}"/>
    <cellStyle name="Comma 5 5 2 3 2 2" xfId="8114" xr:uid="{81A888E5-0B53-4D56-8867-69F92F7C8E25}"/>
    <cellStyle name="Comma 5 5 2 3 2 2 2" xfId="28796" xr:uid="{13DD1A7F-3F45-4FED-A2A0-862C422EBE30}"/>
    <cellStyle name="Comma 5 5 2 3 2 2 2 2" xfId="31219" xr:uid="{25CDBFA8-B5EF-4E3D-9F68-CCC9EBFB7FA2}"/>
    <cellStyle name="Comma 5 5 2 3 2 2 2 3" xfId="30690" xr:uid="{59C9BFCC-C44C-4B53-BDE8-EA9524F87295}"/>
    <cellStyle name="Comma 5 5 2 3 2 2 3" xfId="27584" xr:uid="{76712071-AC0C-4F27-A46D-F4350A722BE1}"/>
    <cellStyle name="Comma 5 5 2 3 2 2 4" xfId="18494" xr:uid="{F21898EA-35F5-4361-9A5F-73415AB73E23}"/>
    <cellStyle name="Comma 5 5 2 3 2 3" xfId="10947" xr:uid="{780B36F9-F617-4AC3-AAD9-1E6BB2051FF1}"/>
    <cellStyle name="Comma 5 5 2 3 2 3 2" xfId="21327" xr:uid="{840CEE2D-9C0C-4488-B440-5DD48AF1B74B}"/>
    <cellStyle name="Comma 5 5 2 3 2 4" xfId="23437" xr:uid="{0F501286-54E5-483D-ACF4-0264FCD9BB1E}"/>
    <cellStyle name="Comma 5 5 2 3 2 5" xfId="15661" xr:uid="{E9E1ABC4-1CE5-40E4-9EBF-F54843E28052}"/>
    <cellStyle name="Comma 5 5 2 3 3" xfId="3569" xr:uid="{00000000-0005-0000-0000-00001E020000}"/>
    <cellStyle name="Comma 5 5 2 3 4" xfId="4399" xr:uid="{EA2E7E2E-2E7D-462B-A6DA-299801D6D98F}"/>
    <cellStyle name="Comma 5 5 2 3 4 2" xfId="9171" xr:uid="{3A6F7C63-ECFF-4582-83D4-F800D01FB1DE}"/>
    <cellStyle name="Comma 5 5 2 3 4 2 2" xfId="19551" xr:uid="{5F2F7421-CB3C-4C0C-94E1-149CF08D1218}"/>
    <cellStyle name="Comma 5 5 2 3 4 2 3" xfId="31065" xr:uid="{5EB8706E-0031-40A6-9765-3B305E95095B}"/>
    <cellStyle name="Comma 5 5 2 3 4 2 4" xfId="30689" xr:uid="{033FE0DB-75AA-4554-B811-17A0F466E96D}"/>
    <cellStyle name="Comma 5 5 2 3 4 3" xfId="12004" xr:uid="{4E20C26B-F108-4724-AF70-22A9F8145129}"/>
    <cellStyle name="Comma 5 5 2 3 4 3 2" xfId="22384" xr:uid="{F2BB2F88-D0E0-46A0-B0FE-BE3E1067F817}"/>
    <cellStyle name="Comma 5 5 2 3 4 4" xfId="16718" xr:uid="{BBCC3D97-496B-477C-8300-8068167F31C0}"/>
    <cellStyle name="Comma 5 5 2 3 5" xfId="5570" xr:uid="{7CF632E3-4777-4439-BD13-C36956A9A848}"/>
    <cellStyle name="Comma 5 5 2 3 5 2" xfId="29702" xr:uid="{5D2D8791-0CFD-4C9F-850F-A68D1255BD93}"/>
    <cellStyle name="Comma 5 5 2 3 5 2 2" xfId="30964" xr:uid="{A2A588AE-3984-4379-8013-6E0918DDA01D}"/>
    <cellStyle name="Comma 5 5 2 3 6" xfId="24251" xr:uid="{7854BEE0-FF20-4F98-AC86-A079A6833A12}"/>
    <cellStyle name="Comma 5 5 2 3 7" xfId="13537" xr:uid="{A8C823ED-4DEA-421E-8373-07016424A5F0}"/>
    <cellStyle name="Comma 5 5 2 4" xfId="1632" xr:uid="{00000000-0005-0000-0000-00001F020000}"/>
    <cellStyle name="Comma 5 5 2 4 2" xfId="3032" xr:uid="{00000000-0005-0000-0000-0000BE010000}"/>
    <cellStyle name="Comma 5 5 2 4 2 2" xfId="8112" xr:uid="{8B105B21-38BE-4440-B53F-339A3295330A}"/>
    <cellStyle name="Comma 5 5 2 4 2 2 2" xfId="28794" xr:uid="{3E7456B3-67D8-4BF3-A48D-6285E2F25D2F}"/>
    <cellStyle name="Comma 5 5 2 4 2 2 3" xfId="25871" xr:uid="{1DF288C7-35BA-4D3C-A265-6D70B9DA86F9}"/>
    <cellStyle name="Comma 5 5 2 4 2 2 4" xfId="18492" xr:uid="{CE2976AD-3E7B-473B-965A-9DA68EBE92A3}"/>
    <cellStyle name="Comma 5 5 2 4 2 3" xfId="10945" xr:uid="{6E07D054-C5EB-4EAA-9513-8C4E2C0CF1DD}"/>
    <cellStyle name="Comma 5 5 2 4 2 3 2" xfId="21325" xr:uid="{31A1617B-2604-4938-AC05-828CCACCA05F}"/>
    <cellStyle name="Comma 5 5 2 4 2 4" xfId="23470" xr:uid="{7AF72A65-EEAA-4E38-92FE-48D0406D6851}"/>
    <cellStyle name="Comma 5 5 2 4 2 5" xfId="15659" xr:uid="{66C431FE-8B2F-4382-85F1-4C640BDEA1DA}"/>
    <cellStyle name="Comma 5 5 2 4 3" xfId="3639" xr:uid="{00000000-0005-0000-0000-00001F020000}"/>
    <cellStyle name="Comma 5 5 2 4 4" xfId="5571" xr:uid="{A7DC721F-42E5-4C1F-981A-40EAC95C2325}"/>
    <cellStyle name="Comma 5 5 2 4 4 2" xfId="29942" xr:uid="{31D45137-92A6-45CF-83E9-6D020EE1BB31}"/>
    <cellStyle name="Comma 5 5 2 4 5" xfId="23248" xr:uid="{B403172A-62E5-44D4-B009-CA7BFE2860E8}"/>
    <cellStyle name="Comma 5 5 2 4 6" xfId="13535" xr:uid="{6BF3DCE5-8388-4FEB-84E2-0D7EA09FD106}"/>
    <cellStyle name="Comma 5 5 2 5" xfId="1627" xr:uid="{00000000-0005-0000-0000-000020020000}"/>
    <cellStyle name="Comma 5 5 2 5 2" xfId="2606" xr:uid="{00000000-0005-0000-0000-0000BF010000}"/>
    <cellStyle name="Comma 5 5 2 5 2 2" xfId="7731" xr:uid="{56F37DDA-B19E-4AA9-A4F8-DE511DB10BE5}"/>
    <cellStyle name="Comma 5 5 2 5 2 2 2" xfId="18111" xr:uid="{D6606970-6866-4700-B917-902B70B2829F}"/>
    <cellStyle name="Comma 5 5 2 5 2 3" xfId="10564" xr:uid="{03D93D01-874D-4C7E-B6E8-6646DF361B5C}"/>
    <cellStyle name="Comma 5 5 2 5 2 3 2" xfId="20944" xr:uid="{E3A04422-6F5B-4D81-B99D-FEECA48FA414}"/>
    <cellStyle name="Comma 5 5 2 5 2 4" xfId="27997" xr:uid="{24F21F37-5917-4018-9E6C-C7641984E9BA}"/>
    <cellStyle name="Comma 5 5 2 5 2 5" xfId="26253" xr:uid="{80D89265-A39A-4A4D-AA40-3E6C2AF5F497}"/>
    <cellStyle name="Comma 5 5 2 5 2 6" xfId="15278" xr:uid="{63730937-422D-4A27-AD40-BFB4F5596BAE}"/>
    <cellStyle name="Comma 5 5 2 5 3" xfId="3550" xr:uid="{00000000-0005-0000-0000-000020020000}"/>
    <cellStyle name="Comma 5 5 2 5 4" xfId="5568" xr:uid="{EC7E76E4-1CD5-4119-9B58-FCAE4C6C9289}"/>
    <cellStyle name="Comma 5 5 2 5 4 2" xfId="29885" xr:uid="{9981A58F-D7D0-4204-A4F1-535CDEC7F29D}"/>
    <cellStyle name="Comma 5 5 2 5 5" xfId="22663" xr:uid="{F87EE0D8-7605-4BAC-B8D1-1FD6C5DA9D4A}"/>
    <cellStyle name="Comma 5 5 2 5 6" xfId="12994" xr:uid="{9588B1C1-B65E-4EBC-AB1D-043F75641582}"/>
    <cellStyle name="Comma 5 5 2 6" xfId="2275" xr:uid="{00000000-0005-0000-0000-0000BA010000}"/>
    <cellStyle name="Comma 5 5 2 6 2" xfId="7402" xr:uid="{BF98D419-FCB0-41D0-A353-A83259F5C528}"/>
    <cellStyle name="Comma 5 5 2 6 2 2" xfId="17782" xr:uid="{390025A4-9054-43F4-89A9-9036C01644E6}"/>
    <cellStyle name="Comma 5 5 2 6 3" xfId="10235" xr:uid="{FB622232-7D94-4CBB-9F81-C5A85FAA7DA9}"/>
    <cellStyle name="Comma 5 5 2 6 3 2" xfId="20615" xr:uid="{545544AA-0E46-4DF1-9D8F-C74045C244F0}"/>
    <cellStyle name="Comma 5 5 2 6 4" xfId="24119" xr:uid="{48234A69-540E-4466-AF7F-44BCDE98E2A4}"/>
    <cellStyle name="Comma 5 5 2 6 5" xfId="27405" xr:uid="{ABDC0F9F-59FE-4E0C-9BE7-F6D4523E26FE}"/>
    <cellStyle name="Comma 5 5 2 6 6" xfId="14949" xr:uid="{1DE065CC-4608-4C0C-8409-E1C6F2AC946A}"/>
    <cellStyle name="Comma 5 5 2 7" xfId="3814" xr:uid="{A67031BB-4D52-4448-AB9D-D3F77FED678A}"/>
    <cellStyle name="Comma 5 5 2 7 2" xfId="8648" xr:uid="{4D276026-51BE-40B5-8A76-89745AA2C8E2}"/>
    <cellStyle name="Comma 5 5 2 7 2 2" xfId="19028" xr:uid="{A57E13C3-EBCF-453E-AE03-2188BAE1E0FF}"/>
    <cellStyle name="Comma 5 5 2 7 3" xfId="11481" xr:uid="{AC1120BC-EF38-4262-B0D1-BB10C54203BF}"/>
    <cellStyle name="Comma 5 5 2 7 3 2" xfId="21861" xr:uid="{25F3E778-9F05-41FB-B597-A8827EBEAE67}"/>
    <cellStyle name="Comma 5 5 2 7 4" xfId="26802" xr:uid="{FE9D49E4-1E54-4FAA-9138-988B81FAB27A}"/>
    <cellStyle name="Comma 5 5 2 7 5" xfId="28256" xr:uid="{BF69C093-3389-4484-9625-540DA25850F9}"/>
    <cellStyle name="Comma 5 5 2 7 6" xfId="16195" xr:uid="{14093B26-44B4-4D8D-85EC-F686ACA6DA89}"/>
    <cellStyle name="Comma 5 5 2 8" xfId="4866" xr:uid="{3F5F929F-AD2B-4FC4-AE06-B544850F07D3}"/>
    <cellStyle name="Comma 5 5 2 8 2" xfId="14158" xr:uid="{90DC75DC-4445-4B30-87EE-A4B6763538F9}"/>
    <cellStyle name="Comma 5 5 2 9" xfId="6611" xr:uid="{144C1629-C8C1-4821-87C6-162C8052B7EA}"/>
    <cellStyle name="Comma 5 5 2 9 2" xfId="16991" xr:uid="{DC45AB9B-391D-443C-B724-97D3B0C0202B}"/>
    <cellStyle name="Comma 5 5 3" xfId="474" xr:uid="{00000000-0005-0000-0000-000021020000}"/>
    <cellStyle name="Comma 5 5 3 10" xfId="12665" xr:uid="{D68EB013-F254-4863-ACEC-DA60B3543A3D}"/>
    <cellStyle name="Comma 5 5 3 2" xfId="1634" xr:uid="{00000000-0005-0000-0000-000022020000}"/>
    <cellStyle name="Comma 5 5 3 2 2" xfId="3035" xr:uid="{00000000-0005-0000-0000-0000C1010000}"/>
    <cellStyle name="Comma 5 5 3 2 2 2" xfId="8115" xr:uid="{6E923544-D563-4AE9-AE26-D3443DC7A6E3}"/>
    <cellStyle name="Comma 5 5 3 2 2 2 2" xfId="28797" xr:uid="{A55DA19D-13DF-4F01-8DC7-CB9DD8A0BF5D}"/>
    <cellStyle name="Comma 5 5 3 2 2 2 3" xfId="25895" xr:uid="{8077C871-5A3E-4EEB-A4E9-B37044B9AE3E}"/>
    <cellStyle name="Comma 5 5 3 2 2 2 4" xfId="18495" xr:uid="{5E3D5AAD-60D9-4BCC-90B8-A77A41D99312}"/>
    <cellStyle name="Comma 5 5 3 2 2 3" xfId="10948" xr:uid="{BE9B532B-5792-47DA-985D-55AE26C1EA63}"/>
    <cellStyle name="Comma 5 5 3 2 2 3 2" xfId="21328" xr:uid="{41026603-F574-491F-BCF3-37117BEB63D1}"/>
    <cellStyle name="Comma 5 5 3 2 2 4" xfId="25691" xr:uid="{5FA3279B-2654-4CA2-BACD-F90F9D86C517}"/>
    <cellStyle name="Comma 5 5 3 2 2 5" xfId="15662" xr:uid="{EB3C57A3-4285-47DF-B10F-BAA31E0E0EA4}"/>
    <cellStyle name="Comma 5 5 3 2 3" xfId="2084" xr:uid="{00000000-0005-0000-0000-000022020000}"/>
    <cellStyle name="Comma 5 5 3 2 4" xfId="5572" xr:uid="{7F7B9B60-E209-4826-8772-73BB4FDBD1ED}"/>
    <cellStyle name="Comma 5 5 3 2 4 2" xfId="29944" xr:uid="{6B08990C-50CE-496C-AF55-F4679CB10C17}"/>
    <cellStyle name="Comma 5 5 3 2 5" xfId="24166" xr:uid="{E7FDD2E5-1D1F-4CAC-8B51-254CB0BA565F}"/>
    <cellStyle name="Comma 5 5 3 2 6" xfId="13538" xr:uid="{539FD750-BD35-44FD-B4C4-DE5B1C8545BD}"/>
    <cellStyle name="Comma 5 5 3 3" xfId="1635" xr:uid="{00000000-0005-0000-0000-000023020000}"/>
    <cellStyle name="Comma 5 5 3 3 2" xfId="2670" xr:uid="{00000000-0005-0000-0000-0000C2010000}"/>
    <cellStyle name="Comma 5 5 3 3 2 2" xfId="7794" xr:uid="{4A10F71E-744D-4E1A-A1FE-41BDC13EC78E}"/>
    <cellStyle name="Comma 5 5 3 3 2 2 2" xfId="18174" xr:uid="{F479C927-2FBF-456E-962F-2BB26B8B5E78}"/>
    <cellStyle name="Comma 5 5 3 3 2 3" xfId="10627" xr:uid="{614256B1-AE40-4025-9914-9B24BC6C1ECC}"/>
    <cellStyle name="Comma 5 5 3 3 2 3 2" xfId="21007" xr:uid="{02977913-50DA-4A6B-9B82-7FA563FE47D2}"/>
    <cellStyle name="Comma 5 5 3 3 2 4" xfId="15341" xr:uid="{85A9ECBF-14B8-44B5-B486-82C0EDA7446D}"/>
    <cellStyle name="Comma 5 5 3 3 2 5" xfId="30428" xr:uid="{DD045C8D-2616-4424-BD5E-1B33066A33C9}"/>
    <cellStyle name="Comma 5 5 3 3 3" xfId="3632" xr:uid="{00000000-0005-0000-0000-000023020000}"/>
    <cellStyle name="Comma 5 5 3 3 4" xfId="5573" xr:uid="{D0F45DDC-9CDB-4C3E-93A0-24657C4062B9}"/>
    <cellStyle name="Comma 5 5 3 3 4 2" xfId="29896" xr:uid="{531BF005-CF26-4DAC-B1C2-BD66BC46E9D9}"/>
    <cellStyle name="Comma 5 5 3 3 5" xfId="23178" xr:uid="{74BC34BA-9E64-4536-9EB6-4B30CE239A63}"/>
    <cellStyle name="Comma 5 5 3 3 6" xfId="13073" xr:uid="{0E9C5BEA-DDA4-49FE-9724-C62B2409A9EA}"/>
    <cellStyle name="Comma 5 5 3 4" xfId="1633" xr:uid="{00000000-0005-0000-0000-000024020000}"/>
    <cellStyle name="Comma 5 5 3 4 2" xfId="4678" xr:uid="{B9CA75EE-6848-4AA5-B3D9-A7A171A3E051}"/>
    <cellStyle name="Comma 5 5 3 4 2 2" xfId="9416" xr:uid="{087A5C71-72A9-4C8C-8DC8-0B8A6B8E408D}"/>
    <cellStyle name="Comma 5 5 3 4 2 2 2" xfId="19796" xr:uid="{9FFFEBDC-B576-4F5E-8F99-42E4A0658875}"/>
    <cellStyle name="Comma 5 5 3 4 2 3" xfId="12249" xr:uid="{85F2F8A1-E1FC-46CB-B89B-6890C3DA8F52}"/>
    <cellStyle name="Comma 5 5 3 4 2 3 2" xfId="22629" xr:uid="{80D3B82D-12B4-47BF-AF61-83494EAD79A3}"/>
    <cellStyle name="Comma 5 5 3 4 2 4" xfId="28749" xr:uid="{93D84A67-D8DB-4673-83D2-4A6F044EE3BD}"/>
    <cellStyle name="Comma 5 5 3 4 2 5" xfId="27882" xr:uid="{D4E4B022-58AA-4ECF-86C5-24D758213D37}"/>
    <cellStyle name="Comma 5 5 3 4 2 6" xfId="16963" xr:uid="{3D84CB5F-A64D-43EB-A36F-70360BC76100}"/>
    <cellStyle name="Comma 5 5 3 4 3" xfId="24912" xr:uid="{5AB78E44-B5D0-4CFE-B1B8-4AE603F2D5C7}"/>
    <cellStyle name="Comma 5 5 3 5" xfId="4122" xr:uid="{F9973A0F-8A84-4C8A-80C2-6CF63390BF41}"/>
    <cellStyle name="Comma 5 5 3 5 2" xfId="8894" xr:uid="{B4833EEF-FAF9-469A-BCFF-08E2012902FC}"/>
    <cellStyle name="Comma 5 5 3 5 2 2" xfId="29006" xr:uid="{32F70AF6-8302-4259-9DC0-5AD688E9A765}"/>
    <cellStyle name="Comma 5 5 3 5 2 3" xfId="26009" xr:uid="{16F9C4AC-6605-4138-A205-E6C3179E3361}"/>
    <cellStyle name="Comma 5 5 3 5 2 4" xfId="19274" xr:uid="{B1A78896-43A9-4257-9712-3F3BAB8CA8B2}"/>
    <cellStyle name="Comma 5 5 3 5 2 5" xfId="31008" xr:uid="{58E598E3-3590-49F1-B280-EAD888A0713F}"/>
    <cellStyle name="Comma 5 5 3 5 3" xfId="11727" xr:uid="{833A21B9-B28B-48B7-BD91-F8EC505AE039}"/>
    <cellStyle name="Comma 5 5 3 5 3 2" xfId="22107" xr:uid="{6156231B-96D6-4D21-87C3-5B1C08A493DB}"/>
    <cellStyle name="Comma 5 5 3 5 4" xfId="22814" xr:uid="{CD5E9768-2E2D-485A-86C2-AC5CCD484776}"/>
    <cellStyle name="Comma 5 5 3 5 5" xfId="16441" xr:uid="{0BE3CE96-FC58-4E66-9786-5D9089BF5F79}"/>
    <cellStyle name="Comma 5 5 3 6" xfId="4868" xr:uid="{6CDB7086-3F7E-4B8C-83B7-15AF5968925D}"/>
    <cellStyle name="Comma 5 5 3 6 2" xfId="26472" xr:uid="{40C01BE4-3B4B-422B-B13D-EBDE566684C9}"/>
    <cellStyle name="Comma 5 5 3 6 3" xfId="25840" xr:uid="{636C888B-6D95-4AA4-9C85-D683CEE26CB5}"/>
    <cellStyle name="Comma 5 5 3 6 4" xfId="14160" xr:uid="{7AA3EFD5-48D3-4C89-81A7-2C1BBA541F72}"/>
    <cellStyle name="Comma 5 5 3 7" xfId="6613" xr:uid="{0422C13C-3179-47EE-9788-B0849F0D399F}"/>
    <cellStyle name="Comma 5 5 3 7 2" xfId="27334" xr:uid="{BB97225F-869E-462C-90A4-0FE2082968C7}"/>
    <cellStyle name="Comma 5 5 3 7 3" xfId="28383" xr:uid="{3876D861-CFB1-4352-8288-3939E4C2C2C6}"/>
    <cellStyle name="Comma 5 5 3 7 4" xfId="16993" xr:uid="{FD311E95-5931-4C7E-A2D6-4460925E8CF1}"/>
    <cellStyle name="Comma 5 5 3 8" xfId="9446" xr:uid="{D9A5DF78-B22F-4F63-B7FD-1261471BEB62}"/>
    <cellStyle name="Comma 5 5 3 8 2" xfId="19826" xr:uid="{CAEEA5C0-94B0-4D14-97A6-13D067BE12C3}"/>
    <cellStyle name="Comma 5 5 3 9" xfId="24290" xr:uid="{434FB94B-F66A-4EC7-B85E-453360D49FFB}"/>
    <cellStyle name="Comma 5 5 4" xfId="475" xr:uid="{00000000-0005-0000-0000-000025020000}"/>
    <cellStyle name="Comma 5 5 4 10" xfId="13539" xr:uid="{52959F97-844D-4783-8588-821405EEC601}"/>
    <cellStyle name="Comma 5 5 4 2" xfId="1637" xr:uid="{00000000-0005-0000-0000-000026020000}"/>
    <cellStyle name="Comma 5 5 4 2 2" xfId="23668" xr:uid="{BE20CEF4-E54C-4E87-9F90-20E06B4A9C52}"/>
    <cellStyle name="Comma 5 5 4 2 2 2" xfId="29804" xr:uid="{75BDAE03-1549-48B9-83F3-375AF8EEC7A4}"/>
    <cellStyle name="Comma 5 5 4 2 2 2 2" xfId="30692" xr:uid="{AF1A20E1-C8F0-45DD-A69C-428A1597AB3F}"/>
    <cellStyle name="Comma 5 5 4 2 3" xfId="25591" xr:uid="{C5C79797-796D-481F-AAE7-1B994078CEAF}"/>
    <cellStyle name="Comma 5 5 4 2 4" xfId="30050" xr:uid="{4FD2E640-EF0A-4B6E-AE70-83AC36DAACDC}"/>
    <cellStyle name="Comma 5 5 4 3" xfId="1638" xr:uid="{00000000-0005-0000-0000-000027020000}"/>
    <cellStyle name="Comma 5 5 4 4" xfId="1636" xr:uid="{00000000-0005-0000-0000-000028020000}"/>
    <cellStyle name="Comma 5 5 4 5" xfId="4400" xr:uid="{4AD22D2F-7376-4F6D-A8EB-D20D9398390F}"/>
    <cellStyle name="Comma 5 5 4 5 2" xfId="9172" xr:uid="{9CE4E2A7-06F7-4802-860E-3DB1A4C80443}"/>
    <cellStyle name="Comma 5 5 4 5 2 2" xfId="19552" xr:uid="{B4626BF8-4DAE-43DD-97D7-40333803E923}"/>
    <cellStyle name="Comma 5 5 4 5 2 3" xfId="31066" xr:uid="{7DC98981-9C7C-4223-A8C3-16FADEBAB0FA}"/>
    <cellStyle name="Comma 5 5 4 5 2 4" xfId="30691" xr:uid="{20EB5551-7940-4282-AE60-DB9923A87B4E}"/>
    <cellStyle name="Comma 5 5 4 5 3" xfId="12005" xr:uid="{08672713-E368-4414-8B05-B6F4ECCB6DAE}"/>
    <cellStyle name="Comma 5 5 4 5 3 2" xfId="22385" xr:uid="{8ADE4E6C-E077-48DC-AA62-B39F989094CC}"/>
    <cellStyle name="Comma 5 5 4 5 4" xfId="16719" xr:uid="{6F6E83C0-7BA6-4A15-BCFE-388011EE79AD}"/>
    <cellStyle name="Comma 5 5 4 6" xfId="4869" xr:uid="{6E7E2566-A69B-4335-AA59-9A2F4590121A}"/>
    <cellStyle name="Comma 5 5 4 6 2" xfId="14161" xr:uid="{59928C80-8214-4158-8CD6-159958BAF16E}"/>
    <cellStyle name="Comma 5 5 4 7" xfId="6614" xr:uid="{A2CA9998-405C-4801-9A0E-B5BB04470654}"/>
    <cellStyle name="Comma 5 5 4 7 2" xfId="16994" xr:uid="{279A185E-3C1E-475E-8598-F1442AD8668E}"/>
    <cellStyle name="Comma 5 5 4 8" xfId="9447" xr:uid="{979640D8-5E91-465F-815A-815C85C850AB}"/>
    <cellStyle name="Comma 5 5 4 8 2" xfId="19827" xr:uid="{A9F6BBF3-22DA-4DDF-AD3E-974E90743E99}"/>
    <cellStyle name="Comma 5 5 4 9" xfId="24857" xr:uid="{7FB1EF52-225D-4725-95B0-54202D5468A1}"/>
    <cellStyle name="Comma 5 5 5" xfId="1639" xr:uid="{00000000-0005-0000-0000-000029020000}"/>
    <cellStyle name="Comma 5 5 5 2" xfId="2870" xr:uid="{00000000-0005-0000-0000-0000C4010000}"/>
    <cellStyle name="Comma 5 5 5 2 2" xfId="7987" xr:uid="{29A84986-E58A-40F7-9B87-AA807030AA62}"/>
    <cellStyle name="Comma 5 5 5 2 2 2" xfId="25986" xr:uid="{16F92FF8-15CB-49E9-8F0C-FB6B355921A2}"/>
    <cellStyle name="Comma 5 5 5 2 2 2 2" xfId="31170" xr:uid="{3DC96652-2A4E-41B6-B5B5-AF5C41938E4F}"/>
    <cellStyle name="Comma 5 5 5 2 2 2 3" xfId="30693" xr:uid="{727C6657-9979-41CA-8FB2-D04CBFA2548B}"/>
    <cellStyle name="Comma 5 5 5 2 2 3" xfId="27412" xr:uid="{7327C762-DEAA-4740-8A92-318B57A0103E}"/>
    <cellStyle name="Comma 5 5 5 2 2 4" xfId="18367" xr:uid="{B9DAF87E-9808-4299-8F2C-975A54FF0ED6}"/>
    <cellStyle name="Comma 5 5 5 2 3" xfId="10820" xr:uid="{113CAD9F-03B5-4D0F-A2E4-549095C74A3F}"/>
    <cellStyle name="Comma 5 5 5 2 3 2" xfId="21200" xr:uid="{E8ED0350-EDF4-449C-8119-28C3857B0170}"/>
    <cellStyle name="Comma 5 5 5 2 4" xfId="25466" xr:uid="{2EEC30B5-A9EF-42AB-ADED-C066D036447C}"/>
    <cellStyle name="Comma 5 5 5 2 5" xfId="15534" xr:uid="{475D9237-6398-4066-BFFA-E5234E9258FD}"/>
    <cellStyle name="Comma 5 5 5 3" xfId="3613" xr:uid="{00000000-0005-0000-0000-000029020000}"/>
    <cellStyle name="Comma 5 5 5 4" xfId="5574" xr:uid="{4F1CE6FF-AA71-481C-8BF2-B8FC09BA5009}"/>
    <cellStyle name="Comma 5 5 5 4 2" xfId="29841" xr:uid="{232E3991-FF0B-45E7-A910-79D7101065D5}"/>
    <cellStyle name="Comma 5 5 5 5" xfId="23624" xr:uid="{D0C5F40A-D787-4A26-B4CF-4EE64D5B9F34}"/>
    <cellStyle name="Comma 5 5 5 6" xfId="13363" xr:uid="{2E4F9569-2F0D-4B42-B37C-29F96F2C4216}"/>
    <cellStyle name="Comma 5 5 6" xfId="1640" xr:uid="{00000000-0005-0000-0000-00002A020000}"/>
    <cellStyle name="Comma 5 5 6 2" xfId="2443" xr:uid="{00000000-0005-0000-0000-0000C5010000}"/>
    <cellStyle name="Comma 5 5 6 2 2" xfId="7568" xr:uid="{0E384CDF-EC04-4AB2-B167-3E9A5731DB57}"/>
    <cellStyle name="Comma 5 5 6 2 2 2" xfId="17948" xr:uid="{71FA7491-3B38-4BA2-BADD-889276EC9B89}"/>
    <cellStyle name="Comma 5 5 6 2 3" xfId="10401" xr:uid="{AD6131B3-BBA5-46AB-B806-9320D29F340C}"/>
    <cellStyle name="Comma 5 5 6 2 3 2" xfId="20781" xr:uid="{B13600EA-D6DF-4EA7-B63A-BBA19B5A0581}"/>
    <cellStyle name="Comma 5 5 6 2 4" xfId="27108" xr:uid="{AB827138-78E5-4DAF-A0A0-D965DA151480}"/>
    <cellStyle name="Comma 5 5 6 2 5" xfId="26430" xr:uid="{F013FF34-42E7-41E6-B800-2B1CF255EDCF}"/>
    <cellStyle name="Comma 5 5 6 2 6" xfId="15115" xr:uid="{EA2A9E5A-F293-4AFA-AC72-7D67370376C1}"/>
    <cellStyle name="Comma 5 5 6 3" xfId="3694" xr:uid="{00000000-0005-0000-0000-00002A020000}"/>
    <cellStyle name="Comma 5 5 6 4" xfId="5575" xr:uid="{B5BA4AD0-DC02-456E-A640-580BDC9DB8DF}"/>
    <cellStyle name="Comma 5 5 6 4 2" xfId="29859" xr:uid="{57A21993-13B3-4F68-9E76-EAB12ABFCDAB}"/>
    <cellStyle name="Comma 5 5 6 5" xfId="23466" xr:uid="{3EB5FC1B-5E47-47CA-BC98-1616598D5F2B}"/>
    <cellStyle name="Comma 5 5 6 6" xfId="12831" xr:uid="{DA9C056C-3B55-42DB-89ED-804B52FCC034}"/>
    <cellStyle name="Comma 5 5 7" xfId="1626" xr:uid="{00000000-0005-0000-0000-00002B020000}"/>
    <cellStyle name="Comma 5 5 7 2" xfId="2197" xr:uid="{00000000-0005-0000-0000-0000B9010000}"/>
    <cellStyle name="Comma 5 5 7 2 2" xfId="7324" xr:uid="{60A9C9F5-0888-44FB-A61A-088452754AF8}"/>
    <cellStyle name="Comma 5 5 7 2 2 2" xfId="17704" xr:uid="{9DFAE71D-3CF0-41D5-A132-3F367A7B4522}"/>
    <cellStyle name="Comma 5 5 7 2 3" xfId="10157" xr:uid="{902EA43B-AA92-451D-9A23-84C0CFC3C463}"/>
    <cellStyle name="Comma 5 5 7 2 3 2" xfId="20537" xr:uid="{7BB306FB-53BD-4B76-A88C-2E46E6DAF0EF}"/>
    <cellStyle name="Comma 5 5 7 2 4" xfId="27268" xr:uid="{F9A93237-4771-4507-841A-E0028EFD4773}"/>
    <cellStyle name="Comma 5 5 7 2 5" xfId="27538" xr:uid="{A91A1F1E-F001-4F27-81D4-EA59774C3354}"/>
    <cellStyle name="Comma 5 5 7 2 6" xfId="14871" xr:uid="{5C1D607C-DE55-4E8C-BB31-6AE40BC46878}"/>
    <cellStyle name="Comma 5 5 7 3" xfId="2075" xr:uid="{00000000-0005-0000-0000-00002B020000}"/>
    <cellStyle name="Comma 5 5 7 4" xfId="24412" xr:uid="{36ED9414-6024-4C62-872F-AAB37126E048}"/>
    <cellStyle name="Comma 5 5 8" xfId="3862" xr:uid="{BB40D789-347F-4EEE-90F2-9CD69067EE82}"/>
    <cellStyle name="Comma 5 5 8 2" xfId="8694" xr:uid="{9AC2FF51-5884-4416-8AA7-99DEB4C93414}"/>
    <cellStyle name="Comma 5 5 8 2 2" xfId="19074" xr:uid="{D9087CDC-1BF9-44A7-942A-4E4300147E7C}"/>
    <cellStyle name="Comma 5 5 8 3" xfId="11527" xr:uid="{2226F7C8-E552-4431-83FD-43EEB0C89BE2}"/>
    <cellStyle name="Comma 5 5 8 3 2" xfId="21907" xr:uid="{E0D8DC67-387B-47A9-B90F-611BE4F644CB}"/>
    <cellStyle name="Comma 5 5 8 4" xfId="27257" xr:uid="{C3B1FE98-E167-4B42-A1A5-6B0CA8C6C9CC}"/>
    <cellStyle name="Comma 5 5 8 5" xfId="27528" xr:uid="{50DD4C2B-E28F-48EA-93F2-2D2DE77BD327}"/>
    <cellStyle name="Comma 5 5 8 6" xfId="16241" xr:uid="{AD88B16B-0A6C-452A-AD27-7870C55AC2FD}"/>
    <cellStyle name="Comma 5 5 9" xfId="4865" xr:uid="{B96B2491-42C5-4567-9EF8-BEC2D1E7545A}"/>
    <cellStyle name="Comma 5 5 9 2" xfId="26548" xr:uid="{134CF6A7-AB77-467B-8E41-7C60BAEA582B}"/>
    <cellStyle name="Comma 5 5 9 3" xfId="26083" xr:uid="{A12382A4-48B3-4796-98C1-5472E8FD67FF}"/>
    <cellStyle name="Comma 5 5 9 4" xfId="14157" xr:uid="{F3D6CAA8-4E24-4DDA-AA85-AB4D929CC559}"/>
    <cellStyle name="Comma 5 6" xfId="476" xr:uid="{00000000-0005-0000-0000-00002C020000}"/>
    <cellStyle name="Comma 5 6 10" xfId="6615" xr:uid="{4631C7B0-5C00-4CE0-8E11-16DD7869E95A}"/>
    <cellStyle name="Comma 5 6 10 2" xfId="16995" xr:uid="{7A6C54D8-02D6-429F-A42C-8E718AD5DFFE}"/>
    <cellStyle name="Comma 5 6 11" xfId="9448" xr:uid="{0817B479-15F8-4772-92B0-336A3AAC008A}"/>
    <cellStyle name="Comma 5 6 11 2" xfId="19828" xr:uid="{55B5DE64-A888-4BDD-8E24-20AF3620EF38}"/>
    <cellStyle name="Comma 5 6 12" xfId="23252" xr:uid="{5847251C-B219-4630-9A49-4180AEBB92B2}"/>
    <cellStyle name="Comma 5 6 13" xfId="12491" xr:uid="{EB278AF2-1EFC-48A1-BAA3-6917F0523B0C}"/>
    <cellStyle name="Comma 5 6 2" xfId="477" xr:uid="{00000000-0005-0000-0000-00002D020000}"/>
    <cellStyle name="Comma 5 6 2 10" xfId="9449" xr:uid="{E37CCC6A-49F8-4C59-90E3-E68DF5B33094}"/>
    <cellStyle name="Comma 5 6 2 10 2" xfId="19829" xr:uid="{361AB468-D565-4E6D-A09E-0B8E69EE5726}"/>
    <cellStyle name="Comma 5 6 2 11" xfId="24862" xr:uid="{4A5F0AD4-A439-4F36-82D8-67A6150E45A6}"/>
    <cellStyle name="Comma 5 6 2 12" xfId="12508" xr:uid="{1918E5B2-94C3-4D29-A3BC-9F3126EC19AA}"/>
    <cellStyle name="Comma 5 6 2 2" xfId="478" xr:uid="{00000000-0005-0000-0000-00002E020000}"/>
    <cellStyle name="Comma 5 6 2 2 10" xfId="13076" xr:uid="{7F6D88B7-EE84-4B56-87E6-68195EA61EE9}"/>
    <cellStyle name="Comma 5 6 2 2 2" xfId="1644" xr:uid="{00000000-0005-0000-0000-00002F020000}"/>
    <cellStyle name="Comma 5 6 2 2 2 2" xfId="3037" xr:uid="{00000000-0005-0000-0000-0000C9010000}"/>
    <cellStyle name="Comma 5 6 2 2 2 2 2" xfId="8117" xr:uid="{13C664D6-8F08-440D-A9C4-5CC6CDB949F4}"/>
    <cellStyle name="Comma 5 6 2 2 2 2 2 2" xfId="28799" xr:uid="{6BB8A824-ABEF-4125-8742-F9940CAA7413}"/>
    <cellStyle name="Comma 5 6 2 2 2 2 2 3" xfId="26173" xr:uid="{CE3052D4-B364-445E-AFF8-5FBD2024463F}"/>
    <cellStyle name="Comma 5 6 2 2 2 2 2 4" xfId="18497" xr:uid="{12F04B86-DCA1-4EB9-A5D4-F44D51920EFD}"/>
    <cellStyle name="Comma 5 6 2 2 2 2 3" xfId="10950" xr:uid="{0DFBAED6-CE41-4977-AC84-6FF4D775334E}"/>
    <cellStyle name="Comma 5 6 2 2 2 2 3 2" xfId="21330" xr:uid="{5BA0FFA3-55B2-4543-B4AB-6DE34D11799D}"/>
    <cellStyle name="Comma 5 6 2 2 2 2 4" xfId="25213" xr:uid="{39FEBC27-FB7B-46B5-AE79-C04E454412EC}"/>
    <cellStyle name="Comma 5 6 2 2 2 2 5" xfId="15664" xr:uid="{3B247BE5-DA95-4BFE-9265-B2B51170AFF7}"/>
    <cellStyle name="Comma 5 6 2 2 2 3" xfId="3631" xr:uid="{00000000-0005-0000-0000-00002F020000}"/>
    <cellStyle name="Comma 5 6 2 2 2 4" xfId="5577" xr:uid="{6D3BDC34-D827-46F7-88BE-922304634FC0}"/>
    <cellStyle name="Comma 5 6 2 2 2 4 2" xfId="29946" xr:uid="{5B635471-5052-46FB-B146-0AFDD2B36BB8}"/>
    <cellStyle name="Comma 5 6 2 2 2 5" xfId="23107" xr:uid="{9CFBFF4A-AACF-4C42-972E-6670CAEF7B56}"/>
    <cellStyle name="Comma 5 6 2 2 2 6" xfId="13541" xr:uid="{E9C2FC4A-4DB4-45EE-844D-58014A703BCA}"/>
    <cellStyle name="Comma 5 6 2 2 3" xfId="1645" xr:uid="{00000000-0005-0000-0000-000030020000}"/>
    <cellStyle name="Comma 5 6 2 2 3 2" xfId="3774" xr:uid="{52C0A8FE-1672-4A0B-98CC-065396CA1D15}"/>
    <cellStyle name="Comma 5 6 2 2 3 2 2" xfId="8616" xr:uid="{64BD4978-527D-4288-B2AB-FBF9C340B835}"/>
    <cellStyle name="Comma 5 6 2 2 3 2 2 2" xfId="18996" xr:uid="{BE87114A-A879-451A-904F-9B8394E04AD9}"/>
    <cellStyle name="Comma 5 6 2 2 3 2 3" xfId="11449" xr:uid="{484B0271-B7DE-48CC-BC39-BD671855720F}"/>
    <cellStyle name="Comma 5 6 2 2 3 2 3 2" xfId="21829" xr:uid="{A82818FE-8A85-4A83-9105-B98121CD5D49}"/>
    <cellStyle name="Comma 5 6 2 2 3 2 4" xfId="28041" xr:uid="{E8790A02-C6B4-4E08-B93B-1543C39976AC}"/>
    <cellStyle name="Comma 5 6 2 2 3 2 5" xfId="28354" xr:uid="{A5FDD8F2-E7A6-4DFB-92B1-23B2DA4ED5A9}"/>
    <cellStyle name="Comma 5 6 2 2 3 2 6" xfId="16163" xr:uid="{3F8CAF59-7B9A-4C41-A777-B69CB3B25928}"/>
    <cellStyle name="Comma 5 6 2 2 3 3" xfId="23467" xr:uid="{1555F18E-3585-42BA-B21C-3F5224485A58}"/>
    <cellStyle name="Comma 5 6 2 2 3 3 2" xfId="29899" xr:uid="{E6772AFF-F70E-4799-AD63-89E737EDB507}"/>
    <cellStyle name="Comma 5 6 2 2 3 4" xfId="30012" xr:uid="{D420D383-93D8-4BAC-8C64-58B618B5958B}"/>
    <cellStyle name="Comma 5 6 2 2 4" xfId="1643" xr:uid="{00000000-0005-0000-0000-000031020000}"/>
    <cellStyle name="Comma 5 6 2 2 4 2" xfId="26909" xr:uid="{666AAA86-1F0C-4D09-92AE-DEB1BB345679}"/>
    <cellStyle name="Comma 5 6 2 2 4 3" xfId="26326" xr:uid="{BEE176BE-0587-4DAF-B5D8-95DE1ABCEAEC}"/>
    <cellStyle name="Comma 5 6 2 2 5" xfId="4258" xr:uid="{C071F0C2-7FF9-419E-AB53-1A006D8F91B9}"/>
    <cellStyle name="Comma 5 6 2 2 5 2" xfId="9030" xr:uid="{285A04F3-6FB7-4F5B-8BC6-3FCCB88A082D}"/>
    <cellStyle name="Comma 5 6 2 2 5 2 2" xfId="19410" xr:uid="{1D6CE86A-4B28-4E17-B4CA-9401F4858BAC}"/>
    <cellStyle name="Comma 5 6 2 2 5 2 3" xfId="31034" xr:uid="{1EA9922A-E309-408C-BB74-3D1F5E1A14F2}"/>
    <cellStyle name="Comma 5 6 2 2 5 2 4" xfId="30694" xr:uid="{885FB70C-6BB5-4532-A96A-20D44FAFED30}"/>
    <cellStyle name="Comma 5 6 2 2 5 3" xfId="11863" xr:uid="{AA7B603D-CCF5-46C0-805C-CEDE698D7B9D}"/>
    <cellStyle name="Comma 5 6 2 2 5 3 2" xfId="22243" xr:uid="{AFB1E244-0332-4A88-A911-B4D13437BB6F}"/>
    <cellStyle name="Comma 5 6 2 2 5 4" xfId="28691" xr:uid="{0733BD59-3F00-421F-A046-E4A0EDF2EDAF}"/>
    <cellStyle name="Comma 5 6 2 2 5 5" xfId="26458" xr:uid="{3079EAE1-684B-4BD4-876B-9ECEB73EE7D2}"/>
    <cellStyle name="Comma 5 6 2 2 5 6" xfId="16577" xr:uid="{79B256E5-8985-4D8C-848D-75F1C654E724}"/>
    <cellStyle name="Comma 5 6 2 2 6" xfId="4872" xr:uid="{B5D55B10-0881-419C-B732-466306D768E8}"/>
    <cellStyle name="Comma 5 6 2 2 6 2" xfId="28496" xr:uid="{FD4128A6-B85A-433F-BEBA-57CCE7A19CA1}"/>
    <cellStyle name="Comma 5 6 2 2 6 3" xfId="27041" xr:uid="{C2FD6024-063C-4BB6-A319-41F4C7C9715C}"/>
    <cellStyle name="Comma 5 6 2 2 6 4" xfId="14164" xr:uid="{20DE546D-3E6E-442C-A8E9-AB799FE01011}"/>
    <cellStyle name="Comma 5 6 2 2 7" xfId="6617" xr:uid="{CE2FA26B-5BAF-4EA3-A162-02D41BDEF9B8}"/>
    <cellStyle name="Comma 5 6 2 2 7 2" xfId="16997" xr:uid="{8C122B7D-CDA4-4B20-8EE6-B2A18A27E27F}"/>
    <cellStyle name="Comma 5 6 2 2 8" xfId="9450" xr:uid="{493A5F72-E443-4750-8205-310134CA00FC}"/>
    <cellStyle name="Comma 5 6 2 2 8 2" xfId="19830" xr:uid="{FD82A86A-8BB1-4631-B78D-BB6CC76D7B97}"/>
    <cellStyle name="Comma 5 6 2 2 9" xfId="24443" xr:uid="{DBC2662B-0096-4825-97AB-0A53BE0D05F8}"/>
    <cellStyle name="Comma 5 6 2 3" xfId="1646" xr:uid="{00000000-0005-0000-0000-000032020000}"/>
    <cellStyle name="Comma 5 6 2 3 2" xfId="3038" xr:uid="{00000000-0005-0000-0000-0000CA010000}"/>
    <cellStyle name="Comma 5 6 2 3 2 2" xfId="8118" xr:uid="{23E0A0A0-0515-4440-8FC8-CE55588B6DD2}"/>
    <cellStyle name="Comma 5 6 2 3 2 2 2" xfId="28800" xr:uid="{671BDB14-243E-45CA-A23C-8F371B38EA75}"/>
    <cellStyle name="Comma 5 6 2 3 2 2 2 2" xfId="31220" xr:uid="{E754FD69-8023-47E5-8936-45EC17C01A95}"/>
    <cellStyle name="Comma 5 6 2 3 2 2 2 3" xfId="30696" xr:uid="{8B730094-61E6-4360-85C8-E6490B245982}"/>
    <cellStyle name="Comma 5 6 2 3 2 2 3" xfId="26240" xr:uid="{1C759D9A-2B57-4B81-B6D1-6564D25BFE66}"/>
    <cellStyle name="Comma 5 6 2 3 2 2 4" xfId="18498" xr:uid="{AA1167CE-168B-4A15-AC11-7ADE41422C75}"/>
    <cellStyle name="Comma 5 6 2 3 2 3" xfId="10951" xr:uid="{76F3881A-2D5E-4D63-B789-77D4C66CF866}"/>
    <cellStyle name="Comma 5 6 2 3 2 3 2" xfId="21331" xr:uid="{DD20E463-3FD4-42FE-B7B4-D5FC84C459A2}"/>
    <cellStyle name="Comma 5 6 2 3 2 4" xfId="25053" xr:uid="{745800EE-3017-450A-8B34-6DA470EE4EEE}"/>
    <cellStyle name="Comma 5 6 2 3 2 5" xfId="15665" xr:uid="{5090D05D-6DBC-4C7E-B89F-187F563DADDA}"/>
    <cellStyle name="Comma 5 6 2 3 3" xfId="3574" xr:uid="{00000000-0005-0000-0000-000032020000}"/>
    <cellStyle name="Comma 5 6 2 3 4" xfId="4401" xr:uid="{801E30CD-C57C-4AA0-AD44-E472084856B7}"/>
    <cellStyle name="Comma 5 6 2 3 4 2" xfId="9173" xr:uid="{A2245F6E-C818-462B-A577-BFD6A878F55E}"/>
    <cellStyle name="Comma 5 6 2 3 4 2 2" xfId="19553" xr:uid="{14D9B2EC-B766-4595-9CDC-448355EE4724}"/>
    <cellStyle name="Comma 5 6 2 3 4 2 3" xfId="31067" xr:uid="{0BCC3248-510F-4F80-AE31-2C20A5227116}"/>
    <cellStyle name="Comma 5 6 2 3 4 2 4" xfId="30695" xr:uid="{9A1704C5-92D3-4EC2-ABE4-64113981F989}"/>
    <cellStyle name="Comma 5 6 2 3 4 3" xfId="12006" xr:uid="{35882B78-1782-4B44-B952-8D8F152EFB59}"/>
    <cellStyle name="Comma 5 6 2 3 4 3 2" xfId="22386" xr:uid="{FDCEE5D9-8336-48C7-815D-C9B7E8AFD011}"/>
    <cellStyle name="Comma 5 6 2 3 4 4" xfId="16720" xr:uid="{56D238A3-EADF-4C6C-ABC2-259D1B9EC20B}"/>
    <cellStyle name="Comma 5 6 2 3 5" xfId="5578" xr:uid="{7DAFC742-BDFC-41FC-ABDD-C89BACF93A27}"/>
    <cellStyle name="Comma 5 6 2 3 5 2" xfId="29715" xr:uid="{4E272700-95C3-44A0-BF31-07E252DAB136}"/>
    <cellStyle name="Comma 5 6 2 3 5 2 2" xfId="30965" xr:uid="{AF3CA143-BBE9-44FB-93FF-A7145ECBFBE4}"/>
    <cellStyle name="Comma 5 6 2 3 6" xfId="22842" xr:uid="{3FBDAED5-388D-4D26-8D74-FFEB528015CE}"/>
    <cellStyle name="Comma 5 6 2 3 7" xfId="13542" xr:uid="{4651E5BC-44DB-49EC-9E1E-2E263F7FB541}"/>
    <cellStyle name="Comma 5 6 2 4" xfId="1647" xr:uid="{00000000-0005-0000-0000-000033020000}"/>
    <cellStyle name="Comma 5 6 2 4 2" xfId="3036" xr:uid="{00000000-0005-0000-0000-0000CB010000}"/>
    <cellStyle name="Comma 5 6 2 4 2 2" xfId="8116" xr:uid="{5EE1CF64-9D10-4519-BE5F-3CC0CCD2C426}"/>
    <cellStyle name="Comma 5 6 2 4 2 2 2" xfId="28798" xr:uid="{FC49F608-A2B9-4DAE-9F80-E69D118BB65C}"/>
    <cellStyle name="Comma 5 6 2 4 2 2 3" xfId="28251" xr:uid="{F93BFCD3-1F2B-43DD-96BE-336BBD34E889}"/>
    <cellStyle name="Comma 5 6 2 4 2 2 4" xfId="18496" xr:uid="{681A9550-561D-4D2B-8618-A8501797004F}"/>
    <cellStyle name="Comma 5 6 2 4 2 3" xfId="10949" xr:uid="{CE55CC3B-C858-449C-8599-4E031514088A}"/>
    <cellStyle name="Comma 5 6 2 4 2 3 2" xfId="21329" xr:uid="{33E04FD2-637C-43D6-9B1F-5240F7C246D5}"/>
    <cellStyle name="Comma 5 6 2 4 2 4" xfId="23233" xr:uid="{EBC3B05A-7A0A-438A-8E96-15B08D86831D}"/>
    <cellStyle name="Comma 5 6 2 4 2 5" xfId="15663" xr:uid="{9E52C520-ED29-4051-AAED-430610354ED6}"/>
    <cellStyle name="Comma 5 6 2 4 3" xfId="3689" xr:uid="{00000000-0005-0000-0000-000033020000}"/>
    <cellStyle name="Comma 5 6 2 4 4" xfId="5579" xr:uid="{71C6AC17-1809-4613-A9BC-C403E4D7EDC1}"/>
    <cellStyle name="Comma 5 6 2 4 4 2" xfId="29945" xr:uid="{9FB3FC22-56A3-44B5-87A0-EBCF4B7BBF43}"/>
    <cellStyle name="Comma 5 6 2 4 5" xfId="23078" xr:uid="{05CE79C8-0595-4073-995E-F515BE239074}"/>
    <cellStyle name="Comma 5 6 2 4 6" xfId="13540" xr:uid="{123920D6-4E19-4240-B326-B292C9E4F685}"/>
    <cellStyle name="Comma 5 6 2 5" xfId="1642" xr:uid="{00000000-0005-0000-0000-000034020000}"/>
    <cellStyle name="Comma 5 6 2 5 2" xfId="2654" xr:uid="{00000000-0005-0000-0000-0000CC010000}"/>
    <cellStyle name="Comma 5 6 2 5 2 2" xfId="7779" xr:uid="{760C978A-BC3A-4099-B272-60CBCFE1F49B}"/>
    <cellStyle name="Comma 5 6 2 5 2 2 2" xfId="18159" xr:uid="{2B4F0818-04F1-4A3E-90AA-FE9F67CABD12}"/>
    <cellStyle name="Comma 5 6 2 5 2 3" xfId="10612" xr:uid="{7AA3840D-60B5-4811-AB3A-C2D763B540B5}"/>
    <cellStyle name="Comma 5 6 2 5 2 3 2" xfId="20992" xr:uid="{C3848658-C243-4766-91B7-F43B4247BE32}"/>
    <cellStyle name="Comma 5 6 2 5 2 4" xfId="27023" xr:uid="{14B37001-6DB6-47D9-8135-F7341B2B6043}"/>
    <cellStyle name="Comma 5 6 2 5 2 5" xfId="28049" xr:uid="{FC30BF35-A10F-4B9E-A7FB-BF166BA75823}"/>
    <cellStyle name="Comma 5 6 2 5 2 6" xfId="15326" xr:uid="{8D630E77-B1F3-4F87-9EBE-468BD74161CE}"/>
    <cellStyle name="Comma 5 6 2 5 3" xfId="3570" xr:uid="{00000000-0005-0000-0000-000034020000}"/>
    <cellStyle name="Comma 5 6 2 5 4" xfId="5576" xr:uid="{15CA7CF0-8774-44B8-89C4-66779EB5AB03}"/>
    <cellStyle name="Comma 5 6 2 5 4 2" xfId="29889" xr:uid="{BA1CDCF9-FD46-4D60-8CA7-A7079119BBF5}"/>
    <cellStyle name="Comma 5 6 2 5 5" xfId="23183" xr:uid="{B695C334-6D1D-4BA0-B65E-4327AA00C741}"/>
    <cellStyle name="Comma 5 6 2 5 6" xfId="13056" xr:uid="{3F962ED6-CBA7-4F78-907C-74062DC5C426}"/>
    <cellStyle name="Comma 5 6 2 6" xfId="2276" xr:uid="{00000000-0005-0000-0000-0000C7010000}"/>
    <cellStyle name="Comma 5 6 2 6 2" xfId="7403" xr:uid="{55AA8196-864E-4FAA-8F38-8D933D4F67BF}"/>
    <cellStyle name="Comma 5 6 2 6 2 2" xfId="17783" xr:uid="{C063C035-9AC4-4188-9411-57900EC33309}"/>
    <cellStyle name="Comma 5 6 2 6 3" xfId="10236" xr:uid="{E5CAEABC-95FB-49C6-B95D-77795AB6341F}"/>
    <cellStyle name="Comma 5 6 2 6 3 2" xfId="20616" xr:uid="{B66BB9E8-0F84-4162-915D-02AB7DEBA8AA}"/>
    <cellStyle name="Comma 5 6 2 6 4" xfId="22976" xr:uid="{703D8A09-5AB2-4384-B084-DFBDDF5134A9}"/>
    <cellStyle name="Comma 5 6 2 6 5" xfId="26451" xr:uid="{33747A0D-B40C-45E9-9527-F5B33B70402A}"/>
    <cellStyle name="Comma 5 6 2 6 6" xfId="14950" xr:uid="{1F7EDEBB-CF6F-429D-A222-FF76750F2126}"/>
    <cellStyle name="Comma 5 6 2 7" xfId="3817" xr:uid="{B4AAABA5-2912-46C4-A8A7-5D7C242BB3E0}"/>
    <cellStyle name="Comma 5 6 2 7 2" xfId="8651" xr:uid="{505361DD-BC03-414D-B75F-B325FF6A087B}"/>
    <cellStyle name="Comma 5 6 2 7 2 2" xfId="19031" xr:uid="{B5825790-102F-4786-BFC8-CA5B7795FBB2}"/>
    <cellStyle name="Comma 5 6 2 7 3" xfId="11484" xr:uid="{291CBEEB-96E2-4CE2-92F5-992FFCAAB487}"/>
    <cellStyle name="Comma 5 6 2 7 3 2" xfId="21864" xr:uid="{2ADB1291-B0DB-4F88-9875-C60D450EDD3C}"/>
    <cellStyle name="Comma 5 6 2 7 4" xfId="26446" xr:uid="{A599851F-1443-4C53-AD67-76E79E60D3E9}"/>
    <cellStyle name="Comma 5 6 2 7 5" xfId="26374" xr:uid="{1A9D8B69-476D-44F6-966C-060DEC326322}"/>
    <cellStyle name="Comma 5 6 2 7 6" xfId="16198" xr:uid="{0561A9D7-E3C0-4658-9A12-427315DCB20E}"/>
    <cellStyle name="Comma 5 6 2 8" xfId="4871" xr:uid="{3E8F4A8B-934A-488E-B0D8-9CDBF3BAF43D}"/>
    <cellStyle name="Comma 5 6 2 8 2" xfId="14163" xr:uid="{6135CAAB-BC69-4100-9762-167B1382FD8C}"/>
    <cellStyle name="Comma 5 6 2 9" xfId="6616" xr:uid="{F76A3232-5316-48AB-B1C1-521032568CB1}"/>
    <cellStyle name="Comma 5 6 2 9 2" xfId="16996" xr:uid="{8E3E216E-86EF-454F-91CB-3A0F6E6FCD17}"/>
    <cellStyle name="Comma 5 6 3" xfId="479" xr:uid="{00000000-0005-0000-0000-000035020000}"/>
    <cellStyle name="Comma 5 6 3 10" xfId="12666" xr:uid="{9A4BCD8E-F5B8-42BC-A351-057634D261C4}"/>
    <cellStyle name="Comma 5 6 3 2" xfId="1649" xr:uid="{00000000-0005-0000-0000-000036020000}"/>
    <cellStyle name="Comma 5 6 3 2 2" xfId="3039" xr:uid="{00000000-0005-0000-0000-0000CE010000}"/>
    <cellStyle name="Comma 5 6 3 2 2 2" xfId="8119" xr:uid="{2988140F-C9BB-4F35-BE88-8B632235552C}"/>
    <cellStyle name="Comma 5 6 3 2 2 2 2" xfId="28801" xr:uid="{15CF8EA8-D872-4A1A-BBD9-2FBA5C11DD5A}"/>
    <cellStyle name="Comma 5 6 3 2 2 2 3" xfId="26473" xr:uid="{514830B1-160E-4F8B-9AB5-3550D757909B}"/>
    <cellStyle name="Comma 5 6 3 2 2 2 4" xfId="18499" xr:uid="{AAC7EE76-4F4E-4C78-BEAC-B2E459246B53}"/>
    <cellStyle name="Comma 5 6 3 2 2 3" xfId="10952" xr:uid="{6651C9F7-8EE7-4D75-AC11-54ED3950982A}"/>
    <cellStyle name="Comma 5 6 3 2 2 3 2" xfId="21332" xr:uid="{6EE81B4D-AED8-464B-BF44-6E2802D87D53}"/>
    <cellStyle name="Comma 5 6 3 2 2 4" xfId="25811" xr:uid="{56264640-B7B6-4259-88CF-94ABC0784962}"/>
    <cellStyle name="Comma 5 6 3 2 2 5" xfId="15666" xr:uid="{51AFB86B-CB9C-4C17-A951-DCC2815DA1FB}"/>
    <cellStyle name="Comma 5 6 3 2 3" xfId="3538" xr:uid="{00000000-0005-0000-0000-000036020000}"/>
    <cellStyle name="Comma 5 6 3 2 4" xfId="5580" xr:uid="{8D6F4F08-AEE7-4E1C-9695-7E8F22B5E68C}"/>
    <cellStyle name="Comma 5 6 3 2 4 2" xfId="29947" xr:uid="{8B1B28A8-133C-4516-A9F3-7FE36BF04379}"/>
    <cellStyle name="Comma 5 6 3 2 5" xfId="24536" xr:uid="{3605F36D-2DA4-4E1E-B5B2-7275CC3D770B}"/>
    <cellStyle name="Comma 5 6 3 2 6" xfId="13543" xr:uid="{10618A8C-FF4F-43A9-8C44-8968BE992A4F}"/>
    <cellStyle name="Comma 5 6 3 3" xfId="1650" xr:uid="{00000000-0005-0000-0000-000037020000}"/>
    <cellStyle name="Comma 5 6 3 3 2" xfId="2671" xr:uid="{00000000-0005-0000-0000-0000CF010000}"/>
    <cellStyle name="Comma 5 6 3 3 2 2" xfId="7795" xr:uid="{FC4E818E-86CA-4871-A53F-6AE683E00537}"/>
    <cellStyle name="Comma 5 6 3 3 2 2 2" xfId="18175" xr:uid="{A6F7B1FA-D58C-4E72-B7F5-1DA4608A0506}"/>
    <cellStyle name="Comma 5 6 3 3 2 3" xfId="10628" xr:uid="{466915EA-A5DE-480D-873A-773BC4A7C5B4}"/>
    <cellStyle name="Comma 5 6 3 3 2 3 2" xfId="21008" xr:uid="{58DD9EC1-7FAE-451B-B84B-7FF34BA949B1}"/>
    <cellStyle name="Comma 5 6 3 3 2 4" xfId="15342" xr:uid="{CBFC83F7-B5FD-47E9-9402-9883DBB0922C}"/>
    <cellStyle name="Comma 5 6 3 3 2 5" xfId="30429" xr:uid="{ED4880D0-7E90-4301-AA4F-4731D701629B}"/>
    <cellStyle name="Comma 5 6 3 3 3" xfId="3540" xr:uid="{00000000-0005-0000-0000-000037020000}"/>
    <cellStyle name="Comma 5 6 3 3 4" xfId="5581" xr:uid="{761EBF54-5B24-4AA9-86E2-6BDAAF962FA7}"/>
    <cellStyle name="Comma 5 6 3 3 4 2" xfId="29898" xr:uid="{AB4FD6CD-0861-47AC-BFF8-0942381BE83B}"/>
    <cellStyle name="Comma 5 6 3 3 5" xfId="22821" xr:uid="{414F5BD6-9601-4501-97FD-1B91957F007A}"/>
    <cellStyle name="Comma 5 6 3 3 6" xfId="13075" xr:uid="{EFA9F08E-5102-40A7-B488-32F84DE311D1}"/>
    <cellStyle name="Comma 5 6 3 4" xfId="1648" xr:uid="{00000000-0005-0000-0000-000038020000}"/>
    <cellStyle name="Comma 5 6 3 4 2" xfId="4656" xr:uid="{96B839EE-44EA-4FBB-9175-77FE529D3877}"/>
    <cellStyle name="Comma 5 6 3 4 2 2" xfId="9408" xr:uid="{630F016D-D656-47E0-9F46-225F3907DBA3}"/>
    <cellStyle name="Comma 5 6 3 4 2 2 2" xfId="19788" xr:uid="{96E2F542-CA8D-4ECC-9D80-96C38592BB84}"/>
    <cellStyle name="Comma 5 6 3 4 2 3" xfId="12241" xr:uid="{F19B67DB-29E6-4352-AFB8-B111561F27E7}"/>
    <cellStyle name="Comma 5 6 3 4 2 3 2" xfId="22621" xr:uid="{1F87520B-F67C-418A-B875-7FAAFF828D33}"/>
    <cellStyle name="Comma 5 6 3 4 2 4" xfId="28278" xr:uid="{21A54E6A-310D-4239-8B26-446127D07DBF}"/>
    <cellStyle name="Comma 5 6 3 4 2 5" xfId="26648" xr:uid="{1B152A18-1C82-4286-836C-A679DC640C6A}"/>
    <cellStyle name="Comma 5 6 3 4 2 6" xfId="16955" xr:uid="{0487E457-D63A-4098-84BA-4D4BC076AA8F}"/>
    <cellStyle name="Comma 5 6 3 4 3" xfId="24253" xr:uid="{605FDD89-0425-4367-8C3B-784B5D425380}"/>
    <cellStyle name="Comma 5 6 3 5" xfId="4123" xr:uid="{DF63986C-EEEC-420A-A145-91C5AAECDE50}"/>
    <cellStyle name="Comma 5 6 3 5 2" xfId="8895" xr:uid="{5901397A-C167-4D60-9058-B5323971A03C}"/>
    <cellStyle name="Comma 5 6 3 5 2 2" xfId="29007" xr:uid="{E9821182-F511-459C-8200-A6ACE1605CCE}"/>
    <cellStyle name="Comma 5 6 3 5 2 3" xfId="27075" xr:uid="{AA58A71E-A9E2-47FF-A519-0B5400D31F1E}"/>
    <cellStyle name="Comma 5 6 3 5 2 4" xfId="19275" xr:uid="{537EFCF4-5CA5-4F86-8653-BC297AE15835}"/>
    <cellStyle name="Comma 5 6 3 5 2 5" xfId="31009" xr:uid="{B8E6B64A-486D-4071-8DC3-AA330959E8E0}"/>
    <cellStyle name="Comma 5 6 3 5 3" xfId="11728" xr:uid="{31C10FCD-B77E-4316-A776-403BF58FAB36}"/>
    <cellStyle name="Comma 5 6 3 5 3 2" xfId="22108" xr:uid="{E8D6B2DA-D8E8-4FC4-BBC5-E6A7E0071C73}"/>
    <cellStyle name="Comma 5 6 3 5 4" xfId="25652" xr:uid="{978D8406-2F72-4AD1-90F1-6B8A28C381C1}"/>
    <cellStyle name="Comma 5 6 3 5 5" xfId="16442" xr:uid="{C75A4B7E-E15F-49D1-A402-7902E8917AC0}"/>
    <cellStyle name="Comma 5 6 3 6" xfId="4873" xr:uid="{62C1F978-25D8-4CC1-9BA5-9A9C3B52A758}"/>
    <cellStyle name="Comma 5 6 3 6 2" xfId="28689" xr:uid="{7979634E-E2D5-43B6-BABA-61DBAA353967}"/>
    <cellStyle name="Comma 5 6 3 6 3" xfId="26008" xr:uid="{9332BC9F-0C97-4623-974D-D0703A9F521C}"/>
    <cellStyle name="Comma 5 6 3 6 4" xfId="14165" xr:uid="{C4FD2E18-8907-418E-BEFD-599F2FBB4D80}"/>
    <cellStyle name="Comma 5 6 3 7" xfId="6618" xr:uid="{7B8BE26E-8EB7-40A6-8C1F-A5C8F82DD8AB}"/>
    <cellStyle name="Comma 5 6 3 7 2" xfId="26275" xr:uid="{47A7EEA5-49CD-448B-AF24-B40E545AFC4C}"/>
    <cellStyle name="Comma 5 6 3 7 3" xfId="27406" xr:uid="{CC90C86D-535E-4CD2-9515-9AFB75C393D7}"/>
    <cellStyle name="Comma 5 6 3 7 4" xfId="16998" xr:uid="{B82D5362-48A2-4270-B9FB-2ACCDDD72ED1}"/>
    <cellStyle name="Comma 5 6 3 8" xfId="9451" xr:uid="{1A55361D-A709-4349-9372-B9ADC2352EFB}"/>
    <cellStyle name="Comma 5 6 3 8 2" xfId="19831" xr:uid="{918C8C6A-4561-4334-BA22-26C3070BF72F}"/>
    <cellStyle name="Comma 5 6 3 9" xfId="24350" xr:uid="{725B2A9C-E526-44FB-94FB-67F2A605326F}"/>
    <cellStyle name="Comma 5 6 4" xfId="480" xr:uid="{00000000-0005-0000-0000-000039020000}"/>
    <cellStyle name="Comma 5 6 4 10" xfId="13544" xr:uid="{69DFF61A-3937-4D61-A1C6-BCFA084C7E61}"/>
    <cellStyle name="Comma 5 6 4 2" xfId="1652" xr:uid="{00000000-0005-0000-0000-00003A020000}"/>
    <cellStyle name="Comma 5 6 4 2 2" xfId="23232" xr:uid="{631D18D8-9F14-4EF0-8240-8FC074BE2970}"/>
    <cellStyle name="Comma 5 6 4 2 2 2" xfId="29833" xr:uid="{ACAEC5BD-7D04-4A07-8311-C37FECBDA470}"/>
    <cellStyle name="Comma 5 6 4 2 2 2 2" xfId="30698" xr:uid="{6FD28594-8527-46A9-81FF-53A5969F8A03}"/>
    <cellStyle name="Comma 5 6 4 2 3" xfId="23617" xr:uid="{EB20E96A-ABBE-4405-A83A-0C56D225D782}"/>
    <cellStyle name="Comma 5 6 4 2 4" xfId="30051" xr:uid="{55CA51AD-2F4D-46A7-8227-ED4BBA99702B}"/>
    <cellStyle name="Comma 5 6 4 3" xfId="1653" xr:uid="{00000000-0005-0000-0000-00003B020000}"/>
    <cellStyle name="Comma 5 6 4 4" xfId="1651" xr:uid="{00000000-0005-0000-0000-00003C020000}"/>
    <cellStyle name="Comma 5 6 4 5" xfId="4402" xr:uid="{DCD7CC65-2C6B-43C4-8785-9E881C1BCA13}"/>
    <cellStyle name="Comma 5 6 4 5 2" xfId="9174" xr:uid="{29D46A5B-5EF4-4D5F-A22D-461AEE36AEE4}"/>
    <cellStyle name="Comma 5 6 4 5 2 2" xfId="19554" xr:uid="{915B69A5-F130-476E-A455-3362F3718E7A}"/>
    <cellStyle name="Comma 5 6 4 5 2 3" xfId="31068" xr:uid="{F2786672-7DFE-4FB0-BA25-C00762325A99}"/>
    <cellStyle name="Comma 5 6 4 5 2 4" xfId="30697" xr:uid="{4B424C80-EECD-4381-B558-D0681B8D1102}"/>
    <cellStyle name="Comma 5 6 4 5 3" xfId="12007" xr:uid="{F056B21E-8EEC-42D1-A5EC-AC363C419105}"/>
    <cellStyle name="Comma 5 6 4 5 3 2" xfId="22387" xr:uid="{6193C099-469F-4BED-9B2E-5342B05049AB}"/>
    <cellStyle name="Comma 5 6 4 5 4" xfId="16721" xr:uid="{101AE1AE-F90A-41ED-876F-AC99EDFE262D}"/>
    <cellStyle name="Comma 5 6 4 6" xfId="4874" xr:uid="{606B6403-7A80-4C7A-AB8E-023D16F4F682}"/>
    <cellStyle name="Comma 5 6 4 6 2" xfId="14166" xr:uid="{AAE9E0B8-5207-490D-B683-5B8B2029A3E9}"/>
    <cellStyle name="Comma 5 6 4 7" xfId="6619" xr:uid="{D8BDED57-485A-4A5D-A931-A9573409E00D}"/>
    <cellStyle name="Comma 5 6 4 7 2" xfId="16999" xr:uid="{4FDFD70E-F66A-4013-9215-3448C2947268}"/>
    <cellStyle name="Comma 5 6 4 8" xfId="9452" xr:uid="{7331E9E2-6F0D-46C8-9F00-16E1BAED187C}"/>
    <cellStyle name="Comma 5 6 4 8 2" xfId="19832" xr:uid="{982F0F29-74E0-425B-826B-D189FCA037A6}"/>
    <cellStyle name="Comma 5 6 4 9" xfId="24591" xr:uid="{E92AF8D2-F737-4F3F-8E21-3899B629C4BC}"/>
    <cellStyle name="Comma 5 6 5" xfId="1654" xr:uid="{00000000-0005-0000-0000-00003D020000}"/>
    <cellStyle name="Comma 5 6 5 2" xfId="2871" xr:uid="{00000000-0005-0000-0000-0000D1010000}"/>
    <cellStyle name="Comma 5 6 5 2 2" xfId="7988" xr:uid="{A4168C2C-017A-4E86-848B-D43FC33D9E71}"/>
    <cellStyle name="Comma 5 6 5 2 2 2" xfId="28258" xr:uid="{5F5CF18B-E883-4239-80F4-25A57F9ABFF8}"/>
    <cellStyle name="Comma 5 6 5 2 2 2 2" xfId="31205" xr:uid="{7D4C9951-2CC3-4A50-BBC9-67EE0E29863D}"/>
    <cellStyle name="Comma 5 6 5 2 2 2 3" xfId="30699" xr:uid="{776FC7D4-7BCD-4D98-A3F7-74BEEC5CD323}"/>
    <cellStyle name="Comma 5 6 5 2 2 3" xfId="27867" xr:uid="{C54C1D54-1B79-487A-9CB9-DFE7AE2A9CD6}"/>
    <cellStyle name="Comma 5 6 5 2 2 4" xfId="18368" xr:uid="{58248E8F-2F5A-4FBC-BA63-B8901727DC47}"/>
    <cellStyle name="Comma 5 6 5 2 3" xfId="10821" xr:uid="{78AA1DAD-4757-4283-9FE6-DE180516122E}"/>
    <cellStyle name="Comma 5 6 5 2 3 2" xfId="21201" xr:uid="{0F318335-83CE-4969-9344-703F784264E8}"/>
    <cellStyle name="Comma 5 6 5 2 4" xfId="24843" xr:uid="{58FE6BB2-A654-4842-9D03-347B90CB102C}"/>
    <cellStyle name="Comma 5 6 5 2 5" xfId="15535" xr:uid="{90E983AF-E2A7-47E2-8A74-579B8D03F159}"/>
    <cellStyle name="Comma 5 6 5 3" xfId="3541" xr:uid="{00000000-0005-0000-0000-00003D020000}"/>
    <cellStyle name="Comma 5 6 5 4" xfId="5582" xr:uid="{F71FC95D-44D7-4567-A472-4307DC68F426}"/>
    <cellStyle name="Comma 5 6 5 4 2" xfId="29842" xr:uid="{C378B11F-FE1B-4D48-8F76-B07AE9EB0C13}"/>
    <cellStyle name="Comma 5 6 5 5" xfId="22675" xr:uid="{55490A9E-01D7-460C-A9F7-9F91E148E222}"/>
    <cellStyle name="Comma 5 6 5 6" xfId="13364" xr:uid="{EA787D51-6E05-4DA2-BB3C-931FD37A02C3}"/>
    <cellStyle name="Comma 5 6 6" xfId="1655" xr:uid="{00000000-0005-0000-0000-00003E020000}"/>
    <cellStyle name="Comma 5 6 6 2" xfId="2503" xr:uid="{00000000-0005-0000-0000-0000D2010000}"/>
    <cellStyle name="Comma 5 6 6 2 2" xfId="7628" xr:uid="{1BEB08BA-662C-4878-B2D9-0F34C8877877}"/>
    <cellStyle name="Comma 5 6 6 2 2 2" xfId="18008" xr:uid="{BD27081A-33EF-4C77-96E7-2C5D52AB2CB3}"/>
    <cellStyle name="Comma 5 6 6 2 3" xfId="10461" xr:uid="{B1DF0B21-DA5F-41AD-B192-AC41182AEEC6}"/>
    <cellStyle name="Comma 5 6 6 2 3 2" xfId="20841" xr:uid="{BF5CE5FE-3EF1-4520-BDE5-A886A7DBD274}"/>
    <cellStyle name="Comma 5 6 6 2 4" xfId="27700" xr:uid="{ABFDF23C-0423-457C-83B1-A087B20ABBEA}"/>
    <cellStyle name="Comma 5 6 6 2 5" xfId="27363" xr:uid="{F19CC4E9-508D-499B-8F9E-0BA9B4616EF6}"/>
    <cellStyle name="Comma 5 6 6 2 6" xfId="15175" xr:uid="{7FD278A5-F30B-4C06-B250-225256092BE0}"/>
    <cellStyle name="Comma 5 6 6 3" xfId="3543" xr:uid="{00000000-0005-0000-0000-00003E020000}"/>
    <cellStyle name="Comma 5 6 6 4" xfId="5583" xr:uid="{C299B670-1E97-4C26-B434-264A76914A49}"/>
    <cellStyle name="Comma 5 6 6 4 2" xfId="29871" xr:uid="{C06840A9-7BF7-48E8-BD43-5AA0864EF63B}"/>
    <cellStyle name="Comma 5 6 6 5" xfId="23726" xr:uid="{5713D575-9C81-4804-B1A8-F5DE5B0FFABF}"/>
    <cellStyle name="Comma 5 6 6 6" xfId="12891" xr:uid="{FB173E75-DA18-4987-8EEB-D3CA7E70D2C0}"/>
    <cellStyle name="Comma 5 6 7" xfId="1641" xr:uid="{00000000-0005-0000-0000-00003F020000}"/>
    <cellStyle name="Comma 5 6 7 2" xfId="2259" xr:uid="{00000000-0005-0000-0000-0000C6010000}"/>
    <cellStyle name="Comma 5 6 7 2 2" xfId="7386" xr:uid="{B1ADE0B4-0841-4EA0-8361-A573FE98E495}"/>
    <cellStyle name="Comma 5 6 7 2 2 2" xfId="17766" xr:uid="{35FCECEC-1608-4E78-8E5B-E19FCE3F68EB}"/>
    <cellStyle name="Comma 5 6 7 2 3" xfId="10219" xr:uid="{5D91E43A-ED10-41E3-9D74-036AA5B5FE1B}"/>
    <cellStyle name="Comma 5 6 7 2 3 2" xfId="20599" xr:uid="{B2E5C644-A4CF-49A9-AA57-CA35A1AF6478}"/>
    <cellStyle name="Comma 5 6 7 2 4" xfId="28491" xr:uid="{9A66F825-2F8B-4320-A260-883602AAA4D7}"/>
    <cellStyle name="Comma 5 6 7 2 5" xfId="25899" xr:uid="{3DDE40A2-D002-44C3-BB89-D8C7AFCBCEAB}"/>
    <cellStyle name="Comma 5 6 7 2 6" xfId="14933" xr:uid="{9070B726-4E0F-4A72-B935-ED3611F82692}"/>
    <cellStyle name="Comma 5 6 7 3" xfId="3682" xr:uid="{00000000-0005-0000-0000-00003F020000}"/>
    <cellStyle name="Comma 5 6 7 4" xfId="23677" xr:uid="{98C2CE82-9E9A-455F-9994-C8EBEE219C54}"/>
    <cellStyle name="Comma 5 6 8" xfId="3863" xr:uid="{75645FB4-205D-4E97-ABC5-C721ABB9F46B}"/>
    <cellStyle name="Comma 5 6 8 2" xfId="8695" xr:uid="{9C4DAFBF-0377-441E-B8E5-C883A9095C2E}"/>
    <cellStyle name="Comma 5 6 8 2 2" xfId="19075" xr:uid="{B509ABE0-D8C4-4066-83AA-AE80A9FA47F9}"/>
    <cellStyle name="Comma 5 6 8 3" xfId="11528" xr:uid="{8BBD3814-0477-4211-98F9-083CA8A425D3}"/>
    <cellStyle name="Comma 5 6 8 3 2" xfId="21908" xr:uid="{41DAC589-E123-4832-BCB0-093350FF3653}"/>
    <cellStyle name="Comma 5 6 8 4" xfId="26491" xr:uid="{5A3E59E1-46B3-4497-B3B1-54407837B839}"/>
    <cellStyle name="Comma 5 6 8 5" xfId="27287" xr:uid="{C2C9EF68-7E4B-49EF-B522-A266D5396DCF}"/>
    <cellStyle name="Comma 5 6 8 6" xfId="16242" xr:uid="{9E8CB0D6-6B8E-4477-B094-490FBDC1FBC1}"/>
    <cellStyle name="Comma 5 6 9" xfId="4870" xr:uid="{C6A25E47-8C83-4DB5-8384-5642D1F451D1}"/>
    <cellStyle name="Comma 5 6 9 2" xfId="28493" xr:uid="{17BF5DBF-6F50-48C0-B849-55785DDD8055}"/>
    <cellStyle name="Comma 5 6 9 3" xfId="26492" xr:uid="{C62C78BA-C0F0-45C9-8AE1-A73B68B1AD84}"/>
    <cellStyle name="Comma 5 6 9 4" xfId="14162" xr:uid="{B80FD583-A4D1-422C-8EF7-CDF096FE6F6F}"/>
    <cellStyle name="Comma 5 7" xfId="481" xr:uid="{00000000-0005-0000-0000-000040020000}"/>
    <cellStyle name="Comma 5 7 10" xfId="6620" xr:uid="{14EE97B8-3107-4485-AD21-11E6538925C2}"/>
    <cellStyle name="Comma 5 7 10 2" xfId="17000" xr:uid="{5CBD8036-72DA-473D-8A8A-0E93E593676C}"/>
    <cellStyle name="Comma 5 7 11" xfId="9453" xr:uid="{CBC3D018-F339-48CA-809A-9BD129D1579D}"/>
    <cellStyle name="Comma 5 7 11 2" xfId="19833" xr:uid="{6D1C1702-DB26-4213-A813-D47E860EB7BE}"/>
    <cellStyle name="Comma 5 7 12" xfId="24090" xr:uid="{730B1F54-6836-4D9C-81FE-2FB8C980C0BD}"/>
    <cellStyle name="Comma 5 7 13" xfId="12509" xr:uid="{66F9A521-1AD4-4187-BA8A-DB446B7A9868}"/>
    <cellStyle name="Comma 5 7 2" xfId="482" xr:uid="{00000000-0005-0000-0000-000041020000}"/>
    <cellStyle name="Comma 5 7 2 10" xfId="24574" xr:uid="{4F2F782D-5870-4461-A2CB-636E40F9A215}"/>
    <cellStyle name="Comma 5 7 2 11" xfId="12667" xr:uid="{8E6FD8F7-43D2-4EB7-8A0D-38A637E02AD2}"/>
    <cellStyle name="Comma 5 7 2 2" xfId="483" xr:uid="{00000000-0005-0000-0000-000042020000}"/>
    <cellStyle name="Comma 5 7 2 2 2" xfId="1659" xr:uid="{00000000-0005-0000-0000-000043020000}"/>
    <cellStyle name="Comma 5 7 2 2 2 2" xfId="23367" xr:uid="{1634567F-8A14-4929-8EE8-848E60E811A4}"/>
    <cellStyle name="Comma 5 7 2 2 2 2 2" xfId="29735" xr:uid="{FE2222D0-7793-40F0-A436-798F90E6F940}"/>
    <cellStyle name="Comma 5 7 2 2 2 2 2 2" xfId="30701" xr:uid="{9BD97334-2881-445B-A34E-42326F312AE5}"/>
    <cellStyle name="Comma 5 7 2 2 2 3" xfId="25603" xr:uid="{2E4144DF-BA35-444A-B073-CD4ECDA4E41B}"/>
    <cellStyle name="Comma 5 7 2 2 2 4" xfId="30052" xr:uid="{9E34B2C9-B31D-4C5D-8B66-EEB757494DBF}"/>
    <cellStyle name="Comma 5 7 2 2 3" xfId="1660" xr:uid="{00000000-0005-0000-0000-000044020000}"/>
    <cellStyle name="Comma 5 7 2 2 3 2" xfId="26636" xr:uid="{5556106A-FC6B-4A1F-BCE2-D4D23FB55ECF}"/>
    <cellStyle name="Comma 5 7 2 2 3 3" xfId="26991" xr:uid="{79683DFE-2E88-4A76-9341-AE0DCE02312A}"/>
    <cellStyle name="Comma 5 7 2 2 4" xfId="1658" xr:uid="{00000000-0005-0000-0000-000045020000}"/>
    <cellStyle name="Comma 5 7 2 2 5" xfId="4877" xr:uid="{662677CF-EED7-4EE9-A1F4-218A4809BCE7}"/>
    <cellStyle name="Comma 5 7 2 2 5 2" xfId="26537" xr:uid="{2AA00ACA-3F70-4143-882E-9AB90CBCFDA9}"/>
    <cellStyle name="Comma 5 7 2 2 5 2 2" xfId="31179" xr:uid="{0FF2F87E-EA1D-4F08-B923-8F0B3224573A}"/>
    <cellStyle name="Comma 5 7 2 2 5 2 3" xfId="30700" xr:uid="{A84E266A-6C4D-48FB-B0F5-7AE41F9D8B5F}"/>
    <cellStyle name="Comma 5 7 2 2 5 3" xfId="26333" xr:uid="{DC4C886B-FA07-433C-8E3D-E3869D9D293F}"/>
    <cellStyle name="Comma 5 7 2 2 5 4" xfId="14169" xr:uid="{11D3F6A0-2075-4D5B-886A-9165B7D14B04}"/>
    <cellStyle name="Comma 5 7 2 2 6" xfId="6622" xr:uid="{1663967D-20F1-45F3-ACE2-E60A145759CC}"/>
    <cellStyle name="Comma 5 7 2 2 6 2" xfId="17002" xr:uid="{40A5B1FA-4FD8-4C4C-9CCE-C8EF4F188AD0}"/>
    <cellStyle name="Comma 5 7 2 2 7" xfId="9455" xr:uid="{97B3FDC4-0CBD-4885-BFCD-715739C8CD60}"/>
    <cellStyle name="Comma 5 7 2 2 7 2" xfId="19835" xr:uid="{1C7A9CF3-0EA0-4CBB-AB63-A14EBACE1599}"/>
    <cellStyle name="Comma 5 7 2 2 8" xfId="24472" xr:uid="{F8F1E486-2341-40EC-80C1-2B7172C7D86B}"/>
    <cellStyle name="Comma 5 7 2 2 9" xfId="13545" xr:uid="{305B0BF6-F862-44A4-BF42-178CF9A94E26}"/>
    <cellStyle name="Comma 5 7 2 3" xfId="1661" xr:uid="{00000000-0005-0000-0000-000046020000}"/>
    <cellStyle name="Comma 5 7 2 3 2" xfId="2672" xr:uid="{00000000-0005-0000-0000-0000D6010000}"/>
    <cellStyle name="Comma 5 7 2 3 2 2" xfId="7796" xr:uid="{13AA3425-DA08-49E7-8A0E-AF84A7626225}"/>
    <cellStyle name="Comma 5 7 2 3 2 2 2" xfId="18176" xr:uid="{846E0AB7-6954-4E03-AD74-1E9D6DC8BA7D}"/>
    <cellStyle name="Comma 5 7 2 3 2 3" xfId="10629" xr:uid="{BB9D0CC4-E015-488B-9CCE-E31DBCA3579D}"/>
    <cellStyle name="Comma 5 7 2 3 2 3 2" xfId="21009" xr:uid="{68F76178-87A8-4557-8677-E967A2D7086C}"/>
    <cellStyle name="Comma 5 7 2 3 2 4" xfId="15343" xr:uid="{190957A6-4825-4713-AF5A-F13B9F2FAB46}"/>
    <cellStyle name="Comma 5 7 2 3 2 5" xfId="30430" xr:uid="{73CA2C10-218A-4D2A-81E4-A47A78477738}"/>
    <cellStyle name="Comma 5 7 2 3 3" xfId="3542" xr:uid="{00000000-0005-0000-0000-000046020000}"/>
    <cellStyle name="Comma 5 7 2 3 4" xfId="5584" xr:uid="{F1C4E9C9-E7C5-4999-9F4B-6A3BEE167DF3}"/>
    <cellStyle name="Comma 5 7 2 3 4 2" xfId="29751" xr:uid="{9A070076-FD0C-4E69-84C5-AB1037CE374D}"/>
    <cellStyle name="Comma 5 7 2 3 5" xfId="25180" xr:uid="{5683F0CD-3BA8-4FCE-9083-BEF5A0F955FE}"/>
    <cellStyle name="Comma 5 7 2 3 6" xfId="13077" xr:uid="{20152E85-0F02-4F68-B0EF-188D729F7246}"/>
    <cellStyle name="Comma 5 7 2 4" xfId="1662" xr:uid="{00000000-0005-0000-0000-000047020000}"/>
    <cellStyle name="Comma 5 7 2 4 2" xfId="4682" xr:uid="{8FBE2D01-7106-47CC-A850-387B386B4D74}"/>
    <cellStyle name="Comma 5 7 2 4 2 2" xfId="9417" xr:uid="{B2026E21-6175-42C0-A65E-87647A35362B}"/>
    <cellStyle name="Comma 5 7 2 4 2 2 2" xfId="19797" xr:uid="{F0303F0C-183A-45C1-9195-D7000C274528}"/>
    <cellStyle name="Comma 5 7 2 4 2 2 3" xfId="31111" xr:uid="{F57B2301-3A0F-4B61-985A-7206CFD1129C}"/>
    <cellStyle name="Comma 5 7 2 4 2 2 4" xfId="30702" xr:uid="{A568AC5A-EBC6-4C11-987C-AB2234DC4239}"/>
    <cellStyle name="Comma 5 7 2 4 2 3" xfId="12250" xr:uid="{23FBDDE2-9ADE-4BC0-9007-49DEC224EDA3}"/>
    <cellStyle name="Comma 5 7 2 4 2 3 2" xfId="22630" xr:uid="{F0FD67B3-C129-4D8C-9442-46DA1BB55B29}"/>
    <cellStyle name="Comma 5 7 2 4 2 4" xfId="26493" xr:uid="{981C4E56-484D-4484-8BE4-DD13E3CB5DF3}"/>
    <cellStyle name="Comma 5 7 2 4 2 5" xfId="28341" xr:uid="{2FB2A506-78EB-4959-BCD8-892F75D1E3C7}"/>
    <cellStyle name="Comma 5 7 2 4 2 6" xfId="16964" xr:uid="{009B3A7B-75F5-4FB4-ABD6-939E56B02676}"/>
    <cellStyle name="Comma 5 7 2 4 3" xfId="23508" xr:uid="{85B2F1AA-03A0-41BE-B69E-339100CEA82F}"/>
    <cellStyle name="Comma 5 7 2 4 3 2" xfId="29900" xr:uid="{9C01E95A-74BC-47F7-B7A5-8BC1061F59A5}"/>
    <cellStyle name="Comma 5 7 2 4 4" xfId="30013" xr:uid="{106398AA-ED2F-4348-890B-9FBF05EF801E}"/>
    <cellStyle name="Comma 5 7 2 5" xfId="1657" xr:uid="{00000000-0005-0000-0000-000048020000}"/>
    <cellStyle name="Comma 5 7 2 5 2" xfId="25610" xr:uid="{B6E4083F-4A15-4CCF-B5C9-4526FACB1C2F}"/>
    <cellStyle name="Comma 5 7 2 5 3" xfId="25777" xr:uid="{FEC3CEA1-CCC7-4BCE-9945-F426DD63FDF4}"/>
    <cellStyle name="Comma 5 7 2 6" xfId="4124" xr:uid="{8B4C8D43-E0E5-4AA4-896D-89B582FFE9A0}"/>
    <cellStyle name="Comma 5 7 2 6 2" xfId="8896" xr:uid="{62414F10-5354-497E-9F35-D71FE3175349}"/>
    <cellStyle name="Comma 5 7 2 6 2 2" xfId="19276" xr:uid="{7239C4D9-0548-4ECD-A092-E1DF8E4C4DB6}"/>
    <cellStyle name="Comma 5 7 2 6 3" xfId="11729" xr:uid="{49F6E218-397A-4FC8-9A8F-49C9BA16B765}"/>
    <cellStyle name="Comma 5 7 2 6 3 2" xfId="22109" xr:uid="{3E9E1955-D564-42C6-A7B8-8DC94F3EFD2C}"/>
    <cellStyle name="Comma 5 7 2 6 4" xfId="27453" xr:uid="{B4576E0B-D014-4B36-B0DD-0BDA3C01EE80}"/>
    <cellStyle name="Comma 5 7 2 6 5" xfId="26755" xr:uid="{005A14DE-8FA2-49BA-AE9F-6B3B044914EF}"/>
    <cellStyle name="Comma 5 7 2 6 6" xfId="16443" xr:uid="{E0CC5760-C206-4DC8-959C-1204DE4D6DE6}"/>
    <cellStyle name="Comma 5 7 2 7" xfId="4876" xr:uid="{26FF34ED-32CA-4593-8F59-D08580833D08}"/>
    <cellStyle name="Comma 5 7 2 7 2" xfId="28447" xr:uid="{E4551655-4C6A-4234-9FB2-AA0A4072A4B6}"/>
    <cellStyle name="Comma 5 7 2 7 3" xfId="26475" xr:uid="{57B3AF28-A89F-4CFC-8F6D-F0E5AA0A664B}"/>
    <cellStyle name="Comma 5 7 2 7 4" xfId="14168" xr:uid="{5169EB45-ED88-4614-9E7A-6738ED91774B}"/>
    <cellStyle name="Comma 5 7 2 8" xfId="6621" xr:uid="{E2A93D07-4B32-4972-B959-0EF776D3F38D}"/>
    <cellStyle name="Comma 5 7 2 8 2" xfId="17001" xr:uid="{C7C32092-0198-4FBA-8CC3-16465F53900E}"/>
    <cellStyle name="Comma 5 7 2 9" xfId="9454" xr:uid="{78968388-FF15-4048-A1C5-0A2045233C55}"/>
    <cellStyle name="Comma 5 7 2 9 2" xfId="19834" xr:uid="{319B5FCB-59F1-49DD-985E-DEAA88C6C8A2}"/>
    <cellStyle name="Comma 5 7 3" xfId="484" xr:uid="{00000000-0005-0000-0000-000049020000}"/>
    <cellStyle name="Comma 5 7 3 10" xfId="13546" xr:uid="{D15422AB-BBBC-4DF0-9758-B4A5EE187C6E}"/>
    <cellStyle name="Comma 5 7 3 2" xfId="1664" xr:uid="{00000000-0005-0000-0000-00004A020000}"/>
    <cellStyle name="Comma 5 7 3 2 2" xfId="24169" xr:uid="{7614F62F-C149-4F7B-BB0D-0F5F3513A3E3}"/>
    <cellStyle name="Comma 5 7 3 2 2 2" xfId="29677" xr:uid="{2D743BA9-5D74-41FF-8A56-E6FF48540754}"/>
    <cellStyle name="Comma 5 7 3 2 2 2 2" xfId="30704" xr:uid="{F8B265D7-D215-4C1F-B255-1B417890B3FC}"/>
    <cellStyle name="Comma 5 7 3 2 3" xfId="24036" xr:uid="{A956536C-0D0C-4B64-AB6C-3D32B84691CB}"/>
    <cellStyle name="Comma 5 7 3 2 3 2" xfId="27246" xr:uid="{2D391E2F-17BF-40F3-AC9B-F935480D75C5}"/>
    <cellStyle name="Comma 5 7 3 2 4" xfId="30053" xr:uid="{7D739D2D-6EFB-4DC1-9CEE-49DF4959E175}"/>
    <cellStyle name="Comma 5 7 3 3" xfId="1665" xr:uid="{00000000-0005-0000-0000-00004B020000}"/>
    <cellStyle name="Comma 5 7 3 4" xfId="1663" xr:uid="{00000000-0005-0000-0000-00004C020000}"/>
    <cellStyle name="Comma 5 7 3 4 2" xfId="27493" xr:uid="{255A2A1F-FD39-4D43-951D-12CE0A0F4BA0}"/>
    <cellStyle name="Comma 5 7 3 4 3" xfId="27822" xr:uid="{27574CA1-AC0A-41F4-AA4C-8BF3E9895FE7}"/>
    <cellStyle name="Comma 5 7 3 5" xfId="4403" xr:uid="{4DD17AB7-B1D9-46CC-BF1C-EB5BCE74B406}"/>
    <cellStyle name="Comma 5 7 3 5 2" xfId="9175" xr:uid="{4D4C7758-87C3-4B4E-8E9C-C9B199390E7A}"/>
    <cellStyle name="Comma 5 7 3 5 2 2" xfId="19555" xr:uid="{3B6289B8-4D36-4925-82A9-3737B8F64823}"/>
    <cellStyle name="Comma 5 7 3 5 2 3" xfId="31069" xr:uid="{4F35AD9B-147C-403E-AC2A-4005FB889638}"/>
    <cellStyle name="Comma 5 7 3 5 2 4" xfId="30703" xr:uid="{2CF44F40-820F-4CCA-B82A-E11E5C240E31}"/>
    <cellStyle name="Comma 5 7 3 5 3" xfId="12008" xr:uid="{559DC158-2D14-4ABB-AC79-7AAA8E5548A3}"/>
    <cellStyle name="Comma 5 7 3 5 3 2" xfId="22388" xr:uid="{3F42002C-0E4F-47D5-BBD6-1EEC7BAE73C5}"/>
    <cellStyle name="Comma 5 7 3 5 4" xfId="28130" xr:uid="{D1033E38-680C-4A2B-B69A-7E4E343DB956}"/>
    <cellStyle name="Comma 5 7 3 5 5" xfId="26098" xr:uid="{6849C713-679B-445F-AF71-4C1F1D6E6B36}"/>
    <cellStyle name="Comma 5 7 3 5 6" xfId="16722" xr:uid="{410E88C8-AC3B-421E-A629-73B44050E3B6}"/>
    <cellStyle name="Comma 5 7 3 6" xfId="4878" xr:uid="{1876B2D4-FC16-4C19-AC17-48842C3BA5C3}"/>
    <cellStyle name="Comma 5 7 3 6 2" xfId="26357" xr:uid="{0C0228FA-0A20-403D-B2B7-730C2183EAD4}"/>
    <cellStyle name="Comma 5 7 3 6 3" xfId="27313" xr:uid="{E5C09990-3CDE-48AF-8C5B-2501A3A2AF89}"/>
    <cellStyle name="Comma 5 7 3 6 4" xfId="14170" xr:uid="{B41F4920-B677-4008-8D4D-4C97D33518E5}"/>
    <cellStyle name="Comma 5 7 3 7" xfId="6623" xr:uid="{2238A681-9B22-49F9-A64A-5EA4AB96A8CD}"/>
    <cellStyle name="Comma 5 7 3 7 2" xfId="17003" xr:uid="{345BFF67-6D65-4053-B41A-B181030CAC76}"/>
    <cellStyle name="Comma 5 7 3 8" xfId="9456" xr:uid="{B1DC7DC7-1B68-4A50-AC4D-163FEEDE3729}"/>
    <cellStyle name="Comma 5 7 3 8 2" xfId="19836" xr:uid="{75625703-E2A7-4A13-8668-CA64BE646442}"/>
    <cellStyle name="Comma 5 7 3 9" xfId="23407" xr:uid="{900D5B1C-1589-4E23-9FE1-E88EEF3CCA25}"/>
    <cellStyle name="Comma 5 7 4" xfId="485" xr:uid="{00000000-0005-0000-0000-00004D020000}"/>
    <cellStyle name="Comma 5 7 4 2" xfId="1667" xr:uid="{00000000-0005-0000-0000-00004E020000}"/>
    <cellStyle name="Comma 5 7 4 2 2" xfId="23873" xr:uid="{318CB862-A3EC-47AD-A897-C9FDF3F8389C}"/>
    <cellStyle name="Comma 5 7 4 2 2 2" xfId="29830" xr:uid="{F7CD230F-B65A-4593-9417-9FB6AD98AA28}"/>
    <cellStyle name="Comma 5 7 4 2 2 2 2" xfId="30706" xr:uid="{8D9CD661-7477-4CA4-A153-5E6471FBB6CB}"/>
    <cellStyle name="Comma 5 7 4 2 3" xfId="23289" xr:uid="{D45419FA-DEA1-4FF5-944A-3804F3B313AF}"/>
    <cellStyle name="Comma 5 7 4 2 4" xfId="30035" xr:uid="{AC32E726-9F55-4195-96E0-7352BD474D9D}"/>
    <cellStyle name="Comma 5 7 4 3" xfId="1668" xr:uid="{00000000-0005-0000-0000-00004F020000}"/>
    <cellStyle name="Comma 5 7 4 4" xfId="1666" xr:uid="{00000000-0005-0000-0000-000050020000}"/>
    <cellStyle name="Comma 5 7 4 5" xfId="4879" xr:uid="{3D09B3A8-38B2-40D7-B78F-B863AAC63FA9}"/>
    <cellStyle name="Comma 5 7 4 5 2" xfId="14171" xr:uid="{AD591B44-9CC8-430F-9198-2C6296802480}"/>
    <cellStyle name="Comma 5 7 4 5 2 2" xfId="31114" xr:uid="{FF2EE620-52C5-4E38-901B-D8EC7D6F936B}"/>
    <cellStyle name="Comma 5 7 4 5 2 3" xfId="30705" xr:uid="{1BAA88F6-1BCE-4EA7-8A2A-713DC40B742F}"/>
    <cellStyle name="Comma 5 7 4 6" xfId="6624" xr:uid="{894ABF0A-6BA8-48AA-8DFF-AC94D6126965}"/>
    <cellStyle name="Comma 5 7 4 6 2" xfId="17004" xr:uid="{6A00D9E2-AA70-4FB1-84BE-F4DDC6A9E149}"/>
    <cellStyle name="Comma 5 7 4 7" xfId="9457" xr:uid="{B2F99BCC-99DB-48BC-B179-3BE0EBE58D9C}"/>
    <cellStyle name="Comma 5 7 4 7 2" xfId="19837" xr:uid="{DADE28A0-C82D-46F6-9BA7-9602FC15CA84}"/>
    <cellStyle name="Comma 5 7 4 8" xfId="25328" xr:uid="{BF51AFBA-C3EF-4A49-AF89-92329EABBD92}"/>
    <cellStyle name="Comma 5 7 4 9" xfId="13365" xr:uid="{48C609D4-FB79-4C2B-8D6D-7E9A662F329E}"/>
    <cellStyle name="Comma 5 7 5" xfId="1669" xr:uid="{00000000-0005-0000-0000-000051020000}"/>
    <cellStyle name="Comma 5 7 5 2" xfId="2563" xr:uid="{00000000-0005-0000-0000-0000D9010000}"/>
    <cellStyle name="Comma 5 7 5 2 2" xfId="7688" xr:uid="{81DA16CF-D215-46C7-B658-9ECDB619D97F}"/>
    <cellStyle name="Comma 5 7 5 2 2 2" xfId="18068" xr:uid="{2726BB12-E6AC-481B-9208-5B10A5F45B41}"/>
    <cellStyle name="Comma 5 7 5 2 3" xfId="10521" xr:uid="{DABF3BF7-D668-403B-A2AE-D3063CA6539E}"/>
    <cellStyle name="Comma 5 7 5 2 3 2" xfId="20901" xr:uid="{E5785C61-46FE-4A81-9423-D6AB3976B8C6}"/>
    <cellStyle name="Comma 5 7 5 2 4" xfId="15235" xr:uid="{FC16F968-3DF9-4BFB-B7B1-D95C3D6F7201}"/>
    <cellStyle name="Comma 5 7 5 2 5" xfId="30431" xr:uid="{0C859140-1E98-42C7-9ADC-47E8A5D1F2C8}"/>
    <cellStyle name="Comma 5 7 5 3" xfId="3708" xr:uid="{00000000-0005-0000-0000-000051020000}"/>
    <cellStyle name="Comma 5 7 5 4" xfId="5585" xr:uid="{445FBE4B-D100-4012-9843-6726F1C23419}"/>
    <cellStyle name="Comma 5 7 5 4 2" xfId="29843" xr:uid="{04BAC53C-0E86-4839-945D-6630D920F403}"/>
    <cellStyle name="Comma 5 7 5 5" xfId="23019" xr:uid="{36FEE959-41F0-4AD2-ACE4-7B3C0AB91829}"/>
    <cellStyle name="Comma 5 7 5 6" xfId="12951" xr:uid="{AD226341-77D4-472E-947F-DD3D504A66EE}"/>
    <cellStyle name="Comma 5 7 6" xfId="1670" xr:uid="{00000000-0005-0000-0000-000052020000}"/>
    <cellStyle name="Comma 5 7 6 2" xfId="2277" xr:uid="{00000000-0005-0000-0000-0000D3010000}"/>
    <cellStyle name="Comma 5 7 6 2 2" xfId="7404" xr:uid="{3226EB56-C19C-4DBE-9045-9998AD6D10C3}"/>
    <cellStyle name="Comma 5 7 6 2 2 2" xfId="17784" xr:uid="{7675AAEB-FC53-4CB7-B026-3B64B3F06C49}"/>
    <cellStyle name="Comma 5 7 6 2 3" xfId="10237" xr:uid="{92857883-0D6F-453D-9F27-EA6BC1F109FE}"/>
    <cellStyle name="Comma 5 7 6 2 3 2" xfId="20617" xr:uid="{F6F49F5D-3C06-4B15-8741-620B84013F91}"/>
    <cellStyle name="Comma 5 7 6 2 4" xfId="28558" xr:uid="{11E3C67F-D49E-4BF1-9903-523A4EE179B5}"/>
    <cellStyle name="Comma 5 7 6 2 5" xfId="28427" xr:uid="{28E3BD14-F77D-4EF8-8E21-6A639D6701CD}"/>
    <cellStyle name="Comma 5 7 6 2 6" xfId="14951" xr:uid="{0A31539B-6983-42F9-B3F7-A5F5AC1A26E7}"/>
    <cellStyle name="Comma 5 7 6 3" xfId="2065" xr:uid="{00000000-0005-0000-0000-000052020000}"/>
    <cellStyle name="Comma 5 7 6 4" xfId="23610" xr:uid="{D63C9F0C-4833-4AA3-880E-89DB790C2360}"/>
    <cellStyle name="Comma 5 7 6 4 2" xfId="29882" xr:uid="{46A80738-32FD-4F61-83A7-D4444073205A}"/>
    <cellStyle name="Comma 5 7 6 5" xfId="30004" xr:uid="{9E45B833-AA3E-4C42-86BA-FF11565FD327}"/>
    <cellStyle name="Comma 5 7 7" xfId="1656" xr:uid="{00000000-0005-0000-0000-000053020000}"/>
    <cellStyle name="Comma 5 7 7 2" xfId="27467" xr:uid="{F7E8B45B-C5F3-45F3-8652-1B25E60F4742}"/>
    <cellStyle name="Comma 5 7 7 3" xfId="28401" xr:uid="{94908BF2-0398-46D6-996F-F460030C3D64}"/>
    <cellStyle name="Comma 5 7 8" xfId="3864" xr:uid="{4D8E6C94-8977-4B3D-8541-5736DE38FB0C}"/>
    <cellStyle name="Comma 5 7 8 2" xfId="8696" xr:uid="{40566834-5CF1-4919-ABA6-CD259060D39C}"/>
    <cellStyle name="Comma 5 7 8 2 2" xfId="19076" xr:uid="{7FBF4413-9D43-4675-86AB-DC0EECC16F3B}"/>
    <cellStyle name="Comma 5 7 8 3" xfId="11529" xr:uid="{6BA6E460-B37A-4259-936B-5A7951C58242}"/>
    <cellStyle name="Comma 5 7 8 3 2" xfId="21909" xr:uid="{4E395C52-F27A-4799-8125-21C56070155B}"/>
    <cellStyle name="Comma 5 7 8 4" xfId="27982" xr:uid="{A1830401-4BE9-4047-8037-B582661AD80D}"/>
    <cellStyle name="Comma 5 7 8 5" xfId="27393" xr:uid="{A15B847E-0BCF-49BD-8467-CBB5224689F1}"/>
    <cellStyle name="Comma 5 7 8 6" xfId="16243" xr:uid="{FEEF5453-E726-4908-8A0B-7BD9DE73FA2F}"/>
    <cellStyle name="Comma 5 7 9" xfId="4875" xr:uid="{03CC9048-C24C-410E-B772-7E39F372F37F}"/>
    <cellStyle name="Comma 5 7 9 2" xfId="25915" xr:uid="{AD33B97C-D782-4AFC-9027-B6A080A83C9D}"/>
    <cellStyle name="Comma 5 7 9 3" xfId="27496" xr:uid="{82106660-3FC9-438C-BE38-76FC4CF091A9}"/>
    <cellStyle name="Comma 5 7 9 4" xfId="14167" xr:uid="{EF4ABBE1-E4DF-499A-A6CF-1C49A7ED091F}"/>
    <cellStyle name="Comma 5 8" xfId="486" xr:uid="{00000000-0005-0000-0000-000054020000}"/>
    <cellStyle name="Comma 5 8 10" xfId="9458" xr:uid="{3C0A6B10-AD79-48DD-AD99-93B446F10170}"/>
    <cellStyle name="Comma 5 8 10 2" xfId="19838" xr:uid="{F1C8E9F7-1193-43B8-8AB8-F02488840E21}"/>
    <cellStyle name="Comma 5 8 11" xfId="25156" xr:uid="{75EAFF25-E7F3-4723-A770-3674B2E75CAB}"/>
    <cellStyle name="Comma 5 8 12" xfId="12510" xr:uid="{A942E7ED-6000-4D8F-BC51-BE1BC90B00D9}"/>
    <cellStyle name="Comma 5 8 2" xfId="487" xr:uid="{00000000-0005-0000-0000-000055020000}"/>
    <cellStyle name="Comma 5 8 2 10" xfId="12668" xr:uid="{2D2060DC-65AE-4C74-A3D9-8EB52DE8C408}"/>
    <cellStyle name="Comma 5 8 2 2" xfId="1673" xr:uid="{00000000-0005-0000-0000-000056020000}"/>
    <cellStyle name="Comma 5 8 2 2 2" xfId="3040" xr:uid="{00000000-0005-0000-0000-0000DC010000}"/>
    <cellStyle name="Comma 5 8 2 2 2 2" xfId="8120" xr:uid="{2FF0FD7F-E2DD-4DD8-9A96-350194FBC0BA}"/>
    <cellStyle name="Comma 5 8 2 2 2 2 2" xfId="18500" xr:uid="{6CBA26F6-B2A4-410D-8EE9-DD2208A3DA39}"/>
    <cellStyle name="Comma 5 8 2 2 2 2 2 2" xfId="31143" xr:uid="{45C30206-3A93-4FA0-9F4F-E970C6555ABA}"/>
    <cellStyle name="Comma 5 8 2 2 2 2 2 3" xfId="30707" xr:uid="{40931A3F-EFB0-4B78-8C96-34DE658927E1}"/>
    <cellStyle name="Comma 5 8 2 2 2 3" xfId="10953" xr:uid="{B67D79DF-839B-42F2-A78D-28B2A1C986A8}"/>
    <cellStyle name="Comma 5 8 2 2 2 3 2" xfId="21333" xr:uid="{3AB97040-58F8-431F-9EC8-19760859A498}"/>
    <cellStyle name="Comma 5 8 2 2 2 4" xfId="27339" xr:uid="{D41D5792-1986-4C04-A298-742DBF272AAF}"/>
    <cellStyle name="Comma 5 8 2 2 2 5" xfId="26731" xr:uid="{27B648EF-2FFF-427C-A176-666178209CC9}"/>
    <cellStyle name="Comma 5 8 2 2 2 6" xfId="15667" xr:uid="{2608C0D8-305F-419E-951B-D34D60039A78}"/>
    <cellStyle name="Comma 5 8 2 2 3" xfId="2080" xr:uid="{00000000-0005-0000-0000-000056020000}"/>
    <cellStyle name="Comma 5 8 2 2 4" xfId="5586" xr:uid="{D7CC4C04-6A8E-45ED-B093-5C53AC1FD03A}"/>
    <cellStyle name="Comma 5 8 2 2 4 2" xfId="29776" xr:uid="{06F5E240-6626-40DD-94FD-891798718C4E}"/>
    <cellStyle name="Comma 5 8 2 2 5" xfId="24966" xr:uid="{48F91E01-18C6-4DBA-9EA4-A83AD4E1DC50}"/>
    <cellStyle name="Comma 5 8 2 2 6" xfId="13547" xr:uid="{108AFC75-5EEA-45DD-B81D-0BD1DFE89DC5}"/>
    <cellStyle name="Comma 5 8 2 3" xfId="1674" xr:uid="{00000000-0005-0000-0000-000057020000}"/>
    <cellStyle name="Comma 5 8 2 3 2" xfId="24077" xr:uid="{3CCF6D1F-E1E6-4134-8808-CE7380243E72}"/>
    <cellStyle name="Comma 5 8 2 3 2 2" xfId="30708" xr:uid="{33BA462E-2DD6-45C4-9B64-D122CEE1605E}"/>
    <cellStyle name="Comma 5 8 2 3 2 3" xfId="30552" xr:uid="{B6513C23-9EE7-4413-9D8F-CAD62F9FD3DE}"/>
    <cellStyle name="Comma 5 8 2 3 3" xfId="23017" xr:uid="{DB6EE825-2DCD-429A-9F59-4AC7F43A2769}"/>
    <cellStyle name="Comma 5 8 2 3 4" xfId="30054" xr:uid="{978411B6-56DD-4C90-89F4-2121420A39C1}"/>
    <cellStyle name="Comma 5 8 2 3 5" xfId="29660" xr:uid="{A80A5DC5-EADA-408A-9E37-AA5872793871}"/>
    <cellStyle name="Comma 5 8 2 4" xfId="1672" xr:uid="{00000000-0005-0000-0000-000058020000}"/>
    <cellStyle name="Comma 5 8 2 4 2" xfId="28519" xr:uid="{DB5287D2-A3BC-4D9D-A5AD-D97C9934A7A4}"/>
    <cellStyle name="Comma 5 8 2 4 2 2" xfId="30709" xr:uid="{A3272CAB-83C9-416E-A5D9-D0B05295D51B}"/>
    <cellStyle name="Comma 5 8 2 4 2 3" xfId="30584" xr:uid="{E0F084EF-22C3-46D5-95E2-A0541AFFE25C}"/>
    <cellStyle name="Comma 5 8 2 4 3" xfId="26172" xr:uid="{7E618281-1C5F-460A-94D7-A8DF3AFFB69C}"/>
    <cellStyle name="Comma 5 8 2 5" xfId="4125" xr:uid="{1C3F77AF-A7C8-4533-B6B1-C8D28CB13A7B}"/>
    <cellStyle name="Comma 5 8 2 5 2" xfId="8897" xr:uid="{C3FF4CD3-EA9C-4318-B21E-3EA018511DCC}"/>
    <cellStyle name="Comma 5 8 2 5 2 2" xfId="19277" xr:uid="{3E624E4B-E89E-4968-9CC0-EAE8815D9589}"/>
    <cellStyle name="Comma 5 8 2 5 3" xfId="11730" xr:uid="{8895AA23-CF82-461B-8E31-DD794132AE9D}"/>
    <cellStyle name="Comma 5 8 2 5 3 2" xfId="22110" xr:uid="{B7E67C1F-B7FD-434C-9B87-E2B23FFE9A5A}"/>
    <cellStyle name="Comma 5 8 2 5 4" xfId="28140" xr:uid="{0F13D4FA-A56D-4B66-9D52-CC35EC6B2EEF}"/>
    <cellStyle name="Comma 5 8 2 5 5" xfId="28678" xr:uid="{D048A341-189D-403E-9C40-F13CE9BE81D0}"/>
    <cellStyle name="Comma 5 8 2 5 6" xfId="16444" xr:uid="{33935AFE-4F51-43AC-A6CB-9FDF190C92D7}"/>
    <cellStyle name="Comma 5 8 2 6" xfId="4881" xr:uid="{21AB6E75-CF3F-4863-AC61-3207B7577E91}"/>
    <cellStyle name="Comma 5 8 2 6 2" xfId="27389" xr:uid="{098BB1CA-BEA7-42F8-BF5F-85FEFB2D0AC9}"/>
    <cellStyle name="Comma 5 8 2 6 3" xfId="26884" xr:uid="{9E4D90C0-1C17-4307-ACEB-2359B2B61208}"/>
    <cellStyle name="Comma 5 8 2 6 4" xfId="14173" xr:uid="{C4778CE6-4BAC-44F1-9E41-1C8635F87209}"/>
    <cellStyle name="Comma 5 8 2 7" xfId="6626" xr:uid="{D3EAA14D-1E0B-4538-8E65-683FE1BE0297}"/>
    <cellStyle name="Comma 5 8 2 7 2" xfId="17006" xr:uid="{93B3EE8D-DDDC-4809-8B2B-5B5C7070BE70}"/>
    <cellStyle name="Comma 5 8 2 8" xfId="9459" xr:uid="{808E7EFB-896F-4927-AB71-638EC05A045F}"/>
    <cellStyle name="Comma 5 8 2 8 2" xfId="19839" xr:uid="{1A77B867-59F3-4355-915F-8AB538248483}"/>
    <cellStyle name="Comma 5 8 2 9" xfId="23448" xr:uid="{18C3C4C3-B3EA-4314-BF62-9AB647559B8D}"/>
    <cellStyle name="Comma 5 8 3" xfId="488" xr:uid="{00000000-0005-0000-0000-000059020000}"/>
    <cellStyle name="Comma 5 8 3 2" xfId="1676" xr:uid="{00000000-0005-0000-0000-00005A020000}"/>
    <cellStyle name="Comma 5 8 3 2 2" xfId="25618" xr:uid="{53D484A8-05DA-4B3D-8DBA-5F4A6B0638B9}"/>
    <cellStyle name="Comma 5 8 3 2 2 2" xfId="29808" xr:uid="{A16796A0-C536-46DB-8E0E-8CC66009832A}"/>
    <cellStyle name="Comma 5 8 3 2 2 2 2" xfId="30711" xr:uid="{F658FE12-6F3E-4B0A-B54E-A7FF09FDADE0}"/>
    <cellStyle name="Comma 5 8 3 2 3" xfId="25444" xr:uid="{8F83E9BD-D752-4670-83D0-42D787B89054}"/>
    <cellStyle name="Comma 5 8 3 2 3 2" xfId="27841" xr:uid="{3EDC9502-0DFD-4975-83D4-00C65AD487AD}"/>
    <cellStyle name="Comma 5 8 3 2 4" xfId="30036" xr:uid="{D3FD3568-0D74-4E96-85CC-D3A48B10523B}"/>
    <cellStyle name="Comma 5 8 3 3" xfId="1677" xr:uid="{00000000-0005-0000-0000-00005B020000}"/>
    <cellStyle name="Comma 5 8 3 4" xfId="1675" xr:uid="{00000000-0005-0000-0000-00005C020000}"/>
    <cellStyle name="Comma 5 8 3 4 2" xfId="28745" xr:uid="{CF49AA05-3FBE-48B3-9169-779FBD244A47}"/>
    <cellStyle name="Comma 5 8 3 4 3" xfId="26131" xr:uid="{29D4BED2-56B6-46AE-9E4F-1972B40BC537}"/>
    <cellStyle name="Comma 5 8 3 5" xfId="4882" xr:uid="{E6C69C7E-ECF0-471C-B3AB-6AF66D256BD8}"/>
    <cellStyle name="Comma 5 8 3 5 2" xfId="26284" xr:uid="{F9068B74-A36E-44C0-939A-8D82B5973B25}"/>
    <cellStyle name="Comma 5 8 3 5 2 2" xfId="31172" xr:uid="{842693BC-CC20-404C-8856-79558A6CD263}"/>
    <cellStyle name="Comma 5 8 3 5 2 3" xfId="30710" xr:uid="{813779E3-886C-4293-B28F-F0E9872B5AA5}"/>
    <cellStyle name="Comma 5 8 3 5 3" xfId="26318" xr:uid="{1F5EA9DF-30F0-424B-AA92-67EE89D7FD61}"/>
    <cellStyle name="Comma 5 8 3 5 4" xfId="14174" xr:uid="{053831D1-E6B8-4D4A-B53A-F0EA227B0C6B}"/>
    <cellStyle name="Comma 5 8 3 6" xfId="6627" xr:uid="{302D9AAF-4033-4F4A-9333-B2DAF1AC72E0}"/>
    <cellStyle name="Comma 5 8 3 6 2" xfId="26392" xr:uid="{EA4E0055-C778-4480-AF6D-C956F19B9F0C}"/>
    <cellStyle name="Comma 5 8 3 6 3" xfId="28168" xr:uid="{D160F3C5-B249-4A1B-8E65-E9A7B655F03E}"/>
    <cellStyle name="Comma 5 8 3 6 4" xfId="17007" xr:uid="{5B3EE229-9EF7-412C-9A14-4B62794194FD}"/>
    <cellStyle name="Comma 5 8 3 7" xfId="9460" xr:uid="{0F73EF67-2D55-4AA3-878F-7FA988FAA07A}"/>
    <cellStyle name="Comma 5 8 3 7 2" xfId="19840" xr:uid="{E87BF8B2-8F07-4B67-9777-D74549380BEF}"/>
    <cellStyle name="Comma 5 8 3 8" xfId="24643" xr:uid="{90466407-5C59-4679-A0DF-9465241FFE2E}"/>
    <cellStyle name="Comma 5 8 3 9" xfId="13366" xr:uid="{68C72232-8F8D-4BCD-95DB-452386CA181A}"/>
    <cellStyle name="Comma 5 8 4" xfId="1678" xr:uid="{00000000-0005-0000-0000-00005D020000}"/>
    <cellStyle name="Comma 5 8 4 2" xfId="2673" xr:uid="{00000000-0005-0000-0000-0000DE010000}"/>
    <cellStyle name="Comma 5 8 4 2 2" xfId="7797" xr:uid="{F638EECE-0E71-4D65-AB7A-5EC3D2DA2DE2}"/>
    <cellStyle name="Comma 5 8 4 2 2 2" xfId="18177" xr:uid="{29AD6800-71EF-4AC6-A5C0-235188E8DC06}"/>
    <cellStyle name="Comma 5 8 4 2 2 2 2" xfId="31135" xr:uid="{62D238FC-6347-4192-97CE-39DC26771B37}"/>
    <cellStyle name="Comma 5 8 4 2 2 2 3" xfId="30712" xr:uid="{CA877F40-44FB-4FD0-BE13-08310BD6406D}"/>
    <cellStyle name="Comma 5 8 4 2 3" xfId="10630" xr:uid="{A662D3E5-5529-433E-9F38-0E72E24892E7}"/>
    <cellStyle name="Comma 5 8 4 2 3 2" xfId="21010" xr:uid="{156F5CEB-62E7-4B15-BA2E-009B2D4A8D0C}"/>
    <cellStyle name="Comma 5 8 4 2 4" xfId="26594" xr:uid="{A98F3AEB-51B2-45FA-8234-BBC221C42CF9}"/>
    <cellStyle name="Comma 5 8 4 2 5" xfId="27639" xr:uid="{73969B14-80A1-422D-9678-64C5F63C541B}"/>
    <cellStyle name="Comma 5 8 4 2 6" xfId="15344" xr:uid="{1793C24A-20F7-42CB-8755-0ECC50167B23}"/>
    <cellStyle name="Comma 5 8 4 3" xfId="3592" xr:uid="{00000000-0005-0000-0000-00005D020000}"/>
    <cellStyle name="Comma 5 8 4 4" xfId="5587" xr:uid="{61B5B5BD-8CAB-4FD9-954C-4983326E849B}"/>
    <cellStyle name="Comma 5 8 4 4 2" xfId="29752" xr:uid="{B23374D4-9EA4-47D3-8221-B7DC4E11F6B5}"/>
    <cellStyle name="Comma 5 8 4 5" xfId="24623" xr:uid="{96C61288-71E4-410D-9E9C-8A084F7F738F}"/>
    <cellStyle name="Comma 5 8 4 6" xfId="13078" xr:uid="{93829F7F-8524-4FFE-ACB1-9DD87786DFD4}"/>
    <cellStyle name="Comma 5 8 5" xfId="1679" xr:uid="{00000000-0005-0000-0000-00005E020000}"/>
    <cellStyle name="Comma 5 8 5 2" xfId="2278" xr:uid="{00000000-0005-0000-0000-0000DA010000}"/>
    <cellStyle name="Comma 5 8 5 2 2" xfId="7405" xr:uid="{4CC94E42-2A69-4288-91E6-0A0CDB39740A}"/>
    <cellStyle name="Comma 5 8 5 2 2 2" xfId="17785" xr:uid="{EA5B116C-180F-42F3-A88C-9CF1C6EA4E88}"/>
    <cellStyle name="Comma 5 8 5 2 3" xfId="10238" xr:uid="{F37603B7-020C-4446-94E9-26E402843D14}"/>
    <cellStyle name="Comma 5 8 5 2 3 2" xfId="20618" xr:uid="{60368DDF-8376-4547-8F84-A1CE8660B8E2}"/>
    <cellStyle name="Comma 5 8 5 2 4" xfId="14952" xr:uid="{FE4C11F4-8B91-4C78-8892-97B10F08CBF2}"/>
    <cellStyle name="Comma 5 8 5 2 5" xfId="30432" xr:uid="{3EAE95C7-3CF1-49BF-B334-23DF8958441E}"/>
    <cellStyle name="Comma 5 8 5 3" xfId="2086" xr:uid="{00000000-0005-0000-0000-00005E020000}"/>
    <cellStyle name="Comma 5 8 5 4" xfId="24921" xr:uid="{73CD0007-7AA6-4C23-BE0B-E3F5295A5FA9}"/>
    <cellStyle name="Comma 5 8 5 4 2" xfId="29901" xr:uid="{5F75C6C7-0D1C-4F31-BA20-114360A40F9E}"/>
    <cellStyle name="Comma 5 8 5 5" xfId="30014" xr:uid="{C09199D8-A0F8-4F00-B4B1-D5B29F949D0F}"/>
    <cellStyle name="Comma 5 8 6" xfId="1671" xr:uid="{00000000-0005-0000-0000-00005F020000}"/>
    <cellStyle name="Comma 5 8 6 2" xfId="26586" xr:uid="{422903AC-287E-4EC3-BB8E-0A504F69CB1D}"/>
    <cellStyle name="Comma 5 8 6 2 2" xfId="30713" xr:uid="{3462D339-733B-4AEB-9A0A-A3A3A15B2E2A}"/>
    <cellStyle name="Comma 5 8 6 2 3" xfId="30583" xr:uid="{646BD82D-6032-48CF-BAD3-144F8987CF64}"/>
    <cellStyle name="Comma 5 8 6 3" xfId="27534" xr:uid="{6FB8E0C2-84CE-424A-9E5E-DE1608CF9682}"/>
    <cellStyle name="Comma 5 8 7" xfId="3865" xr:uid="{4309ED3C-13B3-40DD-AFCB-1964E1D79399}"/>
    <cellStyle name="Comma 5 8 7 2" xfId="8697" xr:uid="{6D792B25-135D-4B16-8980-F3F2F50FD3A9}"/>
    <cellStyle name="Comma 5 8 7 2 2" xfId="28964" xr:uid="{12EFBB26-22AB-4525-8B73-9E6EE6188A84}"/>
    <cellStyle name="Comma 5 8 7 2 3" xfId="28215" xr:uid="{BDEFF1D8-EA45-4FD4-AD6E-90DC9E7A8A92}"/>
    <cellStyle name="Comma 5 8 7 2 4" xfId="19077" xr:uid="{F4A6846B-B33F-431E-B946-D5A1090DE87E}"/>
    <cellStyle name="Comma 5 8 7 3" xfId="11530" xr:uid="{70E5CEA8-78E3-404C-87F4-D8594ADBD2E1}"/>
    <cellStyle name="Comma 5 8 7 3 2" xfId="21910" xr:uid="{03ABB417-6320-4C4B-B47B-E5281074FC3B}"/>
    <cellStyle name="Comma 5 8 7 4" xfId="27713" xr:uid="{43C01292-8563-4C2D-9596-CA4514F06ED5}"/>
    <cellStyle name="Comma 5 8 7 5" xfId="16244" xr:uid="{027DC86C-6CC5-41FE-B7A8-5ECB900FB562}"/>
    <cellStyle name="Comma 5 8 8" xfId="4880" xr:uid="{3975A4B3-1503-41FB-ABCA-1D4006BBF9BA}"/>
    <cellStyle name="Comma 5 8 8 2" xfId="28466" xr:uid="{B669142D-2D0E-4CC0-AC1B-4C10E42362FA}"/>
    <cellStyle name="Comma 5 8 8 3" xfId="26047" xr:uid="{E58D5665-27FE-4987-AD95-0A055250DE0C}"/>
    <cellStyle name="Comma 5 8 8 4" xfId="14172" xr:uid="{CAF53E0B-9FD1-474B-8289-846C9B226674}"/>
    <cellStyle name="Comma 5 8 9" xfId="6625" xr:uid="{3050AF58-F09A-4D88-B8F2-C44941E3F062}"/>
    <cellStyle name="Comma 5 8 9 2" xfId="28476" xr:uid="{52B97D21-9AEC-4805-8592-FA8E249EE80F}"/>
    <cellStyle name="Comma 5 8 9 3" xfId="26201" xr:uid="{F48E14F4-8D95-44D5-907B-4EE1B8C5C414}"/>
    <cellStyle name="Comma 5 8 9 4" xfId="17005" xr:uid="{4C160034-B13B-49E5-B4D1-8B6F80BB1E65}"/>
    <cellStyle name="Comma 5 9" xfId="489" xr:uid="{00000000-0005-0000-0000-000060020000}"/>
    <cellStyle name="Comma 5 9 10" xfId="9461" xr:uid="{577F916E-DE24-46FE-A2E8-3876BCD7E17C}"/>
    <cellStyle name="Comma 5 9 10 2" xfId="19841" xr:uid="{3787D89A-519B-42FB-85C6-20D76F758C0F}"/>
    <cellStyle name="Comma 5 9 11" xfId="22710" xr:uid="{921E912D-4404-49CE-A58D-AFF85BABD250}"/>
    <cellStyle name="Comma 5 9 12" xfId="12511" xr:uid="{CE530E1C-0287-4676-9926-5BA63910A349}"/>
    <cellStyle name="Comma 5 9 2" xfId="490" xr:uid="{00000000-0005-0000-0000-000061020000}"/>
    <cellStyle name="Comma 5 9 2 2" xfId="1682" xr:uid="{00000000-0005-0000-0000-000062020000}"/>
    <cellStyle name="Comma 5 9 2 2 2" xfId="2872" xr:uid="{00000000-0005-0000-0000-0000E1010000}"/>
    <cellStyle name="Comma 5 9 2 2 2 2" xfId="7989" xr:uid="{DD600399-F264-4A5C-A259-2FD82D633A78}"/>
    <cellStyle name="Comma 5 9 2 2 2 2 2" xfId="18369" xr:uid="{293B0666-BA43-442C-A608-F87E97D4D469}"/>
    <cellStyle name="Comma 5 9 2 2 2 2 2 2" xfId="31136" xr:uid="{6BE75A01-8681-4A86-852E-5CA96578CD07}"/>
    <cellStyle name="Comma 5 9 2 2 2 2 2 3" xfId="30714" xr:uid="{4CB97A7A-50B9-47D4-B501-400C9AC937B3}"/>
    <cellStyle name="Comma 5 9 2 2 2 3" xfId="10822" xr:uid="{3DDC180D-A0D2-4408-B3F8-BD3A718A8D50}"/>
    <cellStyle name="Comma 5 9 2 2 2 3 2" xfId="21202" xr:uid="{BA03261A-B2A9-4611-A71A-6EC3BE0B938E}"/>
    <cellStyle name="Comma 5 9 2 2 2 4" xfId="26496" xr:uid="{1A82B4E7-142C-46F5-BEB3-F201FD231155}"/>
    <cellStyle name="Comma 5 9 2 2 2 5" xfId="26785" xr:uid="{35D6FCB8-6D81-4D29-8AAF-EA0F5D40EC9C}"/>
    <cellStyle name="Comma 5 9 2 2 2 6" xfId="15536" xr:uid="{7EA2C2D2-2C27-4270-9D44-D926BB025009}"/>
    <cellStyle name="Comma 5 9 2 2 3" xfId="3688" xr:uid="{00000000-0005-0000-0000-000062020000}"/>
    <cellStyle name="Comma 5 9 2 2 4" xfId="5588" xr:uid="{5DEDC809-A58D-4915-8292-CB2064C3F8DA}"/>
    <cellStyle name="Comma 5 9 2 2 4 2" xfId="29764" xr:uid="{5A5A3821-4E20-4ABC-8E69-75E4640375B8}"/>
    <cellStyle name="Comma 5 9 2 2 5" xfId="23354" xr:uid="{2FD97EFD-1F02-49AF-B9C5-4ADE3EC81F0C}"/>
    <cellStyle name="Comma 5 9 2 2 6" xfId="13367" xr:uid="{C41E76B2-0C39-41CB-BB65-50AA0681065C}"/>
    <cellStyle name="Comma 5 9 2 3" xfId="1683" xr:uid="{00000000-0005-0000-0000-000063020000}"/>
    <cellStyle name="Comma 5 9 2 3 2" xfId="24903" xr:uid="{F6A819E7-49AD-4347-96EC-10C8648C30A8}"/>
    <cellStyle name="Comma 5 9 2 3 2 2" xfId="30715" xr:uid="{47DB5FD4-96FA-4173-8E53-6DA4234BEA2D}"/>
    <cellStyle name="Comma 5 9 2 3 2 3" xfId="30553" xr:uid="{F5088134-8CE5-4A2C-9753-895A284CAC6E}"/>
    <cellStyle name="Comma 5 9 2 3 3" xfId="22956" xr:uid="{1221D88C-6031-4EEF-9013-D90C6923BB63}"/>
    <cellStyle name="Comma 5 9 2 3 4" xfId="30037" xr:uid="{8E6C886B-4461-492D-A2D3-77A7DD14FA89}"/>
    <cellStyle name="Comma 5 9 2 3 5" xfId="29661" xr:uid="{5C83A64C-738C-4B76-A536-451C4CDAEBDA}"/>
    <cellStyle name="Comma 5 9 2 4" xfId="1681" xr:uid="{00000000-0005-0000-0000-000064020000}"/>
    <cellStyle name="Comma 5 9 2 4 2" xfId="26144" xr:uid="{11F3DDB7-F030-4752-8665-FF4829009ADA}"/>
    <cellStyle name="Comma 5 9 2 4 2 2" xfId="30716" xr:uid="{BD8F26DD-5947-436A-8E4A-F7C8D3342C18}"/>
    <cellStyle name="Comma 5 9 2 4 2 3" xfId="30586" xr:uid="{A1610AE6-DFB3-4902-854F-8CE0CA56D516}"/>
    <cellStyle name="Comma 5 9 2 4 3" xfId="28646" xr:uid="{83F077EA-14EA-49D6-9313-1E9410A6F85D}"/>
    <cellStyle name="Comma 5 9 2 5" xfId="4884" xr:uid="{EB3A30E8-3647-49C2-A1DA-99DCDC29C0ED}"/>
    <cellStyle name="Comma 5 9 2 5 2" xfId="26685" xr:uid="{0EA01B93-8071-4C3D-B4C1-26E4128E262C}"/>
    <cellStyle name="Comma 5 9 2 5 3" xfId="28234" xr:uid="{AB8BE62E-19B6-423D-8338-0BEE8D7165AA}"/>
    <cellStyle name="Comma 5 9 2 5 4" xfId="14176" xr:uid="{5E14F82E-952A-47F6-A880-3BF07391B1FC}"/>
    <cellStyle name="Comma 5 9 2 5 5" xfId="30617" xr:uid="{06850C7D-2AAC-4475-AD05-17DE7A9F5617}"/>
    <cellStyle name="Comma 5 9 2 6" xfId="6629" xr:uid="{36AC8BC2-135C-4F0E-B9F4-4BE70C750E75}"/>
    <cellStyle name="Comma 5 9 2 6 2" xfId="27702" xr:uid="{AFECA7B3-832F-448B-8E3C-E62DF09C48C7}"/>
    <cellStyle name="Comma 5 9 2 6 3" xfId="26781" xr:uid="{0F87FA41-FC1E-4FCF-BDF8-53C40C3C032A}"/>
    <cellStyle name="Comma 5 9 2 6 4" xfId="17009" xr:uid="{B4200961-E2C0-4BC1-94EE-3A85E626AA74}"/>
    <cellStyle name="Comma 5 9 2 7" xfId="9462" xr:uid="{6886AE68-520F-4832-BF74-5FAF0008B37D}"/>
    <cellStyle name="Comma 5 9 2 7 2" xfId="19842" xr:uid="{1C8C4465-DEA0-4CB4-A309-8A836052CF50}"/>
    <cellStyle name="Comma 5 9 2 8" xfId="23186" xr:uid="{158B3261-B414-4969-87FD-E8CE88BB4099}"/>
    <cellStyle name="Comma 5 9 2 9" xfId="12669" xr:uid="{CB2B0EDD-44CF-4098-A63F-95E232219291}"/>
    <cellStyle name="Comma 5 9 3" xfId="491" xr:uid="{00000000-0005-0000-0000-000065020000}"/>
    <cellStyle name="Comma 5 9 3 2" xfId="1685" xr:uid="{00000000-0005-0000-0000-000066020000}"/>
    <cellStyle name="Comma 5 9 3 2 2" xfId="28582" xr:uid="{24970741-0E29-4246-A189-27E01992A00F}"/>
    <cellStyle name="Comma 5 9 3 2 2 2" xfId="30718" xr:uid="{B0C70532-9092-4845-BAD0-1BA2E82A1E86}"/>
    <cellStyle name="Comma 5 9 3 2 2 3" xfId="30601" xr:uid="{431458AB-C9BA-4E59-BFC7-8AC4B17F7501}"/>
    <cellStyle name="Comma 5 9 3 2 3" xfId="27020" xr:uid="{E598149C-FE07-4DC5-86B7-E13C07F268AF}"/>
    <cellStyle name="Comma 5 9 3 3" xfId="1686" xr:uid="{00000000-0005-0000-0000-000067020000}"/>
    <cellStyle name="Comma 5 9 3 4" xfId="1684" xr:uid="{00000000-0005-0000-0000-000068020000}"/>
    <cellStyle name="Comma 5 9 3 5" xfId="4885" xr:uid="{672D1938-E8B9-4EE4-A404-E4869E3DF097}"/>
    <cellStyle name="Comma 5 9 3 5 2" xfId="27916" xr:uid="{2CCA1919-C0E3-437A-AEA4-A7FE9B7E2006}"/>
    <cellStyle name="Comma 5 9 3 5 2 2" xfId="31198" xr:uid="{0301959F-F531-44B8-B593-826B6FD4315E}"/>
    <cellStyle name="Comma 5 9 3 5 2 3" xfId="30717" xr:uid="{84D65F06-96BE-4435-B794-A50A7ACD6ECD}"/>
    <cellStyle name="Comma 5 9 3 5 3" xfId="25882" xr:uid="{246E0EAC-A073-4023-BCDF-D485F4AAD117}"/>
    <cellStyle name="Comma 5 9 3 5 4" xfId="14177" xr:uid="{A3B19FAE-253A-4C9F-A824-7995242F9A40}"/>
    <cellStyle name="Comma 5 9 3 6" xfId="6630" xr:uid="{BCFE293F-552A-4FD1-843B-79E4089F5F29}"/>
    <cellStyle name="Comma 5 9 3 6 2" xfId="17010" xr:uid="{998E47F5-BD2A-4263-B6E7-BA0F6615FD09}"/>
    <cellStyle name="Comma 5 9 3 7" xfId="9463" xr:uid="{93F546B0-E630-48A1-A3A2-E60736345D88}"/>
    <cellStyle name="Comma 5 9 3 7 2" xfId="19843" xr:uid="{D384727D-B11B-4ACD-80DE-E21FB1AA851B}"/>
    <cellStyle name="Comma 5 9 3 8" xfId="23365" xr:uid="{A42F84E4-61A4-4AB1-B8D4-24F3C88470B4}"/>
    <cellStyle name="Comma 5 9 3 9" xfId="13079" xr:uid="{58B4F309-4F73-4AC0-9E82-9AB850A0C1EB}"/>
    <cellStyle name="Comma 5 9 4" xfId="1687" xr:uid="{00000000-0005-0000-0000-000069020000}"/>
    <cellStyle name="Comma 5 9 4 2" xfId="2279" xr:uid="{00000000-0005-0000-0000-0000DF010000}"/>
    <cellStyle name="Comma 5 9 4 2 2" xfId="7406" xr:uid="{1E1556D7-8993-43B8-B4DC-ADC5347F2892}"/>
    <cellStyle name="Comma 5 9 4 2 2 2" xfId="17786" xr:uid="{FC874948-C6B9-476A-9918-1FD3D1FDA1DC}"/>
    <cellStyle name="Comma 5 9 4 2 2 2 2" xfId="31126" xr:uid="{0B51279B-2A5B-4395-ADC6-689D69249167}"/>
    <cellStyle name="Comma 5 9 4 2 2 2 3" xfId="30719" xr:uid="{2B2AC912-036D-468D-8CF3-4AA2B8F5290D}"/>
    <cellStyle name="Comma 5 9 4 2 3" xfId="10239" xr:uid="{9E45737F-46A4-4824-9796-8F7DC6D1045A}"/>
    <cellStyle name="Comma 5 9 4 2 3 2" xfId="20619" xr:uid="{553028C3-EAAC-4756-93F3-35A270C1AD70}"/>
    <cellStyle name="Comma 5 9 4 2 4" xfId="28236" xr:uid="{A4F5614C-A5DF-4D87-88B0-071B9BC4EA7E}"/>
    <cellStyle name="Comma 5 9 4 2 5" xfId="26400" xr:uid="{9FE368F8-BEEE-4267-9DC6-5222CA95E77A}"/>
    <cellStyle name="Comma 5 9 4 2 6" xfId="14953" xr:uid="{A57EE24B-4604-4638-8EF3-39D2D495CEA9}"/>
    <cellStyle name="Comma 5 9 4 3" xfId="2058" xr:uid="{00000000-0005-0000-0000-000069020000}"/>
    <cellStyle name="Comma 5 9 4 4" xfId="22689" xr:uid="{10E129FC-ED19-4FA8-991C-0D82ED6B82C1}"/>
    <cellStyle name="Comma 5 9 4 4 2" xfId="29737" xr:uid="{23982877-3765-4743-AD98-45F4A9C681B2}"/>
    <cellStyle name="Comma 5 9 4 5" xfId="29844" xr:uid="{45E3FC05-22F4-4882-A2EE-6AE2BB9EB86D}"/>
    <cellStyle name="Comma 5 9 4 6" xfId="29989" xr:uid="{6B05C73D-E431-4BD3-A0E9-D68B75A751E3}"/>
    <cellStyle name="Comma 5 9 5" xfId="1688" xr:uid="{00000000-0005-0000-0000-00006A020000}"/>
    <cellStyle name="Comma 5 9 5 2" xfId="24215" xr:uid="{4EF621CF-F50D-4230-AF83-2E870655BDA3}"/>
    <cellStyle name="Comma 5 9 5 2 2" xfId="29798" xr:uid="{AC7AD2D9-EE19-437C-B1CB-74F8FC52A265}"/>
    <cellStyle name="Comma 5 9 5 2 2 2" xfId="30720" xr:uid="{B026E2CA-F479-4414-B3BC-598E63AD2D30}"/>
    <cellStyle name="Comma 5 9 5 3" xfId="24967" xr:uid="{569BA925-3A3B-4717-B1B9-3D852F1BB19D}"/>
    <cellStyle name="Comma 5 9 5 4" xfId="30015" xr:uid="{0A634316-065C-4E51-B319-E58017A9EF5E}"/>
    <cellStyle name="Comma 5 9 6" xfId="1680" xr:uid="{00000000-0005-0000-0000-00006B020000}"/>
    <cellStyle name="Comma 5 9 6 2" xfId="27178" xr:uid="{14EF25F5-D9BE-45D5-9005-4E60957A0203}"/>
    <cellStyle name="Comma 5 9 6 2 2" xfId="30721" xr:uid="{FDE5ECE4-C2F4-4D3A-A86F-4B131C787202}"/>
    <cellStyle name="Comma 5 9 6 2 3" xfId="30585" xr:uid="{A40CFB98-27E5-4F51-8348-E9CA033F2552}"/>
    <cellStyle name="Comma 5 9 6 3" xfId="26360" xr:uid="{33843480-E46E-46E8-A098-789A42CAEACB}"/>
    <cellStyle name="Comma 5 9 7" xfId="3866" xr:uid="{B9DE1D30-4F88-4738-9237-DC4A3CFC8DA9}"/>
    <cellStyle name="Comma 5 9 7 2" xfId="8698" xr:uid="{217EDCE2-9B0E-4A25-BC3B-8C29294786F7}"/>
    <cellStyle name="Comma 5 9 7 2 2" xfId="28965" xr:uid="{40DF6CCF-C7EB-4E2F-8943-4010C4F20435}"/>
    <cellStyle name="Comma 5 9 7 2 3" xfId="27299" xr:uid="{F77F18D5-5BCA-4F28-938A-BCE11258A9A2}"/>
    <cellStyle name="Comma 5 9 7 2 4" xfId="19078" xr:uid="{96203E88-F519-4C89-86D3-CA0BFFC30A7C}"/>
    <cellStyle name="Comma 5 9 7 3" xfId="11531" xr:uid="{29D5A212-8ECB-4895-AE43-EE1FA4977D49}"/>
    <cellStyle name="Comma 5 9 7 3 2" xfId="21911" xr:uid="{4E2A553C-24C0-40AA-A554-9E1ED5799483}"/>
    <cellStyle name="Comma 5 9 7 4" xfId="26984" xr:uid="{3E732908-041F-46A5-A79F-0CF9D6D2313D}"/>
    <cellStyle name="Comma 5 9 7 5" xfId="16245" xr:uid="{5D36E793-C1E0-440E-8E25-0EACBB5C7075}"/>
    <cellStyle name="Comma 5 9 8" xfId="4883" xr:uid="{19062C3A-3DA8-4519-BE2C-EB4890D3976C}"/>
    <cellStyle name="Comma 5 9 8 2" xfId="28602" xr:uid="{43816189-9755-4F5B-9F31-479975E420E6}"/>
    <cellStyle name="Comma 5 9 8 3" xfId="26588" xr:uid="{8B938DC1-312A-41D7-8860-4BA13CAE14F7}"/>
    <cellStyle name="Comma 5 9 8 4" xfId="14175" xr:uid="{6230BFD7-AEE5-43EB-8885-BB2F9158B86E}"/>
    <cellStyle name="Comma 5 9 9" xfId="6628" xr:uid="{E289BBFE-C525-4650-8B0E-5AD183962837}"/>
    <cellStyle name="Comma 5 9 9 2" xfId="28564" xr:uid="{F1666656-BD91-4BFD-8C97-C71A38433776}"/>
    <cellStyle name="Comma 5 9 9 3" xfId="28025" xr:uid="{DB2661FD-D525-4319-94EB-088EB495F608}"/>
    <cellStyle name="Comma 5 9 9 4" xfId="17008" xr:uid="{162481D7-E839-4A30-AA59-A36CDC6481BA}"/>
    <cellStyle name="Comma 6" xfId="492" xr:uid="{00000000-0005-0000-0000-00006C020000}"/>
    <cellStyle name="Comma 6 2" xfId="493" xr:uid="{00000000-0005-0000-0000-00006D020000}"/>
    <cellStyle name="Comma 6 3" xfId="494" xr:uid="{00000000-0005-0000-0000-00006E020000}"/>
    <cellStyle name="Comma 6 3 2" xfId="1690" xr:uid="{00000000-0005-0000-0000-00006F020000}"/>
    <cellStyle name="Comma 6 3 2 2" xfId="25265" xr:uid="{8A7DAFD7-2CA3-48AB-8998-82D5CBA4FD5D}"/>
    <cellStyle name="Comma 6 3 2 2 2" xfId="29824" xr:uid="{993FD6BC-13E5-4F0C-A1CB-0B9266626B05}"/>
    <cellStyle name="Comma 6 3 2 3" xfId="24576" xr:uid="{A28E2AF0-11DC-454F-8523-E8CC9FF3477F}"/>
    <cellStyle name="Comma 6 3 3" xfId="1691" xr:uid="{00000000-0005-0000-0000-000070020000}"/>
    <cellStyle name="Comma 6 3 3 2" xfId="31309" xr:uid="{B892DCB0-225F-4A82-BF1C-F3D3857F7969}"/>
    <cellStyle name="Comma 6 3 3 3" xfId="31268" xr:uid="{6EC989E8-EEBE-4E56-B842-6FAA8089D686}"/>
    <cellStyle name="Comma 6 3 4" xfId="1689" xr:uid="{00000000-0005-0000-0000-000071020000}"/>
    <cellStyle name="Comma 6 3 5" xfId="30402" xr:uid="{826A58AB-2EF0-437D-8B25-98E5B40781A9}"/>
    <cellStyle name="Comma 6 3 5 2" xfId="30433" xr:uid="{C80FF380-C62E-48FE-B3CF-F41618084E64}"/>
    <cellStyle name="Comma 6 4" xfId="495" xr:uid="{00000000-0005-0000-0000-000072020000}"/>
    <cellStyle name="Comma 6 4 10" xfId="4886" xr:uid="{590EB0C8-22E1-4978-891E-C4F933D87663}"/>
    <cellStyle name="Comma 6 4 10 2" xfId="14178" xr:uid="{D116F717-0813-48E8-85B0-A4EAB548CEE8}"/>
    <cellStyle name="Comma 6 4 11" xfId="6631" xr:uid="{C7EE9BD2-A05B-4FE7-B3BA-FA91B2818E1F}"/>
    <cellStyle name="Comma 6 4 11 2" xfId="17011" xr:uid="{B8DB3F00-9E9D-409B-8728-AFBA1086C4B3}"/>
    <cellStyle name="Comma 6 4 12" xfId="9464" xr:uid="{9FF30183-B51D-4652-85E9-61D6B4505CEA}"/>
    <cellStyle name="Comma 6 4 12 2" xfId="19844" xr:uid="{43B3ED84-FCF3-429C-B5C8-F790869B9743}"/>
    <cellStyle name="Comma 6 4 13" xfId="24565" xr:uid="{ECE51940-59D9-4508-834B-EE611846C330}"/>
    <cellStyle name="Comma 6 4 14" xfId="12454" xr:uid="{CD5DDB80-C41A-4879-9C53-6EC2F07C554B}"/>
    <cellStyle name="Comma 6 4 2" xfId="496" xr:uid="{00000000-0005-0000-0000-000073020000}"/>
    <cellStyle name="Comma 6 4 2 10" xfId="9465" xr:uid="{D5BF1811-2803-4948-A0EE-3FF96738624E}"/>
    <cellStyle name="Comma 6 4 2 10 2" xfId="19845" xr:uid="{3F5543A8-A093-4FBE-974F-9BCDC3B3402A}"/>
    <cellStyle name="Comma 6 4 2 11" xfId="25404" xr:uid="{29A5D357-8B2B-46F0-A662-77123053171A}"/>
    <cellStyle name="Comma 6 4 2 12" xfId="12512" xr:uid="{D05CF195-F9B5-4A45-AE3D-41A5E0351F83}"/>
    <cellStyle name="Comma 6 4 2 2" xfId="497" xr:uid="{00000000-0005-0000-0000-000074020000}"/>
    <cellStyle name="Comma 6 4 2 2 10" xfId="13081" xr:uid="{9036A2BC-18BE-4FB3-B52B-3678CFDC02B6}"/>
    <cellStyle name="Comma 6 4 2 2 2" xfId="1695" xr:uid="{00000000-0005-0000-0000-000075020000}"/>
    <cellStyle name="Comma 6 4 2 2 2 2" xfId="3042" xr:uid="{00000000-0005-0000-0000-0000E9010000}"/>
    <cellStyle name="Comma 6 4 2 2 2 2 2" xfId="8122" xr:uid="{CC6411F4-1CBE-4402-84DA-435DBF322A64}"/>
    <cellStyle name="Comma 6 4 2 2 2 2 2 2" xfId="28803" xr:uid="{7F89C405-4E7B-4D58-BF46-41EB446A6018}"/>
    <cellStyle name="Comma 6 4 2 2 2 2 2 3" xfId="26832" xr:uid="{668C4A35-0F7A-4120-9061-A68B9CC43049}"/>
    <cellStyle name="Comma 6 4 2 2 2 2 2 4" xfId="18502" xr:uid="{0D6186E5-DE10-4652-AD63-5E412EF765C3}"/>
    <cellStyle name="Comma 6 4 2 2 2 2 3" xfId="10955" xr:uid="{4EFEE2EA-4567-467B-89A0-B0256E14CC5D}"/>
    <cellStyle name="Comma 6 4 2 2 2 2 3 2" xfId="21335" xr:uid="{6EE04AED-26C1-47DD-9F9D-12E30109AB5F}"/>
    <cellStyle name="Comma 6 4 2 2 2 2 4" xfId="25682" xr:uid="{EF41D050-0AE8-4E89-BB9E-051DF5630730}"/>
    <cellStyle name="Comma 6 4 2 2 2 2 5" xfId="15669" xr:uid="{F2560B0F-AD65-4450-AD2A-D2B82D41C930}"/>
    <cellStyle name="Comma 6 4 2 2 2 3" xfId="3575" xr:uid="{00000000-0005-0000-0000-000075020000}"/>
    <cellStyle name="Comma 6 4 2 2 2 4" xfId="5591" xr:uid="{8BF347F7-3DE4-4C27-A5DD-8CA2A1920DC5}"/>
    <cellStyle name="Comma 6 4 2 2 2 4 2" xfId="29949" xr:uid="{233E463F-54C2-4C29-870A-0D49BFA16A91}"/>
    <cellStyle name="Comma 6 4 2 2 2 5" xfId="23721" xr:uid="{ADD3F041-ED7E-4808-8804-F82B1C69DADD}"/>
    <cellStyle name="Comma 6 4 2 2 2 6" xfId="13549" xr:uid="{5B965AB5-811C-4C8F-9776-A7E6E46FEFB1}"/>
    <cellStyle name="Comma 6 4 2 2 3" xfId="1696" xr:uid="{00000000-0005-0000-0000-000076020000}"/>
    <cellStyle name="Comma 6 4 2 2 3 2" xfId="4647" xr:uid="{187D3BBC-2F30-4E54-BF60-6686AA852718}"/>
    <cellStyle name="Comma 6 4 2 2 3 2 2" xfId="9403" xr:uid="{ACAD8495-9410-477A-A199-35531A3A5934}"/>
    <cellStyle name="Comma 6 4 2 2 3 2 2 2" xfId="19783" xr:uid="{93C5B541-0741-49C6-BEF0-3FE0CDC50F93}"/>
    <cellStyle name="Comma 6 4 2 2 3 2 3" xfId="12236" xr:uid="{8A4C0AE4-CA6B-43CE-A304-C1A77EFC9CE7}"/>
    <cellStyle name="Comma 6 4 2 2 3 2 3 2" xfId="22616" xr:uid="{351A7092-E753-446E-A119-ADEAA0D954FF}"/>
    <cellStyle name="Comma 6 4 2 2 3 2 4" xfId="27967" xr:uid="{ABD3612A-144F-4974-A4D6-F6C5F0703320}"/>
    <cellStyle name="Comma 6 4 2 2 3 2 5" xfId="28596" xr:uid="{312B778F-60C6-4219-81C0-7FD53D492B70}"/>
    <cellStyle name="Comma 6 4 2 2 3 2 6" xfId="16950" xr:uid="{129F80BC-EC3D-44D7-8C98-01595460F21A}"/>
    <cellStyle name="Comma 6 4 2 2 3 3" xfId="24960" xr:uid="{2283E414-46E5-4049-907A-D24F13EDDB5E}"/>
    <cellStyle name="Comma 6 4 2 2 3 3 2" xfId="29903" xr:uid="{4DA074B1-E9A6-4FB2-9574-AF0CB56E487E}"/>
    <cellStyle name="Comma 6 4 2 2 3 4" xfId="30017" xr:uid="{B0E6ED8B-7F94-4C65-B922-D81312B6C1B9}"/>
    <cellStyle name="Comma 6 4 2 2 4" xfId="1694" xr:uid="{00000000-0005-0000-0000-000077020000}"/>
    <cellStyle name="Comma 6 4 2 2 4 2" xfId="26920" xr:uid="{5EED627A-0015-4E1B-A2B6-EF5D8B44E99E}"/>
    <cellStyle name="Comma 6 4 2 2 4 3" xfId="26329" xr:uid="{A5E211ED-3697-47AE-AFB7-DC4A9AEBCE66}"/>
    <cellStyle name="Comma 6 4 2 2 5" xfId="4260" xr:uid="{57211779-9320-44C5-9837-0748906E7A4C}"/>
    <cellStyle name="Comma 6 4 2 2 5 2" xfId="9032" xr:uid="{3A1E14F9-50A9-4BC3-9B23-12F98A7CD057}"/>
    <cellStyle name="Comma 6 4 2 2 5 2 2" xfId="19412" xr:uid="{5B746D22-E62E-4BCC-B5AB-8BE294689550}"/>
    <cellStyle name="Comma 6 4 2 2 5 2 3" xfId="31036" xr:uid="{E5D61C2A-5E38-417B-8489-A5D1DF3FC18F}"/>
    <cellStyle name="Comma 6 4 2 2 5 2 4" xfId="30722" xr:uid="{0FF41AB0-D970-4E31-9E8E-8298D6AF25BD}"/>
    <cellStyle name="Comma 6 4 2 2 5 3" xfId="11865" xr:uid="{000755D5-7700-4754-B967-5ED980124053}"/>
    <cellStyle name="Comma 6 4 2 2 5 3 2" xfId="22245" xr:uid="{901EA211-D1BA-4DDB-BF1A-DE2745178C81}"/>
    <cellStyle name="Comma 6 4 2 2 5 4" xfId="27949" xr:uid="{7A21C380-1C3B-405E-8007-F7F0A2667C6A}"/>
    <cellStyle name="Comma 6 4 2 2 5 5" xfId="26355" xr:uid="{BF873D68-89B9-4165-9916-E524D274416D}"/>
    <cellStyle name="Comma 6 4 2 2 5 6" xfId="16579" xr:uid="{DD76C47B-4BEF-4E5F-8149-569D6F982A01}"/>
    <cellStyle name="Comma 6 4 2 2 6" xfId="4888" xr:uid="{EA5D0D92-CCEF-4853-BE03-D86DFD2ECEDF}"/>
    <cellStyle name="Comma 6 4 2 2 6 2" xfId="28018" xr:uid="{8DB2376A-D7D2-4A96-83ED-7EFE0D22FA4E}"/>
    <cellStyle name="Comma 6 4 2 2 6 3" xfId="27154" xr:uid="{88855DC0-CDE1-4E14-A52B-9DE3A3E64F10}"/>
    <cellStyle name="Comma 6 4 2 2 6 4" xfId="14180" xr:uid="{D4053323-D138-435E-B09B-2D06BF1F3177}"/>
    <cellStyle name="Comma 6 4 2 2 7" xfId="6633" xr:uid="{A8C3E90C-E98A-4A69-BCCD-D65AB4659552}"/>
    <cellStyle name="Comma 6 4 2 2 7 2" xfId="17013" xr:uid="{35E27ADC-64E2-48C3-B047-3B99EA26CD8E}"/>
    <cellStyle name="Comma 6 4 2 2 8" xfId="9466" xr:uid="{1DE1E175-6029-46A6-8D6A-130CCE65B77A}"/>
    <cellStyle name="Comma 6 4 2 2 8 2" xfId="19846" xr:uid="{D0522DD5-F40C-4C3E-B363-511EC1C0075F}"/>
    <cellStyle name="Comma 6 4 2 2 9" xfId="24421" xr:uid="{8074B458-5983-4302-BBAA-E98DEE0AEFCE}"/>
    <cellStyle name="Comma 6 4 2 3" xfId="1697" xr:uid="{00000000-0005-0000-0000-000078020000}"/>
    <cellStyle name="Comma 6 4 2 3 2" xfId="3043" xr:uid="{00000000-0005-0000-0000-0000EA010000}"/>
    <cellStyle name="Comma 6 4 2 3 2 2" xfId="8123" xr:uid="{0384A77A-4C50-4A21-9871-8CEEE901F830}"/>
    <cellStyle name="Comma 6 4 2 3 2 2 2" xfId="28804" xr:uid="{AC14E83F-D38E-4E39-AEB7-0CD9C098D261}"/>
    <cellStyle name="Comma 6 4 2 3 2 2 2 2" xfId="31221" xr:uid="{020E94C7-3C33-4C62-9CE1-8B3A7270B784}"/>
    <cellStyle name="Comma 6 4 2 3 2 2 2 3" xfId="30724" xr:uid="{F335279E-1B9E-4D18-8CA1-66BD0EDC3A2A}"/>
    <cellStyle name="Comma 6 4 2 3 2 2 3" xfId="26800" xr:uid="{ABDB6786-F739-47A6-AB97-7ACED774675F}"/>
    <cellStyle name="Comma 6 4 2 3 2 2 4" xfId="18503" xr:uid="{8B0BF2DE-017B-40C1-987A-4EA279A1DDD3}"/>
    <cellStyle name="Comma 6 4 2 3 2 3" xfId="10956" xr:uid="{F5D47024-2265-4130-A6B8-E2481033798A}"/>
    <cellStyle name="Comma 6 4 2 3 2 3 2" xfId="21336" xr:uid="{5CC7CCD4-B9FD-41AF-86B6-CBA8245B1A71}"/>
    <cellStyle name="Comma 6 4 2 3 2 4" xfId="25447" xr:uid="{1DEB5072-6A52-41B8-B09E-A4269DE1A5FD}"/>
    <cellStyle name="Comma 6 4 2 3 2 5" xfId="15670" xr:uid="{AFFB747D-8F23-4C0B-A899-0DC021FEA89B}"/>
    <cellStyle name="Comma 6 4 2 3 3" xfId="2081" xr:uid="{00000000-0005-0000-0000-000078020000}"/>
    <cellStyle name="Comma 6 4 2 3 4" xfId="4404" xr:uid="{1FB2328B-4382-487E-A902-9BD441BC9913}"/>
    <cellStyle name="Comma 6 4 2 3 4 2" xfId="9176" xr:uid="{8F66199E-1B28-43E3-A19F-CFC291178D6D}"/>
    <cellStyle name="Comma 6 4 2 3 4 2 2" xfId="19556" xr:uid="{D5DEDE6B-E6E5-4EAD-AA05-81693599A82E}"/>
    <cellStyle name="Comma 6 4 2 3 4 2 3" xfId="31070" xr:uid="{55898A08-20A6-4893-81F2-362535D71995}"/>
    <cellStyle name="Comma 6 4 2 3 4 2 4" xfId="30723" xr:uid="{991663E5-093A-4C82-AB81-8EF79A9D4B8B}"/>
    <cellStyle name="Comma 6 4 2 3 4 3" xfId="12009" xr:uid="{D49E91B3-9301-482A-B4BF-5C9AEB14AC53}"/>
    <cellStyle name="Comma 6 4 2 3 4 3 2" xfId="22389" xr:uid="{17A37291-6571-4D15-B536-039ED25AA43D}"/>
    <cellStyle name="Comma 6 4 2 3 4 4" xfId="16723" xr:uid="{0E1BB8D7-1061-41AD-9946-F1642322DE7C}"/>
    <cellStyle name="Comma 6 4 2 3 5" xfId="5592" xr:uid="{B77D97DF-34AC-4B61-94AB-5E81CC907204}"/>
    <cellStyle name="Comma 6 4 2 3 5 2" xfId="29690" xr:uid="{63269818-A85D-49A6-B8ED-4F376BDFFA23}"/>
    <cellStyle name="Comma 6 4 2 3 5 2 2" xfId="30966" xr:uid="{7D70C7BF-EF85-401A-AD86-BF5235BE5695}"/>
    <cellStyle name="Comma 6 4 2 3 6" xfId="23432" xr:uid="{44806F47-1906-4B34-89B1-7A5705E499F2}"/>
    <cellStyle name="Comma 6 4 2 3 7" xfId="13550" xr:uid="{85825A31-9239-462E-B016-0AC77AABAAAB}"/>
    <cellStyle name="Comma 6 4 2 4" xfId="1698" xr:uid="{00000000-0005-0000-0000-000079020000}"/>
    <cellStyle name="Comma 6 4 2 4 2" xfId="3041" xr:uid="{00000000-0005-0000-0000-0000EB010000}"/>
    <cellStyle name="Comma 6 4 2 4 2 2" xfId="8121" xr:uid="{ADF22222-811F-4F84-B720-222185DDB4A1}"/>
    <cellStyle name="Comma 6 4 2 4 2 2 2" xfId="28802" xr:uid="{922D86D4-CE5F-49B6-BB93-8FE1C4D72254}"/>
    <cellStyle name="Comma 6 4 2 4 2 2 3" xfId="27697" xr:uid="{6FD99DB8-EBD7-49EB-8A7C-1342FBAC3836}"/>
    <cellStyle name="Comma 6 4 2 4 2 2 4" xfId="18501" xr:uid="{1239A679-9578-452E-BA64-7D79A9553E4B}"/>
    <cellStyle name="Comma 6 4 2 4 2 3" xfId="10954" xr:uid="{9CFE8881-6865-452C-A880-B409BA8FC2FB}"/>
    <cellStyle name="Comma 6 4 2 4 2 3 2" xfId="21334" xr:uid="{3FD0A189-72D1-44EF-8586-68EB0ACC380D}"/>
    <cellStyle name="Comma 6 4 2 4 2 4" xfId="24417" xr:uid="{D6823635-BF87-412A-97CD-62CD1E9247DB}"/>
    <cellStyle name="Comma 6 4 2 4 2 5" xfId="15668" xr:uid="{31150317-04E8-41C9-A993-9077679AFEB5}"/>
    <cellStyle name="Comma 6 4 2 4 3" xfId="3671" xr:uid="{00000000-0005-0000-0000-000079020000}"/>
    <cellStyle name="Comma 6 4 2 4 4" xfId="5593" xr:uid="{5E240531-8C52-4B64-996E-6CF2C56EAD6B}"/>
    <cellStyle name="Comma 6 4 2 4 4 2" xfId="29948" xr:uid="{F9D8C378-6662-4A0B-BF57-80CDD28C6729}"/>
    <cellStyle name="Comma 6 4 2 4 5" xfId="23885" xr:uid="{43568BDD-A2A2-40C8-B1D3-E9FAF4B904FE}"/>
    <cellStyle name="Comma 6 4 2 4 6" xfId="13548" xr:uid="{B4E62D67-D4F8-4AEE-A0C8-D1B0BC76898D}"/>
    <cellStyle name="Comma 6 4 2 5" xfId="1693" xr:uid="{00000000-0005-0000-0000-00007A020000}"/>
    <cellStyle name="Comma 6 4 2 5 2" xfId="2528" xr:uid="{00000000-0005-0000-0000-0000EC010000}"/>
    <cellStyle name="Comma 6 4 2 5 2 2" xfId="7653" xr:uid="{31EE074A-1A25-4279-9498-1557E65A9611}"/>
    <cellStyle name="Comma 6 4 2 5 2 2 2" xfId="18033" xr:uid="{2E5103D4-FE6F-4FD3-8CF2-4F6CBE43E536}"/>
    <cellStyle name="Comma 6 4 2 5 2 3" xfId="10486" xr:uid="{47A8CDED-9374-4C4C-9AD1-F9989393134E}"/>
    <cellStyle name="Comma 6 4 2 5 2 3 2" xfId="20866" xr:uid="{894DF4C3-B7A2-4D59-8DF5-E6A4EC275E7C}"/>
    <cellStyle name="Comma 6 4 2 5 2 4" xfId="27791" xr:uid="{E1105289-3713-4AAF-B940-F952224F0EDC}"/>
    <cellStyle name="Comma 6 4 2 5 2 5" xfId="28456" xr:uid="{D273BE61-BBFD-447D-B264-4CFF693C5FDF}"/>
    <cellStyle name="Comma 6 4 2 5 2 6" xfId="15200" xr:uid="{4A290AF2-28F0-47E5-8AC6-D53A411884E3}"/>
    <cellStyle name="Comma 6 4 2 5 3" xfId="3563" xr:uid="{00000000-0005-0000-0000-00007A020000}"/>
    <cellStyle name="Comma 6 4 2 5 4" xfId="5590" xr:uid="{79D951B6-7C6B-413F-B554-86ACD55AFC22}"/>
    <cellStyle name="Comma 6 4 2 5 4 2" xfId="29875" xr:uid="{1F5868CB-B8F6-4FD2-BE45-16F85B1BB38D}"/>
    <cellStyle name="Comma 6 4 2 5 5" xfId="23935" xr:uid="{61B540B9-A018-4E28-B282-83577ECA9D03}"/>
    <cellStyle name="Comma 6 4 2 5 6" xfId="12916" xr:uid="{C6259B45-015A-4F34-84F8-1B874A052B21}"/>
    <cellStyle name="Comma 6 4 2 6" xfId="2280" xr:uid="{00000000-0005-0000-0000-0000E7010000}"/>
    <cellStyle name="Comma 6 4 2 6 2" xfId="7407" xr:uid="{6714873E-F416-44C5-82FA-E05131962C6E}"/>
    <cellStyle name="Comma 6 4 2 6 2 2" xfId="17787" xr:uid="{DAB56B7B-C136-47C5-A747-7B121669E960}"/>
    <cellStyle name="Comma 6 4 2 6 3" xfId="10240" xr:uid="{4C8AE7B1-A4A9-425A-9167-B6967CFE222E}"/>
    <cellStyle name="Comma 6 4 2 6 3 2" xfId="20620" xr:uid="{19177BF8-5573-4BFF-B173-1662A0989156}"/>
    <cellStyle name="Comma 6 4 2 6 4" xfId="23822" xr:uid="{AC9C99D0-AB2A-4CD9-91CC-19279A8AFCB3}"/>
    <cellStyle name="Comma 6 4 2 6 5" xfId="26847" xr:uid="{1A57839F-464C-450B-87F9-255CD7C009FB}"/>
    <cellStyle name="Comma 6 4 2 6 6" xfId="14954" xr:uid="{1E6FD0BC-2500-4D19-B49D-410520A4EE12}"/>
    <cellStyle name="Comma 6 4 2 7" xfId="3819" xr:uid="{92CFE6F2-A1C9-4A93-BBED-550530B8857A}"/>
    <cellStyle name="Comma 6 4 2 7 2" xfId="8652" xr:uid="{6163D877-2216-4038-9EB4-81712A04994C}"/>
    <cellStyle name="Comma 6 4 2 7 2 2" xfId="19032" xr:uid="{03ADF068-45AD-4DAB-8C61-3E6015003565}"/>
    <cellStyle name="Comma 6 4 2 7 3" xfId="11485" xr:uid="{B63E5292-1B5E-45E0-93E5-4A060B62CDFF}"/>
    <cellStyle name="Comma 6 4 2 7 3 2" xfId="21865" xr:uid="{7283CF71-5EE7-47AA-B790-60924D944E8F}"/>
    <cellStyle name="Comma 6 4 2 7 4" xfId="25890" xr:uid="{F39EEEA6-603F-4E58-945E-BB29862672B2}"/>
    <cellStyle name="Comma 6 4 2 7 5" xfId="26507" xr:uid="{C2E764BB-88F9-4C12-9ADA-9E379CE1C073}"/>
    <cellStyle name="Comma 6 4 2 7 6" xfId="16199" xr:uid="{EF1D7535-5DF8-4A8B-938B-FBCFC8BDE855}"/>
    <cellStyle name="Comma 6 4 2 8" xfId="4887" xr:uid="{B9ED5642-C6EF-4D18-85FB-1F3A8F4EEE28}"/>
    <cellStyle name="Comma 6 4 2 8 2" xfId="14179" xr:uid="{ECD191D8-EC14-4B95-862F-94FDC2BBCD9C}"/>
    <cellStyle name="Comma 6 4 2 9" xfId="6632" xr:uid="{D4B262BE-F461-4DC9-89DC-2023215ABCFD}"/>
    <cellStyle name="Comma 6 4 2 9 2" xfId="17012" xr:uid="{6E0271B9-4A40-4868-BD41-DAD782E2C209}"/>
    <cellStyle name="Comma 6 4 3" xfId="498" xr:uid="{00000000-0005-0000-0000-00007B020000}"/>
    <cellStyle name="Comma 6 4 3 10" xfId="25487" xr:uid="{99E9E6DC-A851-4F87-A404-F8E922B22778}"/>
    <cellStyle name="Comma 6 4 3 11" xfId="12670" xr:uid="{5A4B5E9F-8AD8-4DAE-ADCF-C4E4E84DC022}"/>
    <cellStyle name="Comma 6 4 3 2" xfId="1700" xr:uid="{00000000-0005-0000-0000-00007C020000}"/>
    <cellStyle name="Comma 6 4 3 2 2" xfId="3045" xr:uid="{00000000-0005-0000-0000-0000EF010000}"/>
    <cellStyle name="Comma 6 4 3 2 2 2" xfId="6162" xr:uid="{9DE87451-BF29-4F9C-8D44-3C00B4B7AB11}"/>
    <cellStyle name="Comma 6 4 3 2 2 2 2" xfId="25628" xr:uid="{1BE7515C-653A-4F87-876F-63B764521DA0}"/>
    <cellStyle name="Comma 6 4 3 2 2 2 2 2" xfId="28547" xr:uid="{76250F69-99E5-4C87-AA68-28CAC0ABE243}"/>
    <cellStyle name="Comma 6 4 3 2 2 2 2 3" xfId="31161" xr:uid="{B8B7D374-F9E5-4444-AC13-477FC287386D}"/>
    <cellStyle name="Comma 6 4 3 2 2 2 3" xfId="28605" xr:uid="{05D73697-F366-4499-ADE0-47D3DE37ECFB}"/>
    <cellStyle name="Comma 6 4 3 2 2 2 4" xfId="15672" xr:uid="{DAA6396E-5617-4A70-B574-AFCD162D4D30}"/>
    <cellStyle name="Comma 6 4 3 2 2 3" xfId="8125" xr:uid="{6C0A3AD5-AA43-4E8F-AD77-C0019D0A2C78}"/>
    <cellStyle name="Comma 6 4 3 2 2 3 2" xfId="28806" xr:uid="{F2C78387-E4A4-41C7-80DE-D7182430BC82}"/>
    <cellStyle name="Comma 6 4 3 2 2 3 3" xfId="28127" xr:uid="{3D9342C1-D49F-4D43-8AC1-93AE5F56062A}"/>
    <cellStyle name="Comma 6 4 3 2 2 3 4" xfId="18505" xr:uid="{2304C356-D9FF-4CB7-8D43-1928F2D47AFB}"/>
    <cellStyle name="Comma 6 4 3 2 2 4" xfId="10958" xr:uid="{A9FEC1FC-DA92-4D7E-A9BA-4BE6D80C1BBE}"/>
    <cellStyle name="Comma 6 4 3 2 2 4 2" xfId="21338" xr:uid="{A0857218-8F4D-4CD3-B2A0-11E1240D74D4}"/>
    <cellStyle name="Comma 6 4 3 2 2 5" xfId="22939" xr:uid="{F447AA7E-14C2-47CB-8EA8-D414A90848E1}"/>
    <cellStyle name="Comma 6 4 3 2 2 6" xfId="13552" xr:uid="{131ED52A-BDC5-46E9-BF9F-9B7B0B88F1B6}"/>
    <cellStyle name="Comma 6 4 3 2 3" xfId="2674" xr:uid="{00000000-0005-0000-0000-0000EE010000}"/>
    <cellStyle name="Comma 6 4 3 2 3 2" xfId="7798" xr:uid="{0F2D7387-1C2C-43EA-8D1B-DCD8B47814A5}"/>
    <cellStyle name="Comma 6 4 3 2 3 2 2" xfId="27270" xr:uid="{5B830BD1-7260-4C2A-8DB9-D8138AC7079C}"/>
    <cellStyle name="Comma 6 4 3 2 3 2 3" xfId="28438" xr:uid="{21009788-6F5C-4071-A2DC-85665187ADF3}"/>
    <cellStyle name="Comma 6 4 3 2 3 2 4" xfId="18178" xr:uid="{9C68AE63-D3BE-44EC-93A1-10DEC2A2FD8F}"/>
    <cellStyle name="Comma 6 4 3 2 3 3" xfId="10631" xr:uid="{E243FB16-8574-4B4D-9DCC-E703BA2E9B76}"/>
    <cellStyle name="Comma 6 4 3 2 3 3 2" xfId="21011" xr:uid="{73F9FFA3-B985-40BB-8F39-555D2D339E60}"/>
    <cellStyle name="Comma 6 4 3 2 3 4" xfId="25068" xr:uid="{8943FECE-0FE9-448B-8798-C7D4A06BFB9E}"/>
    <cellStyle name="Comma 6 4 3 2 3 5" xfId="15345" xr:uid="{FC4FEB2E-5924-4D22-91C3-E4EA0BEE808D}"/>
    <cellStyle name="Comma 6 4 3 2 4" xfId="3649" xr:uid="{00000000-0005-0000-0000-00007C020000}"/>
    <cellStyle name="Comma 6 4 3 2 5" xfId="4261" xr:uid="{A51EAC08-E66F-40E2-903C-7CC3150401A1}"/>
    <cellStyle name="Comma 6 4 3 2 5 2" xfId="9033" xr:uid="{9CB19842-F4C9-4617-BA4E-C32A4ABED1D6}"/>
    <cellStyle name="Comma 6 4 3 2 5 2 2" xfId="19413" xr:uid="{29A40CE9-1ADF-482C-8C07-4FAB69ECEEE9}"/>
    <cellStyle name="Comma 6 4 3 2 5 2 3" xfId="31037" xr:uid="{48EC53A8-509B-4602-9481-7646B7A295C3}"/>
    <cellStyle name="Comma 6 4 3 2 5 2 4" xfId="30726" xr:uid="{DAB1BA0C-8406-4AF8-9D58-1646B3244154}"/>
    <cellStyle name="Comma 6 4 3 2 5 3" xfId="11866" xr:uid="{23A53419-8BF1-421F-A70F-CACA88D74416}"/>
    <cellStyle name="Comma 6 4 3 2 5 3 2" xfId="22246" xr:uid="{EB58247D-0D07-4A99-B592-41F2A71DB9DA}"/>
    <cellStyle name="Comma 6 4 3 2 5 4" xfId="27782" xr:uid="{70C3B298-AD80-4B7B-B6B7-937B7807FEF0}"/>
    <cellStyle name="Comma 6 4 3 2 5 5" xfId="26942" xr:uid="{0A76B398-CCEB-44F2-A850-E5E77487E760}"/>
    <cellStyle name="Comma 6 4 3 2 5 6" xfId="16580" xr:uid="{2E50FF22-5A32-4A14-A5DC-A900B3753DB5}"/>
    <cellStyle name="Comma 6 4 3 2 6" xfId="5595" xr:uid="{5E2AC345-4328-4BFD-8DA3-5CCEC7838AEA}"/>
    <cellStyle name="Comma 6 4 3 2 6 2" xfId="29721" xr:uid="{B517F1E3-A38C-4F58-A6FD-5D445DFE68EB}"/>
    <cellStyle name="Comma 6 4 3 2 6 2 2" xfId="30967" xr:uid="{68C3F424-D42B-415D-A275-3C3491C69598}"/>
    <cellStyle name="Comma 6 4 3 2 7" xfId="22718" xr:uid="{2381AC7C-D874-457D-824B-CD7134186CFD}"/>
    <cellStyle name="Comma 6 4 3 2 8" xfId="13082" xr:uid="{CB1CC082-7815-46C3-8934-9E81858CC6E3}"/>
    <cellStyle name="Comma 6 4 3 3" xfId="1701" xr:uid="{00000000-0005-0000-0000-00007D020000}"/>
    <cellStyle name="Comma 6 4 3 3 2" xfId="3046" xr:uid="{00000000-0005-0000-0000-0000F0010000}"/>
    <cellStyle name="Comma 6 4 3 3 2 2" xfId="8126" xr:uid="{E1647CBD-57C7-49A5-8AD5-21902424509E}"/>
    <cellStyle name="Comma 6 4 3 3 2 2 2" xfId="28807" xr:uid="{7AF06F04-B747-4D85-A892-73CBA0EA89FC}"/>
    <cellStyle name="Comma 6 4 3 3 2 2 3" xfId="26419" xr:uid="{A4AFFC74-E361-4181-9D14-1A2AA74BA744}"/>
    <cellStyle name="Comma 6 4 3 3 2 2 4" xfId="18506" xr:uid="{80803E80-3592-497A-882C-532D47CAD3F1}"/>
    <cellStyle name="Comma 6 4 3 3 2 3" xfId="10959" xr:uid="{A5CEA30C-A014-4CC8-B570-6C5E75F60085}"/>
    <cellStyle name="Comma 6 4 3 3 2 3 2" xfId="21339" xr:uid="{B2944D65-2E02-4493-94E6-C3ED577A2F5A}"/>
    <cellStyle name="Comma 6 4 3 3 2 4" xfId="24514" xr:uid="{99256903-5A76-4761-8307-3040FBD844E4}"/>
    <cellStyle name="Comma 6 4 3 3 2 5" xfId="15673" xr:uid="{797CFECA-5B3A-425C-8321-CA57176B4E48}"/>
    <cellStyle name="Comma 6 4 3 3 3" xfId="3612" xr:uid="{00000000-0005-0000-0000-00007D020000}"/>
    <cellStyle name="Comma 6 4 3 3 4" xfId="4405" xr:uid="{8749C45E-E41A-4304-B61B-78506631CC99}"/>
    <cellStyle name="Comma 6 4 3 3 4 2" xfId="9177" xr:uid="{58432CAA-B985-4BC9-9656-18D51ACB7F3C}"/>
    <cellStyle name="Comma 6 4 3 3 4 2 2" xfId="19557" xr:uid="{130B0B8D-4585-458D-947D-4883D9BB8669}"/>
    <cellStyle name="Comma 6 4 3 3 4 2 3" xfId="31071" xr:uid="{64CBF01D-BCC0-4E97-A30C-4817D685CDEB}"/>
    <cellStyle name="Comma 6 4 3 3 4 2 4" xfId="30727" xr:uid="{32E7DD8E-8E93-48A0-B22A-199885881375}"/>
    <cellStyle name="Comma 6 4 3 3 4 3" xfId="12010" xr:uid="{88B8CD83-86AD-4EDE-8804-B00361DDCBA9}"/>
    <cellStyle name="Comma 6 4 3 3 4 3 2" xfId="22390" xr:uid="{77E9CE91-FD59-4A3C-8041-0796A6B5D588}"/>
    <cellStyle name="Comma 6 4 3 3 4 4" xfId="16724" xr:uid="{4DCC8238-8690-47E5-AC62-1D9F5187A8AC}"/>
    <cellStyle name="Comma 6 4 3 3 5" xfId="5596" xr:uid="{8CF9A14E-6DB8-411F-9023-F13F2916B13F}"/>
    <cellStyle name="Comma 6 4 3 3 5 2" xfId="29706" xr:uid="{8C47B7A5-55DE-41F0-ABE8-96B67015A584}"/>
    <cellStyle name="Comma 6 4 3 3 6" xfId="24026" xr:uid="{8B39DA3A-C438-4ADA-826C-4F6E92D2FD76}"/>
    <cellStyle name="Comma 6 4 3 3 7" xfId="13553" xr:uid="{B90FC4BC-D5EE-4BFC-97CD-4E73557F868E}"/>
    <cellStyle name="Comma 6 4 3 4" xfId="1699" xr:uid="{00000000-0005-0000-0000-00007E020000}"/>
    <cellStyle name="Comma 6 4 3 4 2" xfId="3044" xr:uid="{00000000-0005-0000-0000-0000F1010000}"/>
    <cellStyle name="Comma 6 4 3 4 2 2" xfId="8124" xr:uid="{3608156F-8EFF-4B12-B2DE-E52AD2437F57}"/>
    <cellStyle name="Comma 6 4 3 4 2 2 2" xfId="28805" xr:uid="{B98C073F-6138-401A-83A0-F369A3A9D6F6}"/>
    <cellStyle name="Comma 6 4 3 4 2 2 3" xfId="27090" xr:uid="{46AB2BEE-3AC9-4711-AFA2-9CF90C02A985}"/>
    <cellStyle name="Comma 6 4 3 4 2 2 4" xfId="18504" xr:uid="{B643F2D4-3235-49CA-A168-457CC3C641F7}"/>
    <cellStyle name="Comma 6 4 3 4 2 3" xfId="10957" xr:uid="{04D550A1-46DD-4932-B220-53E593ED5562}"/>
    <cellStyle name="Comma 6 4 3 4 2 3 2" xfId="21337" xr:uid="{482C49D2-0469-4D42-A938-CE70AC63C0E6}"/>
    <cellStyle name="Comma 6 4 3 4 2 4" xfId="25643" xr:uid="{400FD5B9-741B-4FA3-9B44-D231F7466CE7}"/>
    <cellStyle name="Comma 6 4 3 4 2 5" xfId="15671" xr:uid="{5FD351B0-0009-4143-9224-F9D3B6D1470E}"/>
    <cellStyle name="Comma 6 4 3 4 3" xfId="3697" xr:uid="{00000000-0005-0000-0000-00007E020000}"/>
    <cellStyle name="Comma 6 4 3 4 4" xfId="5594" xr:uid="{597046DC-F5C8-4A2C-9A13-CCBC4373604F}"/>
    <cellStyle name="Comma 6 4 3 4 4 2" xfId="29950" xr:uid="{A9380C1B-14A6-4B53-9630-BB03006EEA3E}"/>
    <cellStyle name="Comma 6 4 3 4 5" xfId="25478" xr:uid="{AEBF6BF0-781B-4251-9C43-BF55D4DC9F58}"/>
    <cellStyle name="Comma 6 4 3 4 6" xfId="13551" xr:uid="{B4199247-567C-4F13-B7D1-F52C7E04729D}"/>
    <cellStyle name="Comma 6 4 3 5" xfId="2631" xr:uid="{00000000-0005-0000-0000-0000F2010000}"/>
    <cellStyle name="Comma 6 4 3 5 2" xfId="5893" xr:uid="{4BECADB6-235B-4CAC-85C0-80D0E27B1737}"/>
    <cellStyle name="Comma 6 4 3 5 2 2" xfId="28302" xr:uid="{1BA41FC7-0065-4D43-BA00-BDEAFE6AEDAD}"/>
    <cellStyle name="Comma 6 4 3 5 2 3" xfId="27214" xr:uid="{BF202D75-2FFE-4931-8BE5-4A175775E00B}"/>
    <cellStyle name="Comma 6 4 3 5 2 4" xfId="15303" xr:uid="{5B87071E-8FCF-43D2-9B8C-50EBB975AD9F}"/>
    <cellStyle name="Comma 6 4 3 5 3" xfId="7756" xr:uid="{5E3F39A1-AB86-48FC-AE39-E9EBF19A365A}"/>
    <cellStyle name="Comma 6 4 3 5 3 2" xfId="18136" xr:uid="{D3B9B875-3C36-4038-A144-7BABB514FC75}"/>
    <cellStyle name="Comma 6 4 3 5 4" xfId="10589" xr:uid="{8F0C5218-4D09-4D7A-964D-0AFC40F6DFEB}"/>
    <cellStyle name="Comma 6 4 3 5 4 2" xfId="20969" xr:uid="{F969427A-56A9-4C66-B48B-5630DFB9516B}"/>
    <cellStyle name="Comma 6 4 3 5 5" xfId="24237" xr:uid="{C18D7421-1938-4614-97DD-D9CCFEB24FF0}"/>
    <cellStyle name="Comma 6 4 3 5 6" xfId="13019" xr:uid="{73E37B0D-96A4-40DD-A58F-BE503DB3A20D}"/>
    <cellStyle name="Comma 6 4 3 6" xfId="4126" xr:uid="{BC11153B-3590-4A4C-9A42-D5B85167EDEC}"/>
    <cellStyle name="Comma 6 4 3 6 2" xfId="8898" xr:uid="{5987FDF2-CD76-4027-8C40-BADE8EB16492}"/>
    <cellStyle name="Comma 6 4 3 6 2 2" xfId="19278" xr:uid="{C77FE529-4055-4AE2-90DD-A660AD868028}"/>
    <cellStyle name="Comma 6 4 3 6 2 3" xfId="31010" xr:uid="{2C79F960-4C49-4A44-BE3E-BA4DD4C9FBB0}"/>
    <cellStyle name="Comma 6 4 3 6 2 4" xfId="30725" xr:uid="{888020BF-966F-45AF-AD87-05FC86173A31}"/>
    <cellStyle name="Comma 6 4 3 6 3" xfId="11731" xr:uid="{C5637927-D691-4E7B-8071-78C18F69F33B}"/>
    <cellStyle name="Comma 6 4 3 6 3 2" xfId="22111" xr:uid="{FF695EF4-4938-421C-B4C1-B1580C099238}"/>
    <cellStyle name="Comma 6 4 3 6 4" xfId="24161" xr:uid="{DA708D23-DBBB-4E21-A69E-2C68CD775D36}"/>
    <cellStyle name="Comma 6 4 3 6 5" xfId="26773" xr:uid="{427B066A-B632-4273-AD4F-6D47319C3D9E}"/>
    <cellStyle name="Comma 6 4 3 6 6" xfId="16445" xr:uid="{74E4A04D-2625-40F8-913E-E71CD7A37B6E}"/>
    <cellStyle name="Comma 6 4 3 7" xfId="4889" xr:uid="{FF7A6E91-B71F-402F-84BE-27BA9A689206}"/>
    <cellStyle name="Comma 6 4 3 7 2" xfId="26955" xr:uid="{E692CFC7-761B-4524-AEF1-ADA4AE5C43EA}"/>
    <cellStyle name="Comma 6 4 3 7 3" xfId="28461" xr:uid="{EF2DDD8E-D26A-4D5D-AC55-67A7CC964379}"/>
    <cellStyle name="Comma 6 4 3 7 4" xfId="14181" xr:uid="{958C6408-2027-4BE6-B6CD-ED8CF2230424}"/>
    <cellStyle name="Comma 6 4 3 8" xfId="6634" xr:uid="{A8484347-CEB4-4D7F-B443-41F73EC9CF28}"/>
    <cellStyle name="Comma 6 4 3 8 2" xfId="17014" xr:uid="{86F2C499-DC60-442F-906F-348F5F5B6154}"/>
    <cellStyle name="Comma 6 4 3 9" xfId="9467" xr:uid="{44DF4BDE-7007-468D-A11A-5B176D57FA95}"/>
    <cellStyle name="Comma 6 4 3 9 2" xfId="19847" xr:uid="{6A3C9AA7-7596-4832-B681-46D68794F167}"/>
    <cellStyle name="Comma 6 4 4" xfId="499" xr:uid="{00000000-0005-0000-0000-00007F020000}"/>
    <cellStyle name="Comma 6 4 4 10" xfId="13080" xr:uid="{161F3D9E-FDAC-4369-8A82-BAFFD660836D}"/>
    <cellStyle name="Comma 6 4 4 2" xfId="1703" xr:uid="{00000000-0005-0000-0000-000080020000}"/>
    <cellStyle name="Comma 6 4 4 2 2" xfId="3047" xr:uid="{00000000-0005-0000-0000-0000F4010000}"/>
    <cellStyle name="Comma 6 4 4 2 2 2" xfId="8127" xr:uid="{144748D8-8110-4C5D-823F-47C3385D852A}"/>
    <cellStyle name="Comma 6 4 4 2 2 2 2" xfId="28808" xr:uid="{6AD90FE4-3CB8-4933-9B68-7C7298C52AE0}"/>
    <cellStyle name="Comma 6 4 4 2 2 2 3" xfId="28243" xr:uid="{238413C4-BC84-456A-A16A-38101E29D3E0}"/>
    <cellStyle name="Comma 6 4 4 2 2 2 4" xfId="18507" xr:uid="{F8F41174-04D6-4C1F-957B-0A4EDEB6160D}"/>
    <cellStyle name="Comma 6 4 4 2 2 3" xfId="10960" xr:uid="{05BA871B-49D9-49A9-BB48-6443A0BBCD06}"/>
    <cellStyle name="Comma 6 4 4 2 2 3 2" xfId="21340" xr:uid="{34C15700-FD27-4498-8393-09C164FCD201}"/>
    <cellStyle name="Comma 6 4 4 2 2 4" xfId="24761" xr:uid="{F1599F21-A582-4D54-8F2B-1F18A24D247D}"/>
    <cellStyle name="Comma 6 4 4 2 2 5" xfId="15674" xr:uid="{A3EA306A-3791-432B-8C4B-EF911D8EF55F}"/>
    <cellStyle name="Comma 6 4 4 2 3" xfId="3640" xr:uid="{00000000-0005-0000-0000-000080020000}"/>
    <cellStyle name="Comma 6 4 4 2 4" xfId="5597" xr:uid="{D7CC43DA-455D-407E-BF01-57D0564EA6B6}"/>
    <cellStyle name="Comma 6 4 4 2 4 2" xfId="29951" xr:uid="{FDB36AFE-899A-4744-9DD8-6E4865CE36DC}"/>
    <cellStyle name="Comma 6 4 4 2 5" xfId="23459" xr:uid="{25976DFB-D12E-44FC-BA6D-3E379ED1878F}"/>
    <cellStyle name="Comma 6 4 4 2 6" xfId="13554" xr:uid="{3DB1E49B-06F4-4933-AD00-0C600988B65B}"/>
    <cellStyle name="Comma 6 4 4 3" xfId="1704" xr:uid="{00000000-0005-0000-0000-000081020000}"/>
    <cellStyle name="Comma 6 4 4 3 2" xfId="4624" xr:uid="{9494D2FE-9603-4520-BB34-B0A7762C3101}"/>
    <cellStyle name="Comma 6 4 4 3 2 2" xfId="9396" xr:uid="{82C1F46B-3AB1-4180-B72C-C27061F6C38D}"/>
    <cellStyle name="Comma 6 4 4 3 2 2 2" xfId="19776" xr:uid="{D912D5B9-435E-47F8-B665-98B3269A7A93}"/>
    <cellStyle name="Comma 6 4 4 3 2 3" xfId="12229" xr:uid="{19AF2720-C897-4870-88B1-1084B759AD28}"/>
    <cellStyle name="Comma 6 4 4 3 2 3 2" xfId="22609" xr:uid="{BA23040E-9D36-43EE-A03D-912871B8A62D}"/>
    <cellStyle name="Comma 6 4 4 3 2 4" xfId="26199" xr:uid="{472BDDCC-6E87-4271-800D-0A670E255469}"/>
    <cellStyle name="Comma 6 4 4 3 2 5" xfId="27936" xr:uid="{C21A1C05-1A22-43CB-B467-F45DFFC42A54}"/>
    <cellStyle name="Comma 6 4 4 3 2 6" xfId="16943" xr:uid="{0B261E0F-2906-43CC-8B78-EF21FAC3E3A4}"/>
    <cellStyle name="Comma 6 4 4 3 3" xfId="25011" xr:uid="{D13AD506-B971-43E8-9263-B2003BB20B7B}"/>
    <cellStyle name="Comma 6 4 4 3 3 2" xfId="29902" xr:uid="{DE18F8CC-9AE1-4F5E-9463-70483CF3EC52}"/>
    <cellStyle name="Comma 6 4 4 3 4" xfId="30016" xr:uid="{54B5A641-CBAA-4C36-9169-160B5E571C1F}"/>
    <cellStyle name="Comma 6 4 4 4" xfId="1702" xr:uid="{00000000-0005-0000-0000-000082020000}"/>
    <cellStyle name="Comma 6 4 4 5" xfId="4259" xr:uid="{F88A1956-BAD7-4D08-9EEC-B2583E75D0DD}"/>
    <cellStyle name="Comma 6 4 4 5 2" xfId="9031" xr:uid="{921BDAC3-0294-4D86-8C5F-754A50525046}"/>
    <cellStyle name="Comma 6 4 4 5 2 2" xfId="19411" xr:uid="{7F2C0D14-E739-477C-A33B-5DDBE2A55F78}"/>
    <cellStyle name="Comma 6 4 4 5 2 3" xfId="31035" xr:uid="{7E47475A-DD01-4834-94C2-1630B8804BB1}"/>
    <cellStyle name="Comma 6 4 4 5 2 4" xfId="30728" xr:uid="{162F962F-579D-4E61-99F1-D903E08A5944}"/>
    <cellStyle name="Comma 6 4 4 5 3" xfId="11864" xr:uid="{CB563B1E-333D-437D-80F1-F1E92395B99F}"/>
    <cellStyle name="Comma 6 4 4 5 3 2" xfId="22244" xr:uid="{DAB37DDA-1810-4257-AF18-71A6F4AEF98C}"/>
    <cellStyle name="Comma 6 4 4 5 4" xfId="25902" xr:uid="{6E4D4D61-4FA4-40F8-B260-4F74A35085BF}"/>
    <cellStyle name="Comma 6 4 4 5 5" xfId="26028" xr:uid="{0AE5C490-7D0B-48C0-B974-61B1DA7B0177}"/>
    <cellStyle name="Comma 6 4 4 5 6" xfId="16578" xr:uid="{C055D660-BCFC-4A7A-8BC6-76732CE75695}"/>
    <cellStyle name="Comma 6 4 4 6" xfId="4890" xr:uid="{C522401C-4DD6-4E1D-99C9-6E3D20EE2307}"/>
    <cellStyle name="Comma 6 4 4 6 2" xfId="14182" xr:uid="{5A0FF2A1-DA42-4A5E-AA72-2558B44A6109}"/>
    <cellStyle name="Comma 6 4 4 7" xfId="6635" xr:uid="{73F23711-DC0F-4F58-BF0D-2FB69ED65B37}"/>
    <cellStyle name="Comma 6 4 4 7 2" xfId="17015" xr:uid="{4087778A-5F0C-451B-A20D-77C3676FFA5F}"/>
    <cellStyle name="Comma 6 4 4 8" xfId="9468" xr:uid="{3B9B1F41-8EAC-4A06-9F83-A42D7AB79BB2}"/>
    <cellStyle name="Comma 6 4 4 8 2" xfId="19848" xr:uid="{689CAA96-C143-47E1-B5AD-C8E73BCD6AA1}"/>
    <cellStyle name="Comma 6 4 4 9" xfId="23863" xr:uid="{7228455F-2DD3-482A-BC3F-C95BE560FE7B}"/>
    <cellStyle name="Comma 6 4 5" xfId="1705" xr:uid="{00000000-0005-0000-0000-000083020000}"/>
    <cellStyle name="Comma 6 4 5 2" xfId="3048" xr:uid="{00000000-0005-0000-0000-0000F5010000}"/>
    <cellStyle name="Comma 6 4 5 2 2" xfId="8128" xr:uid="{54D4C34B-2D2B-447A-B5B4-5775E8620FFC}"/>
    <cellStyle name="Comma 6 4 5 2 2 2" xfId="28809" xr:uid="{B647D0DC-ECE0-42C5-BCA0-0BB0781E8855}"/>
    <cellStyle name="Comma 6 4 5 2 2 2 2" xfId="31222" xr:uid="{691BCCD8-3FCB-46F4-AA19-66BD8B2792E8}"/>
    <cellStyle name="Comma 6 4 5 2 2 2 3" xfId="30730" xr:uid="{787E4866-BDC8-4893-9282-491F88D13FE5}"/>
    <cellStyle name="Comma 6 4 5 2 2 3" xfId="28587" xr:uid="{46477F41-C513-4AA2-B52E-DD5043778A61}"/>
    <cellStyle name="Comma 6 4 5 2 2 4" xfId="18508" xr:uid="{AE896CAB-4E2D-4BC4-A2FB-544C8CDB6C94}"/>
    <cellStyle name="Comma 6 4 5 2 3" xfId="10961" xr:uid="{50637E51-5562-46AD-B882-65EC355770F2}"/>
    <cellStyle name="Comma 6 4 5 2 3 2" xfId="21341" xr:uid="{850D5D37-6DE8-4841-9460-F73B80017985}"/>
    <cellStyle name="Comma 6 4 5 2 4" xfId="23526" xr:uid="{5BC62036-1F54-49D8-99C8-F8F4DB207CE7}"/>
    <cellStyle name="Comma 6 4 5 2 5" xfId="15675" xr:uid="{21144154-8EC4-4BBF-9F05-1059A220AD7A}"/>
    <cellStyle name="Comma 6 4 5 3" xfId="3590" xr:uid="{00000000-0005-0000-0000-000083020000}"/>
    <cellStyle name="Comma 6 4 5 4" xfId="4406" xr:uid="{7541ECBE-E625-46C2-913D-030F44B4E812}"/>
    <cellStyle name="Comma 6 4 5 4 2" xfId="9178" xr:uid="{10C0E120-5A4F-40E2-A73A-0F419D8AFE7D}"/>
    <cellStyle name="Comma 6 4 5 4 2 2" xfId="19558" xr:uid="{42C0B2DC-4602-4CB8-B7DD-A48E64A1A11E}"/>
    <cellStyle name="Comma 6 4 5 4 2 3" xfId="31072" xr:uid="{22979A5B-49A1-42E6-BA89-CCDBEAE37202}"/>
    <cellStyle name="Comma 6 4 5 4 2 4" xfId="30729" xr:uid="{E5F89DE4-F2D2-4C08-B671-36C13540F10E}"/>
    <cellStyle name="Comma 6 4 5 4 3" xfId="12011" xr:uid="{BC30DDE6-6812-430F-A96A-70862DC750C2}"/>
    <cellStyle name="Comma 6 4 5 4 3 2" xfId="22391" xr:uid="{94CCDCB7-721D-4547-9880-5CA7F7110942}"/>
    <cellStyle name="Comma 6 4 5 4 4" xfId="16725" xr:uid="{1A4CDAA2-885C-4A5C-95B3-C6CE07D1A4F9}"/>
    <cellStyle name="Comma 6 4 5 5" xfId="5598" xr:uid="{8F23EDCF-D0A9-4732-B643-145982D71AB9}"/>
    <cellStyle name="Comma 6 4 5 5 2" xfId="29685" xr:uid="{EF3BD0A6-DB09-431F-92E2-3C8D869A5B95}"/>
    <cellStyle name="Comma 6 4 5 5 2 2" xfId="30968" xr:uid="{308557D5-49FB-45ED-B51A-8AA44B8D7B71}"/>
    <cellStyle name="Comma 6 4 5 6" xfId="24375" xr:uid="{91D1EDE4-7110-405F-8750-08A556862BDF}"/>
    <cellStyle name="Comma 6 4 5 7" xfId="13555" xr:uid="{A7F02A6C-6510-4740-9354-BBF236F91E84}"/>
    <cellStyle name="Comma 6 4 6" xfId="1706" xr:uid="{00000000-0005-0000-0000-000084020000}"/>
    <cellStyle name="Comma 6 4 6 2" xfId="2873" xr:uid="{00000000-0005-0000-0000-0000F6010000}"/>
    <cellStyle name="Comma 6 4 6 2 2" xfId="7990" xr:uid="{DFBB432E-3A5A-496E-818E-C55060EC3CBB}"/>
    <cellStyle name="Comma 6 4 6 2 2 2" xfId="26252" xr:uid="{A6D4DEA5-5A3D-446F-9100-76438298D113}"/>
    <cellStyle name="Comma 6 4 6 2 2 2 2" xfId="31171" xr:uid="{9743733B-E35B-44C2-895E-4E9F3FD9AD20}"/>
    <cellStyle name="Comma 6 4 6 2 2 2 3" xfId="30731" xr:uid="{36F4C335-21C6-4B80-A783-6DEE9EA2C7B3}"/>
    <cellStyle name="Comma 6 4 6 2 2 3" xfId="26689" xr:uid="{F4F25F70-E51E-45AB-A23C-17588D0AB7CF}"/>
    <cellStyle name="Comma 6 4 6 2 2 4" xfId="18370" xr:uid="{751CBBBD-02F1-4EC8-A428-B1D92AA0FD74}"/>
    <cellStyle name="Comma 6 4 6 2 3" xfId="10823" xr:uid="{4B0563F5-F4ED-4FF4-B040-CF8FC99765CE}"/>
    <cellStyle name="Comma 6 4 6 2 3 2" xfId="21203" xr:uid="{6A137480-FFB3-476C-8BA5-C9E9950A55B4}"/>
    <cellStyle name="Comma 6 4 6 2 4" xfId="22969" xr:uid="{92746F34-F1DA-4DC9-AA9E-79EFD699D503}"/>
    <cellStyle name="Comma 6 4 6 2 5" xfId="15537" xr:uid="{F1E2F4F3-F31F-4441-8AD3-41AFDF0573C0}"/>
    <cellStyle name="Comma 6 4 6 3" xfId="3685" xr:uid="{00000000-0005-0000-0000-000084020000}"/>
    <cellStyle name="Comma 6 4 6 4" xfId="5599" xr:uid="{A8028302-ED8A-40B8-8A70-7BEFE282F4FC}"/>
    <cellStyle name="Comma 6 4 6 4 2" xfId="29923" xr:uid="{CDA048C9-974C-400A-AA42-F64BD97DF22B}"/>
    <cellStyle name="Comma 6 4 6 5" xfId="23417" xr:uid="{C2BB730C-BD1C-467F-A026-B3DC5A68504F}"/>
    <cellStyle name="Comma 6 4 6 6" xfId="13368" xr:uid="{1AC7631A-FD2B-4EB4-9784-B8AF1011B9CD}"/>
    <cellStyle name="Comma 6 4 7" xfId="1692" xr:uid="{00000000-0005-0000-0000-000085020000}"/>
    <cellStyle name="Comma 6 4 7 2" xfId="2468" xr:uid="{00000000-0005-0000-0000-0000F7010000}"/>
    <cellStyle name="Comma 6 4 7 2 2" xfId="7593" xr:uid="{A65CD5EB-1051-4973-BA95-26C5C049E7B7}"/>
    <cellStyle name="Comma 6 4 7 2 2 2" xfId="17973" xr:uid="{F1AB390C-53D0-4162-83C7-8EA513F983E3}"/>
    <cellStyle name="Comma 6 4 7 2 3" xfId="10426" xr:uid="{11D00CB4-211A-455B-B691-7CC4AD02121C}"/>
    <cellStyle name="Comma 6 4 7 2 3 2" xfId="20806" xr:uid="{7E0350DF-70CE-4B56-A34F-A26805D35A02}"/>
    <cellStyle name="Comma 6 4 7 2 4" xfId="27401" xr:uid="{46B2D801-E2B4-415C-A933-BDBDE9533E7C}"/>
    <cellStyle name="Comma 6 4 7 2 5" xfId="26155" xr:uid="{7CFDDA6D-9A08-4A78-B530-EB2BD8ECFC7B}"/>
    <cellStyle name="Comma 6 4 7 2 6" xfId="15140" xr:uid="{74FD98A7-4C92-4590-AADB-1C3B55717B94}"/>
    <cellStyle name="Comma 6 4 7 3" xfId="3635" xr:uid="{00000000-0005-0000-0000-000085020000}"/>
    <cellStyle name="Comma 6 4 7 4" xfId="5589" xr:uid="{5F3C36C8-D1B5-4C42-9705-CB72C5A4950A}"/>
    <cellStyle name="Comma 6 4 7 4 2" xfId="29863" xr:uid="{C263C62B-DABD-420C-A97D-0F3CE47933DF}"/>
    <cellStyle name="Comma 6 4 7 5" xfId="22831" xr:uid="{80ED073A-316E-4622-8079-102557309958}"/>
    <cellStyle name="Comma 6 4 7 6" xfId="12856" xr:uid="{F1798703-5663-4830-80B6-46478CA449D9}"/>
    <cellStyle name="Comma 6 4 8" xfId="2222" xr:uid="{00000000-0005-0000-0000-0000E6010000}"/>
    <cellStyle name="Comma 6 4 8 2" xfId="7349" xr:uid="{C41CE54C-FD8B-4A42-9930-9155DD2D3E09}"/>
    <cellStyle name="Comma 6 4 8 2 2" xfId="17729" xr:uid="{65DA0D79-1C0A-41F2-9143-825CBCBDD161}"/>
    <cellStyle name="Comma 6 4 8 2 2 2" xfId="31123" xr:uid="{24EFB6D6-DF65-42CC-96F4-F84914B8D4E7}"/>
    <cellStyle name="Comma 6 4 8 2 2 3" xfId="30732" xr:uid="{29EF420D-7071-41EC-A1CD-1C25DE9D0314}"/>
    <cellStyle name="Comma 6 4 8 3" xfId="10182" xr:uid="{908AC10B-86A3-411D-A405-A408A77ECBD5}"/>
    <cellStyle name="Comma 6 4 8 3 2" xfId="20562" xr:uid="{DC3F41D7-DCD9-4D73-9B1B-D3871BC7F286}"/>
    <cellStyle name="Comma 6 4 8 4" xfId="25407" xr:uid="{4359DC52-0CBD-4BDF-8FB2-AFDE5782EC45}"/>
    <cellStyle name="Comma 6 4 8 5" xfId="27614" xr:uid="{7F10D4B5-D9AF-4A09-8572-6652D106B2F7}"/>
    <cellStyle name="Comma 6 4 8 6" xfId="14896" xr:uid="{EB5A04D0-C700-4751-AC83-4883233AC4E1}"/>
    <cellStyle name="Comma 6 4 9" xfId="3867" xr:uid="{44D94F21-4B52-4460-9384-B6B9C6F74F70}"/>
    <cellStyle name="Comma 6 4 9 2" xfId="8699" xr:uid="{8384AADA-23E2-4A6B-A8D3-8EFF809C4492}"/>
    <cellStyle name="Comma 6 4 9 2 2" xfId="19079" xr:uid="{0325ACFA-2711-4CCD-A95E-46F0118EE30F}"/>
    <cellStyle name="Comma 6 4 9 3" xfId="11532" xr:uid="{8ABDBCA1-3D1C-410C-B9B7-FDC8023C9FBC}"/>
    <cellStyle name="Comma 6 4 9 3 2" xfId="21912" xr:uid="{BE857919-D2AA-423B-A68D-C9D2B6CDC4A4}"/>
    <cellStyle name="Comma 6 4 9 4" xfId="27712" xr:uid="{BCF7AB0B-7FF1-4ED6-A2B9-6C5D4BE30012}"/>
    <cellStyle name="Comma 6 4 9 5" xfId="27599" xr:uid="{3E954F38-21E4-424A-870B-3DF4002BE41B}"/>
    <cellStyle name="Comma 6 4 9 6" xfId="16246" xr:uid="{14FEADCD-C5DC-4910-9D9E-9078A2DC52FD}"/>
    <cellStyle name="Comma 6 5" xfId="1707" xr:uid="{00000000-0005-0000-0000-000086020000}"/>
    <cellStyle name="Comma 6 5 10" xfId="25751" xr:uid="{F3893E22-8AFA-4C20-88BE-99F6D0B7836B}"/>
    <cellStyle name="Comma 6 5 10 2" xfId="30005" xr:uid="{9BBA55C4-F717-4123-9745-FD974FD5C92B}"/>
    <cellStyle name="Comma 6 5 11" xfId="12959" xr:uid="{6081739D-F564-4AF8-9D03-600F4BF43A0D}"/>
    <cellStyle name="Comma 6 5 2" xfId="2675" xr:uid="{00000000-0005-0000-0000-0000F9010000}"/>
    <cellStyle name="Comma 6 5 2 2" xfId="3050" xr:uid="{00000000-0005-0000-0000-0000FA010000}"/>
    <cellStyle name="Comma 6 5 2 2 2" xfId="6164" xr:uid="{9072506B-66F6-434E-AF9A-C449954DC0D8}"/>
    <cellStyle name="Comma 6 5 2 2 2 2" xfId="27443" xr:uid="{9BBE47B7-6F11-45B5-8B2A-B0A3C36FE1BB}"/>
    <cellStyle name="Comma 6 5 2 2 2 2 2" xfId="31192" xr:uid="{325C7F89-E089-4071-A4CA-9ADB67FB52F9}"/>
    <cellStyle name="Comma 6 5 2 2 2 2 3" xfId="30734" xr:uid="{16F0985C-0D59-4C77-AE81-D539AE6EC8DC}"/>
    <cellStyle name="Comma 6 5 2 2 2 3" xfId="25995" xr:uid="{29FCB692-FD3E-4D43-8557-D799C388341A}"/>
    <cellStyle name="Comma 6 5 2 2 2 4" xfId="15677" xr:uid="{5CE6BAD9-BA76-4CB5-8800-77D44C849C38}"/>
    <cellStyle name="Comma 6 5 2 2 3" xfId="8130" xr:uid="{CE5D24FA-4D71-4FBE-8ABD-CFAD66472B47}"/>
    <cellStyle name="Comma 6 5 2 2 3 2" xfId="18510" xr:uid="{6069F6D0-7212-44E3-8E25-81661A9D5019}"/>
    <cellStyle name="Comma 6 5 2 2 4" xfId="10963" xr:uid="{7BD62EEE-A729-458D-B4B3-F68E635BB264}"/>
    <cellStyle name="Comma 6 5 2 2 4 2" xfId="21343" xr:uid="{AD7DC9C6-DC5C-44A6-9249-87D4B0A7A7C0}"/>
    <cellStyle name="Comma 6 5 2 2 5" xfId="24527" xr:uid="{7F466391-28BE-411E-B2DE-BE091A55F44A}"/>
    <cellStyle name="Comma 6 5 2 2 6" xfId="13557" xr:uid="{E4BE6815-7EC8-4CD5-9BD7-CBFE59D1CF49}"/>
    <cellStyle name="Comma 6 5 2 3" xfId="4262" xr:uid="{AE78412A-E3FD-4707-9349-D83D4CB2A6DF}"/>
    <cellStyle name="Comma 6 5 2 3 2" xfId="9034" xr:uid="{E04F1C4D-6215-48C9-8273-7D130D5F91D6}"/>
    <cellStyle name="Comma 6 5 2 3 2 2" xfId="29094" xr:uid="{F12DCF9A-CA5B-435F-8783-D7D7A2F6C175}"/>
    <cellStyle name="Comma 6 5 2 3 2 3" xfId="27012" xr:uid="{A7EDC08D-0DD7-4282-A2F4-ACBD8F2E9EE3}"/>
    <cellStyle name="Comma 6 5 2 3 2 4" xfId="19414" xr:uid="{01D3B6AA-65B1-45C6-BE98-8521B2340194}"/>
    <cellStyle name="Comma 6 5 2 3 2 5" xfId="31038" xr:uid="{8012AB0B-EB59-44A7-8DB7-259914660E82}"/>
    <cellStyle name="Comma 6 5 2 3 3" xfId="11867" xr:uid="{35E77887-7461-46CE-8CAC-49FA064BC684}"/>
    <cellStyle name="Comma 6 5 2 3 3 2" xfId="22247" xr:uid="{E16DFC60-DE26-40A4-BB19-DE0AF5BA5E71}"/>
    <cellStyle name="Comma 6 5 2 3 4" xfId="24174" xr:uid="{76B4C1B6-06C5-4A52-9551-5BF59DA735A3}"/>
    <cellStyle name="Comma 6 5 2 3 5" xfId="16581" xr:uid="{F083096D-6C9E-4EF8-BF38-7EAA039A1FF8}"/>
    <cellStyle name="Comma 6 5 2 4" xfId="5921" xr:uid="{D13FD7F3-58AF-4C81-814A-2FEC26EB0EE5}"/>
    <cellStyle name="Comma 6 5 2 4 2" xfId="28656" xr:uid="{90F87C2A-E3B4-4A3B-B5AC-CD9FF1CB3B92}"/>
    <cellStyle name="Comma 6 5 2 4 3" xfId="28053" xr:uid="{2E48367A-9396-43ED-B8EA-3AE7BCCC7C93}"/>
    <cellStyle name="Comma 6 5 2 4 4" xfId="15346" xr:uid="{FE28975C-1120-46E2-AE2B-57AE0ADC5BFD}"/>
    <cellStyle name="Comma 6 5 2 5" xfId="7799" xr:uid="{AEE457D1-6834-4469-9B49-34D97CE5E035}"/>
    <cellStyle name="Comma 6 5 2 5 2" xfId="18179" xr:uid="{78EBEE38-911A-4ADF-A398-2EDF0C44561C}"/>
    <cellStyle name="Comma 6 5 2 6" xfId="10632" xr:uid="{10FDC70E-6C80-42F3-8A52-BE45CC791EDB}"/>
    <cellStyle name="Comma 6 5 2 6 2" xfId="21012" xr:uid="{AE587D83-A7CB-4C01-BCA8-9E11CC2BC835}"/>
    <cellStyle name="Comma 6 5 2 7" xfId="23215" xr:uid="{AB361D29-4081-44C9-A5E9-DB52714463F5}"/>
    <cellStyle name="Comma 6 5 2 8" xfId="13083" xr:uid="{746895FD-FB8C-4EED-9F02-793D42642EFB}"/>
    <cellStyle name="Comma 6 5 3" xfId="3051" xr:uid="{00000000-0005-0000-0000-0000FB010000}"/>
    <cellStyle name="Comma 6 5 3 2" xfId="4407" xr:uid="{C911EB5E-6E7B-4CB3-8496-F6CCE884BF2D}"/>
    <cellStyle name="Comma 6 5 3 2 2" xfId="9179" xr:uid="{C9E444F1-FB04-4EFD-840F-941B5236CEC5}"/>
    <cellStyle name="Comma 6 5 3 2 2 2" xfId="19559" xr:uid="{7354D5C3-C2D3-4006-B5A7-37EEEAA03F4B}"/>
    <cellStyle name="Comma 6 5 3 2 2 3" xfId="31073" xr:uid="{A2A4928A-1757-4797-9AD6-3490D0D71705}"/>
    <cellStyle name="Comma 6 5 3 2 2 4" xfId="30735" xr:uid="{CC9E0DDD-F5C7-4081-BD6A-4AF5E6D9D0A0}"/>
    <cellStyle name="Comma 6 5 3 2 3" xfId="12012" xr:uid="{2BC2BFB9-8556-4E02-8D51-85A9A4066A50}"/>
    <cellStyle name="Comma 6 5 3 2 3 2" xfId="22392" xr:uid="{279F3012-F801-4901-855F-7207F0B8C6F5}"/>
    <cellStyle name="Comma 6 5 3 2 4" xfId="25767" xr:uid="{44B57F59-8D63-44FC-9A5D-4FB2EEAC2070}"/>
    <cellStyle name="Comma 6 5 3 2 5" xfId="26075" xr:uid="{379C5DA0-533C-48B5-B231-ECA27F7A9875}"/>
    <cellStyle name="Comma 6 5 3 2 6" xfId="16726" xr:uid="{56567B78-0819-460B-AB1A-50345959535A}"/>
    <cellStyle name="Comma 6 5 3 3" xfId="6165" xr:uid="{313C14E6-5D0D-4FEF-B7FA-102243C1E0EB}"/>
    <cellStyle name="Comma 6 5 3 3 2" xfId="15678" xr:uid="{99C5C290-A368-4B29-81E7-DE1E02D860C8}"/>
    <cellStyle name="Comma 6 5 3 4" xfId="8131" xr:uid="{EE3672A2-39EC-4801-B591-0EDBF521DB37}"/>
    <cellStyle name="Comma 6 5 3 4 2" xfId="18511" xr:uid="{99C90F8C-3849-42F7-B80E-53394043E507}"/>
    <cellStyle name="Comma 6 5 3 5" xfId="10964" xr:uid="{01B62E8D-BD90-4224-8DED-8A4A6EDD743D}"/>
    <cellStyle name="Comma 6 5 3 5 2" xfId="21344" xr:uid="{A5256953-0374-4D3F-AA09-24C136419803}"/>
    <cellStyle name="Comma 6 5 3 6" xfId="23481" xr:uid="{F7DAA880-D79D-4371-8FCA-5C59A2E1A85A}"/>
    <cellStyle name="Comma 6 5 3 7" xfId="13558" xr:uid="{C16AD644-B941-48BB-91D8-BFBCB2FF5E3B}"/>
    <cellStyle name="Comma 6 5 4" xfId="3049" xr:uid="{00000000-0005-0000-0000-0000FC010000}"/>
    <cellStyle name="Comma 6 5 4 2" xfId="6163" xr:uid="{77B98769-66EB-4F7C-9866-045F948AA391}"/>
    <cellStyle name="Comma 6 5 4 2 2" xfId="26980" xr:uid="{BA006FDD-D230-4740-8F19-385BCA299A85}"/>
    <cellStyle name="Comma 6 5 4 2 3" xfId="26581" xr:uid="{DEDB1051-D14F-42D5-8B77-0FDCFAE8744B}"/>
    <cellStyle name="Comma 6 5 4 2 4" xfId="15676" xr:uid="{95B7EA55-B59A-4C76-8EC3-A54B020BD472}"/>
    <cellStyle name="Comma 6 5 4 3" xfId="8129" xr:uid="{D165B3FE-DDB5-4059-8470-0266FCA7C301}"/>
    <cellStyle name="Comma 6 5 4 3 2" xfId="18509" xr:uid="{F2BECBEB-1EEF-4D21-9D43-F4CF9E187924}"/>
    <cellStyle name="Comma 6 5 4 4" xfId="10962" xr:uid="{0F425BC4-9E16-4EAB-A206-BF50C665721F}"/>
    <cellStyle name="Comma 6 5 4 4 2" xfId="21342" xr:uid="{D8B73855-A798-4565-8F47-F72CFC11BB00}"/>
    <cellStyle name="Comma 6 5 4 5" xfId="23787" xr:uid="{6F86A38B-C99F-4196-9DE4-4DCD766C4FBC}"/>
    <cellStyle name="Comma 6 5 4 6" xfId="13556" xr:uid="{C83477AA-13D9-44E0-83BE-3A04DDE9D026}"/>
    <cellStyle name="Comma 6 5 5" xfId="2571" xr:uid="{00000000-0005-0000-0000-0000F8010000}"/>
    <cellStyle name="Comma 6 5 5 2" xfId="7696" xr:uid="{1990EA53-C1B6-4704-8500-B9E147267AE1}"/>
    <cellStyle name="Comma 6 5 5 2 2" xfId="27344" xr:uid="{5DEC078C-F871-489B-9B9E-0235A93EED85}"/>
    <cellStyle name="Comma 6 5 5 2 3" xfId="26527" xr:uid="{B4880A4E-D7E4-4376-B404-8A288699E25D}"/>
    <cellStyle name="Comma 6 5 5 2 4" xfId="18076" xr:uid="{1F35AC32-3B10-44D6-881C-326D1C4E9F1D}"/>
    <cellStyle name="Comma 6 5 5 3" xfId="10529" xr:uid="{06C3247A-D84D-4960-AECB-588082306406}"/>
    <cellStyle name="Comma 6 5 5 3 2" xfId="20909" xr:uid="{6E2FF123-9FA0-48D1-80D2-5B25702AE77A}"/>
    <cellStyle name="Comma 6 5 5 4" xfId="24741" xr:uid="{5A4C6D9F-8500-4DEE-A02C-2B5DCABC18F9}"/>
    <cellStyle name="Comma 6 5 5 5" xfId="15243" xr:uid="{96001FF9-8FC9-49FC-8D37-C92BC6856A3D}"/>
    <cellStyle name="Comma 6 5 6" xfId="2053" xr:uid="{00000000-0005-0000-0000-000086020000}"/>
    <cellStyle name="Comma 6 5 6 2" xfId="28163" xr:uid="{885D212C-05ED-4BF0-B750-04B03BB0CBF8}"/>
    <cellStyle name="Comma 6 5 6 3" xfId="27110" xr:uid="{2FED39B2-98E6-41CC-AE80-60096B335C8F}"/>
    <cellStyle name="Comma 6 5 7" xfId="4236" xr:uid="{A60E7526-B9F5-49C6-B835-8CDFABECB725}"/>
    <cellStyle name="Comma 6 5 7 2" xfId="9008" xr:uid="{EDF2850F-F3AD-40BD-B91F-77CA8AA4A45F}"/>
    <cellStyle name="Comma 6 5 7 2 2" xfId="19388" xr:uid="{F6329403-3A8F-4848-9D9E-61FE7E399297}"/>
    <cellStyle name="Comma 6 5 7 2 3" xfId="31025" xr:uid="{14ACCE49-649F-4D5B-8F9D-24E42BD4A4E9}"/>
    <cellStyle name="Comma 6 5 7 2 4" xfId="30733" xr:uid="{57466AA1-E89A-486E-89A6-F5D9E03FEBE5}"/>
    <cellStyle name="Comma 6 5 7 3" xfId="11841" xr:uid="{0AF66E20-5078-45F0-926D-0FDF0E6EA049}"/>
    <cellStyle name="Comma 6 5 7 3 2" xfId="22221" xr:uid="{92DBCC9E-D1B5-49F0-8959-39A6EC73FB92}"/>
    <cellStyle name="Comma 6 5 7 4" xfId="16555" xr:uid="{048A871F-099F-4F46-A3BE-98DD42C94166}"/>
    <cellStyle name="Comma 6 5 8" xfId="5600" xr:uid="{F6A32834-0766-4403-BA6E-361E90744A35}"/>
    <cellStyle name="Comma 6 5 8 2" xfId="29825" xr:uid="{FA06CDE3-AD95-4F28-BB21-F621D65E4E87}"/>
    <cellStyle name="Comma 6 5 8 2 2" xfId="30969" xr:uid="{50FCA492-10FD-4CB8-BB65-65A595E6C1EE}"/>
    <cellStyle name="Comma 6 5 8 3" xfId="30627" xr:uid="{D6644BB0-0D0B-41C4-A086-5EB2E7A61544}"/>
    <cellStyle name="Comma 6 5 9" xfId="25485" xr:uid="{A765CB03-C487-41C6-93BE-38026305CF7A}"/>
    <cellStyle name="Comma 6 6" xfId="2162" xr:uid="{00000000-0005-0000-0000-0000E3010000}"/>
    <cellStyle name="Comma 6 6 2" xfId="7289" xr:uid="{E705E142-4DA3-463E-8FAC-F22F05BA6768}"/>
    <cellStyle name="Comma 6 6 2 2" xfId="17669" xr:uid="{4C7CA64C-5E91-4A80-B09D-7D8F8424733A}"/>
    <cellStyle name="Comma 6 6 3" xfId="10122" xr:uid="{340F1EE3-1B83-46E0-8F09-B4C26E25F181}"/>
    <cellStyle name="Comma 6 6 3 2" xfId="20502" xr:uid="{A499D17E-8057-4251-840D-CE412ABC86FB}"/>
    <cellStyle name="Comma 6 6 4" xfId="24886" xr:uid="{E52ED29D-5942-4801-8BAF-D34620EB8958}"/>
    <cellStyle name="Comma 6 6 5" xfId="26208" xr:uid="{4CB53949-7489-45BD-976C-5D2FEB288F44}"/>
    <cellStyle name="Comma 6 6 6" xfId="14836" xr:uid="{321E774C-65C4-4B9A-8C46-85BC07333FD0}"/>
    <cellStyle name="Comma 6 6 7" xfId="30434" xr:uid="{86EF0529-B324-4719-B2B1-2B9231FB2917}"/>
    <cellStyle name="Comma 6 6 8" xfId="31260" xr:uid="{40BDEAA4-3800-4985-8263-4E0A9E3CC9C3}"/>
    <cellStyle name="Comma 6 7" xfId="22762" xr:uid="{37A7E8A0-43E7-41E2-BDB1-D7874A32CC13}"/>
    <cellStyle name="Comma 6 7 2" xfId="30401" xr:uid="{8AB278A9-D60A-4CCF-8FB0-D023A9F7D997}"/>
    <cellStyle name="Comma 6 8" xfId="12394" xr:uid="{6793FA80-0871-42EE-B221-7655EE8126B8}"/>
    <cellStyle name="Comma 6 9" xfId="29551" xr:uid="{0C85103D-D993-4F13-A57F-2F08993A276F}"/>
    <cellStyle name="Comma 7" xfId="500" xr:uid="{00000000-0005-0000-0000-000087020000}"/>
    <cellStyle name="Comma 7 10" xfId="501" xr:uid="{00000000-0005-0000-0000-000088020000}"/>
    <cellStyle name="Comma 7 10 10" xfId="12671" xr:uid="{0304EF0E-9902-4BD9-8F2D-7BEAF7E53FF3}"/>
    <cellStyle name="Comma 7 10 2" xfId="1710" xr:uid="{00000000-0005-0000-0000-000089020000}"/>
    <cellStyle name="Comma 7 10 2 2" xfId="3052" xr:uid="{00000000-0005-0000-0000-0000FF010000}"/>
    <cellStyle name="Comma 7 10 2 2 2" xfId="8132" xr:uid="{4B684DFA-9692-4A26-A730-995AD8A60843}"/>
    <cellStyle name="Comma 7 10 2 2 2 2" xfId="18512" xr:uid="{3DCD4A56-62ED-4907-88B4-B6AFB0CCF392}"/>
    <cellStyle name="Comma 7 10 2 2 3" xfId="10965" xr:uid="{E4EE2813-7992-41A7-9A04-0DE9EDC9A643}"/>
    <cellStyle name="Comma 7 10 2 2 3 2" xfId="21345" xr:uid="{806F9353-B2D5-4B33-85DA-5F3B6E173F4C}"/>
    <cellStyle name="Comma 7 10 2 2 4" xfId="28480" xr:uid="{E9492947-DB35-4A7F-B79F-84ACAED4A8FC}"/>
    <cellStyle name="Comma 7 10 2 2 5" xfId="27970" xr:uid="{CE260D0E-F8CD-44AD-812E-04CD09475421}"/>
    <cellStyle name="Comma 7 10 2 2 6" xfId="15679" xr:uid="{DA46CC74-2100-4BEE-BE49-53DCA1188B55}"/>
    <cellStyle name="Comma 7 10 2 3" xfId="3556" xr:uid="{00000000-0005-0000-0000-000089020000}"/>
    <cellStyle name="Comma 7 10 2 4" xfId="5601" xr:uid="{9A894E3E-F825-4091-BE58-3404C50F46E5}"/>
    <cellStyle name="Comma 7 10 2 4 2" xfId="29777" xr:uid="{69895E25-65E5-4D76-A26D-A63F28A4B978}"/>
    <cellStyle name="Comma 7 10 2 5" xfId="23340" xr:uid="{47768CD9-A1DD-4C6A-931F-A343C911895F}"/>
    <cellStyle name="Comma 7 10 2 6" xfId="13559" xr:uid="{386DBC66-6ED0-48EA-8136-4AB222A7BF8F}"/>
    <cellStyle name="Comma 7 10 3" xfId="1711" xr:uid="{00000000-0005-0000-0000-00008A020000}"/>
    <cellStyle name="Comma 7 10 3 2" xfId="23284" xr:uid="{471F6C94-CC11-4E87-87AE-598C4CE9FAB7}"/>
    <cellStyle name="Comma 7 10 3 3" xfId="25741" xr:uid="{FA0AC2A2-EC53-4D9A-A288-717BCA4D8A2E}"/>
    <cellStyle name="Comma 7 10 3 4" xfId="30055" xr:uid="{82D7F95B-ADDB-4CD3-8CA5-38E26A9A1505}"/>
    <cellStyle name="Comma 7 10 3 5" xfId="29662" xr:uid="{6948ED0E-1928-433B-8896-129390D39D27}"/>
    <cellStyle name="Comma 7 10 4" xfId="1709" xr:uid="{00000000-0005-0000-0000-00008B020000}"/>
    <cellStyle name="Comma 7 10 4 2" xfId="25724" xr:uid="{65959AE7-EB73-4A29-AEDE-5086AD6654D1}"/>
    <cellStyle name="Comma 7 10 4 3" xfId="23897" xr:uid="{A2302EFE-A812-41F1-B7CF-01786DD9FD31}"/>
    <cellStyle name="Comma 7 10 5" xfId="4127" xr:uid="{EBACDF21-4667-4E1B-89A1-775E3F0BDEFB}"/>
    <cellStyle name="Comma 7 10 5 2" xfId="8899" xr:uid="{803B21C8-7816-4590-BDE5-1D23CC6610FF}"/>
    <cellStyle name="Comma 7 10 5 2 2" xfId="19279" xr:uid="{23FE49F9-05A6-4B90-B0F1-AEC2AFF0086A}"/>
    <cellStyle name="Comma 7 10 5 2 3" xfId="31011" xr:uid="{D6C854D8-D37F-4A44-B89C-1C0E594B72EA}"/>
    <cellStyle name="Comma 7 10 5 2 4" xfId="30736" xr:uid="{1539EA9C-5098-413E-9C5B-D0DF900926AD}"/>
    <cellStyle name="Comma 7 10 5 3" xfId="11732" xr:uid="{E7BC460F-C960-4934-8502-7DDBC3D0C3E6}"/>
    <cellStyle name="Comma 7 10 5 3 2" xfId="22112" xr:uid="{40881A6B-4545-4EB1-813A-4E1558B81566}"/>
    <cellStyle name="Comma 7 10 5 4" xfId="26525" xr:uid="{1745E0D8-8A9A-4840-BDB8-0401C09AA039}"/>
    <cellStyle name="Comma 7 10 5 5" xfId="25841" xr:uid="{C11B2212-1E1A-4B71-B465-5670181885CD}"/>
    <cellStyle name="Comma 7 10 5 6" xfId="16446" xr:uid="{E978AE30-B13C-4A2E-90E6-39EA87923D38}"/>
    <cellStyle name="Comma 7 10 6" xfId="4892" xr:uid="{D82BBFC1-9D1D-4AAE-A948-A38D0EF6F03E}"/>
    <cellStyle name="Comma 7 10 6 2" xfId="27644" xr:uid="{F7371CBB-0784-4473-9FC1-85C83B78B35B}"/>
    <cellStyle name="Comma 7 10 6 3" xfId="27261" xr:uid="{B70C7F4C-17C3-43F1-A10A-A7D1DD574EE2}"/>
    <cellStyle name="Comma 7 10 6 4" xfId="14184" xr:uid="{72355FD3-5050-4CF6-9D1E-9B0E83C8FCE6}"/>
    <cellStyle name="Comma 7 10 7" xfId="6637" xr:uid="{1CD37795-67F5-4F29-93F8-992F32C52816}"/>
    <cellStyle name="Comma 7 10 7 2" xfId="17017" xr:uid="{1FCBAEEB-BD9E-40A5-BF83-C0DEA953F239}"/>
    <cellStyle name="Comma 7 10 8" xfId="9470" xr:uid="{572D7F13-2184-45ED-89E4-B39C3263D3EE}"/>
    <cellStyle name="Comma 7 10 8 2" xfId="19850" xr:uid="{7BA8A08F-E23F-4BC4-BFF4-DFC878E4B8CA}"/>
    <cellStyle name="Comma 7 10 9" xfId="22782" xr:uid="{9C9C0777-DD5A-45A2-8B23-CD5FCFC5DE9B}"/>
    <cellStyle name="Comma 7 11" xfId="502" xr:uid="{00000000-0005-0000-0000-00008C020000}"/>
    <cellStyle name="Comma 7 11 10" xfId="31256" xr:uid="{E835B43B-FDA2-4DDE-83E1-FBF9D27ED0DE}"/>
    <cellStyle name="Comma 7 11 2" xfId="1713" xr:uid="{00000000-0005-0000-0000-00008D020000}"/>
    <cellStyle name="Comma 7 11 2 2" xfId="25052" xr:uid="{23ABD4A7-3C9B-4DBA-8948-EF7696DC0549}"/>
    <cellStyle name="Comma 7 11 2 2 2" xfId="29812" xr:uid="{2804BB26-590B-4F9E-8251-636B18D7E4FE}"/>
    <cellStyle name="Comma 7 11 2 2 2 2" xfId="30738" xr:uid="{3DAD6463-AE5B-4A7E-A235-D117BC01C86B}"/>
    <cellStyle name="Comma 7 11 2 3" xfId="25318" xr:uid="{7CB5C089-12DC-4C77-B45B-B4312F852EC0}"/>
    <cellStyle name="Comma 7 11 2 4" xfId="30038" xr:uid="{567DD56B-F8B3-45D4-86C5-0960C07F73C2}"/>
    <cellStyle name="Comma 7 11 3" xfId="1714" xr:uid="{00000000-0005-0000-0000-00008E020000}"/>
    <cellStyle name="Comma 7 11 3 2" xfId="31310" xr:uid="{BF8591BA-BEDC-47CC-8EFA-C694600B8972}"/>
    <cellStyle name="Comma 7 11 3 3" xfId="31272" xr:uid="{2324712B-9FE1-4E85-A8B2-EE1C9063D0B9}"/>
    <cellStyle name="Comma 7 11 4" xfId="1712" xr:uid="{00000000-0005-0000-0000-00008F020000}"/>
    <cellStyle name="Comma 7 11 5" xfId="4893" xr:uid="{4D7EF800-D3FE-4415-997D-80EB71861FD5}"/>
    <cellStyle name="Comma 7 11 5 2" xfId="14185" xr:uid="{237C6960-02C1-47B1-93F9-D85783831FC0}"/>
    <cellStyle name="Comma 7 11 5 2 2" xfId="31115" xr:uid="{F9048556-5930-4AED-AE0A-49345657D6F3}"/>
    <cellStyle name="Comma 7 11 5 2 3" xfId="30737" xr:uid="{1DDC157D-0ED6-4BFF-BF05-1F10AA0C45F1}"/>
    <cellStyle name="Comma 7 11 6" xfId="6638" xr:uid="{776ACA04-D065-4D7A-8E37-056C327E74AC}"/>
    <cellStyle name="Comma 7 11 6 2" xfId="17018" xr:uid="{B58752FC-E070-4A46-8BFC-C4F3908814BC}"/>
    <cellStyle name="Comma 7 11 7" xfId="9471" xr:uid="{CCFEF87C-0523-4F7B-9698-9812E0BED44F}"/>
    <cellStyle name="Comma 7 11 7 2" xfId="19851" xr:uid="{E442148C-3B76-4745-96E8-D6C7291F15EF}"/>
    <cellStyle name="Comma 7 11 8" xfId="24935" xr:uid="{252EC419-ABD7-4E53-918F-20AA1B459C38}"/>
    <cellStyle name="Comma 7 11 9" xfId="13369" xr:uid="{A3FFE9F5-7F4C-4076-BC34-FB113FFB58A6}"/>
    <cellStyle name="Comma 7 12" xfId="1715" xr:uid="{00000000-0005-0000-0000-000090020000}"/>
    <cellStyle name="Comma 7 12 2" xfId="2434" xr:uid="{00000000-0005-0000-0000-000001020000}"/>
    <cellStyle name="Comma 7 12 2 2" xfId="7559" xr:uid="{AB6A31A2-356E-46CD-9976-79E7AD8FCA85}"/>
    <cellStyle name="Comma 7 12 2 2 2" xfId="17939" xr:uid="{C69A7172-DB24-4003-8B22-DB81EE1956A1}"/>
    <cellStyle name="Comma 7 12 2 2 2 2" xfId="31132" xr:uid="{739F47EE-1697-4F75-9A1F-73E308A7FAE6}"/>
    <cellStyle name="Comma 7 12 2 2 2 3" xfId="30739" xr:uid="{79E3D847-09B7-406F-A8CF-8B9C6BA67CC6}"/>
    <cellStyle name="Comma 7 12 2 3" xfId="10392" xr:uid="{1C9A0FA7-3839-49B7-B9C6-489E59242394}"/>
    <cellStyle name="Comma 7 12 2 3 2" xfId="20772" xr:uid="{E2D691C5-6C3C-43B7-8FBD-A5642F6BDFE7}"/>
    <cellStyle name="Comma 7 12 2 4" xfId="15106" xr:uid="{394B16FD-FC1A-4870-BC31-909DEE327F64}"/>
    <cellStyle name="Comma 7 12 2 5" xfId="30435" xr:uid="{E91DB9E4-8773-4A90-836F-853E0ADD18FD}"/>
    <cellStyle name="Comma 7 12 3" xfId="3597" xr:uid="{00000000-0005-0000-0000-000090020000}"/>
    <cellStyle name="Comma 7 12 4" xfId="5602" xr:uid="{CC94EC69-AD3D-4EA5-A1E0-1BACCD539177}"/>
    <cellStyle name="Comma 7 12 4 2" xfId="29744" xr:uid="{E94F5ABB-9BF5-4EDB-9248-CDB704943345}"/>
    <cellStyle name="Comma 7 12 5" xfId="25169" xr:uid="{6BA9F095-9F3A-4460-A1F7-A325C4D59C32}"/>
    <cellStyle name="Comma 7 12 6" xfId="12821" xr:uid="{3CFBD4BE-A3DA-40AF-A535-986B08EC002F}"/>
    <cellStyle name="Comma 7 13" xfId="1716" xr:uid="{00000000-0005-0000-0000-000091020000}"/>
    <cellStyle name="Comma 7 13 2" xfId="2164" xr:uid="{00000000-0005-0000-0000-0000FD010000}"/>
    <cellStyle name="Comma 7 13 2 2" xfId="7291" xr:uid="{99AD7278-2ABB-4875-9167-E25F4A9D15B1}"/>
    <cellStyle name="Comma 7 13 2 2 2" xfId="17671" xr:uid="{10C9ABBA-E04E-44FE-B765-925D5F6F79FA}"/>
    <cellStyle name="Comma 7 13 2 3" xfId="10124" xr:uid="{32999E02-055B-4936-9989-A7D520F08114}"/>
    <cellStyle name="Comma 7 13 2 3 2" xfId="20504" xr:uid="{BDD660AC-D280-40AE-B368-D16E28839034}"/>
    <cellStyle name="Comma 7 13 2 4" xfId="26317" xr:uid="{2AC6C94B-7356-4191-BA37-EB45ACBAC84B}"/>
    <cellStyle name="Comma 7 13 2 5" xfId="26807" xr:uid="{0944EE13-DA40-42AE-8E8C-5FDF7787A62E}"/>
    <cellStyle name="Comma 7 13 2 6" xfId="14838" xr:uid="{61AF3BCA-97D7-42B3-8A16-84395E13F927}"/>
    <cellStyle name="Comma 7 13 3" xfId="3614" xr:uid="{00000000-0005-0000-0000-000091020000}"/>
    <cellStyle name="Comma 7 13 4" xfId="24456" xr:uid="{F36E8AC3-FBF5-44E6-8760-493C50EB9842}"/>
    <cellStyle name="Comma 7 13 4 2" xfId="29857" xr:uid="{8E68E056-46A1-493A-A824-DE927F27CD41}"/>
    <cellStyle name="Comma 7 13 5" xfId="30000" xr:uid="{CDAD209D-5AEE-42B6-A650-1520C83196B3}"/>
    <cellStyle name="Comma 7 14" xfId="1708" xr:uid="{00000000-0005-0000-0000-000092020000}"/>
    <cellStyle name="Comma 7 14 2" xfId="24640" xr:uid="{A6E59767-7C11-40A9-9CB4-E620D76DFBAF}"/>
    <cellStyle name="Comma 7 14 2 2" xfId="30740" xr:uid="{20627FD3-BC5A-44E9-9321-3CFCE969D60D}"/>
    <cellStyle name="Comma 7 14 2 3" xfId="30578" xr:uid="{293AA1E7-D6FF-4E29-9D1A-3B9D5650BE0B}"/>
    <cellStyle name="Comma 7 14 3" xfId="24749" xr:uid="{21C0A86C-9258-4F6E-BBD2-E1ADC08986B9}"/>
    <cellStyle name="Comma 7 14 4" xfId="31257" xr:uid="{60B07CE3-3025-411C-B89F-E948725F8A6F}"/>
    <cellStyle name="Comma 7 15" xfId="3868" xr:uid="{2754256E-6D37-4A11-A975-622EAD65BCC6}"/>
    <cellStyle name="Comma 7 15 2" xfId="8700" xr:uid="{561E47C7-DA6B-465C-BCFC-FFBE685B396A}"/>
    <cellStyle name="Comma 7 15 2 2" xfId="19080" xr:uid="{CD7DE5AC-2835-4783-AF05-48DAEF1013EA}"/>
    <cellStyle name="Comma 7 15 3" xfId="11533" xr:uid="{75D4BBFA-3F86-4BB1-A4FF-2AB004FAD57D}"/>
    <cellStyle name="Comma 7 15 3 2" xfId="21913" xr:uid="{D1267AA1-09CD-4475-946A-C9A7600627F9}"/>
    <cellStyle name="Comma 7 15 4" xfId="25927" xr:uid="{511ED031-4F53-4851-A0F3-433E6C7ACA29}"/>
    <cellStyle name="Comma 7 15 5" xfId="27477" xr:uid="{2750F14A-290C-48FE-A33E-06E873503059}"/>
    <cellStyle name="Comma 7 15 6" xfId="16247" xr:uid="{5037A1B5-3540-484E-A1E0-2D33F2B1EFAA}"/>
    <cellStyle name="Comma 7 16" xfId="4891" xr:uid="{9D938F77-580A-408F-A5DC-B95515C88082}"/>
    <cellStyle name="Comma 7 16 2" xfId="27237" xr:uid="{2485F0D7-865B-4EC4-8D29-E0C09F609170}"/>
    <cellStyle name="Comma 7 16 3" xfId="27763" xr:uid="{77776977-DA0E-4C33-A557-4E3DE9855C53}"/>
    <cellStyle name="Comma 7 16 4" xfId="14183" xr:uid="{77C17A1F-BFCB-4CA4-9C6B-A7566ACEE98A}"/>
    <cellStyle name="Comma 7 17" xfId="6636" xr:uid="{06719287-4D35-48D9-91FA-3AD51EA5C00F}"/>
    <cellStyle name="Comma 7 17 2" xfId="17016" xr:uid="{12C02C92-AA67-4477-A76D-9D24CEFDBBD2}"/>
    <cellStyle name="Comma 7 18" xfId="9469" xr:uid="{037E75E5-4B4F-4359-8342-D07974811F87}"/>
    <cellStyle name="Comma 7 18 2" xfId="19849" xr:uid="{D2D25E2F-5F87-48AA-A0FE-01F18289E9F4}"/>
    <cellStyle name="Comma 7 19" xfId="24159" xr:uid="{0832A5F7-F858-4707-BC50-D6BDDD0BD129}"/>
    <cellStyle name="Comma 7 2" xfId="503" xr:uid="{00000000-0005-0000-0000-000093020000}"/>
    <cellStyle name="Comma 7 2 10" xfId="4894" xr:uid="{530D3ADF-7987-4D49-9EFA-6E30C8D7268F}"/>
    <cellStyle name="Comma 7 2 10 2" xfId="28462" xr:uid="{8B103A8E-4B77-4E5C-967E-03A935C17D56}"/>
    <cellStyle name="Comma 7 2 10 3" xfId="26637" xr:uid="{E2918D60-2ECD-47F3-8CB5-8B5F1C16456C}"/>
    <cellStyle name="Comma 7 2 10 4" xfId="14186" xr:uid="{BEA559D3-4F46-4A46-9835-B79794AFEE15}"/>
    <cellStyle name="Comma 7 2 11" xfId="6639" xr:uid="{64DA45BB-A7AE-4634-A067-9DF72286BE87}"/>
    <cellStyle name="Comma 7 2 11 2" xfId="17019" xr:uid="{3F3E7C21-E791-45BA-9AD9-1278037C3F4A}"/>
    <cellStyle name="Comma 7 2 12" xfId="9472" xr:uid="{1E43E655-7008-47ED-B8BF-B76CC32CB035}"/>
    <cellStyle name="Comma 7 2 12 2" xfId="19852" xr:uid="{66E43558-9B8D-4365-8C0E-E423D63CE3A6}"/>
    <cellStyle name="Comma 7 2 13" xfId="23810" xr:uid="{38008B6B-AC42-4A63-81DE-9B53E575A996}"/>
    <cellStyle name="Comma 7 2 14" xfId="12419" xr:uid="{CC01182E-400A-44C2-81A4-4E2E219A9FD7}"/>
    <cellStyle name="Comma 7 2 2" xfId="504" xr:uid="{00000000-0005-0000-0000-000094020000}"/>
    <cellStyle name="Comma 7 2 2 10" xfId="6640" xr:uid="{2A77DC5C-2D89-42BF-9ACB-3BB32B12513E}"/>
    <cellStyle name="Comma 7 2 2 10 2" xfId="17020" xr:uid="{91EBB2F5-6581-4B2B-B22B-F4DC8ADF4246}"/>
    <cellStyle name="Comma 7 2 2 11" xfId="9473" xr:uid="{3A622BD8-3179-4D35-A2DC-30C705EFC2CB}"/>
    <cellStyle name="Comma 7 2 2 11 2" xfId="19853" xr:uid="{3C30E10B-6DA1-44E3-8E40-56AB8B6A1943}"/>
    <cellStyle name="Comma 7 2 2 12" xfId="23491" xr:uid="{61AF4FDA-D584-44F6-A33F-07705F937BE3}"/>
    <cellStyle name="Comma 7 2 2 13" xfId="12479" xr:uid="{FC9AB89B-5377-4D05-A78A-79E0897D41EF}"/>
    <cellStyle name="Comma 7 2 2 2" xfId="505" xr:uid="{00000000-0005-0000-0000-000095020000}"/>
    <cellStyle name="Comma 7 2 2 2 10" xfId="9474" xr:uid="{90A31626-BEEC-4D9D-BACA-09E34F3203D6}"/>
    <cellStyle name="Comma 7 2 2 2 10 2" xfId="19854" xr:uid="{C324D3E7-87ED-4BD8-B25C-51EA7A3EFE49}"/>
    <cellStyle name="Comma 7 2 2 2 11" xfId="25417" xr:uid="{A0D02D5D-CF22-4DA0-A1B5-160BE6719CAA}"/>
    <cellStyle name="Comma 7 2 2 2 12" xfId="12515" xr:uid="{389983B5-FD9F-4D30-94EC-2254AA61C755}"/>
    <cellStyle name="Comma 7 2 2 2 2" xfId="1720" xr:uid="{00000000-0005-0000-0000-000096020000}"/>
    <cellStyle name="Comma 7 2 2 2 2 2" xfId="3054" xr:uid="{00000000-0005-0000-0000-000006020000}"/>
    <cellStyle name="Comma 7 2 2 2 2 2 2" xfId="6166" xr:uid="{5810BDEF-6759-4914-8816-FDE91F216B89}"/>
    <cellStyle name="Comma 7 2 2 2 2 2 2 2" xfId="28052" xr:uid="{59D2CCE3-8805-483D-8C2E-5911314942B8}"/>
    <cellStyle name="Comma 7 2 2 2 2 2 2 3" xfId="26417" xr:uid="{17455D0D-93DE-4551-A26B-E455D776DC14}"/>
    <cellStyle name="Comma 7 2 2 2 2 2 2 4" xfId="15681" xr:uid="{9EC0D679-EE73-41E6-A0DB-AD4F7D2B8B1B}"/>
    <cellStyle name="Comma 7 2 2 2 2 2 3" xfId="8134" xr:uid="{20880874-07A4-4036-8343-A5B5A6A3C386}"/>
    <cellStyle name="Comma 7 2 2 2 2 2 3 2" xfId="18514" xr:uid="{568E1962-4282-482D-A641-68D61AEF1954}"/>
    <cellStyle name="Comma 7 2 2 2 2 2 4" xfId="10967" xr:uid="{CBCB3D05-4A2B-42AE-8FF9-1022B8F2B4A4}"/>
    <cellStyle name="Comma 7 2 2 2 2 2 4 2" xfId="21347" xr:uid="{F14E3258-264E-47CF-86BB-EBC33C286A10}"/>
    <cellStyle name="Comma 7 2 2 2 2 2 5" xfId="24853" xr:uid="{36461687-085D-4430-AF28-E721DB9D5341}"/>
    <cellStyle name="Comma 7 2 2 2 2 2 6" xfId="27226" xr:uid="{EA29673A-7055-4AC8-855D-CE4FE2CFE294}"/>
    <cellStyle name="Comma 7 2 2 2 2 2 7" xfId="13561" xr:uid="{D8C6F9D7-CFEC-4834-A277-BC3AC52698C8}"/>
    <cellStyle name="Comma 7 2 2 2 2 3" xfId="2679" xr:uid="{00000000-0005-0000-0000-000005020000}"/>
    <cellStyle name="Comma 7 2 2 2 2 3 2" xfId="7803" xr:uid="{AA4E22A2-6F99-48ED-B552-791446EFB463}"/>
    <cellStyle name="Comma 7 2 2 2 2 3 2 2" xfId="28180" xr:uid="{DDA30167-9ABF-4ED0-BD58-69BF5BC2F8D0}"/>
    <cellStyle name="Comma 7 2 2 2 2 3 2 3" xfId="28057" xr:uid="{99CC565F-F977-4551-A138-A5DFAB2A4BEF}"/>
    <cellStyle name="Comma 7 2 2 2 2 3 2 4" xfId="18183" xr:uid="{0DCB8C91-AD8E-4B0F-92F7-F20B3686550D}"/>
    <cellStyle name="Comma 7 2 2 2 2 3 3" xfId="10636" xr:uid="{59E45658-6A65-4DC0-AFDF-EE8EDE339DBC}"/>
    <cellStyle name="Comma 7 2 2 2 2 3 3 2" xfId="21016" xr:uid="{50CC77C9-2C97-4BA4-BA56-D291510D5A4C}"/>
    <cellStyle name="Comma 7 2 2 2 2 3 4" xfId="24654" xr:uid="{43ADA87A-DE25-47E5-AF8E-7A546C7D213A}"/>
    <cellStyle name="Comma 7 2 2 2 2 3 5" xfId="15350" xr:uid="{E02DAF09-C053-4B2A-9C91-91990EE68988}"/>
    <cellStyle name="Comma 7 2 2 2 2 4" xfId="3674" xr:uid="{00000000-0005-0000-0000-000096020000}"/>
    <cellStyle name="Comma 7 2 2 2 2 4 2" xfId="26165" xr:uid="{EE1A87B6-5E5A-437E-A7D8-9561D25E3C72}"/>
    <cellStyle name="Comma 7 2 2 2 2 4 3" xfId="26559" xr:uid="{28E46E9E-8B0C-4098-BBDF-63BBC3B42520}"/>
    <cellStyle name="Comma 7 2 2 2 2 5" xfId="4263" xr:uid="{0243E97E-C926-436B-8727-66DF406738AD}"/>
    <cellStyle name="Comma 7 2 2 2 2 5 2" xfId="9035" xr:uid="{A8E45C93-4B20-4E43-87B3-8C7477A17BD3}"/>
    <cellStyle name="Comma 7 2 2 2 2 5 2 2" xfId="19415" xr:uid="{271900A1-0EFA-4C61-A8F0-FE6B09544BFB}"/>
    <cellStyle name="Comma 7 2 2 2 2 5 2 3" xfId="31039" xr:uid="{AA539B6E-4723-4789-AC85-1CFE67B89BFD}"/>
    <cellStyle name="Comma 7 2 2 2 2 5 2 4" xfId="30741" xr:uid="{9E89B3B5-DBDF-44A9-AA99-6000B493F40F}"/>
    <cellStyle name="Comma 7 2 2 2 2 5 3" xfId="11868" xr:uid="{F5D81B69-13BA-471C-9C12-C510DCAC0DF7}"/>
    <cellStyle name="Comma 7 2 2 2 2 5 3 2" xfId="22248" xr:uid="{CB0AF474-8390-4209-9104-6A8E86D8E350}"/>
    <cellStyle name="Comma 7 2 2 2 2 5 4" xfId="28742" xr:uid="{EA19C7E8-652F-47FF-AC00-1FC49789F6DE}"/>
    <cellStyle name="Comma 7 2 2 2 2 5 5" xfId="27321" xr:uid="{E70C4BDB-2623-4DBB-A3EF-76F0950EDEFF}"/>
    <cellStyle name="Comma 7 2 2 2 2 5 6" xfId="16582" xr:uid="{FA33C490-55B2-411E-9C14-F9FED3675DA5}"/>
    <cellStyle name="Comma 7 2 2 2 2 6" xfId="5605" xr:uid="{B95C3FE5-AEED-4C7E-98FF-7D7759036B02}"/>
    <cellStyle name="Comma 7 2 2 2 2 6 2" xfId="29722" xr:uid="{A9AFC85D-8C0D-4130-B886-7E8359B0A603}"/>
    <cellStyle name="Comma 7 2 2 2 2 6 2 2" xfId="30970" xr:uid="{8CEB5E9E-E0FF-4F20-96AA-69D70D0E860D}"/>
    <cellStyle name="Comma 7 2 2 2 2 7" xfId="23401" xr:uid="{5085FF0F-A10D-47CF-A823-16227AEA7CDF}"/>
    <cellStyle name="Comma 7 2 2 2 2 8" xfId="13087" xr:uid="{9F2FE8E8-CDEC-41BA-AA88-B7120368463F}"/>
    <cellStyle name="Comma 7 2 2 2 3" xfId="1721" xr:uid="{00000000-0005-0000-0000-000097020000}"/>
    <cellStyle name="Comma 7 2 2 2 3 2" xfId="3055" xr:uid="{00000000-0005-0000-0000-000007020000}"/>
    <cellStyle name="Comma 7 2 2 2 3 2 2" xfId="8135" xr:uid="{9DD8EB86-AB9D-4563-98E5-8E6000631C18}"/>
    <cellStyle name="Comma 7 2 2 2 3 2 2 2" xfId="28811" xr:uid="{B385DFB9-B51E-4EB7-B120-DA7AE5FC2B15}"/>
    <cellStyle name="Comma 7 2 2 2 3 2 2 2 2" xfId="31223" xr:uid="{64669DDE-E9DA-4EAC-840F-300D8458696F}"/>
    <cellStyle name="Comma 7 2 2 2 3 2 2 2 3" xfId="30743" xr:uid="{9BE22F56-5609-4E7F-8914-A50524A8AE51}"/>
    <cellStyle name="Comma 7 2 2 2 3 2 2 3" xfId="26429" xr:uid="{0C944FA2-06FD-488E-AACC-A9FABAD68813}"/>
    <cellStyle name="Comma 7 2 2 2 3 2 2 4" xfId="18515" xr:uid="{CD806919-8E08-4504-A736-0D4A4A2901C4}"/>
    <cellStyle name="Comma 7 2 2 2 3 2 3" xfId="10968" xr:uid="{BB3C8586-BB0C-4196-8BB3-1848EEAC36ED}"/>
    <cellStyle name="Comma 7 2 2 2 3 2 3 2" xfId="21348" xr:uid="{E18B5B2D-F19B-44C0-8D63-ACE6C90EA1DB}"/>
    <cellStyle name="Comma 7 2 2 2 3 2 4" xfId="25728" xr:uid="{B5ACEDD6-C652-4A8C-BF3A-4FA86FBB5315}"/>
    <cellStyle name="Comma 7 2 2 2 3 2 5" xfId="15682" xr:uid="{871FA3D3-09D6-4A00-AADD-E64EB377789A}"/>
    <cellStyle name="Comma 7 2 2 2 3 3" xfId="3648" xr:uid="{00000000-0005-0000-0000-000097020000}"/>
    <cellStyle name="Comma 7 2 2 2 3 4" xfId="4408" xr:uid="{2E431FD9-BDF8-4500-8041-84C831D3FB1C}"/>
    <cellStyle name="Comma 7 2 2 2 3 4 2" xfId="9180" xr:uid="{F943D953-EB9B-4C27-86D3-A0F6B8DC61E1}"/>
    <cellStyle name="Comma 7 2 2 2 3 4 2 2" xfId="19560" xr:uid="{B9C0123D-1762-4075-A637-E47C3ABE72BD}"/>
    <cellStyle name="Comma 7 2 2 2 3 4 2 3" xfId="31074" xr:uid="{D38E3B53-D156-4B44-AB59-891FBD40DA19}"/>
    <cellStyle name="Comma 7 2 2 2 3 4 2 4" xfId="30742" xr:uid="{5EC7C62E-B9BD-4D62-B823-6C633004A8F9}"/>
    <cellStyle name="Comma 7 2 2 2 3 4 3" xfId="12013" xr:uid="{09519B91-43A5-4736-9A80-12426DFEF32E}"/>
    <cellStyle name="Comma 7 2 2 2 3 4 3 2" xfId="22393" xr:uid="{C5EADA94-1AF1-4C0D-A8DE-9A0B643DA124}"/>
    <cellStyle name="Comma 7 2 2 2 3 4 4" xfId="16727" xr:uid="{C0CDE725-0551-42E7-9E11-26E086BBA0C0}"/>
    <cellStyle name="Comma 7 2 2 2 3 5" xfId="5606" xr:uid="{EB5E47A5-1D56-4711-A77C-730EE2D92D9D}"/>
    <cellStyle name="Comma 7 2 2 2 3 5 2" xfId="29713" xr:uid="{727D4473-6337-4C2B-993C-B70A69606063}"/>
    <cellStyle name="Comma 7 2 2 2 3 5 2 2" xfId="30971" xr:uid="{0009754D-8DF5-4501-AFC6-1CE7BF8EF82E}"/>
    <cellStyle name="Comma 7 2 2 2 3 6" xfId="23410" xr:uid="{47952A56-731E-4568-8AC9-70821F472697}"/>
    <cellStyle name="Comma 7 2 2 2 3 7" xfId="13562" xr:uid="{A2940E49-EF08-48B9-9AB5-FB9094CB5DF9}"/>
    <cellStyle name="Comma 7 2 2 2 4" xfId="1719" xr:uid="{00000000-0005-0000-0000-000098020000}"/>
    <cellStyle name="Comma 7 2 2 2 4 2" xfId="3053" xr:uid="{00000000-0005-0000-0000-000008020000}"/>
    <cellStyle name="Comma 7 2 2 2 4 2 2" xfId="8133" xr:uid="{AB1CD1AD-1E91-44E1-B630-75F307F482D7}"/>
    <cellStyle name="Comma 7 2 2 2 4 2 2 2" xfId="28810" xr:uid="{3D7BA444-D91E-48BE-ACD3-8C3C6475D6F6}"/>
    <cellStyle name="Comma 7 2 2 2 4 2 2 3" xfId="26043" xr:uid="{2D6EC994-F9D1-4D88-85E3-400361CD3E71}"/>
    <cellStyle name="Comma 7 2 2 2 4 2 2 4" xfId="18513" xr:uid="{5E2290D4-61F6-49AA-959E-BF3F80A80385}"/>
    <cellStyle name="Comma 7 2 2 2 4 2 3" xfId="10966" xr:uid="{E95DFD0E-0FDC-41FB-9F9E-3AA9CC5983E8}"/>
    <cellStyle name="Comma 7 2 2 2 4 2 3 2" xfId="21346" xr:uid="{41DF47FF-D47A-4176-8050-1F40AF0DFBCB}"/>
    <cellStyle name="Comma 7 2 2 2 4 2 4" xfId="27609" xr:uid="{75B40BA1-7099-4CA1-BC3F-36DC47B08B52}"/>
    <cellStyle name="Comma 7 2 2 2 4 2 5" xfId="15680" xr:uid="{C4C561E7-493C-4F4B-95F5-94C5F431824E}"/>
    <cellStyle name="Comma 7 2 2 2 4 3" xfId="3707" xr:uid="{00000000-0005-0000-0000-000098020000}"/>
    <cellStyle name="Comma 7 2 2 2 4 4" xfId="5604" xr:uid="{77DE114E-6658-4730-9B87-A9E53C509435}"/>
    <cellStyle name="Comma 7 2 2 2 4 4 2" xfId="29952" xr:uid="{896A5489-FC9F-470C-A32A-715D7DC9DC2F}"/>
    <cellStyle name="Comma 7 2 2 2 4 5" xfId="25222" xr:uid="{58391C3F-A9C4-4E5F-A8EB-EA62F091FF79}"/>
    <cellStyle name="Comma 7 2 2 2 4 6" xfId="13560" xr:uid="{08E8E22D-05EC-45F3-BFE8-16F150F1890A}"/>
    <cellStyle name="Comma 7 2 2 2 5" xfId="2648" xr:uid="{00000000-0005-0000-0000-000009020000}"/>
    <cellStyle name="Comma 7 2 2 2 5 2" xfId="5910" xr:uid="{3C3E7EC7-2184-4691-9AC4-BDB33C4ED1A8}"/>
    <cellStyle name="Comma 7 2 2 2 5 2 2" xfId="28586" xr:uid="{58418669-99BA-4CC0-89B2-EE7B777B1FC5}"/>
    <cellStyle name="Comma 7 2 2 2 5 2 2 2" xfId="31210" xr:uid="{41DF6F33-8D60-4576-8FB0-D042E3C8EBFB}"/>
    <cellStyle name="Comma 7 2 2 2 5 2 2 3" xfId="30744" xr:uid="{9A76BCD1-2FA8-476D-82A1-5C281FED076E}"/>
    <cellStyle name="Comma 7 2 2 2 5 2 3" xfId="26963" xr:uid="{2E4783B7-30FA-4DF3-A8A8-7F2E7330E9AB}"/>
    <cellStyle name="Comma 7 2 2 2 5 2 4" xfId="15320" xr:uid="{CC3BBC91-880B-4E9A-9856-C6A55F06FCDC}"/>
    <cellStyle name="Comma 7 2 2 2 5 3" xfId="7773" xr:uid="{594F0663-D5C0-4184-AA77-23A98EB4909A}"/>
    <cellStyle name="Comma 7 2 2 2 5 3 2" xfId="18153" xr:uid="{F98244C6-A9C1-4AA5-A5BC-4BB73E16B1FA}"/>
    <cellStyle name="Comma 7 2 2 2 5 4" xfId="10606" xr:uid="{E82D3956-4897-4A18-B09C-1BFA6B770C54}"/>
    <cellStyle name="Comma 7 2 2 2 5 4 2" xfId="20986" xr:uid="{E91407A8-0454-4D32-A5DD-9768137D237E}"/>
    <cellStyle name="Comma 7 2 2 2 5 5" xfId="23603" xr:uid="{FABF15D8-569C-4CFC-8451-848202E878C5}"/>
    <cellStyle name="Comma 7 2 2 2 5 6" xfId="13044" xr:uid="{374EFE4A-1C81-4856-B341-0B602A76181A}"/>
    <cellStyle name="Comma 7 2 2 2 6" xfId="2283" xr:uid="{00000000-0005-0000-0000-000004020000}"/>
    <cellStyle name="Comma 7 2 2 2 6 2" xfId="7410" xr:uid="{168806BB-5577-467B-9EFD-BDB65CE01807}"/>
    <cellStyle name="Comma 7 2 2 2 6 2 2" xfId="17790" xr:uid="{AC04DF24-D782-4A35-B236-16DBE715C972}"/>
    <cellStyle name="Comma 7 2 2 2 6 3" xfId="10243" xr:uid="{60D0F18A-088C-4CCE-A311-90E2133F75F2}"/>
    <cellStyle name="Comma 7 2 2 2 6 3 2" xfId="20623" xr:uid="{7E6022F5-D3A5-49DB-B8BB-23E514AF7075}"/>
    <cellStyle name="Comma 7 2 2 2 6 4" xfId="24265" xr:uid="{1EDF11DD-A7B8-4F1F-96B9-8BF7D019E926}"/>
    <cellStyle name="Comma 7 2 2 2 6 5" xfId="27304" xr:uid="{26D9E928-3AF4-42C9-918B-AE407327BB9B}"/>
    <cellStyle name="Comma 7 2 2 2 6 6" xfId="14957" xr:uid="{973B851B-8A9D-43D2-B41E-1265712A64F2}"/>
    <cellStyle name="Comma 7 2 2 2 7" xfId="3822" xr:uid="{B8F574E2-AA25-4E75-8215-ABE80016DC4D}"/>
    <cellStyle name="Comma 7 2 2 2 7 2" xfId="8655" xr:uid="{4FA3556E-1B0E-4D67-9E2F-008758AE01B9}"/>
    <cellStyle name="Comma 7 2 2 2 7 2 2" xfId="19035" xr:uid="{1DECBD5F-327B-41D5-9E46-9B338D812278}"/>
    <cellStyle name="Comma 7 2 2 2 7 3" xfId="11488" xr:uid="{344B12EC-92A0-40BE-9459-BDC2347AA1F3}"/>
    <cellStyle name="Comma 7 2 2 2 7 3 2" xfId="21868" xr:uid="{595064FF-5F6C-4022-91BC-54F4D3075E0A}"/>
    <cellStyle name="Comma 7 2 2 2 7 4" xfId="26879" xr:uid="{F3A1A5D8-CA04-472B-AD7D-DFF1D62D4585}"/>
    <cellStyle name="Comma 7 2 2 2 7 5" xfId="27213" xr:uid="{B048532B-A1AA-4267-9760-4ACB46AEED3E}"/>
    <cellStyle name="Comma 7 2 2 2 7 6" xfId="16202" xr:uid="{D7811C68-5C55-46D5-8647-4EBADA1BB060}"/>
    <cellStyle name="Comma 7 2 2 2 8" xfId="4896" xr:uid="{A421A44B-2F81-4574-89CF-D30CACCE2996}"/>
    <cellStyle name="Comma 7 2 2 2 8 2" xfId="14188" xr:uid="{11F13325-9DFF-4406-82C5-8E23844CC804}"/>
    <cellStyle name="Comma 7 2 2 2 9" xfId="6641" xr:uid="{C1FD302E-3F56-4D26-903D-69765C369B3D}"/>
    <cellStyle name="Comma 7 2 2 2 9 2" xfId="17021" xr:uid="{4A3111C2-4426-4DC4-9FFA-F6EEDB9D3103}"/>
    <cellStyle name="Comma 7 2 2 3" xfId="506" xr:uid="{00000000-0005-0000-0000-000099020000}"/>
    <cellStyle name="Comma 7 2 2 3 10" xfId="12673" xr:uid="{AD8FCEDE-D8F7-4B20-BDF8-83F9CA2032CA}"/>
    <cellStyle name="Comma 7 2 2 3 2" xfId="1723" xr:uid="{00000000-0005-0000-0000-00009A020000}"/>
    <cellStyle name="Comma 7 2 2 3 2 2" xfId="3056" xr:uid="{00000000-0005-0000-0000-00000B020000}"/>
    <cellStyle name="Comma 7 2 2 3 2 2 2" xfId="8136" xr:uid="{FDC43637-5505-4108-A063-F76F7F5EE2B1}"/>
    <cellStyle name="Comma 7 2 2 3 2 2 2 2" xfId="28812" xr:uid="{49294946-5434-40E0-B5D3-3686A8C5E893}"/>
    <cellStyle name="Comma 7 2 2 3 2 2 2 3" xfId="26251" xr:uid="{21E4736D-B08C-4A8A-B8A0-D12488E99211}"/>
    <cellStyle name="Comma 7 2 2 3 2 2 2 4" xfId="18516" xr:uid="{6459E389-DC17-4864-B565-2999C057BAC4}"/>
    <cellStyle name="Comma 7 2 2 3 2 2 3" xfId="10969" xr:uid="{68428AFE-C195-434D-89F7-C72834FEFBF3}"/>
    <cellStyle name="Comma 7 2 2 3 2 2 3 2" xfId="21349" xr:uid="{48A368FF-CF4B-4883-B34E-5D734DD48F83}"/>
    <cellStyle name="Comma 7 2 2 3 2 2 4" xfId="25758" xr:uid="{4715D39D-6099-4650-A8C8-B4F509D215AD}"/>
    <cellStyle name="Comma 7 2 2 3 2 2 5" xfId="15683" xr:uid="{D877CD2A-4C7F-4C87-9AE9-5ECD43C5D9BF}"/>
    <cellStyle name="Comma 7 2 2 3 2 3" xfId="3661" xr:uid="{00000000-0005-0000-0000-00009A020000}"/>
    <cellStyle name="Comma 7 2 2 3 2 4" xfId="5607" xr:uid="{F2C21B10-845E-4AC6-B077-E2669363A096}"/>
    <cellStyle name="Comma 7 2 2 3 2 4 2" xfId="29953" xr:uid="{D1E25D06-EBB3-4F98-B33B-12157C3439B0}"/>
    <cellStyle name="Comma 7 2 2 3 2 5" xfId="25149" xr:uid="{7D6ACC14-6C55-49B6-8559-C16E994917CA}"/>
    <cellStyle name="Comma 7 2 2 3 2 6" xfId="13563" xr:uid="{16BCFE47-E61A-41F6-8483-69C4078089DB}"/>
    <cellStyle name="Comma 7 2 2 3 3" xfId="1724" xr:uid="{00000000-0005-0000-0000-00009B020000}"/>
    <cellStyle name="Comma 7 2 2 3 3 2" xfId="2678" xr:uid="{00000000-0005-0000-0000-00000C020000}"/>
    <cellStyle name="Comma 7 2 2 3 3 2 2" xfId="7802" xr:uid="{DF6CA789-4DE1-45D0-BDAF-3D8F804FE9FA}"/>
    <cellStyle name="Comma 7 2 2 3 3 2 2 2" xfId="18182" xr:uid="{0AC53ECD-88D9-43D1-B57F-0DA34582FB5C}"/>
    <cellStyle name="Comma 7 2 2 3 3 2 3" xfId="10635" xr:uid="{CA9C5A46-7930-428C-8A09-2292D1634FA8}"/>
    <cellStyle name="Comma 7 2 2 3 3 2 3 2" xfId="21015" xr:uid="{43B5C597-4556-420A-8485-9148A41BC6BF}"/>
    <cellStyle name="Comma 7 2 2 3 3 2 4" xfId="15349" xr:uid="{FF6B8561-0DBC-45D9-8E58-3EF3059F7A44}"/>
    <cellStyle name="Comma 7 2 2 3 3 2 5" xfId="30436" xr:uid="{05238282-1775-49FC-85C1-8ED1502C2358}"/>
    <cellStyle name="Comma 7 2 2 3 3 3" xfId="3609" xr:uid="{00000000-0005-0000-0000-00009B020000}"/>
    <cellStyle name="Comma 7 2 2 3 3 4" xfId="5608" xr:uid="{BC4ED24D-C538-4B6F-951C-1BD6831C47CE}"/>
    <cellStyle name="Comma 7 2 2 3 3 4 2" xfId="29904" xr:uid="{8D00CB34-EEFC-4608-9CEE-C41B70B1020A}"/>
    <cellStyle name="Comma 7 2 2 3 3 5" xfId="23731" xr:uid="{5BC7F251-15BA-4BEA-B372-4A43F049C81F}"/>
    <cellStyle name="Comma 7 2 2 3 3 6" xfId="13086" xr:uid="{65046EA5-B577-4019-B32B-66A9B5D671AC}"/>
    <cellStyle name="Comma 7 2 2 3 4" xfId="1722" xr:uid="{00000000-0005-0000-0000-00009C020000}"/>
    <cellStyle name="Comma 7 2 2 3 4 2" xfId="4654" xr:uid="{5356B861-7AE1-4E33-8A08-0DE134BEFE34}"/>
    <cellStyle name="Comma 7 2 2 3 4 2 2" xfId="9406" xr:uid="{C61F9AEB-2CF2-45AB-8439-B80D44269620}"/>
    <cellStyle name="Comma 7 2 2 3 4 2 2 2" xfId="19786" xr:uid="{3B27F928-8CE1-4D67-AD96-FCB9AC8D097C}"/>
    <cellStyle name="Comma 7 2 2 3 4 2 3" xfId="12239" xr:uid="{B4521F81-AD1D-4AFF-80B3-261CD4D0205C}"/>
    <cellStyle name="Comma 7 2 2 3 4 2 3 2" xfId="22619" xr:uid="{5677930C-C401-4645-830D-A0B77C4C5D24}"/>
    <cellStyle name="Comma 7 2 2 3 4 2 4" xfId="27840" xr:uid="{7241895C-BB31-41E7-8E3B-F88BE0AC858A}"/>
    <cellStyle name="Comma 7 2 2 3 4 2 5" xfId="27522" xr:uid="{B67D4C20-6BD0-4B33-8818-C8EF6F28CD13}"/>
    <cellStyle name="Comma 7 2 2 3 4 2 6" xfId="16953" xr:uid="{B8D7D11B-AD17-4B7D-9F45-79219B68447A}"/>
    <cellStyle name="Comma 7 2 2 3 4 3" xfId="23415" xr:uid="{B3D99E58-3E40-48D6-AE5D-5AA65E3459AF}"/>
    <cellStyle name="Comma 7 2 2 3 5" xfId="4129" xr:uid="{877DD0B7-91C8-4047-8AB6-6A0439980FEB}"/>
    <cellStyle name="Comma 7 2 2 3 5 2" xfId="8901" xr:uid="{508AE782-02EB-43C0-B39B-7479CE7035C5}"/>
    <cellStyle name="Comma 7 2 2 3 5 2 2" xfId="29009" xr:uid="{56E699DF-9D15-4187-925C-C45DA86ACF35}"/>
    <cellStyle name="Comma 7 2 2 3 5 2 3" xfId="27387" xr:uid="{39450833-A300-4B1D-A9D8-61A6D6F6F351}"/>
    <cellStyle name="Comma 7 2 2 3 5 2 4" xfId="19281" xr:uid="{08EEC60C-0099-4E6B-80B6-8C5B3885AA62}"/>
    <cellStyle name="Comma 7 2 2 3 5 2 5" xfId="31013" xr:uid="{E512D330-B569-42B6-B9FD-CEFB02E870B3}"/>
    <cellStyle name="Comma 7 2 2 3 5 3" xfId="11734" xr:uid="{C64CFF5A-B182-4A4F-BA3A-F22E702A79C9}"/>
    <cellStyle name="Comma 7 2 2 3 5 3 2" xfId="22114" xr:uid="{14E9F653-AE5C-4638-A4B3-0B269A475DAB}"/>
    <cellStyle name="Comma 7 2 2 3 5 4" xfId="26890" xr:uid="{B69E732D-8DB3-42AC-96F1-7CDB6781D1AE}"/>
    <cellStyle name="Comma 7 2 2 3 5 5" xfId="16448" xr:uid="{4209CE48-A415-4F6C-8913-F6CCC6C937C6}"/>
    <cellStyle name="Comma 7 2 2 3 6" xfId="4897" xr:uid="{D878CDF5-7139-4AE6-BD55-5F63DCE4E7EC}"/>
    <cellStyle name="Comma 7 2 2 3 6 2" xfId="26020" xr:uid="{A8A868A9-3F59-47A1-AD5E-86D633A124B0}"/>
    <cellStyle name="Comma 7 2 2 3 6 3" xfId="28562" xr:uid="{383A136F-0150-476E-BFCB-F08B3B3269E0}"/>
    <cellStyle name="Comma 7 2 2 3 6 4" xfId="14189" xr:uid="{D18CF7B1-2A7B-4E39-BF5C-0BCE434C80AE}"/>
    <cellStyle name="Comma 7 2 2 3 7" xfId="6642" xr:uid="{D8872408-E6CD-4F1C-BAC2-A1BB6E368BAD}"/>
    <cellStyle name="Comma 7 2 2 3 7 2" xfId="26402" xr:uid="{3942AAA6-0FB2-446F-A804-53E939F1C7FD}"/>
    <cellStyle name="Comma 7 2 2 3 7 3" xfId="25994" xr:uid="{EA0CE032-A618-4632-8989-F8BBC25A4014}"/>
    <cellStyle name="Comma 7 2 2 3 7 4" xfId="17022" xr:uid="{A49136E5-4F8C-4C15-BA3B-8BB7F5B11DF4}"/>
    <cellStyle name="Comma 7 2 2 3 8" xfId="9475" xr:uid="{9720792E-05E4-4E0E-AF59-45DF63CACFC8}"/>
    <cellStyle name="Comma 7 2 2 3 8 2" xfId="19855" xr:uid="{6CA6B623-5B51-4DC1-9D5B-071502C6844E}"/>
    <cellStyle name="Comma 7 2 2 3 9" xfId="24196" xr:uid="{1E1A7BCD-344F-44B6-BD92-656BCA728504}"/>
    <cellStyle name="Comma 7 2 2 4" xfId="1725" xr:uid="{00000000-0005-0000-0000-00009D020000}"/>
    <cellStyle name="Comma 7 2 2 4 2" xfId="3057" xr:uid="{00000000-0005-0000-0000-00000D020000}"/>
    <cellStyle name="Comma 7 2 2 4 2 2" xfId="8137" xr:uid="{79932F5E-9580-48F1-8529-90BCD53E877D}"/>
    <cellStyle name="Comma 7 2 2 4 2 2 2" xfId="28813" xr:uid="{8088152D-8BD2-4879-A03F-A4091A89BE31}"/>
    <cellStyle name="Comma 7 2 2 4 2 2 2 2" xfId="31224" xr:uid="{510942B6-0D2C-405B-ABD3-31DD104B2B1D}"/>
    <cellStyle name="Comma 7 2 2 4 2 2 2 3" xfId="30746" xr:uid="{3CE79F9A-1CEF-4341-8F09-994E691C3E10}"/>
    <cellStyle name="Comma 7 2 2 4 2 2 3" xfId="26528" xr:uid="{5B02E49F-8440-4266-9801-4CAA6E4A26A9}"/>
    <cellStyle name="Comma 7 2 2 4 2 2 4" xfId="18517" xr:uid="{D7CBCCF5-8558-455B-A543-8CE073895AFD}"/>
    <cellStyle name="Comma 7 2 2 4 2 3" xfId="10970" xr:uid="{A2A86666-6078-442D-B35E-F7D351511B16}"/>
    <cellStyle name="Comma 7 2 2 4 2 3 2" xfId="21350" xr:uid="{C2A68EA7-6557-4E95-9A49-BED1CFA33D9A}"/>
    <cellStyle name="Comma 7 2 2 4 2 4" xfId="25663" xr:uid="{9629754C-A6E0-498B-8488-5138591471D4}"/>
    <cellStyle name="Comma 7 2 2 4 2 5" xfId="15684" xr:uid="{7DE48EB4-3A3C-4CF8-AD0F-9988B6357B55}"/>
    <cellStyle name="Comma 7 2 2 4 3" xfId="3680" xr:uid="{00000000-0005-0000-0000-00009D020000}"/>
    <cellStyle name="Comma 7 2 2 4 4" xfId="4409" xr:uid="{2884BD95-8C96-4C48-BFE0-B4B8C01AC220}"/>
    <cellStyle name="Comma 7 2 2 4 4 2" xfId="9181" xr:uid="{51D2ED3C-38AC-433A-8617-49E6706C9BEB}"/>
    <cellStyle name="Comma 7 2 2 4 4 2 2" xfId="19561" xr:uid="{EB9E0A14-A346-4595-B7BB-C9951BF96F16}"/>
    <cellStyle name="Comma 7 2 2 4 4 2 3" xfId="31075" xr:uid="{786407AF-304B-44BB-91C9-41B73DBEF52E}"/>
    <cellStyle name="Comma 7 2 2 4 4 2 4" xfId="30745" xr:uid="{5E54725C-897D-40F1-8695-19F030094CFB}"/>
    <cellStyle name="Comma 7 2 2 4 4 3" xfId="12014" xr:uid="{074143B9-EF08-49BE-8B75-306F0534EF6B}"/>
    <cellStyle name="Comma 7 2 2 4 4 3 2" xfId="22394" xr:uid="{3FECC5C3-10F9-4369-9243-B299ED0F971F}"/>
    <cellStyle name="Comma 7 2 2 4 4 4" xfId="27638" xr:uid="{56D38DD3-ADC5-4B8B-88E4-C6F4CB1740A2}"/>
    <cellStyle name="Comma 7 2 2 4 4 5" xfId="26102" xr:uid="{00EEF17C-FBC2-431A-A330-61A8937C351F}"/>
    <cellStyle name="Comma 7 2 2 4 4 6" xfId="16728" xr:uid="{1EECA979-426B-44BC-8F1B-4D50B564DF24}"/>
    <cellStyle name="Comma 7 2 2 4 5" xfId="5609" xr:uid="{AA8E1380-6EDE-4CFE-9E40-364B1E2958CC}"/>
    <cellStyle name="Comma 7 2 2 4 5 2" xfId="29695" xr:uid="{C51DD962-D486-41B6-AEF9-F352089D8979}"/>
    <cellStyle name="Comma 7 2 2 4 5 2 2" xfId="30972" xr:uid="{B554B0FB-577C-43D4-A599-63A4BA115F07}"/>
    <cellStyle name="Comma 7 2 2 4 6" xfId="23541" xr:uid="{6D5C53B2-FBEB-459F-9948-CB95D208CCAF}"/>
    <cellStyle name="Comma 7 2 2 4 7" xfId="13564" xr:uid="{C2F9C43F-40DF-4C76-97DD-2A17504A1907}"/>
    <cellStyle name="Comma 7 2 2 5" xfId="1726" xr:uid="{00000000-0005-0000-0000-00009E020000}"/>
    <cellStyle name="Comma 7 2 2 5 2" xfId="2875" xr:uid="{00000000-0005-0000-0000-00000E020000}"/>
    <cellStyle name="Comma 7 2 2 5 2 2" xfId="7992" xr:uid="{4F6B9913-684D-4727-8F75-69891E0FA4B4}"/>
    <cellStyle name="Comma 7 2 2 5 2 2 2" xfId="26734" xr:uid="{4DBFEF5A-2872-4625-9421-D24713D43C63}"/>
    <cellStyle name="Comma 7 2 2 5 2 2 2 2" xfId="31184" xr:uid="{FC14198E-000A-4F8E-9452-58AE2CA30190}"/>
    <cellStyle name="Comma 7 2 2 5 2 2 2 3" xfId="30747" xr:uid="{A5AC0F89-1883-4D8B-B375-FC2E34278669}"/>
    <cellStyle name="Comma 7 2 2 5 2 2 3" xfId="26064" xr:uid="{C7FAD55E-F70A-48BB-B368-DD9D077C9848}"/>
    <cellStyle name="Comma 7 2 2 5 2 2 4" xfId="18372" xr:uid="{52C4C18F-CE18-4336-BC90-203CB3284521}"/>
    <cellStyle name="Comma 7 2 2 5 2 3" xfId="10825" xr:uid="{86A97B90-213B-4491-B6A5-A7829C1DC02F}"/>
    <cellStyle name="Comma 7 2 2 5 2 3 2" xfId="21205" xr:uid="{3E5B3E22-8411-48E5-B009-F61566C96075}"/>
    <cellStyle name="Comma 7 2 2 5 2 4" xfId="27969" xr:uid="{D934AE7B-A4F7-45D2-9452-321EA8E1AD95}"/>
    <cellStyle name="Comma 7 2 2 5 2 5" xfId="15539" xr:uid="{99BA62F0-498E-4818-AE98-9AC3BADEA644}"/>
    <cellStyle name="Comma 7 2 2 5 3" xfId="3664" xr:uid="{00000000-0005-0000-0000-00009E020000}"/>
    <cellStyle name="Comma 7 2 2 5 4" xfId="5610" xr:uid="{55EE2DA4-A930-4586-860A-CC8C50FBE5EB}"/>
    <cellStyle name="Comma 7 2 2 5 4 2" xfId="29924" xr:uid="{A6817449-271B-4CF5-A4A3-F87834A3357F}"/>
    <cellStyle name="Comma 7 2 2 5 5" xfId="23494" xr:uid="{344966AD-C75E-4565-9D8C-65B71C58D1D3}"/>
    <cellStyle name="Comma 7 2 2 5 6" xfId="13371" xr:uid="{1239FB64-A269-4C61-9329-8F3A998CEBC3}"/>
    <cellStyle name="Comma 7 2 2 6" xfId="1718" xr:uid="{00000000-0005-0000-0000-00009F020000}"/>
    <cellStyle name="Comma 7 2 2 6 2" xfId="2553" xr:uid="{00000000-0005-0000-0000-00000F020000}"/>
    <cellStyle name="Comma 7 2 2 6 2 2" xfId="7678" xr:uid="{511DF218-10D3-41A3-89B2-F695E6F25ACC}"/>
    <cellStyle name="Comma 7 2 2 6 2 2 2" xfId="18058" xr:uid="{6004069A-33AE-4B86-B581-51C0F7D88F9C}"/>
    <cellStyle name="Comma 7 2 2 6 2 3" xfId="10511" xr:uid="{497BC43F-ABFB-46A9-A07C-8046F2D5D812}"/>
    <cellStyle name="Comma 7 2 2 6 2 3 2" xfId="20891" xr:uid="{5C3335A4-C0FD-452D-B831-470A2861F276}"/>
    <cellStyle name="Comma 7 2 2 6 2 4" xfId="27238" xr:uid="{1F324C63-9201-42AE-903D-289CC68FFA31}"/>
    <cellStyle name="Comma 7 2 2 6 2 5" xfId="26045" xr:uid="{86A3CDEC-0D3A-4062-A12C-B4566F55EDD6}"/>
    <cellStyle name="Comma 7 2 2 6 2 6" xfId="15225" xr:uid="{7DA14D5E-5C09-4907-AA5D-C6ADA3499B16}"/>
    <cellStyle name="Comma 7 2 2 6 3" xfId="2054" xr:uid="{00000000-0005-0000-0000-00009F020000}"/>
    <cellStyle name="Comma 7 2 2 6 4" xfId="5603" xr:uid="{60038AD0-6BE8-4865-B9B6-AD32EB2302CD}"/>
    <cellStyle name="Comma 7 2 2 6 4 2" xfId="29880" xr:uid="{E8ADF7C4-F8D2-4A89-906B-03E3C1A7B97B}"/>
    <cellStyle name="Comma 7 2 2 6 5" xfId="24801" xr:uid="{A5EB4658-B44E-47BD-80EB-AA6F6EDDBABE}"/>
    <cellStyle name="Comma 7 2 2 6 6" xfId="12941" xr:uid="{BE4D7BAC-6445-4734-AC38-348FDA98C210}"/>
    <cellStyle name="Comma 7 2 2 7" xfId="2247" xr:uid="{00000000-0005-0000-0000-000003020000}"/>
    <cellStyle name="Comma 7 2 2 7 2" xfId="7374" xr:uid="{0A111B7A-E81D-424D-93F3-A1B916F6B206}"/>
    <cellStyle name="Comma 7 2 2 7 2 2" xfId="25893" xr:uid="{3D667DB0-D6E6-4A70-BF42-4FBB51E74154}"/>
    <cellStyle name="Comma 7 2 2 7 2 2 2" xfId="31168" xr:uid="{868935A9-795E-4969-B715-257C032BF947}"/>
    <cellStyle name="Comma 7 2 2 7 2 2 3" xfId="30748" xr:uid="{C0A2DEC5-358A-4E0F-873B-906DEBD77BD4}"/>
    <cellStyle name="Comma 7 2 2 7 2 3" xfId="28631" xr:uid="{33470BA6-13F0-4CAA-8D70-DA911E3060B6}"/>
    <cellStyle name="Comma 7 2 2 7 2 4" xfId="17754" xr:uid="{044D9C97-1D62-4CAB-9159-3ACBE2736603}"/>
    <cellStyle name="Comma 7 2 2 7 3" xfId="10207" xr:uid="{1BC0BCFE-BB52-4B67-AA21-6840686D4F59}"/>
    <cellStyle name="Comma 7 2 2 7 3 2" xfId="20587" xr:uid="{8F17904A-0E3E-47D7-A407-A0DF32549C9E}"/>
    <cellStyle name="Comma 7 2 2 7 4" xfId="25080" xr:uid="{7D39C3BA-B1B2-41F6-BD33-4BBF2AF309A4}"/>
    <cellStyle name="Comma 7 2 2 7 5" xfId="14921" xr:uid="{F2893B11-4C57-4B13-910A-C78E21261ED0}"/>
    <cellStyle name="Comma 7 2 2 8" xfId="3870" xr:uid="{3E5C70AC-0E52-4D30-97B8-177BC30558FD}"/>
    <cellStyle name="Comma 7 2 2 8 2" xfId="8702" xr:uid="{1DF26086-E6D6-46BB-B3D5-9CA7B3E1C7BB}"/>
    <cellStyle name="Comma 7 2 2 8 2 2" xfId="19082" xr:uid="{822059CC-170D-49E2-A8CE-24D298477B31}"/>
    <cellStyle name="Comma 7 2 2 8 3" xfId="11535" xr:uid="{F6DFD62A-5711-43E9-8060-0F22CCA3C240}"/>
    <cellStyle name="Comma 7 2 2 8 3 2" xfId="21915" xr:uid="{58C42CCD-D5F7-42B2-9D23-79A52F8A1A51}"/>
    <cellStyle name="Comma 7 2 2 8 4" xfId="28303" xr:uid="{F97E2B0D-F2EA-4A21-8D3C-320537C9CB57}"/>
    <cellStyle name="Comma 7 2 2 8 5" xfId="28031" xr:uid="{9085F826-80DB-438C-B89D-6546D59AF92F}"/>
    <cellStyle name="Comma 7 2 2 8 6" xfId="16249" xr:uid="{D3E7F2A1-878F-4CC9-8BAC-43A374FE8C04}"/>
    <cellStyle name="Comma 7 2 2 9" xfId="4895" xr:uid="{4DFEC7DB-B081-428A-8B77-89C1B1AA1200}"/>
    <cellStyle name="Comma 7 2 2 9 2" xfId="26377" xr:uid="{9BB1FB6C-B00A-4ACE-BB8F-92CA74CD27D6}"/>
    <cellStyle name="Comma 7 2 2 9 3" xfId="28246" xr:uid="{FAF7AA94-202C-4370-BBA3-E9C59EA1FA8A}"/>
    <cellStyle name="Comma 7 2 2 9 4" xfId="14187" xr:uid="{5A687EC5-4251-4604-8602-52EBD6AE30D7}"/>
    <cellStyle name="Comma 7 2 3" xfId="507" xr:uid="{00000000-0005-0000-0000-0000A0020000}"/>
    <cellStyle name="Comma 7 2 3 10" xfId="9476" xr:uid="{9A1EE7D6-C029-4AB9-A969-2BA6818C8415}"/>
    <cellStyle name="Comma 7 2 3 10 2" xfId="19856" xr:uid="{51A573A9-F72F-4EF7-8550-32B5AF735BD6}"/>
    <cellStyle name="Comma 7 2 3 11" xfId="23201" xr:uid="{A3085440-9DAC-41F5-B662-E357843B7000}"/>
    <cellStyle name="Comma 7 2 3 12" xfId="12514" xr:uid="{28831415-CA58-4F90-B505-6EF8E940A66B}"/>
    <cellStyle name="Comma 7 2 3 2" xfId="1728" xr:uid="{00000000-0005-0000-0000-0000A1020000}"/>
    <cellStyle name="Comma 7 2 3 2 2" xfId="3059" xr:uid="{00000000-0005-0000-0000-000012020000}"/>
    <cellStyle name="Comma 7 2 3 2 2 2" xfId="6167" xr:uid="{3D1BB39A-3BE3-4005-9137-0D2C1CF87CF9}"/>
    <cellStyle name="Comma 7 2 3 2 2 2 2" xfId="25762" xr:uid="{316FF5C7-2B37-4870-B6B2-DFE4297A211E}"/>
    <cellStyle name="Comma 7 2 3 2 2 2 2 2" xfId="26440" xr:uid="{0BA1EC53-1CE3-4703-B000-7F9D92004D12}"/>
    <cellStyle name="Comma 7 2 3 2 2 2 2 3" xfId="31164" xr:uid="{C56FF428-67DB-4E35-8FFF-769DCB0D3C42}"/>
    <cellStyle name="Comma 7 2 3 2 2 2 3" xfId="28541" xr:uid="{E85FCAA5-7D0F-4031-91D6-C7896D217910}"/>
    <cellStyle name="Comma 7 2 3 2 2 2 4" xfId="15686" xr:uid="{C1FBB8FC-223C-45A8-99CA-92BA6AF463C5}"/>
    <cellStyle name="Comma 7 2 3 2 2 3" xfId="8139" xr:uid="{2973F88F-A6E1-45E5-B16C-3F4539239A22}"/>
    <cellStyle name="Comma 7 2 3 2 2 3 2" xfId="18519" xr:uid="{D967F906-A1D0-4172-B366-44AF5DDC14C4}"/>
    <cellStyle name="Comma 7 2 3 2 2 4" xfId="10972" xr:uid="{8B31D45B-778C-4090-8F6C-83F37C85A7D2}"/>
    <cellStyle name="Comma 7 2 3 2 2 4 2" xfId="21352" xr:uid="{C7ADC56C-2AE9-4D69-B395-4FDC3C4D1559}"/>
    <cellStyle name="Comma 7 2 3 2 2 5" xfId="23426" xr:uid="{A678EA77-348C-42CF-BBAD-179C4B03D329}"/>
    <cellStyle name="Comma 7 2 3 2 2 5 2" xfId="30072" xr:uid="{CA91868D-1CB6-464E-8CBF-4DCD3DCE018A}"/>
    <cellStyle name="Comma 7 2 3 2 2 6" xfId="28625" xr:uid="{3E47D2C0-5F25-4679-93BB-CCDF18DDD730}"/>
    <cellStyle name="Comma 7 2 3 2 2 7" xfId="13566" xr:uid="{E4A03419-9976-4CDD-BE52-9C868E540586}"/>
    <cellStyle name="Comma 7 2 3 2 3" xfId="2680" xr:uid="{00000000-0005-0000-0000-000011020000}"/>
    <cellStyle name="Comma 7 2 3 2 3 2" xfId="7804" xr:uid="{B0EBD1CB-FB67-4C13-8BE8-49AF77AFAE80}"/>
    <cellStyle name="Comma 7 2 3 2 3 2 2" xfId="26445" xr:uid="{84B21BBA-EEFF-4F82-B9D0-0102C2AA2028}"/>
    <cellStyle name="Comma 7 2 3 2 3 2 3" xfId="28100" xr:uid="{E2998CDD-8A94-4A0D-A7EC-C6F4E022FA6E}"/>
    <cellStyle name="Comma 7 2 3 2 3 2 4" xfId="18184" xr:uid="{5C0C3576-2C95-4198-A4E7-84111A4C940E}"/>
    <cellStyle name="Comma 7 2 3 2 3 3" xfId="10637" xr:uid="{CA16C7B1-DF6A-4EBB-B787-C0D297536080}"/>
    <cellStyle name="Comma 7 2 3 2 3 3 2" xfId="21017" xr:uid="{DE856001-DDF3-41DB-8B31-FF6E1CF1FF49}"/>
    <cellStyle name="Comma 7 2 3 2 3 4" xfId="24726" xr:uid="{3D1B4EA1-45C2-437A-B500-A52569CE8785}"/>
    <cellStyle name="Comma 7 2 3 2 3 5" xfId="15351" xr:uid="{C3C939CB-FB45-4728-982A-733B2CDD9502}"/>
    <cellStyle name="Comma 7 2 3 2 4" xfId="3572" xr:uid="{00000000-0005-0000-0000-0000A1020000}"/>
    <cellStyle name="Comma 7 2 3 2 4 2" xfId="27494" xr:uid="{E74C66D3-BDDD-4527-9E91-499D01B416C2}"/>
    <cellStyle name="Comma 7 2 3 2 4 3" xfId="26596" xr:uid="{6A9E456A-B61A-489A-9460-E446CE99DB04}"/>
    <cellStyle name="Comma 7 2 3 2 5" xfId="4264" xr:uid="{2A99CC70-A246-4DA0-9BEB-785BD96D665B}"/>
    <cellStyle name="Comma 7 2 3 2 5 2" xfId="9036" xr:uid="{A74E6E0D-F160-4EDC-A927-A8D788DDB4A0}"/>
    <cellStyle name="Comma 7 2 3 2 5 2 2" xfId="19416" xr:uid="{BD96A8F4-C2A0-41F4-9E4C-83662DAB7A81}"/>
    <cellStyle name="Comma 7 2 3 2 5 2 3" xfId="31040" xr:uid="{75B026AB-7DD8-43E2-9850-05B56B1C9A25}"/>
    <cellStyle name="Comma 7 2 3 2 5 2 4" xfId="30749" xr:uid="{3152E72E-1085-4AC3-8737-1EDAD6857F17}"/>
    <cellStyle name="Comma 7 2 3 2 5 3" xfId="11869" xr:uid="{176C1908-BD14-480D-8D63-CA0ED9B0AD99}"/>
    <cellStyle name="Comma 7 2 3 2 5 3 2" xfId="22249" xr:uid="{7922417B-368A-4540-B1BF-26A882939E9B}"/>
    <cellStyle name="Comma 7 2 3 2 5 4" xfId="27862" xr:uid="{FC47FD16-5367-4145-BA0C-07B44C4F0EBA}"/>
    <cellStyle name="Comma 7 2 3 2 5 5" xfId="27583" xr:uid="{CCAA9180-D060-4ED8-AF68-4C119E44468E}"/>
    <cellStyle name="Comma 7 2 3 2 5 6" xfId="16583" xr:uid="{D62F26F6-0D44-420C-91AE-75F6FFD9E244}"/>
    <cellStyle name="Comma 7 2 3 2 6" xfId="5612" xr:uid="{86CDC6DC-A307-48F6-9100-257FBDE1EE07}"/>
    <cellStyle name="Comma 7 2 3 2 6 2" xfId="29723" xr:uid="{3978CA91-463F-4FB3-83B5-1A479610C314}"/>
    <cellStyle name="Comma 7 2 3 2 6 2 2" xfId="30973" xr:uid="{FBC6C47D-C56E-4878-A380-938D7859EBA3}"/>
    <cellStyle name="Comma 7 2 3 2 7" xfId="24740" xr:uid="{113CF7D5-3CC3-4C78-AA45-6BB36B301A7F}"/>
    <cellStyle name="Comma 7 2 3 2 8" xfId="13088" xr:uid="{84212721-431A-4A5B-A3B6-C12D2C24C27E}"/>
    <cellStyle name="Comma 7 2 3 2 9" xfId="29990" xr:uid="{E6F54CCC-E5B6-4A92-8CFB-C7AA169FBB12}"/>
    <cellStyle name="Comma 7 2 3 3" xfId="1729" xr:uid="{00000000-0005-0000-0000-0000A2020000}"/>
    <cellStyle name="Comma 7 2 3 3 2" xfId="3060" xr:uid="{00000000-0005-0000-0000-000013020000}"/>
    <cellStyle name="Comma 7 2 3 3 2 2" xfId="8140" xr:uid="{6DAF77EB-FB96-4AC8-BEE8-6FEAC97173DB}"/>
    <cellStyle name="Comma 7 2 3 3 2 2 2" xfId="28815" xr:uid="{72C055C4-39FE-4BAF-9ABB-F310BE8341FA}"/>
    <cellStyle name="Comma 7 2 3 3 2 2 2 2" xfId="31225" xr:uid="{C8EBC6BE-55BB-4085-B6E1-FC370F250ABF}"/>
    <cellStyle name="Comma 7 2 3 3 2 2 2 3" xfId="30751" xr:uid="{D91F4771-FE89-42CC-ACEC-7AC06163A138}"/>
    <cellStyle name="Comma 7 2 3 3 2 2 3" xfId="28221" xr:uid="{708B1898-A359-47D4-B173-0705408D1A01}"/>
    <cellStyle name="Comma 7 2 3 3 2 2 4" xfId="18520" xr:uid="{177D7A2C-5452-4A0F-B0A5-9148CA5FD390}"/>
    <cellStyle name="Comma 7 2 3 3 2 3" xfId="10973" xr:uid="{CF23F9BB-E2C2-467A-AF01-34347383401B}"/>
    <cellStyle name="Comma 7 2 3 3 2 3 2" xfId="21353" xr:uid="{0A5A92A7-0214-4E75-AF35-1495ECB17C0F}"/>
    <cellStyle name="Comma 7 2 3 3 2 4" xfId="23391" xr:uid="{298BF98D-F159-49C5-B22D-BE5AD390A8AC}"/>
    <cellStyle name="Comma 7 2 3 3 2 5" xfId="15687" xr:uid="{9E81E762-4D76-4ADD-BF8D-521D2D21A73D}"/>
    <cellStyle name="Comma 7 2 3 3 3" xfId="3565" xr:uid="{00000000-0005-0000-0000-0000A2020000}"/>
    <cellStyle name="Comma 7 2 3 3 4" xfId="4410" xr:uid="{B4AA6C36-AE1E-44DC-994E-4825DBBD8F35}"/>
    <cellStyle name="Comma 7 2 3 3 4 2" xfId="9182" xr:uid="{85587B4D-CAD4-4032-8AD5-A59B4106C247}"/>
    <cellStyle name="Comma 7 2 3 3 4 2 2" xfId="19562" xr:uid="{7534E3E2-ADF5-4EAE-B6DD-2F9EF213E93F}"/>
    <cellStyle name="Comma 7 2 3 3 4 2 3" xfId="31076" xr:uid="{135B9B38-57A7-4FCB-B543-F2903615F848}"/>
    <cellStyle name="Comma 7 2 3 3 4 2 4" xfId="30750" xr:uid="{C0FDE45D-0A74-4B48-B868-CC3A381D3938}"/>
    <cellStyle name="Comma 7 2 3 3 4 3" xfId="12015" xr:uid="{06A06909-35C8-4873-987F-AACAE88E6A0D}"/>
    <cellStyle name="Comma 7 2 3 3 4 3 2" xfId="22395" xr:uid="{C8309B11-D9E9-4E6B-BE78-44B8F03D00F4}"/>
    <cellStyle name="Comma 7 2 3 3 4 4" xfId="16729" xr:uid="{3FE30A88-23F4-429B-971D-5405FB557D2F}"/>
    <cellStyle name="Comma 7 2 3 3 5" xfId="5613" xr:uid="{0B567FCE-3EAD-430A-ADFC-79476E3F8D8B}"/>
    <cellStyle name="Comma 7 2 3 3 5 2" xfId="29700" xr:uid="{8F0345B5-C42A-4F97-AC9E-5A49983112D6}"/>
    <cellStyle name="Comma 7 2 3 3 5 2 2" xfId="30974" xr:uid="{49AB00ED-D3D7-42C2-B932-B7FA414535C5}"/>
    <cellStyle name="Comma 7 2 3 3 6" xfId="22735" xr:uid="{7F3E24BF-5A0E-4D79-A227-E0F794633307}"/>
    <cellStyle name="Comma 7 2 3 3 7" xfId="13567" xr:uid="{87DECCAD-5422-434D-BCDF-8063B4A346C0}"/>
    <cellStyle name="Comma 7 2 3 4" xfId="1727" xr:uid="{00000000-0005-0000-0000-0000A3020000}"/>
    <cellStyle name="Comma 7 2 3 4 2" xfId="3058" xr:uid="{00000000-0005-0000-0000-000014020000}"/>
    <cellStyle name="Comma 7 2 3 4 2 2" xfId="8138" xr:uid="{A8203D9E-E043-4B8A-BF67-57D3E61E6E7D}"/>
    <cellStyle name="Comma 7 2 3 4 2 2 2" xfId="28814" xr:uid="{F0E91839-7605-4CCB-A5B1-E1A2CC00B1DC}"/>
    <cellStyle name="Comma 7 2 3 4 2 2 3" xfId="26227" xr:uid="{D198E1A3-1E03-417A-9006-F3344715DFEA}"/>
    <cellStyle name="Comma 7 2 3 4 2 2 4" xfId="18518" xr:uid="{57346C15-DEEB-4790-B4C1-7FAB484851C6}"/>
    <cellStyle name="Comma 7 2 3 4 2 3" xfId="10971" xr:uid="{CEFFE88F-6E64-4128-9614-3DE420D09D09}"/>
    <cellStyle name="Comma 7 2 3 4 2 3 2" xfId="21351" xr:uid="{756BA5ED-BEDD-4A1C-ADDC-B0A7EB7277EF}"/>
    <cellStyle name="Comma 7 2 3 4 2 4" xfId="25703" xr:uid="{1F9F094F-723B-46B5-9CA0-C2DD8CF7C7C3}"/>
    <cellStyle name="Comma 7 2 3 4 2 5" xfId="15685" xr:uid="{2A2B50CF-0E31-4926-9228-892F3D69281D}"/>
    <cellStyle name="Comma 7 2 3 4 3" xfId="3601" xr:uid="{00000000-0005-0000-0000-0000A3020000}"/>
    <cellStyle name="Comma 7 2 3 4 4" xfId="5611" xr:uid="{B015D05F-1EF5-4A33-9017-141199658DDE}"/>
    <cellStyle name="Comma 7 2 3 4 4 2" xfId="29954" xr:uid="{6F5E6FF8-BD18-41B0-9298-1562BF4F1B7A}"/>
    <cellStyle name="Comma 7 2 3 4 5" xfId="23295" xr:uid="{A2C967C4-EA4B-4F18-A429-9C1E97BD0EC3}"/>
    <cellStyle name="Comma 7 2 3 4 6" xfId="13565" xr:uid="{260DE583-A7E0-4BE6-BE16-F57B406F1EBB}"/>
    <cellStyle name="Comma 7 2 3 5" xfId="2596" xr:uid="{00000000-0005-0000-0000-000015020000}"/>
    <cellStyle name="Comma 7 2 3 5 2" xfId="5861" xr:uid="{DCA6FFBF-13D6-4EB6-9BC2-24CAD4DEF891}"/>
    <cellStyle name="Comma 7 2 3 5 2 2" xfId="26663" xr:uid="{747733F0-5315-4476-965E-D92D7DE4A8B1}"/>
    <cellStyle name="Comma 7 2 3 5 2 2 2" xfId="31182" xr:uid="{20ACC1DA-DDA0-4DFF-BBE4-E7B9006F30B2}"/>
    <cellStyle name="Comma 7 2 3 5 2 2 3" xfId="30752" xr:uid="{D28CA131-6C32-427C-80B1-1949D54DB141}"/>
    <cellStyle name="Comma 7 2 3 5 2 3" xfId="25962" xr:uid="{D17284AE-DAD2-4375-966B-799D91095B07}"/>
    <cellStyle name="Comma 7 2 3 5 2 4" xfId="15268" xr:uid="{D91D6154-E1B9-4EC6-BBBD-F60F6FD5A178}"/>
    <cellStyle name="Comma 7 2 3 5 3" xfId="7721" xr:uid="{CA472964-12B8-44F9-9DB3-E23253F45684}"/>
    <cellStyle name="Comma 7 2 3 5 3 2" xfId="18101" xr:uid="{F2F47DE1-F74C-4E0E-BE63-BE508F071316}"/>
    <cellStyle name="Comma 7 2 3 5 4" xfId="10554" xr:uid="{F69A24F4-5378-4805-AA93-7CBAAD0869DA}"/>
    <cellStyle name="Comma 7 2 3 5 4 2" xfId="20934" xr:uid="{DF1FA347-EFD0-4A21-99B8-3744DD0E6CBA}"/>
    <cellStyle name="Comma 7 2 3 5 5" xfId="24914" xr:uid="{83E8E163-ACD3-4505-A590-F3D0B6F827E6}"/>
    <cellStyle name="Comma 7 2 3 5 6" xfId="12984" xr:uid="{3A212F0B-0751-4EF9-BCD0-D99948C74859}"/>
    <cellStyle name="Comma 7 2 3 6" xfId="2282" xr:uid="{00000000-0005-0000-0000-000010020000}"/>
    <cellStyle name="Comma 7 2 3 6 2" xfId="7409" xr:uid="{B4A9D789-B2EE-4B47-B9A1-7E513E25A26A}"/>
    <cellStyle name="Comma 7 2 3 6 2 2" xfId="17789" xr:uid="{AC686961-C587-431C-BF82-8F93915F1A31}"/>
    <cellStyle name="Comma 7 2 3 6 3" xfId="10242" xr:uid="{0338E169-2F5F-4093-A5DC-CE942BEFF0F1}"/>
    <cellStyle name="Comma 7 2 3 6 3 2" xfId="20622" xr:uid="{F2E16EE8-6B9C-4324-B188-957791626B0F}"/>
    <cellStyle name="Comma 7 2 3 6 4" xfId="22780" xr:uid="{38695AE0-4EA9-4DC8-957A-0D8720EF8BD4}"/>
    <cellStyle name="Comma 7 2 3 6 5" xfId="25940" xr:uid="{55CE7175-F668-4D91-BF21-F392D9022484}"/>
    <cellStyle name="Comma 7 2 3 6 6" xfId="14956" xr:uid="{532DAA4E-429B-4A50-BD7B-BDEBDF65A81B}"/>
    <cellStyle name="Comma 7 2 3 7" xfId="3821" xr:uid="{7C51F2B8-CC43-45CA-B458-319A66C14278}"/>
    <cellStyle name="Comma 7 2 3 7 2" xfId="8654" xr:uid="{4A191CAA-6F56-4637-B13D-626DFABA59C3}"/>
    <cellStyle name="Comma 7 2 3 7 2 2" xfId="19034" xr:uid="{16DF19C1-C7F4-4AC9-9576-AA1D869283EE}"/>
    <cellStyle name="Comma 7 2 3 7 3" xfId="11487" xr:uid="{CBE1CE50-7D32-47DF-B101-472B84563998}"/>
    <cellStyle name="Comma 7 2 3 7 3 2" xfId="21867" xr:uid="{2A9D3C64-261B-4E3A-8DA7-B7F1014FB2C1}"/>
    <cellStyle name="Comma 7 2 3 7 4" xfId="28412" xr:uid="{DB70D8DA-2F1B-4D63-BF9A-D4AE8CD4D414}"/>
    <cellStyle name="Comma 7 2 3 7 5" xfId="27097" xr:uid="{C9998E32-78FF-4413-85A6-CA6AFF7772DE}"/>
    <cellStyle name="Comma 7 2 3 7 6" xfId="16201" xr:uid="{E4D98F7D-753A-43F1-8912-5551AE6EA406}"/>
    <cellStyle name="Comma 7 2 3 8" xfId="4898" xr:uid="{9A91274E-C3CE-47C3-B40C-A471000DA48E}"/>
    <cellStyle name="Comma 7 2 3 8 2" xfId="14190" xr:uid="{795A9D83-4AB8-4BED-AFF9-FF66176815DE}"/>
    <cellStyle name="Comma 7 2 3 9" xfId="6643" xr:uid="{3813FBD2-3F6E-409D-A87D-F462F655882B}"/>
    <cellStyle name="Comma 7 2 3 9 2" xfId="17023" xr:uid="{C5FDEBD5-83DC-4CFA-A902-FB84FCAA94D2}"/>
    <cellStyle name="Comma 7 2 4" xfId="508" xr:uid="{00000000-0005-0000-0000-0000A4020000}"/>
    <cellStyle name="Comma 7 2 4 10" xfId="12672" xr:uid="{0F75D37F-2AB0-46C8-BB5F-86CCD232BDC9}"/>
    <cellStyle name="Comma 7 2 4 2" xfId="1731" xr:uid="{00000000-0005-0000-0000-0000A5020000}"/>
    <cellStyle name="Comma 7 2 4 2 2" xfId="3061" xr:uid="{00000000-0005-0000-0000-000017020000}"/>
    <cellStyle name="Comma 7 2 4 2 2 2" xfId="8141" xr:uid="{A728D78D-D3BA-44A1-8EAC-AC5DE74B610A}"/>
    <cellStyle name="Comma 7 2 4 2 2 2 2" xfId="28816" xr:uid="{89AF36A5-0852-41A9-BB9C-4EA8DA930051}"/>
    <cellStyle name="Comma 7 2 4 2 2 2 3" xfId="28611" xr:uid="{DA8B76BE-83BD-4F2B-B209-FB3509ED7A52}"/>
    <cellStyle name="Comma 7 2 4 2 2 2 4" xfId="18521" xr:uid="{CE2BBE12-C50C-43BE-B73C-FBF019286217}"/>
    <cellStyle name="Comma 7 2 4 2 2 3" xfId="10974" xr:uid="{AEF5F852-AEC6-488B-BB8B-CB5A68A69607}"/>
    <cellStyle name="Comma 7 2 4 2 2 3 2" xfId="21354" xr:uid="{18923E47-6CA9-486E-9FC3-D0EF8E1044B0}"/>
    <cellStyle name="Comma 7 2 4 2 2 4" xfId="24492" xr:uid="{49EF89CE-2EBF-493D-B300-519FCF13E3FF}"/>
    <cellStyle name="Comma 7 2 4 2 2 5" xfId="15688" xr:uid="{07D45072-101C-4827-B8D1-A00007F60C66}"/>
    <cellStyle name="Comma 7 2 4 2 3" xfId="3578" xr:uid="{00000000-0005-0000-0000-0000A5020000}"/>
    <cellStyle name="Comma 7 2 4 2 4" xfId="5614" xr:uid="{B5F8E063-CC13-48F7-B354-52022C29F059}"/>
    <cellStyle name="Comma 7 2 4 2 4 2" xfId="29778" xr:uid="{717A8B57-F613-4934-A2BA-B4DA41722BE9}"/>
    <cellStyle name="Comma 7 2 4 2 5" xfId="24118" xr:uid="{23CFE5B5-814A-40B4-9D61-E5FD329C9B00}"/>
    <cellStyle name="Comma 7 2 4 2 6" xfId="13568" xr:uid="{A0F3A37A-EBFE-48B6-B3C3-4DFB0EB26A7A}"/>
    <cellStyle name="Comma 7 2 4 3" xfId="1732" xr:uid="{00000000-0005-0000-0000-0000A6020000}"/>
    <cellStyle name="Comma 7 2 4 3 2" xfId="2677" xr:uid="{00000000-0005-0000-0000-000018020000}"/>
    <cellStyle name="Comma 7 2 4 3 2 2" xfId="7801" xr:uid="{C348185F-03C6-41CC-B8E9-D9C1761E344B}"/>
    <cellStyle name="Comma 7 2 4 3 2 2 2" xfId="18181" xr:uid="{DFAC234B-F94F-4626-A62F-A1BB81C64ADB}"/>
    <cellStyle name="Comma 7 2 4 3 2 3" xfId="10634" xr:uid="{828F7050-5423-43A9-94F4-6C4CDEA9DDE5}"/>
    <cellStyle name="Comma 7 2 4 3 2 3 2" xfId="21014" xr:uid="{36910243-03A5-4384-AA37-543A06460B11}"/>
    <cellStyle name="Comma 7 2 4 3 2 4" xfId="15348" xr:uid="{9253CB1D-A89C-49CE-9543-5EEAEF68F735}"/>
    <cellStyle name="Comma 7 2 4 3 2 5" xfId="30437" xr:uid="{DF58A38D-B193-4A6E-8EE2-33862B27ADE5}"/>
    <cellStyle name="Comma 7 2 4 3 3" xfId="3690" xr:uid="{00000000-0005-0000-0000-0000A6020000}"/>
    <cellStyle name="Comma 7 2 4 3 4" xfId="5615" xr:uid="{9A822023-40EF-4024-BA32-71C8DA489B1B}"/>
    <cellStyle name="Comma 7 2 4 3 4 2" xfId="29754" xr:uid="{74AF2044-288C-4259-962B-6890C3AD7521}"/>
    <cellStyle name="Comma 7 2 4 3 5" xfId="25151" xr:uid="{8BA78B38-A904-4BC8-A518-F8221BA04843}"/>
    <cellStyle name="Comma 7 2 4 3 6" xfId="13085" xr:uid="{D69D46B7-6D00-4963-9FAC-B7590A5733C5}"/>
    <cellStyle name="Comma 7 2 4 4" xfId="1730" xr:uid="{00000000-0005-0000-0000-0000A7020000}"/>
    <cellStyle name="Comma 7 2 4 4 2" xfId="4677" xr:uid="{7FF1F726-48C0-4E3C-8436-57B334712BE9}"/>
    <cellStyle name="Comma 7 2 4 4 2 2" xfId="9415" xr:uid="{468889FF-DCE8-4C28-9427-D11CA555BBF5}"/>
    <cellStyle name="Comma 7 2 4 4 2 2 2" xfId="19795" xr:uid="{4B9EAE61-5D7A-433F-9001-56AD026AB1A4}"/>
    <cellStyle name="Comma 7 2 4 4 2 3" xfId="12248" xr:uid="{914BC7BF-38FC-4241-90D1-5043D7C1FF68}"/>
    <cellStyle name="Comma 7 2 4 4 2 3 2" xfId="22628" xr:uid="{E28FA847-DDCB-4995-8906-BCE8094CB064}"/>
    <cellStyle name="Comma 7 2 4 4 2 4" xfId="26498" xr:uid="{94586D6B-A30A-4D76-B5BD-173D1CE0B96C}"/>
    <cellStyle name="Comma 7 2 4 4 2 5" xfId="27248" xr:uid="{E82C3440-ECE4-49EB-9077-40D8BBDA0902}"/>
    <cellStyle name="Comma 7 2 4 4 2 6" xfId="16962" xr:uid="{2B0C225D-4B8D-4735-81B0-BE64B512E9FE}"/>
    <cellStyle name="Comma 7 2 4 4 3" xfId="23754" xr:uid="{7F869A60-CCC8-4E3A-927A-1271C14749AF}"/>
    <cellStyle name="Comma 7 2 4 5" xfId="4128" xr:uid="{BFC5390C-2A59-45AD-B9E0-6FFEDD33AB4A}"/>
    <cellStyle name="Comma 7 2 4 5 2" xfId="8900" xr:uid="{6EBE8FDF-A200-45D7-9A14-36305788F322}"/>
    <cellStyle name="Comma 7 2 4 5 2 2" xfId="29008" xr:uid="{F76C256F-2A0C-43FA-83BA-AC50FA9B536B}"/>
    <cellStyle name="Comma 7 2 4 5 2 3" xfId="28274" xr:uid="{99C088C2-E00F-4872-9DA8-21F1F3CC2BB8}"/>
    <cellStyle name="Comma 7 2 4 5 2 4" xfId="19280" xr:uid="{C81C9A0B-602C-40C2-837B-F986A081BC61}"/>
    <cellStyle name="Comma 7 2 4 5 2 5" xfId="31012" xr:uid="{4DF67780-7E6B-44B0-A3FE-2A2D9262F36F}"/>
    <cellStyle name="Comma 7 2 4 5 3" xfId="11733" xr:uid="{C7BFC475-CBC2-4F71-9CE0-B99840601691}"/>
    <cellStyle name="Comma 7 2 4 5 3 2" xfId="22113" xr:uid="{E2EF3D74-CD16-4679-AA48-2C05745F7341}"/>
    <cellStyle name="Comma 7 2 4 5 4" xfId="24824" xr:uid="{6D9BBF71-CD7F-445E-A2D8-2804763286F0}"/>
    <cellStyle name="Comma 7 2 4 5 5" xfId="16447" xr:uid="{51474418-17BA-4F2F-B2BB-9B832888E53D}"/>
    <cellStyle name="Comma 7 2 4 6" xfId="4899" xr:uid="{162CEDC1-43B7-474C-95C3-A9B92E1CEDD6}"/>
    <cellStyle name="Comma 7 2 4 6 2" xfId="26336" xr:uid="{E3826C55-B617-4C79-9E8E-6D8184763DB6}"/>
    <cellStyle name="Comma 7 2 4 6 3" xfId="27379" xr:uid="{CC5EA816-BCAB-4DD0-9F6F-EA1794A502AC}"/>
    <cellStyle name="Comma 7 2 4 6 4" xfId="14191" xr:uid="{780B2F84-923D-46AF-8682-AD3692052103}"/>
    <cellStyle name="Comma 7 2 4 7" xfId="6644" xr:uid="{5D8DACF2-E277-40ED-A57A-E778E0DD682F}"/>
    <cellStyle name="Comma 7 2 4 7 2" xfId="27844" xr:uid="{7526C40F-C96C-4739-A2A7-4651BE80C5D5}"/>
    <cellStyle name="Comma 7 2 4 7 3" xfId="28600" xr:uid="{9FF9AF63-491D-40E3-AE82-EAAEB0E7E63D}"/>
    <cellStyle name="Comma 7 2 4 7 4" xfId="17024" xr:uid="{531D5670-B963-4C71-9CD4-4A5F6FD23B89}"/>
    <cellStyle name="Comma 7 2 4 8" xfId="9477" xr:uid="{987F5DE1-40AF-4B68-878D-FBEB5AE91EB9}"/>
    <cellStyle name="Comma 7 2 4 8 2" xfId="19857" xr:uid="{CE8EC75E-57B7-41B6-B4F8-8E109E7DF603}"/>
    <cellStyle name="Comma 7 2 4 9" xfId="24524" xr:uid="{3065228A-29D9-417F-9B00-790F2E229799}"/>
    <cellStyle name="Comma 7 2 5" xfId="509" xr:uid="{00000000-0005-0000-0000-0000A8020000}"/>
    <cellStyle name="Comma 7 2 5 10" xfId="13569" xr:uid="{337843CD-D89E-4EB7-B629-1C4D0EFED20D}"/>
    <cellStyle name="Comma 7 2 5 2" xfId="1734" xr:uid="{00000000-0005-0000-0000-0000A9020000}"/>
    <cellStyle name="Comma 7 2 5 2 2" xfId="23807" xr:uid="{0011FB13-E713-469D-B8B6-F6B81812F5A4}"/>
    <cellStyle name="Comma 7 2 5 2 2 2" xfId="29809" xr:uid="{204B9508-2436-4FC6-8C97-CBC6E74FC93F}"/>
    <cellStyle name="Comma 7 2 5 2 2 2 2" xfId="30754" xr:uid="{B5D93598-8236-4471-B3EC-1978D2E1072A}"/>
    <cellStyle name="Comma 7 2 5 2 3" xfId="25638" xr:uid="{B96FBEC1-5BE6-4663-9CFF-AEA34151F77D}"/>
    <cellStyle name="Comma 7 2 5 2 4" xfId="30056" xr:uid="{E4DAD63E-503C-406A-B8BA-9B1C802DB5C2}"/>
    <cellStyle name="Comma 7 2 5 3" xfId="1735" xr:uid="{00000000-0005-0000-0000-0000AA020000}"/>
    <cellStyle name="Comma 7 2 5 4" xfId="1733" xr:uid="{00000000-0005-0000-0000-0000AB020000}"/>
    <cellStyle name="Comma 7 2 5 5" xfId="4411" xr:uid="{D34833F5-5C65-4394-96C8-665306F97C0A}"/>
    <cellStyle name="Comma 7 2 5 5 2" xfId="9183" xr:uid="{D603904B-2825-4865-9103-051FAFA6C453}"/>
    <cellStyle name="Comma 7 2 5 5 2 2" xfId="19563" xr:uid="{D3296877-B1A8-47A5-9690-A769837DC84B}"/>
    <cellStyle name="Comma 7 2 5 5 2 3" xfId="31077" xr:uid="{17B13F84-67BE-4A07-A34F-F4CE611049F3}"/>
    <cellStyle name="Comma 7 2 5 5 2 4" xfId="30753" xr:uid="{E58FD6DF-6DEC-499C-BEC4-86D88EF5CE76}"/>
    <cellStyle name="Comma 7 2 5 5 3" xfId="12016" xr:uid="{AAD37AC4-C259-43CE-8B27-A03F077D66B1}"/>
    <cellStyle name="Comma 7 2 5 5 3 2" xfId="22396" xr:uid="{66AF6FBF-C03C-478F-9ACD-2071155647CC}"/>
    <cellStyle name="Comma 7 2 5 5 4" xfId="16730" xr:uid="{9F2A43D9-3926-454F-8C5B-6E95C650CAF5}"/>
    <cellStyle name="Comma 7 2 5 6" xfId="4900" xr:uid="{2086C670-384E-4A92-8725-F94ECBC97A60}"/>
    <cellStyle name="Comma 7 2 5 6 2" xfId="14192" xr:uid="{BD2F386F-A2BE-48DA-BE1D-C9B81EECDDBF}"/>
    <cellStyle name="Comma 7 2 5 7" xfId="6645" xr:uid="{939BC2C9-8E29-4531-988D-B89560FB1285}"/>
    <cellStyle name="Comma 7 2 5 7 2" xfId="17025" xr:uid="{37FDFB7B-23F4-4F65-BC5E-3A5B70ED6D7D}"/>
    <cellStyle name="Comma 7 2 5 8" xfId="9478" xr:uid="{8A76806C-F58E-40D3-A851-C7AC4990F8DE}"/>
    <cellStyle name="Comma 7 2 5 8 2" xfId="19858" xr:uid="{3E1C9DFF-3370-41FA-8C6F-801B1F54A661}"/>
    <cellStyle name="Comma 7 2 5 9" xfId="23574" xr:uid="{D92270B7-5FE3-43A2-A456-D436178FBE90}"/>
    <cellStyle name="Comma 7 2 6" xfId="1736" xr:uid="{00000000-0005-0000-0000-0000AC020000}"/>
    <cellStyle name="Comma 7 2 6 2" xfId="2874" xr:uid="{00000000-0005-0000-0000-00001A020000}"/>
    <cellStyle name="Comma 7 2 6 2 2" xfId="7991" xr:uid="{CAF66553-0572-4E90-BD60-957055CB2902}"/>
    <cellStyle name="Comma 7 2 6 2 2 2" xfId="26895" xr:uid="{2E105864-F10C-4F08-8B2C-38FC21AD458C}"/>
    <cellStyle name="Comma 7 2 6 2 2 2 2" xfId="31186" xr:uid="{7F1F2059-99DE-446F-8BD0-EAEBA6DBAE22}"/>
    <cellStyle name="Comma 7 2 6 2 2 2 3" xfId="30755" xr:uid="{9590EA42-5241-4666-9BE3-D0CB28A14838}"/>
    <cellStyle name="Comma 7 2 6 2 2 3" xfId="26701" xr:uid="{62984D6B-AFFA-4E38-8D0C-F77826CA4377}"/>
    <cellStyle name="Comma 7 2 6 2 2 4" xfId="18371" xr:uid="{D9AD4E22-EFA7-41FF-AB95-8B9317FB82FA}"/>
    <cellStyle name="Comma 7 2 6 2 3" xfId="10824" xr:uid="{687D5264-DBB5-401E-8719-049F6D660D79}"/>
    <cellStyle name="Comma 7 2 6 2 3 2" xfId="21204" xr:uid="{C30B3E9E-8769-4163-A620-9FB58DC411B4}"/>
    <cellStyle name="Comma 7 2 6 2 4" xfId="23811" xr:uid="{6A46C7BE-7A40-462D-B3C8-8FA28C9418B2}"/>
    <cellStyle name="Comma 7 2 6 2 5" xfId="15538" xr:uid="{C0C0198F-60BD-4BE4-88FF-6EE07FBE8575}"/>
    <cellStyle name="Comma 7 2 6 3" xfId="3684" xr:uid="{00000000-0005-0000-0000-0000AC020000}"/>
    <cellStyle name="Comma 7 2 6 4" xfId="5616" xr:uid="{3CA19EC9-B78E-44DD-B810-207F7AFDAB36}"/>
    <cellStyle name="Comma 7 2 6 4 2" xfId="29765" xr:uid="{F47EEEA3-4F8B-40CC-BF5B-CF0F5EF74B6F}"/>
    <cellStyle name="Comma 7 2 6 5" xfId="23337" xr:uid="{7672C8F0-0900-49FD-9BDB-C9CA4655328B}"/>
    <cellStyle name="Comma 7 2 6 6" xfId="13370" xr:uid="{1DA6054B-09D6-406A-8D73-D01D6062D58D}"/>
    <cellStyle name="Comma 7 2 7" xfId="1737" xr:uid="{00000000-0005-0000-0000-0000AD020000}"/>
    <cellStyle name="Comma 7 2 7 2" xfId="2493" xr:uid="{00000000-0005-0000-0000-00001B020000}"/>
    <cellStyle name="Comma 7 2 7 2 2" xfId="7618" xr:uid="{501F984C-7707-4FD2-9717-F6C36BB50D40}"/>
    <cellStyle name="Comma 7 2 7 2 2 2" xfId="17998" xr:uid="{17693E62-144F-418C-8EA3-1BAD9BD2EFDA}"/>
    <cellStyle name="Comma 7 2 7 2 3" xfId="10451" xr:uid="{BBC2B1C2-49A1-4F8D-AB2B-BED5EB09FE78}"/>
    <cellStyle name="Comma 7 2 7 2 3 2" xfId="20831" xr:uid="{73E5473D-B384-4AEB-A3EB-52E5E907B559}"/>
    <cellStyle name="Comma 7 2 7 2 4" xfId="26073" xr:uid="{FA54937D-2523-4660-83C0-2C2756BFC805}"/>
    <cellStyle name="Comma 7 2 7 2 5" xfId="27413" xr:uid="{0DEBC0B3-7280-4F3A-ACE2-031BBAF90176}"/>
    <cellStyle name="Comma 7 2 7 2 6" xfId="15165" xr:uid="{26738D38-C3C1-4DE0-8B38-D33218B9E0E5}"/>
    <cellStyle name="Comma 7 2 7 3" xfId="3620" xr:uid="{00000000-0005-0000-0000-0000AD020000}"/>
    <cellStyle name="Comma 7 2 7 4" xfId="5617" xr:uid="{76F957A8-F298-4B70-A8C8-199C7FA4444C}"/>
    <cellStyle name="Comma 7 2 7 4 2" xfId="29869" xr:uid="{5E7A83DB-A0C5-4ED1-A233-B36A18D163CB}"/>
    <cellStyle name="Comma 7 2 7 5" xfId="25579" xr:uid="{2DE83F3B-06CE-47B6-BEAB-EDDD427E267E}"/>
    <cellStyle name="Comma 7 2 7 6" xfId="12881" xr:uid="{2B039CD4-3A65-4408-9B2E-D8B7C174E99B}"/>
    <cellStyle name="Comma 7 2 8" xfId="1717" xr:uid="{00000000-0005-0000-0000-0000AE020000}"/>
    <cellStyle name="Comma 7 2 8 2" xfId="2187" xr:uid="{00000000-0005-0000-0000-000002020000}"/>
    <cellStyle name="Comma 7 2 8 2 2" xfId="7314" xr:uid="{305357E2-C639-4C7E-A108-4A34749F8A32}"/>
    <cellStyle name="Comma 7 2 8 2 2 2" xfId="17694" xr:uid="{E7BEED04-BEA2-4880-9ADA-C4114D9E482E}"/>
    <cellStyle name="Comma 7 2 8 2 3" xfId="10147" xr:uid="{75E81427-5C88-4DB7-A436-60DAF55A3CA0}"/>
    <cellStyle name="Comma 7 2 8 2 3 2" xfId="20527" xr:uid="{2FEF4EA1-9E93-42E0-9E2E-911188E08615}"/>
    <cellStyle name="Comma 7 2 8 2 4" xfId="27345" xr:uid="{30D2CEE5-E778-4B6D-91DB-8A903F49B9EB}"/>
    <cellStyle name="Comma 7 2 8 2 5" xfId="28265" xr:uid="{A62F63CD-4029-4B39-95B0-C9C2A94DCB23}"/>
    <cellStyle name="Comma 7 2 8 2 6" xfId="14861" xr:uid="{28C46102-C1E2-4C03-B363-6EB1171E51BE}"/>
    <cellStyle name="Comma 7 2 8 3" xfId="3650" xr:uid="{00000000-0005-0000-0000-0000AE020000}"/>
    <cellStyle name="Comma 7 2 8 4" xfId="24349" xr:uid="{D37F70DB-05AA-47E1-B5F7-2728E2C870A0}"/>
    <cellStyle name="Comma 7 2 9" xfId="3869" xr:uid="{F4D1E9BD-A0FA-4A8D-8E31-D876682FFE4B}"/>
    <cellStyle name="Comma 7 2 9 2" xfId="8701" xr:uid="{8CB8DB38-03CC-41A3-8E7D-CCE0456C8EA4}"/>
    <cellStyle name="Comma 7 2 9 2 2" xfId="19081" xr:uid="{FB4C8D6A-90A4-4CDA-9E2E-5225EC1652DC}"/>
    <cellStyle name="Comma 7 2 9 3" xfId="11534" xr:uid="{5044B8B8-A0B2-45A4-B01F-C0BE711A2698}"/>
    <cellStyle name="Comma 7 2 9 3 2" xfId="21914" xr:uid="{A3D1C56E-4C27-41D2-AF9C-55BCAE5D18B8}"/>
    <cellStyle name="Comma 7 2 9 4" xfId="26500" xr:uid="{125441C2-60E3-40EA-8E2F-2B84B5DE5AE1}"/>
    <cellStyle name="Comma 7 2 9 5" xfId="26350" xr:uid="{43B9A38B-55E7-49F9-9E04-609D5FEEA2C4}"/>
    <cellStyle name="Comma 7 2 9 6" xfId="16248" xr:uid="{78D6CC94-8015-4D6D-89B1-14E112E5F17E}"/>
    <cellStyle name="Comma 7 20" xfId="12396" xr:uid="{F42B3602-9F46-4675-A2BF-201227D87022}"/>
    <cellStyle name="Comma 7 21" xfId="29552" xr:uid="{C7B24164-FE9F-45D3-895E-E967A00C97CC}"/>
    <cellStyle name="Comma 7 3" xfId="510" xr:uid="{00000000-0005-0000-0000-0000AF020000}"/>
    <cellStyle name="Comma 7 3 10" xfId="4901" xr:uid="{0D468BB1-AC9C-4BC3-B782-3D09EF0EB048}"/>
    <cellStyle name="Comma 7 3 10 2" xfId="14193" xr:uid="{478144D2-BDB4-4090-A37E-BAD7E56FE1E8}"/>
    <cellStyle name="Comma 7 3 11" xfId="6646" xr:uid="{43C231E0-DCE5-4583-9F88-DF4521BC36BB}"/>
    <cellStyle name="Comma 7 3 11 2" xfId="17026" xr:uid="{2518C636-5EE9-4BE0-9285-3CEE1C1CA479}"/>
    <cellStyle name="Comma 7 3 12" xfId="9479" xr:uid="{FA7DC2DD-A897-49DF-A04C-CAD2F2B58630}"/>
    <cellStyle name="Comma 7 3 12 2" xfId="19859" xr:uid="{E126D103-F72D-47AB-AD63-1F0C7E11B780}"/>
    <cellStyle name="Comma 7 3 13" xfId="22877" xr:uid="{08A534C2-2A78-4498-B607-6899705451BB}"/>
    <cellStyle name="Comma 7 3 14" xfId="12456" xr:uid="{802E7B73-02F1-4FAD-ADF7-E6FFE78FD74F}"/>
    <cellStyle name="Comma 7 3 2" xfId="511" xr:uid="{00000000-0005-0000-0000-0000B0020000}"/>
    <cellStyle name="Comma 7 3 2 10" xfId="9480" xr:uid="{44C6ED94-6E55-45BC-B8E8-97402F41FA9C}"/>
    <cellStyle name="Comma 7 3 2 10 2" xfId="19860" xr:uid="{C5E5778E-6C31-4DCE-AE34-B55A58F289C1}"/>
    <cellStyle name="Comma 7 3 2 11" xfId="23478" xr:uid="{7D5FB373-D6D4-41C9-BBDF-44A3BCCD4E56}"/>
    <cellStyle name="Comma 7 3 2 12" xfId="12516" xr:uid="{98B905C0-9544-413A-9A3C-B251CFE6B004}"/>
    <cellStyle name="Comma 7 3 2 2" xfId="512" xr:uid="{00000000-0005-0000-0000-0000B1020000}"/>
    <cellStyle name="Comma 7 3 2 2 10" xfId="13090" xr:uid="{314E022B-3F24-45B1-A7D0-81E977900103}"/>
    <cellStyle name="Comma 7 3 2 2 2" xfId="1741" xr:uid="{00000000-0005-0000-0000-0000B2020000}"/>
    <cellStyle name="Comma 7 3 2 2 2 2" xfId="3063" xr:uid="{00000000-0005-0000-0000-00001F020000}"/>
    <cellStyle name="Comma 7 3 2 2 2 2 2" xfId="8143" xr:uid="{9EB58E2A-9628-4E62-B7DB-F1ED9CA45B36}"/>
    <cellStyle name="Comma 7 3 2 2 2 2 2 2" xfId="28818" xr:uid="{F091C59C-15B3-4385-8CD6-D034264F1A15}"/>
    <cellStyle name="Comma 7 3 2 2 2 2 2 3" xfId="27993" xr:uid="{9418F35A-8A7C-40F4-A110-770179FB46B6}"/>
    <cellStyle name="Comma 7 3 2 2 2 2 2 4" xfId="18523" xr:uid="{34EA4903-7091-4F73-860B-EBEBC02E7BEC}"/>
    <cellStyle name="Comma 7 3 2 2 2 2 3" xfId="10976" xr:uid="{5B47F23C-D88F-4522-AF27-CA74BC1778F2}"/>
    <cellStyle name="Comma 7 3 2 2 2 2 3 2" xfId="21356" xr:uid="{F5C5CD3D-8059-479B-87A5-8D444040ECA5}"/>
    <cellStyle name="Comma 7 3 2 2 2 2 4" xfId="25737" xr:uid="{0BD68913-1C0D-4A18-9932-CBE888208981}"/>
    <cellStyle name="Comma 7 3 2 2 2 2 5" xfId="15690" xr:uid="{AB7D13A1-97DD-4AAE-B47E-73DAD8FE81CB}"/>
    <cellStyle name="Comma 7 3 2 2 2 3" xfId="3677" xr:uid="{00000000-0005-0000-0000-0000B2020000}"/>
    <cellStyle name="Comma 7 3 2 2 2 4" xfId="5620" xr:uid="{F8F8D46F-8C1B-40ED-AC69-279F85441D7E}"/>
    <cellStyle name="Comma 7 3 2 2 2 4 2" xfId="29956" xr:uid="{8B3FC41C-7281-4CF2-A98D-63A3095363A9}"/>
    <cellStyle name="Comma 7 3 2 2 2 5" xfId="24595" xr:uid="{E922A290-B943-457D-9DAA-AA591270817C}"/>
    <cellStyle name="Comma 7 3 2 2 2 6" xfId="13571" xr:uid="{C7370AE9-BEDA-4936-9B13-B69FB3350FF3}"/>
    <cellStyle name="Comma 7 3 2 2 3" xfId="1742" xr:uid="{00000000-0005-0000-0000-0000B3020000}"/>
    <cellStyle name="Comma 7 3 2 2 3 2" xfId="4631" xr:uid="{576F16F8-EFE4-4B0A-A5A4-7EEE626B3BDC}"/>
    <cellStyle name="Comma 7 3 2 2 3 2 2" xfId="9398" xr:uid="{99CA9C69-5AD9-4A41-8B72-A5EDCD19BDD1}"/>
    <cellStyle name="Comma 7 3 2 2 3 2 2 2" xfId="19778" xr:uid="{6B755713-890C-4A5E-A9CC-A107DDCC0838}"/>
    <cellStyle name="Comma 7 3 2 2 3 2 3" xfId="12231" xr:uid="{ABFBFCF8-D2A1-43C2-8025-B08A3E571072}"/>
    <cellStyle name="Comma 7 3 2 2 3 2 3 2" xfId="22611" xr:uid="{04BC963B-3C8F-440B-ABC3-86D29417EF50}"/>
    <cellStyle name="Comma 7 3 2 2 3 2 4" xfId="26783" xr:uid="{6BA0A017-502F-40BC-BBAF-E94534540C20}"/>
    <cellStyle name="Comma 7 3 2 2 3 2 5" xfId="28096" xr:uid="{F3B064B6-F93E-42A7-A726-D82A391C3FF3}"/>
    <cellStyle name="Comma 7 3 2 2 3 2 6" xfId="16945" xr:uid="{4846A55E-0158-4755-A3BF-E08F053AA403}"/>
    <cellStyle name="Comma 7 3 2 2 3 3" xfId="25547" xr:uid="{EFC59D73-E1DB-4083-AC6B-5511F1AE4772}"/>
    <cellStyle name="Comma 7 3 2 2 3 3 2" xfId="29906" xr:uid="{93403E33-B739-48C8-B3FF-C5FA96787F9D}"/>
    <cellStyle name="Comma 7 3 2 2 3 4" xfId="30019" xr:uid="{83A93D49-37FF-4080-A033-54F7CB7FA7AE}"/>
    <cellStyle name="Comma 7 3 2 2 4" xfId="1740" xr:uid="{00000000-0005-0000-0000-0000B4020000}"/>
    <cellStyle name="Comma 7 3 2 2 4 2" xfId="26934" xr:uid="{BB2C93DE-0EA2-4180-8F0A-5D7729C94327}"/>
    <cellStyle name="Comma 7 3 2 2 4 3" xfId="26331" xr:uid="{4B7EA0F0-A874-4A7A-AA17-A511659378B1}"/>
    <cellStyle name="Comma 7 3 2 2 5" xfId="4266" xr:uid="{BE4A8A92-9203-46B3-B75D-3A4CB87D4F4D}"/>
    <cellStyle name="Comma 7 3 2 2 5 2" xfId="9038" xr:uid="{C08D1657-5658-4B6B-8203-E95C87A7EE0F}"/>
    <cellStyle name="Comma 7 3 2 2 5 2 2" xfId="19418" xr:uid="{193556DE-658A-4F7A-A754-49E699E99DD2}"/>
    <cellStyle name="Comma 7 3 2 2 5 2 3" xfId="31042" xr:uid="{A4B4FE6B-5C09-45A8-B162-ECE9F59A9D18}"/>
    <cellStyle name="Comma 7 3 2 2 5 2 4" xfId="30756" xr:uid="{F2ABCE9C-BFA0-49C6-A07A-003C2976380F}"/>
    <cellStyle name="Comma 7 3 2 2 5 3" xfId="11871" xr:uid="{65A826F5-8FEE-4850-B3C9-DA934B07DBE8}"/>
    <cellStyle name="Comma 7 3 2 2 5 3 2" xfId="22251" xr:uid="{E2266970-DA3E-4959-8D54-961246D0F065}"/>
    <cellStyle name="Comma 7 3 2 2 5 4" xfId="26679" xr:uid="{472FD8A8-2C5E-4413-8C69-428CD7929C68}"/>
    <cellStyle name="Comma 7 3 2 2 5 5" xfId="26536" xr:uid="{351CB8E7-5286-4BB0-8673-78588533E161}"/>
    <cellStyle name="Comma 7 3 2 2 5 6" xfId="16585" xr:uid="{81230DBA-C8ED-4D42-A9E2-A4D137B251E9}"/>
    <cellStyle name="Comma 7 3 2 2 6" xfId="4903" xr:uid="{7B56B96F-699C-47E9-94EB-3A4B767766E9}"/>
    <cellStyle name="Comma 7 3 2 2 6 2" xfId="26151" xr:uid="{DDD6984B-7B18-4C4B-AB55-6355383E7D09}"/>
    <cellStyle name="Comma 7 3 2 2 6 3" xfId="26129" xr:uid="{5B4B9ED0-FD2E-46B2-8091-38B732BF4709}"/>
    <cellStyle name="Comma 7 3 2 2 6 4" xfId="14195" xr:uid="{BCD3727D-14D3-40FC-A791-A68EA4028E6F}"/>
    <cellStyle name="Comma 7 3 2 2 7" xfId="6648" xr:uid="{29FE4C2C-EEC4-467A-BF12-CE2217AF91BE}"/>
    <cellStyle name="Comma 7 3 2 2 7 2" xfId="17028" xr:uid="{BEF2A5CC-C727-49F5-B650-1B971840249F}"/>
    <cellStyle name="Comma 7 3 2 2 8" xfId="9481" xr:uid="{5D6F5411-B2B2-4E75-87E2-ADCDB1886AD9}"/>
    <cellStyle name="Comma 7 3 2 2 8 2" xfId="19861" xr:uid="{6B762266-62EC-4F54-BA17-62DC45832362}"/>
    <cellStyle name="Comma 7 3 2 2 9" xfId="25000" xr:uid="{CD0FD5A6-656A-4CF3-A237-BEBAC252C9C9}"/>
    <cellStyle name="Comma 7 3 2 3" xfId="1743" xr:uid="{00000000-0005-0000-0000-0000B5020000}"/>
    <cellStyle name="Comma 7 3 2 3 2" xfId="3064" xr:uid="{00000000-0005-0000-0000-000020020000}"/>
    <cellStyle name="Comma 7 3 2 3 2 2" xfId="8144" xr:uid="{ACBA072B-CD7A-46B4-ACF4-B6F5FE59E664}"/>
    <cellStyle name="Comma 7 3 2 3 2 2 2" xfId="28819" xr:uid="{FEB05874-AA96-4C3A-A40E-2F3718A94053}"/>
    <cellStyle name="Comma 7 3 2 3 2 2 2 2" xfId="31226" xr:uid="{A413791A-F936-450E-8898-B28874C3FB8E}"/>
    <cellStyle name="Comma 7 3 2 3 2 2 2 3" xfId="30758" xr:uid="{F6141DB5-1C57-421B-B213-CF6C071CD993}"/>
    <cellStyle name="Comma 7 3 2 3 2 2 3" xfId="26424" xr:uid="{321BC57C-4929-4F2A-AB8B-8BF5596252F8}"/>
    <cellStyle name="Comma 7 3 2 3 2 2 4" xfId="18524" xr:uid="{D3EEF176-327A-408E-9BBB-8C3BDE6169C5}"/>
    <cellStyle name="Comma 7 3 2 3 2 3" xfId="10977" xr:uid="{68A0D4CE-7B5F-4751-AD30-677DD43AEC23}"/>
    <cellStyle name="Comma 7 3 2 3 2 3 2" xfId="21357" xr:uid="{DEE53771-88FE-4FB5-A0AF-18B4F08C6191}"/>
    <cellStyle name="Comma 7 3 2 3 2 4" xfId="24202" xr:uid="{5ACDC300-80F5-4574-AE4B-BA33D74AD79A}"/>
    <cellStyle name="Comma 7 3 2 3 2 5" xfId="15691" xr:uid="{27EAE8BC-0A57-4EFA-AD9A-F5DE29E0748A}"/>
    <cellStyle name="Comma 7 3 2 3 3" xfId="3653" xr:uid="{00000000-0005-0000-0000-0000B5020000}"/>
    <cellStyle name="Comma 7 3 2 3 4" xfId="4412" xr:uid="{5056B530-ACD4-453B-8107-ABB5E9A56790}"/>
    <cellStyle name="Comma 7 3 2 3 4 2" xfId="9184" xr:uid="{C3146450-A1D4-429D-8CC8-A6F95F5248A2}"/>
    <cellStyle name="Comma 7 3 2 3 4 2 2" xfId="19564" xr:uid="{1D5F4487-1D7E-4A76-87B7-7F52D3672BAB}"/>
    <cellStyle name="Comma 7 3 2 3 4 2 3" xfId="31078" xr:uid="{4789A897-290F-4E25-A48E-8AA52182CD7F}"/>
    <cellStyle name="Comma 7 3 2 3 4 2 4" xfId="30757" xr:uid="{117CC0FA-7F90-489F-8F9C-66A69315D0FF}"/>
    <cellStyle name="Comma 7 3 2 3 4 3" xfId="12017" xr:uid="{4B9D60CC-1558-4CF5-85C0-E6BAED389BB9}"/>
    <cellStyle name="Comma 7 3 2 3 4 3 2" xfId="22397" xr:uid="{BC6F709E-E6B6-4751-BD45-053EF2E4C980}"/>
    <cellStyle name="Comma 7 3 2 3 4 4" xfId="16731" xr:uid="{986E52A3-796D-4892-814E-09F7E748C9CE}"/>
    <cellStyle name="Comma 7 3 2 3 5" xfId="5621" xr:uid="{B1F56D63-FE69-44E6-98FB-5F3EF823EE62}"/>
    <cellStyle name="Comma 7 3 2 3 5 2" xfId="29691" xr:uid="{249FB12A-7A27-4B61-879F-A256C0817664}"/>
    <cellStyle name="Comma 7 3 2 3 5 2 2" xfId="30975" xr:uid="{2A7E378A-0FD3-4967-96A4-3E638EC84947}"/>
    <cellStyle name="Comma 7 3 2 3 6" xfId="25216" xr:uid="{154D43D2-A138-420D-A033-02AEFF17C681}"/>
    <cellStyle name="Comma 7 3 2 3 7" xfId="13572" xr:uid="{ED17B5BE-5DC5-41C0-B8EA-E786ED290D87}"/>
    <cellStyle name="Comma 7 3 2 4" xfId="1744" xr:uid="{00000000-0005-0000-0000-0000B6020000}"/>
    <cellStyle name="Comma 7 3 2 4 2" xfId="3062" xr:uid="{00000000-0005-0000-0000-000021020000}"/>
    <cellStyle name="Comma 7 3 2 4 2 2" xfId="8142" xr:uid="{F13E98B3-100B-4B0D-95AB-C4F15D236966}"/>
    <cellStyle name="Comma 7 3 2 4 2 2 2" xfId="28817" xr:uid="{36EB78DD-72C5-4617-8665-328D7D513FE6}"/>
    <cellStyle name="Comma 7 3 2 4 2 2 3" xfId="28599" xr:uid="{A6A52FA0-55DD-4771-97D5-B1F70AAD1644}"/>
    <cellStyle name="Comma 7 3 2 4 2 2 4" xfId="18522" xr:uid="{B93A7AAA-832D-4AB4-8EFB-597F00FF11D4}"/>
    <cellStyle name="Comma 7 3 2 4 2 3" xfId="10975" xr:uid="{17D2B5AD-77A7-4E67-A256-1029155F93D9}"/>
    <cellStyle name="Comma 7 3 2 4 2 3 2" xfId="21355" xr:uid="{7041785A-7A25-413F-A5DB-0CE2C42167D9}"/>
    <cellStyle name="Comma 7 3 2 4 2 4" xfId="25467" xr:uid="{597C771E-BB4A-4233-82D8-4728BD2A2410}"/>
    <cellStyle name="Comma 7 3 2 4 2 5" xfId="15689" xr:uid="{DF33B1DB-3AC8-4F7D-80FA-CD346F7437F2}"/>
    <cellStyle name="Comma 7 3 2 4 3" xfId="3646" xr:uid="{00000000-0005-0000-0000-0000B6020000}"/>
    <cellStyle name="Comma 7 3 2 4 4" xfId="5622" xr:uid="{4CBC5550-7EB1-496E-BF60-43A6D36D04BB}"/>
    <cellStyle name="Comma 7 3 2 4 4 2" xfId="29955" xr:uid="{55B8B43E-4A73-4E99-BCC6-D74B637F3A5B}"/>
    <cellStyle name="Comma 7 3 2 4 5" xfId="23477" xr:uid="{AB89610E-F3F8-48F9-972C-144B7BDA3CA3}"/>
    <cellStyle name="Comma 7 3 2 4 6" xfId="13570" xr:uid="{29B1F7CA-6AF3-4C00-B1CA-F2A4C220A07E}"/>
    <cellStyle name="Comma 7 3 2 5" xfId="1739" xr:uid="{00000000-0005-0000-0000-0000B7020000}"/>
    <cellStyle name="Comma 7 3 2 5 2" xfId="2530" xr:uid="{00000000-0005-0000-0000-000022020000}"/>
    <cellStyle name="Comma 7 3 2 5 2 2" xfId="7655" xr:uid="{A0E9BFAD-9D8A-4AEE-91DE-9322FF827AA5}"/>
    <cellStyle name="Comma 7 3 2 5 2 2 2" xfId="18035" xr:uid="{E5039BBF-2D65-4D40-9E6C-7C636B16957D}"/>
    <cellStyle name="Comma 7 3 2 5 2 3" xfId="10488" xr:uid="{35B5DE7E-91A0-47CA-8BA5-FB1F6C6FF05D}"/>
    <cellStyle name="Comma 7 3 2 5 2 3 2" xfId="20868" xr:uid="{96864E27-D39C-4DBD-8DFF-A6044A4EF7A4}"/>
    <cellStyle name="Comma 7 3 2 5 2 4" xfId="27810" xr:uid="{761487A3-48A8-4ADB-AC6D-7E1BE69C1CC4}"/>
    <cellStyle name="Comma 7 3 2 5 2 5" xfId="26158" xr:uid="{B4B66CE1-B6F2-4F67-8423-F1AADE9D1483}"/>
    <cellStyle name="Comma 7 3 2 5 2 6" xfId="15202" xr:uid="{A8870507-7518-4BCB-9454-327410C422C3}"/>
    <cellStyle name="Comma 7 3 2 5 3" xfId="3605" xr:uid="{00000000-0005-0000-0000-0000B7020000}"/>
    <cellStyle name="Comma 7 3 2 5 4" xfId="5619" xr:uid="{CB2AB5E2-79BE-4286-B19B-C00594332EC1}"/>
    <cellStyle name="Comma 7 3 2 5 4 2" xfId="29876" xr:uid="{4FC4C9B9-B5E7-45D0-B8BB-332448A3B3EC}"/>
    <cellStyle name="Comma 7 3 2 5 5" xfId="24098" xr:uid="{3BFF258C-BC50-4BCC-9B63-6245FE626A5E}"/>
    <cellStyle name="Comma 7 3 2 5 6" xfId="12918" xr:uid="{E6139DF9-D78A-4089-AB4B-9DCD81B11CFB}"/>
    <cellStyle name="Comma 7 3 2 6" xfId="2284" xr:uid="{00000000-0005-0000-0000-00001D020000}"/>
    <cellStyle name="Comma 7 3 2 6 2" xfId="7411" xr:uid="{A7E362AD-5D73-4E3D-B12B-A277A2FDD2F7}"/>
    <cellStyle name="Comma 7 3 2 6 2 2" xfId="17791" xr:uid="{C5AD4C1E-DDD6-4310-B015-606B4FC97896}"/>
    <cellStyle name="Comma 7 3 2 6 3" xfId="10244" xr:uid="{25D427EB-0150-4447-B639-81B1ACDD4E31}"/>
    <cellStyle name="Comma 7 3 2 6 3 2" xfId="20624" xr:uid="{5A66325E-2258-4062-A820-01F53545E615}"/>
    <cellStyle name="Comma 7 3 2 6 4" xfId="24168" xr:uid="{DDFA4CD8-FD8A-4866-B882-62E98133B4D3}"/>
    <cellStyle name="Comma 7 3 2 6 5" xfId="27868" xr:uid="{74DA4B86-DD9C-4196-8B94-6AB9B111BD0A}"/>
    <cellStyle name="Comma 7 3 2 6 6" xfId="14958" xr:uid="{76F9AC0A-5FF2-4D61-A9F9-D36AB4988D8F}"/>
    <cellStyle name="Comma 7 3 2 7" xfId="3823" xr:uid="{03ECEEC2-4353-437D-B316-8B68B00D3AF0}"/>
    <cellStyle name="Comma 7 3 2 7 2" xfId="8656" xr:uid="{FC321E94-E0DF-422E-9D21-379A6AB43E52}"/>
    <cellStyle name="Comma 7 3 2 7 2 2" xfId="19036" xr:uid="{C9377AC6-D02C-42F7-934A-E35C081CB37A}"/>
    <cellStyle name="Comma 7 3 2 7 3" xfId="11489" xr:uid="{7226042D-36BD-4626-9A09-7C3B0CAC6E9D}"/>
    <cellStyle name="Comma 7 3 2 7 3 2" xfId="21869" xr:uid="{56C6763E-4B23-45A2-8980-96AF0AA2DB66}"/>
    <cellStyle name="Comma 7 3 2 7 4" xfId="26014" xr:uid="{95B82187-8DAE-4F1F-9CCC-8243F0699F75}"/>
    <cellStyle name="Comma 7 3 2 7 5" xfId="28239" xr:uid="{D3D7B5F8-DBFA-4AE4-9090-2AF00756E508}"/>
    <cellStyle name="Comma 7 3 2 7 6" xfId="16203" xr:uid="{7340033E-29D4-4F59-9CD9-CD63A94CB483}"/>
    <cellStyle name="Comma 7 3 2 8" xfId="4902" xr:uid="{D494B231-3065-46A7-991F-77B5E1F38C95}"/>
    <cellStyle name="Comma 7 3 2 8 2" xfId="14194" xr:uid="{5D90722A-B20C-4A66-8ED3-5FC56E73A155}"/>
    <cellStyle name="Comma 7 3 2 9" xfId="6647" xr:uid="{53D4C5DF-D7F4-457D-B25E-535083C5157C}"/>
    <cellStyle name="Comma 7 3 2 9 2" xfId="17027" xr:uid="{35C18319-1AA8-4812-83DF-51B3D28E8D33}"/>
    <cellStyle name="Comma 7 3 3" xfId="513" xr:uid="{00000000-0005-0000-0000-0000B8020000}"/>
    <cellStyle name="Comma 7 3 3 10" xfId="24380" xr:uid="{B095ED9A-E6A6-4358-8D41-6CAC37D9ACA2}"/>
    <cellStyle name="Comma 7 3 3 11" xfId="12674" xr:uid="{276D5E48-B257-4623-AE96-58A3FF637E22}"/>
    <cellStyle name="Comma 7 3 3 2" xfId="1746" xr:uid="{00000000-0005-0000-0000-0000B9020000}"/>
    <cellStyle name="Comma 7 3 3 2 2" xfId="3066" xr:uid="{00000000-0005-0000-0000-000025020000}"/>
    <cellStyle name="Comma 7 3 3 2 2 2" xfId="6168" xr:uid="{6D673163-7F25-45B7-9AA1-F6BAB70BA1AD}"/>
    <cellStyle name="Comma 7 3 3 2 2 2 2" xfId="23052" xr:uid="{3960C535-C0D5-4AAD-ACC0-5FE123D84B57}"/>
    <cellStyle name="Comma 7 3 3 2 2 2 2 2" xfId="26322" xr:uid="{4870EA76-F278-4954-BBA8-4B0853FD14F6}"/>
    <cellStyle name="Comma 7 3 3 2 2 2 2 3" xfId="31147" xr:uid="{0F0E9F80-7732-414C-B0DB-5DCE9C6228C8}"/>
    <cellStyle name="Comma 7 3 3 2 2 2 3" xfId="26303" xr:uid="{6B2C95C1-CA89-4886-9BAE-53679966970B}"/>
    <cellStyle name="Comma 7 3 3 2 2 2 4" xfId="15693" xr:uid="{C39F6264-43EB-45C0-998C-85F1B14F8777}"/>
    <cellStyle name="Comma 7 3 3 2 2 3" xfId="8146" xr:uid="{60F0084C-47A1-450C-B35D-E978A9728065}"/>
    <cellStyle name="Comma 7 3 3 2 2 3 2" xfId="28821" xr:uid="{60E0681C-3332-429E-98C5-E11F9FC3CE26}"/>
    <cellStyle name="Comma 7 3 3 2 2 3 3" xfId="27424" xr:uid="{14737B44-BF9A-4743-B7D7-A60C8B86DAF2}"/>
    <cellStyle name="Comma 7 3 3 2 2 3 4" xfId="18526" xr:uid="{7CF3DAF5-3F6F-4D6E-B0B5-15E00C091941}"/>
    <cellStyle name="Comma 7 3 3 2 2 4" xfId="10979" xr:uid="{3FB21C9B-FA96-4101-920C-B027AB8E0F7B}"/>
    <cellStyle name="Comma 7 3 3 2 2 4 2" xfId="21359" xr:uid="{88877E39-FB71-4E1D-891D-DD615B3A7B4E}"/>
    <cellStyle name="Comma 7 3 3 2 2 5" xfId="25259" xr:uid="{583F0785-B153-484B-9205-7C521E7A9F90}"/>
    <cellStyle name="Comma 7 3 3 2 2 6" xfId="13574" xr:uid="{71064039-8554-45CF-B9BA-3AF98EDAA231}"/>
    <cellStyle name="Comma 7 3 3 2 3" xfId="2681" xr:uid="{00000000-0005-0000-0000-000024020000}"/>
    <cellStyle name="Comma 7 3 3 2 3 2" xfId="7805" xr:uid="{8025719D-927B-4FD9-B8D0-B054039F4F04}"/>
    <cellStyle name="Comma 7 3 3 2 3 2 2" xfId="28549" xr:uid="{B29A9760-6D5F-4B66-8E5E-0E6086D21D40}"/>
    <cellStyle name="Comma 7 3 3 2 3 2 3" xfId="27650" xr:uid="{452DB3A7-01EF-48C3-AD82-EBD49103C8CF}"/>
    <cellStyle name="Comma 7 3 3 2 3 2 4" xfId="18185" xr:uid="{ED409F29-2503-4DF3-9088-B6B4336573B3}"/>
    <cellStyle name="Comma 7 3 3 2 3 3" xfId="10638" xr:uid="{334BFA20-B957-4785-8CFD-5C5BF7E0DD1C}"/>
    <cellStyle name="Comma 7 3 3 2 3 3 2" xfId="21018" xr:uid="{6155405E-6973-4929-BC09-07F196DABC0A}"/>
    <cellStyle name="Comma 7 3 3 2 3 4" xfId="24719" xr:uid="{9D9FA5ED-78ED-4CB5-B534-5C3F9B30C509}"/>
    <cellStyle name="Comma 7 3 3 2 3 5" xfId="15352" xr:uid="{A94BBE13-A7CE-4EA9-B51D-41D660B6391A}"/>
    <cellStyle name="Comma 7 3 3 2 4" xfId="2064" xr:uid="{00000000-0005-0000-0000-0000B9020000}"/>
    <cellStyle name="Comma 7 3 3 2 5" xfId="4267" xr:uid="{2D091ED4-EBAB-425A-9D32-765D1829A55C}"/>
    <cellStyle name="Comma 7 3 3 2 5 2" xfId="9039" xr:uid="{60436DBA-7D9B-4783-8D98-40974DC07353}"/>
    <cellStyle name="Comma 7 3 3 2 5 2 2" xfId="19419" xr:uid="{5818C368-9E63-4A42-8663-D5347873C583}"/>
    <cellStyle name="Comma 7 3 3 2 5 2 3" xfId="31043" xr:uid="{63AC0313-CC44-4BAB-B99B-3AFFB46C8671}"/>
    <cellStyle name="Comma 7 3 3 2 5 2 4" xfId="30760" xr:uid="{8E4BCF6B-DBB4-4075-978A-BD1BDD7DB325}"/>
    <cellStyle name="Comma 7 3 3 2 5 3" xfId="11872" xr:uid="{2D763480-9900-4BAF-89BD-548D43463C10}"/>
    <cellStyle name="Comma 7 3 3 2 5 3 2" xfId="22252" xr:uid="{A0785BF4-0595-412C-AC40-3B49CB0B9445}"/>
    <cellStyle name="Comma 7 3 3 2 5 4" xfId="26973" xr:uid="{155FA4AD-2CAE-499D-AD34-4A92FCFAB834}"/>
    <cellStyle name="Comma 7 3 3 2 5 5" xfId="27009" xr:uid="{42CCFA58-44B3-4334-BC5C-52448E92816B}"/>
    <cellStyle name="Comma 7 3 3 2 5 6" xfId="16586" xr:uid="{6EFF85A7-D7C1-484B-B8FA-83F6F12B824F}"/>
    <cellStyle name="Comma 7 3 3 2 6" xfId="5624" xr:uid="{A2D3013C-BE82-4915-92F9-26D6E8EE4189}"/>
    <cellStyle name="Comma 7 3 3 2 6 2" xfId="29724" xr:uid="{3D06F1E3-79B4-4811-B657-F16B4EEA06E8}"/>
    <cellStyle name="Comma 7 3 3 2 6 2 2" xfId="30976" xr:uid="{112E69B3-69F1-44A5-8738-0AA881F3DFDC}"/>
    <cellStyle name="Comma 7 3 3 2 7" xfId="23606" xr:uid="{B41E808F-419D-4112-B57C-FE262ACDB723}"/>
    <cellStyle name="Comma 7 3 3 2 8" xfId="13091" xr:uid="{69C5B4E4-141E-4936-8947-D86E9DB215A7}"/>
    <cellStyle name="Comma 7 3 3 3" xfId="1747" xr:uid="{00000000-0005-0000-0000-0000BA020000}"/>
    <cellStyle name="Comma 7 3 3 3 2" xfId="3067" xr:uid="{00000000-0005-0000-0000-000026020000}"/>
    <cellStyle name="Comma 7 3 3 3 2 2" xfId="8147" xr:uid="{4CEC2DAE-59CC-41E6-9646-DCE43190F6F2}"/>
    <cellStyle name="Comma 7 3 3 3 2 2 2" xfId="28822" xr:uid="{E6AEBC26-2139-41EF-BF0E-6B894FFE6D4B}"/>
    <cellStyle name="Comma 7 3 3 3 2 2 3" xfId="27127" xr:uid="{97775F3B-4113-4C11-BAE6-4697DEEDE1B0}"/>
    <cellStyle name="Comma 7 3 3 3 2 2 4" xfId="18527" xr:uid="{FE9E3587-2DFB-4794-AF77-F275E407F326}"/>
    <cellStyle name="Comma 7 3 3 3 2 3" xfId="10980" xr:uid="{8076B583-2B96-4440-8848-174D54D15947}"/>
    <cellStyle name="Comma 7 3 3 3 2 3 2" xfId="21360" xr:uid="{67EF6649-A77E-4EA8-82A8-3E1ECA01B454}"/>
    <cellStyle name="Comma 7 3 3 3 2 4" xfId="25806" xr:uid="{4C1BCBBD-3DB1-4BFC-8D07-489BC0A36833}"/>
    <cellStyle name="Comma 7 3 3 3 2 5" xfId="15694" xr:uid="{1C54CB16-3831-4652-8659-275E82814D49}"/>
    <cellStyle name="Comma 7 3 3 3 3" xfId="3660" xr:uid="{00000000-0005-0000-0000-0000BA020000}"/>
    <cellStyle name="Comma 7 3 3 3 4" xfId="4413" xr:uid="{C4ADDF44-032A-408C-84C3-86FFFE4E4013}"/>
    <cellStyle name="Comma 7 3 3 3 4 2" xfId="9185" xr:uid="{42AC00F0-9492-4676-BDB2-357D3B18E427}"/>
    <cellStyle name="Comma 7 3 3 3 4 2 2" xfId="19565" xr:uid="{BC7263AB-8221-4FB6-AD8D-910D472E8471}"/>
    <cellStyle name="Comma 7 3 3 3 4 2 3" xfId="31079" xr:uid="{7AD836FD-8CD5-4690-A33A-8DF428ABF448}"/>
    <cellStyle name="Comma 7 3 3 3 4 2 4" xfId="30761" xr:uid="{95AEBBD9-A3AC-4749-8833-DDB070EBC3BF}"/>
    <cellStyle name="Comma 7 3 3 3 4 3" xfId="12018" xr:uid="{8793FEAC-978C-441F-969E-0319CEF0B5C5}"/>
    <cellStyle name="Comma 7 3 3 3 4 3 2" xfId="22398" xr:uid="{6DE8221E-12FE-4309-B6B4-8BE2DE924522}"/>
    <cellStyle name="Comma 7 3 3 3 4 4" xfId="16732" xr:uid="{7FBD3671-E1EF-41B2-87B9-392F9A153064}"/>
    <cellStyle name="Comma 7 3 3 3 5" xfId="5625" xr:uid="{4B07D9D7-1EC9-4371-972C-5A57C883344A}"/>
    <cellStyle name="Comma 7 3 3 3 5 2" xfId="29707" xr:uid="{629F5DA6-01D3-4F91-A6F3-08DAFF81178A}"/>
    <cellStyle name="Comma 7 3 3 3 6" xfId="25367" xr:uid="{85FC2800-D224-481E-B797-ADD3E02151AE}"/>
    <cellStyle name="Comma 7 3 3 3 7" xfId="13575" xr:uid="{7F1783B6-DD95-4E74-AD72-A664F26C4E68}"/>
    <cellStyle name="Comma 7 3 3 4" xfId="1745" xr:uid="{00000000-0005-0000-0000-0000BB020000}"/>
    <cellStyle name="Comma 7 3 3 4 2" xfId="3065" xr:uid="{00000000-0005-0000-0000-000027020000}"/>
    <cellStyle name="Comma 7 3 3 4 2 2" xfId="8145" xr:uid="{4D74363D-0D00-4E7B-897E-59E3B5B44DBC}"/>
    <cellStyle name="Comma 7 3 3 4 2 2 2" xfId="28820" xr:uid="{9F37E984-F48E-4584-AD19-87C55845FBD4}"/>
    <cellStyle name="Comma 7 3 3 4 2 2 3" xfId="26378" xr:uid="{61BE0BF0-831D-405E-B879-9B9756EAFA22}"/>
    <cellStyle name="Comma 7 3 3 4 2 2 4" xfId="18525" xr:uid="{126C449A-9FBD-47E7-AF9C-2B8653641DD4}"/>
    <cellStyle name="Comma 7 3 3 4 2 3" xfId="10978" xr:uid="{BE834253-CA93-4A8C-B698-F251AD5E218A}"/>
    <cellStyle name="Comma 7 3 3 4 2 3 2" xfId="21358" xr:uid="{079D4537-C508-4A8A-916D-10673C4F3264}"/>
    <cellStyle name="Comma 7 3 3 4 2 4" xfId="25823" xr:uid="{1AC7B645-3C68-475E-B23A-FFD3F1E4DC13}"/>
    <cellStyle name="Comma 7 3 3 4 2 5" xfId="15692" xr:uid="{45B48ACC-05C7-4A8D-9343-9C4B23292EA2}"/>
    <cellStyle name="Comma 7 3 3 4 3" xfId="3573" xr:uid="{00000000-0005-0000-0000-0000BB020000}"/>
    <cellStyle name="Comma 7 3 3 4 4" xfId="5623" xr:uid="{2F7F323B-1E99-4199-9FD5-7182F60C697E}"/>
    <cellStyle name="Comma 7 3 3 4 4 2" xfId="29957" xr:uid="{DF3BC11F-BB56-413E-BA58-E5E717506BBC}"/>
    <cellStyle name="Comma 7 3 3 4 5" xfId="23253" xr:uid="{D1618A0B-CB18-46B0-B923-3602E8C2202D}"/>
    <cellStyle name="Comma 7 3 3 4 6" xfId="13573" xr:uid="{2CB183F8-626F-484D-9139-18CA7C95B02A}"/>
    <cellStyle name="Comma 7 3 3 5" xfId="2633" xr:uid="{00000000-0005-0000-0000-000028020000}"/>
    <cellStyle name="Comma 7 3 3 5 2" xfId="5895" xr:uid="{36676AAB-8552-4649-A040-455FB81B4509}"/>
    <cellStyle name="Comma 7 3 3 5 2 2" xfId="28726" xr:uid="{61EA2F39-58EF-4AA1-8414-4464AAC1F37B}"/>
    <cellStyle name="Comma 7 3 3 5 2 3" xfId="27166" xr:uid="{4199FBA4-6D09-484B-8FA6-B61397EA8990}"/>
    <cellStyle name="Comma 7 3 3 5 2 4" xfId="15305" xr:uid="{4EE41382-F934-470E-9BCF-026038F49CA2}"/>
    <cellStyle name="Comma 7 3 3 5 3" xfId="7758" xr:uid="{F84413E1-A4AA-46F3-AA5C-C96CE57F48D3}"/>
    <cellStyle name="Comma 7 3 3 5 3 2" xfId="18138" xr:uid="{D90FC7A3-6858-4F70-8F1E-560A2F4D637F}"/>
    <cellStyle name="Comma 7 3 3 5 4" xfId="10591" xr:uid="{98B11636-9509-4EB7-AE8E-0F7E429A0886}"/>
    <cellStyle name="Comma 7 3 3 5 4 2" xfId="20971" xr:uid="{5F169CDB-BD8C-42AB-A687-B6B96BB97414}"/>
    <cellStyle name="Comma 7 3 3 5 5" xfId="23483" xr:uid="{673B89A2-D9A0-4FB6-829E-981024FA279C}"/>
    <cellStyle name="Comma 7 3 3 5 6" xfId="13021" xr:uid="{98B80837-74CF-4003-800B-FE911047C733}"/>
    <cellStyle name="Comma 7 3 3 6" xfId="4130" xr:uid="{757E601D-C209-4CC5-B656-FFAD7B959A42}"/>
    <cellStyle name="Comma 7 3 3 6 2" xfId="8902" xr:uid="{5B3322E2-9EA7-488B-A54E-4F4A79181686}"/>
    <cellStyle name="Comma 7 3 3 6 2 2" xfId="19282" xr:uid="{EEFD30C4-AED4-4D30-8063-D9B6773E4020}"/>
    <cellStyle name="Comma 7 3 3 6 2 3" xfId="31014" xr:uid="{19B449DC-F951-4406-BBDC-1E361946CBF1}"/>
    <cellStyle name="Comma 7 3 3 6 2 4" xfId="30759" xr:uid="{09060111-3662-4062-98E2-27280CA31DEF}"/>
    <cellStyle name="Comma 7 3 3 6 3" xfId="11735" xr:uid="{E396CB88-FFB8-4CFA-8A42-4E5A7370436D}"/>
    <cellStyle name="Comma 7 3 3 6 3 2" xfId="22115" xr:uid="{304CCAD5-770C-41DC-AAC1-56089804D1CD}"/>
    <cellStyle name="Comma 7 3 3 6 4" xfId="25374" xr:uid="{409B246B-C7BF-4347-9604-D47376DB26DA}"/>
    <cellStyle name="Comma 7 3 3 6 5" xfId="26399" xr:uid="{89FE9C46-DA7B-41BF-BD96-9AE917FBE012}"/>
    <cellStyle name="Comma 7 3 3 6 6" xfId="16449" xr:uid="{EDA4B454-3F8F-45CD-A3A4-D8172BE7DA33}"/>
    <cellStyle name="Comma 7 3 3 7" xfId="4904" xr:uid="{7D2A297D-B50D-4072-9432-83DFC3A3C81C}"/>
    <cellStyle name="Comma 7 3 3 7 2" xfId="28270" xr:uid="{B23DF960-54C1-4930-943A-4B16F930C9D5}"/>
    <cellStyle name="Comma 7 3 3 7 3" xfId="26999" xr:uid="{35F7C694-B2D9-4D6C-92D2-583AC0731BB4}"/>
    <cellStyle name="Comma 7 3 3 7 4" xfId="14196" xr:uid="{43D57C78-9D72-49EA-83EC-86203BB79967}"/>
    <cellStyle name="Comma 7 3 3 8" xfId="6649" xr:uid="{801A5F16-1083-4E87-8B88-1308B3B0DFAB}"/>
    <cellStyle name="Comma 7 3 3 8 2" xfId="17029" xr:uid="{1C7780A4-224B-4B89-BC7E-F3F188E97C49}"/>
    <cellStyle name="Comma 7 3 3 9" xfId="9482" xr:uid="{762E7001-323D-4976-9567-7268E23A04AB}"/>
    <cellStyle name="Comma 7 3 3 9 2" xfId="19862" xr:uid="{F6EACF00-00AA-498A-A183-4F83194EC5F5}"/>
    <cellStyle name="Comma 7 3 4" xfId="514" xr:uid="{00000000-0005-0000-0000-0000BC020000}"/>
    <cellStyle name="Comma 7 3 4 10" xfId="13089" xr:uid="{5D18A68E-661D-476A-94EC-6B141504A13B}"/>
    <cellStyle name="Comma 7 3 4 2" xfId="1749" xr:uid="{00000000-0005-0000-0000-0000BD020000}"/>
    <cellStyle name="Comma 7 3 4 2 2" xfId="3068" xr:uid="{00000000-0005-0000-0000-00002A020000}"/>
    <cellStyle name="Comma 7 3 4 2 2 2" xfId="8148" xr:uid="{F1931F2F-FA1E-4610-B819-B83AC5BC1B32}"/>
    <cellStyle name="Comma 7 3 4 2 2 2 2" xfId="28823" xr:uid="{2B34A51E-562E-47FB-AC6C-A9F13E5A62D8}"/>
    <cellStyle name="Comma 7 3 4 2 2 2 3" xfId="28050" xr:uid="{0AA50304-3480-4DF2-BC26-56196F86B5A1}"/>
    <cellStyle name="Comma 7 3 4 2 2 2 4" xfId="18528" xr:uid="{CFD02403-A5B3-4B34-9D98-25744920ABB0}"/>
    <cellStyle name="Comma 7 3 4 2 2 3" xfId="10981" xr:uid="{E51FA6A8-FAC5-4ECF-97FD-3899F69BAA92}"/>
    <cellStyle name="Comma 7 3 4 2 2 3 2" xfId="21361" xr:uid="{1DB3555B-03E2-42F0-8F73-B9E9BC7E756D}"/>
    <cellStyle name="Comma 7 3 4 2 2 4" xfId="25705" xr:uid="{1B9CE304-0B1C-421A-B852-66ECE11A42FD}"/>
    <cellStyle name="Comma 7 3 4 2 2 5" xfId="15695" xr:uid="{0059FB86-B8E1-47DF-B797-187EC693D0B9}"/>
    <cellStyle name="Comma 7 3 4 2 3" xfId="3567" xr:uid="{00000000-0005-0000-0000-0000BD020000}"/>
    <cellStyle name="Comma 7 3 4 2 4" xfId="5626" xr:uid="{827FF525-FDEF-478D-B14C-FAE5C7BAAA47}"/>
    <cellStyle name="Comma 7 3 4 2 4 2" xfId="29958" xr:uid="{20F9AA12-6498-407B-9E82-41086B0B3BDD}"/>
    <cellStyle name="Comma 7 3 4 2 5" xfId="23641" xr:uid="{26E0B30D-3726-4688-865B-D1F3204AE96E}"/>
    <cellStyle name="Comma 7 3 4 2 6" xfId="13576" xr:uid="{F4BA8690-D0E4-4844-9953-93C10169E306}"/>
    <cellStyle name="Comma 7 3 4 3" xfId="1750" xr:uid="{00000000-0005-0000-0000-0000BE020000}"/>
    <cellStyle name="Comma 7 3 4 3 2" xfId="3815" xr:uid="{ED0A20C0-851C-43CE-A244-08046447CC9F}"/>
    <cellStyle name="Comma 7 3 4 3 2 2" xfId="8649" xr:uid="{5743A404-81A7-4FC8-9A73-2CF43BBDF2C9}"/>
    <cellStyle name="Comma 7 3 4 3 2 2 2" xfId="19029" xr:uid="{F761ADC4-7297-49D4-9817-D82A827C461C}"/>
    <cellStyle name="Comma 7 3 4 3 2 3" xfId="11482" xr:uid="{6934031F-9FD8-49C2-B8A8-B2C64565D36A}"/>
    <cellStyle name="Comma 7 3 4 3 2 3 2" xfId="21862" xr:uid="{76527055-D680-47A1-9723-5EAC8171A51D}"/>
    <cellStyle name="Comma 7 3 4 3 2 4" xfId="28363" xr:uid="{69F5C42D-3BBD-48AB-8E63-2E21149E3188}"/>
    <cellStyle name="Comma 7 3 4 3 2 5" xfId="27960" xr:uid="{92A982AB-DFE7-450D-92F7-1A82914FB061}"/>
    <cellStyle name="Comma 7 3 4 3 2 6" xfId="16196" xr:uid="{D910A9D7-AD9D-4B05-B81B-13E8634ECBD0}"/>
    <cellStyle name="Comma 7 3 4 3 3" xfId="24322" xr:uid="{9A324CB1-B7DA-4131-BD6A-B17EB30DB498}"/>
    <cellStyle name="Comma 7 3 4 3 3 2" xfId="29905" xr:uid="{01103EB1-3290-4D07-BEF6-3D3C9114883A}"/>
    <cellStyle name="Comma 7 3 4 3 4" xfId="30018" xr:uid="{00434217-AB1C-4C6B-A83C-62A5AC08F336}"/>
    <cellStyle name="Comma 7 3 4 4" xfId="1748" xr:uid="{00000000-0005-0000-0000-0000BF020000}"/>
    <cellStyle name="Comma 7 3 4 5" xfId="4265" xr:uid="{6AC4C019-2C26-44B9-9EC3-E3E2D424E32A}"/>
    <cellStyle name="Comma 7 3 4 5 2" xfId="9037" xr:uid="{BA81BD57-2BE5-4DE4-A24B-9A95219BDEBB}"/>
    <cellStyle name="Comma 7 3 4 5 2 2" xfId="19417" xr:uid="{65304B97-A8D6-4B6E-87B2-4B6DC7C72B44}"/>
    <cellStyle name="Comma 7 3 4 5 2 3" xfId="31041" xr:uid="{29E5A903-E367-4DFA-8B14-41FC53E28582}"/>
    <cellStyle name="Comma 7 3 4 5 2 4" xfId="30762" xr:uid="{5C39344B-BBCA-404A-B8F8-90DD4B557283}"/>
    <cellStyle name="Comma 7 3 4 5 3" xfId="11870" xr:uid="{A013C49C-ECA8-41BF-96B3-21AC6B269F3A}"/>
    <cellStyle name="Comma 7 3 4 5 3 2" xfId="22250" xr:uid="{38C1A6FF-C5F3-4E12-BE7A-E04070788C11}"/>
    <cellStyle name="Comma 7 3 4 5 4" xfId="27171" xr:uid="{521A88FC-A998-4017-B759-BC483B8ACAD1}"/>
    <cellStyle name="Comma 7 3 4 5 5" xfId="27645" xr:uid="{9E9C4CCF-96E0-4DBC-B421-7EC98AEB14A6}"/>
    <cellStyle name="Comma 7 3 4 5 6" xfId="16584" xr:uid="{FDCE4580-85C0-4BB6-BD76-D4661603676D}"/>
    <cellStyle name="Comma 7 3 4 6" xfId="4905" xr:uid="{114D2B95-BFD8-40C9-A1CB-957B05832063}"/>
    <cellStyle name="Comma 7 3 4 6 2" xfId="14197" xr:uid="{5BA9B63E-C96B-45DE-8274-2E83DCD2C710}"/>
    <cellStyle name="Comma 7 3 4 7" xfId="6650" xr:uid="{506C9779-95AC-4388-83FE-672925C1B02A}"/>
    <cellStyle name="Comma 7 3 4 7 2" xfId="17030" xr:uid="{EF752B79-A60E-4278-8C80-47B41BB97CC3}"/>
    <cellStyle name="Comma 7 3 4 8" xfId="9483" xr:uid="{6CF38CF9-56BB-4978-954E-7E8E65084293}"/>
    <cellStyle name="Comma 7 3 4 8 2" xfId="19863" xr:uid="{592F35B8-062A-4B9B-B09A-3D462665963C}"/>
    <cellStyle name="Comma 7 3 4 9" xfId="23023" xr:uid="{36677A31-1104-4492-9FE6-428E8689CAF8}"/>
    <cellStyle name="Comma 7 3 5" xfId="1751" xr:uid="{00000000-0005-0000-0000-0000C0020000}"/>
    <cellStyle name="Comma 7 3 5 2" xfId="3069" xr:uid="{00000000-0005-0000-0000-00002B020000}"/>
    <cellStyle name="Comma 7 3 5 2 2" xfId="8149" xr:uid="{2C8E21C5-1468-4AAC-9E90-7A13D1302FAA}"/>
    <cellStyle name="Comma 7 3 5 2 2 2" xfId="28824" xr:uid="{0BD52AC1-38D0-4C37-B305-D192EA862043}"/>
    <cellStyle name="Comma 7 3 5 2 2 2 2" xfId="31227" xr:uid="{B1824CD6-0A45-4DFE-A5DA-1765F10D715A}"/>
    <cellStyle name="Comma 7 3 5 2 2 2 3" xfId="30764" xr:uid="{7B31E587-79F0-4CA4-A017-3FC64EB68955}"/>
    <cellStyle name="Comma 7 3 5 2 2 3" xfId="26547" xr:uid="{8A656009-1284-4B9B-ADF3-ED1BC0BCC3F2}"/>
    <cellStyle name="Comma 7 3 5 2 2 4" xfId="18529" xr:uid="{128F5D68-5A9F-4E36-98C7-8BB7C0E561AD}"/>
    <cellStyle name="Comma 7 3 5 2 3" xfId="10982" xr:uid="{4DD23474-870F-4639-9FE4-AA6A0949A199}"/>
    <cellStyle name="Comma 7 3 5 2 3 2" xfId="21362" xr:uid="{A0882080-46B6-4B65-A5DA-7FD4934AA4B4}"/>
    <cellStyle name="Comma 7 3 5 2 4" xfId="24167" xr:uid="{A8908E9D-CF07-4CC3-93FE-F91D3CCF9DEE}"/>
    <cellStyle name="Comma 7 3 5 2 5" xfId="15696" xr:uid="{148F4EE9-281E-4E13-BB9F-538AA70BEA61}"/>
    <cellStyle name="Comma 7 3 5 3" xfId="3678" xr:uid="{00000000-0005-0000-0000-0000C0020000}"/>
    <cellStyle name="Comma 7 3 5 4" xfId="4414" xr:uid="{39A94735-439D-4714-8C97-340E07D9B1C2}"/>
    <cellStyle name="Comma 7 3 5 4 2" xfId="9186" xr:uid="{F1BC04F7-E54B-48FE-A1A1-A0DB777BD46E}"/>
    <cellStyle name="Comma 7 3 5 4 2 2" xfId="19566" xr:uid="{1394F04B-CC2D-457C-A8E1-742A6790E496}"/>
    <cellStyle name="Comma 7 3 5 4 2 3" xfId="31080" xr:uid="{7E1DD9F1-4C18-4368-A763-2CFDB57D9BB0}"/>
    <cellStyle name="Comma 7 3 5 4 2 4" xfId="30763" xr:uid="{CEB76293-5225-4DF8-B182-6C8C0AFD630E}"/>
    <cellStyle name="Comma 7 3 5 4 3" xfId="12019" xr:uid="{706B6DB9-CD9A-4ED7-B159-DF49DA196DEE}"/>
    <cellStyle name="Comma 7 3 5 4 3 2" xfId="22399" xr:uid="{01A9F026-682A-4472-8503-0CDD994EBD1A}"/>
    <cellStyle name="Comma 7 3 5 4 4" xfId="16733" xr:uid="{C73CAD6C-19D9-4C6A-AF12-4F6E33F0C6C6}"/>
    <cellStyle name="Comma 7 3 5 5" xfId="5627" xr:uid="{2FADE1A1-156D-4770-A59C-1D5D492CFF56}"/>
    <cellStyle name="Comma 7 3 5 5 2" xfId="29686" xr:uid="{DD02D9DC-2EC2-4EBC-A2AB-DA7D0EF6B5A6}"/>
    <cellStyle name="Comma 7 3 5 5 2 2" xfId="30977" xr:uid="{235E9461-30B4-44D8-929B-6F79698976C3}"/>
    <cellStyle name="Comma 7 3 5 6" xfId="24707" xr:uid="{CD0367C6-2874-4187-83D9-9B0301BDED90}"/>
    <cellStyle name="Comma 7 3 5 7" xfId="13577" xr:uid="{31C08D88-46F6-44FC-9FAF-C7DFE5A5340F}"/>
    <cellStyle name="Comma 7 3 6" xfId="1752" xr:uid="{00000000-0005-0000-0000-0000C1020000}"/>
    <cellStyle name="Comma 7 3 6 2" xfId="2876" xr:uid="{00000000-0005-0000-0000-00002C020000}"/>
    <cellStyle name="Comma 7 3 6 2 2" xfId="7993" xr:uid="{18FB670C-B086-4649-A49B-AA84A527E1C5}"/>
    <cellStyle name="Comma 7 3 6 2 2 2" xfId="25914" xr:uid="{247261F7-32DF-4C9F-AFC6-1B08B1D6E65D}"/>
    <cellStyle name="Comma 7 3 6 2 2 2 2" xfId="31169" xr:uid="{00E20836-A709-4D76-A735-95493E287AD1}"/>
    <cellStyle name="Comma 7 3 6 2 2 2 3" xfId="30765" xr:uid="{80F05594-7611-41F2-83FC-870D7DE32EE2}"/>
    <cellStyle name="Comma 7 3 6 2 2 3" xfId="27828" xr:uid="{DAA8CBF8-1F10-450B-9DE8-9200C3163FD1}"/>
    <cellStyle name="Comma 7 3 6 2 2 4" xfId="18373" xr:uid="{DEA785FC-D636-456D-AF50-1B6058F3F876}"/>
    <cellStyle name="Comma 7 3 6 2 3" xfId="10826" xr:uid="{B9BB6D5B-71C6-485F-AB66-710966D0D397}"/>
    <cellStyle name="Comma 7 3 6 2 3 2" xfId="21206" xr:uid="{3CA70379-CF4C-42E4-B4BE-D9DEA86B0B46}"/>
    <cellStyle name="Comma 7 3 6 2 4" xfId="25752" xr:uid="{F1D9F1EE-C37D-4DBC-9EBE-C21ECE231D19}"/>
    <cellStyle name="Comma 7 3 6 2 5" xfId="15540" xr:uid="{08D89368-48C2-4B55-BAE4-2E63BB5C19EB}"/>
    <cellStyle name="Comma 7 3 6 3" xfId="3584" xr:uid="{00000000-0005-0000-0000-0000C1020000}"/>
    <cellStyle name="Comma 7 3 6 4" xfId="5628" xr:uid="{5B76C98F-C0BF-4CF0-91A7-53BE3B77CE07}"/>
    <cellStyle name="Comma 7 3 6 4 2" xfId="29925" xr:uid="{741779F3-8687-413A-BABB-6A7AC4C6DE25}"/>
    <cellStyle name="Comma 7 3 6 5" xfId="25566" xr:uid="{337F0B91-D4CC-4CAA-B6E2-253217A3E564}"/>
    <cellStyle name="Comma 7 3 6 6" xfId="13372" xr:uid="{E5E7021E-60E4-49D3-852D-8B9CBD1B477D}"/>
    <cellStyle name="Comma 7 3 7" xfId="1738" xr:uid="{00000000-0005-0000-0000-0000C2020000}"/>
    <cellStyle name="Comma 7 3 7 2" xfId="2470" xr:uid="{00000000-0005-0000-0000-00002D020000}"/>
    <cellStyle name="Comma 7 3 7 2 2" xfId="7595" xr:uid="{7D845A15-6584-4DF0-BD6D-A91976089349}"/>
    <cellStyle name="Comma 7 3 7 2 2 2" xfId="17975" xr:uid="{3AB9C43A-0755-4D8E-9050-2315D93038AC}"/>
    <cellStyle name="Comma 7 3 7 2 3" xfId="10428" xr:uid="{DD76E025-B3B3-4322-8BD0-B8844AAC6C67}"/>
    <cellStyle name="Comma 7 3 7 2 3 2" xfId="20808" xr:uid="{D23E06C4-78BF-428D-8406-91208AE2099D}"/>
    <cellStyle name="Comma 7 3 7 2 4" xfId="28403" xr:uid="{DC6320A0-6526-4250-87A3-7B1F7EEDCB45}"/>
    <cellStyle name="Comma 7 3 7 2 5" xfId="26971" xr:uid="{A42A7536-2CC4-4B9F-AC77-C927C7495088}"/>
    <cellStyle name="Comma 7 3 7 2 6" xfId="15142" xr:uid="{A8223C2E-A5D3-46BC-8E03-DE32AA84F113}"/>
    <cellStyle name="Comma 7 3 7 3" xfId="3669" xr:uid="{00000000-0005-0000-0000-0000C2020000}"/>
    <cellStyle name="Comma 7 3 7 4" xfId="5618" xr:uid="{354E9452-958D-4758-AD14-FEC309CF6342}"/>
    <cellStyle name="Comma 7 3 7 4 2" xfId="29864" xr:uid="{AF8F967D-6CD8-4490-B648-1B12B79D6ED9}"/>
    <cellStyle name="Comma 7 3 7 5" xfId="22982" xr:uid="{EAAC60EF-B43A-4315-839E-C8B32C50A659}"/>
    <cellStyle name="Comma 7 3 7 6" xfId="12858" xr:uid="{682832E8-95F6-45C8-B43E-58421DD09B80}"/>
    <cellStyle name="Comma 7 3 8" xfId="2224" xr:uid="{00000000-0005-0000-0000-00001C020000}"/>
    <cellStyle name="Comma 7 3 8 2" xfId="7351" xr:uid="{5BC9C21F-183C-4FCE-B8EC-B1B634F9922A}"/>
    <cellStyle name="Comma 7 3 8 2 2" xfId="17731" xr:uid="{1DA734C9-A914-4B89-AFB7-487EBECE364A}"/>
    <cellStyle name="Comma 7 3 8 2 2 2" xfId="31124" xr:uid="{25B90749-E1DC-406F-B88F-4BB77DEB39C9}"/>
    <cellStyle name="Comma 7 3 8 2 2 3" xfId="30766" xr:uid="{2521966B-AD35-4B5A-923F-A6EECC98E499}"/>
    <cellStyle name="Comma 7 3 8 3" xfId="10184" xr:uid="{2FE99FB6-ECE3-41F4-A934-2F4B90A9C4AB}"/>
    <cellStyle name="Comma 7 3 8 3 2" xfId="20564" xr:uid="{92D13FE9-41BC-4343-9B57-06EAC4534CC4}"/>
    <cellStyle name="Comma 7 3 8 4" xfId="24239" xr:uid="{50855620-BD9B-4122-94BD-2F28CAC11815}"/>
    <cellStyle name="Comma 7 3 8 5" xfId="28643" xr:uid="{ED54405B-B91D-40A4-B0B2-45B0F7BED97A}"/>
    <cellStyle name="Comma 7 3 8 6" xfId="14898" xr:uid="{C5B9B326-55FB-47B5-A3D1-FA1DBA274FDB}"/>
    <cellStyle name="Comma 7 3 9" xfId="3871" xr:uid="{C8A0FAA5-9B7E-4CC6-B126-396DBCBEC0DE}"/>
    <cellStyle name="Comma 7 3 9 2" xfId="8703" xr:uid="{B46FEDDD-A828-4163-B92F-2055CBDEAEB4}"/>
    <cellStyle name="Comma 7 3 9 2 2" xfId="19083" xr:uid="{2034E241-4243-4FAB-90CD-B6EA1F0064C3}"/>
    <cellStyle name="Comma 7 3 9 3" xfId="11536" xr:uid="{F2068EFC-51AD-4FB6-BB65-47749DB0186B}"/>
    <cellStyle name="Comma 7 3 9 3 2" xfId="21916" xr:uid="{2E3C1A11-E99F-4D94-AC42-0F11BDE77AC8}"/>
    <cellStyle name="Comma 7 3 9 4" xfId="25930" xr:uid="{209424B9-46B1-4177-B516-31E1C7847AA8}"/>
    <cellStyle name="Comma 7 3 9 5" xfId="27895" xr:uid="{A8450D4A-2A82-46E6-87BC-80C5ECBA7966}"/>
    <cellStyle name="Comma 7 3 9 6" xfId="16250" xr:uid="{B822606C-21C2-4CB7-955C-9119D754E584}"/>
    <cellStyle name="Comma 7 4" xfId="515" xr:uid="{00000000-0005-0000-0000-0000C3020000}"/>
    <cellStyle name="Comma 7 4 10" xfId="6651" xr:uid="{6CCB234B-3732-4180-9295-30246168D0DE}"/>
    <cellStyle name="Comma 7 4 10 2" xfId="17031" xr:uid="{FE944D4D-C8A5-46A0-B01B-C80842D62473}"/>
    <cellStyle name="Comma 7 4 11" xfId="9484" xr:uid="{50ABA6FC-08DB-406C-BB4A-54F32A4226BD}"/>
    <cellStyle name="Comma 7 4 11 2" xfId="19864" xr:uid="{C827654D-43F0-42CF-BC91-375B9C9A2DA5}"/>
    <cellStyle name="Comma 7 4 12" xfId="24802" xr:uid="{00BF0204-9762-4716-A551-48483A31603F}"/>
    <cellStyle name="Comma 7 4 13" xfId="12436" xr:uid="{13856006-9B60-4428-8901-F69F79C25512}"/>
    <cellStyle name="Comma 7 4 2" xfId="516" xr:uid="{00000000-0005-0000-0000-0000C4020000}"/>
    <cellStyle name="Comma 7 4 2 10" xfId="9485" xr:uid="{C45BCE2B-22E5-4A0D-98DA-7CD2B25CFB72}"/>
    <cellStyle name="Comma 7 4 2 10 2" xfId="19865" xr:uid="{6AE756E6-4060-4F0B-9E6A-DA736F705B0C}"/>
    <cellStyle name="Comma 7 4 2 11" xfId="25398" xr:uid="{E25AB078-2481-493F-BF72-67BB374FB035}"/>
    <cellStyle name="Comma 7 4 2 12" xfId="12517" xr:uid="{0BCCFE48-A043-48E7-AAE1-9BD13473BBED}"/>
    <cellStyle name="Comma 7 4 2 2" xfId="517" xr:uid="{00000000-0005-0000-0000-0000C5020000}"/>
    <cellStyle name="Comma 7 4 2 2 10" xfId="13093" xr:uid="{474830D7-07D3-431C-9957-D008D6DEC804}"/>
    <cellStyle name="Comma 7 4 2 2 2" xfId="1756" xr:uid="{00000000-0005-0000-0000-0000C6020000}"/>
    <cellStyle name="Comma 7 4 2 2 2 2" xfId="3071" xr:uid="{00000000-0005-0000-0000-000031020000}"/>
    <cellStyle name="Comma 7 4 2 2 2 2 2" xfId="8151" xr:uid="{EDFBFDE6-C2AC-4A1B-A48A-ECBE9A76C80F}"/>
    <cellStyle name="Comma 7 4 2 2 2 2 2 2" xfId="28826" xr:uid="{FF22AA6C-8848-44FE-817B-E390CFD62415}"/>
    <cellStyle name="Comma 7 4 2 2 2 2 2 3" xfId="27042" xr:uid="{E7DA5C12-4FDD-472B-AC99-F287BADDBA34}"/>
    <cellStyle name="Comma 7 4 2 2 2 2 2 4" xfId="18531" xr:uid="{EF18A9A0-FF4C-496E-B374-2D3F98E342F5}"/>
    <cellStyle name="Comma 7 4 2 2 2 2 3" xfId="10984" xr:uid="{D374B389-DFB7-4077-AD3D-D1414956DDBF}"/>
    <cellStyle name="Comma 7 4 2 2 2 2 3 2" xfId="21364" xr:uid="{921AD211-D54D-4B02-99A0-38D8C20E35FD}"/>
    <cellStyle name="Comma 7 4 2 2 2 2 4" xfId="25726" xr:uid="{A1B5A541-62DD-4F3C-A2B9-76C97AB30F96}"/>
    <cellStyle name="Comma 7 4 2 2 2 2 5" xfId="15698" xr:uid="{A876339B-699C-4347-AB50-4795736B3C8C}"/>
    <cellStyle name="Comma 7 4 2 2 2 3" xfId="2074" xr:uid="{00000000-0005-0000-0000-0000C6020000}"/>
    <cellStyle name="Comma 7 4 2 2 2 4" xfId="5630" xr:uid="{0F96B69B-244A-4F6D-84EA-8F9BE20B728E}"/>
    <cellStyle name="Comma 7 4 2 2 2 4 2" xfId="29960" xr:uid="{C6BDF0EC-6B58-4DBD-A047-E46FD0F0B294}"/>
    <cellStyle name="Comma 7 4 2 2 2 5" xfId="25274" xr:uid="{6F6DFA54-4A86-4350-BCF4-C833337EB687}"/>
    <cellStyle name="Comma 7 4 2 2 2 6" xfId="13579" xr:uid="{BB1AD97E-9E89-47BC-B3DF-F183196AF99C}"/>
    <cellStyle name="Comma 7 4 2 2 3" xfId="1757" xr:uid="{00000000-0005-0000-0000-0000C7020000}"/>
    <cellStyle name="Comma 7 4 2 2 3 2" xfId="4653" xr:uid="{A56AE9E9-514F-441A-BEA0-FFD7772ABB59}"/>
    <cellStyle name="Comma 7 4 2 2 3 2 2" xfId="9405" xr:uid="{55022EEA-4842-4678-B4EA-ED753185182C}"/>
    <cellStyle name="Comma 7 4 2 2 3 2 2 2" xfId="19785" xr:uid="{590F2FAA-4B8B-4C56-8E81-CD92CEC869BF}"/>
    <cellStyle name="Comma 7 4 2 2 3 2 3" xfId="12238" xr:uid="{432E2E00-1A98-484E-A074-FBC06ECE9C3D}"/>
    <cellStyle name="Comma 7 4 2 2 3 2 3 2" xfId="22618" xr:uid="{2A646215-255F-4235-A75F-A8C071AB7686}"/>
    <cellStyle name="Comma 7 4 2 2 3 2 4" xfId="28074" xr:uid="{388ED87A-BF05-48C1-AAA9-C428EEC71682}"/>
    <cellStyle name="Comma 7 4 2 2 3 2 5" xfId="27266" xr:uid="{7058C08C-414A-4B93-8499-40C15D815A26}"/>
    <cellStyle name="Comma 7 4 2 2 3 2 6" xfId="16952" xr:uid="{C310694A-51E1-48CD-82B7-9455B44364C9}"/>
    <cellStyle name="Comma 7 4 2 2 3 3" xfId="23803" xr:uid="{C3AD8123-48D2-4D44-978E-10B47EC021EC}"/>
    <cellStyle name="Comma 7 4 2 2 3 3 2" xfId="29908" xr:uid="{017EC55E-1B0E-4659-9FEC-BE3BA3E8B5C9}"/>
    <cellStyle name="Comma 7 4 2 2 3 4" xfId="30020" xr:uid="{76B366F6-D4B3-4EDF-A05B-E111BAF2E291}"/>
    <cellStyle name="Comma 7 4 2 2 4" xfId="1755" xr:uid="{00000000-0005-0000-0000-0000C8020000}"/>
    <cellStyle name="Comma 7 4 2 2 4 2" xfId="26941" xr:uid="{EACAFCDE-67F4-4E83-A579-0DC3A6628F60}"/>
    <cellStyle name="Comma 7 4 2 2 4 3" xfId="26332" xr:uid="{C333864C-4DD8-4C48-8E8A-BF6D74E07578}"/>
    <cellStyle name="Comma 7 4 2 2 5" xfId="4268" xr:uid="{4C51E4D8-F743-4DB6-846D-6A99EF1E28C9}"/>
    <cellStyle name="Comma 7 4 2 2 5 2" xfId="9040" xr:uid="{FD66BA8B-39FA-421D-ACF0-304D4B252B32}"/>
    <cellStyle name="Comma 7 4 2 2 5 2 2" xfId="19420" xr:uid="{1ADDD720-C7FC-4201-B8B3-B2F16A556C5B}"/>
    <cellStyle name="Comma 7 4 2 2 5 2 3" xfId="31044" xr:uid="{0466D549-57DE-48E9-B876-F7DA4CBAA235}"/>
    <cellStyle name="Comma 7 4 2 2 5 2 4" xfId="30767" xr:uid="{B6266582-5973-4625-BC73-800F26BE8E45}"/>
    <cellStyle name="Comma 7 4 2 2 5 3" xfId="11873" xr:uid="{91611199-EB54-4305-A93B-757A8CCCB962}"/>
    <cellStyle name="Comma 7 4 2 2 5 3 2" xfId="22253" xr:uid="{DC59DBFB-DA34-4F7B-8E76-CC383E74A36A}"/>
    <cellStyle name="Comma 7 4 2 2 5 4" xfId="26660" xr:uid="{7AA1B6D3-94B8-4725-838A-27A287B5A0D0}"/>
    <cellStyle name="Comma 7 4 2 2 5 5" xfId="28413" xr:uid="{781FC03D-2709-4EA3-888D-B585F477CC13}"/>
    <cellStyle name="Comma 7 4 2 2 5 6" xfId="16587" xr:uid="{95E22C73-DEF3-4CF3-8C0C-96AB51B1D510}"/>
    <cellStyle name="Comma 7 4 2 2 6" xfId="4908" xr:uid="{4F05658C-4F8B-4450-8CF2-3C0F842DE943}"/>
    <cellStyle name="Comma 7 4 2 2 6 2" xfId="27809" xr:uid="{3BB74277-8229-4B12-867A-5DDCE5B1C601}"/>
    <cellStyle name="Comma 7 4 2 2 6 3" xfId="26959" xr:uid="{BA5B4B88-4C7E-4D8B-BB9A-4CF57B0987D9}"/>
    <cellStyle name="Comma 7 4 2 2 6 4" xfId="14200" xr:uid="{641BD702-6463-4981-A0CF-AAA51C20EC9B}"/>
    <cellStyle name="Comma 7 4 2 2 7" xfId="6653" xr:uid="{29CFA51F-B91D-472A-A88F-AAFA5013ABB0}"/>
    <cellStyle name="Comma 7 4 2 2 7 2" xfId="17033" xr:uid="{FBA6E820-D212-498D-80FB-8B4FB80C0634}"/>
    <cellStyle name="Comma 7 4 2 2 8" xfId="9486" xr:uid="{8CB5331E-1AEC-455D-AAE1-F89A718D0D5C}"/>
    <cellStyle name="Comma 7 4 2 2 8 2" xfId="19866" xr:uid="{CE9FDB0D-8594-4AE0-B6A4-125E9AFF47E1}"/>
    <cellStyle name="Comma 7 4 2 2 9" xfId="24933" xr:uid="{CCF4802F-B647-45E8-8C90-CC8D4F3B2C96}"/>
    <cellStyle name="Comma 7 4 2 3" xfId="1758" xr:uid="{00000000-0005-0000-0000-0000C9020000}"/>
    <cellStyle name="Comma 7 4 2 3 2" xfId="3072" xr:uid="{00000000-0005-0000-0000-000032020000}"/>
    <cellStyle name="Comma 7 4 2 3 2 2" xfId="8152" xr:uid="{401BA277-190E-4F58-9CDB-792EA14258C3}"/>
    <cellStyle name="Comma 7 4 2 3 2 2 2" xfId="28827" xr:uid="{1BA52ECE-26C0-489B-9DA8-F90D8E7B5CE2}"/>
    <cellStyle name="Comma 7 4 2 3 2 2 2 2" xfId="31228" xr:uid="{5DCE9DDA-5CBE-40F0-BC23-B3C9BE848D80}"/>
    <cellStyle name="Comma 7 4 2 3 2 2 2 3" xfId="30769" xr:uid="{C45D28CF-F3F7-4E67-9E26-B73EEE81ED73}"/>
    <cellStyle name="Comma 7 4 2 3 2 2 3" xfId="26589" xr:uid="{A9A6FA3A-10A1-4B81-9A71-7CB43FE46461}"/>
    <cellStyle name="Comma 7 4 2 3 2 2 4" xfId="18532" xr:uid="{C910133E-F186-4795-B306-35F8DAE47591}"/>
    <cellStyle name="Comma 7 4 2 3 2 3" xfId="10985" xr:uid="{823B96D9-B777-4448-AD31-D8BC2D6D8A43}"/>
    <cellStyle name="Comma 7 4 2 3 2 3 2" xfId="21365" xr:uid="{BEC454D6-21FA-4E5F-8080-F82A664B1815}"/>
    <cellStyle name="Comma 7 4 2 3 2 4" xfId="25569" xr:uid="{CF81D0C3-3EE6-4696-89C5-3B1856A97FDC}"/>
    <cellStyle name="Comma 7 4 2 3 2 5" xfId="15699" xr:uid="{332EB8CD-9113-4FBC-B464-DD354E16ECF1}"/>
    <cellStyle name="Comma 7 4 2 3 3" xfId="3615" xr:uid="{00000000-0005-0000-0000-0000C9020000}"/>
    <cellStyle name="Comma 7 4 2 3 4" xfId="4415" xr:uid="{4B720B26-C75C-4226-9681-0209047D1A81}"/>
    <cellStyle name="Comma 7 4 2 3 4 2" xfId="9187" xr:uid="{E632F89A-5B90-4DF6-B4A8-87869941BBE6}"/>
    <cellStyle name="Comma 7 4 2 3 4 2 2" xfId="19567" xr:uid="{3E0F7026-1F8B-4015-9B9C-9294211715B4}"/>
    <cellStyle name="Comma 7 4 2 3 4 2 3" xfId="31081" xr:uid="{F6B95315-CE84-493B-AAC8-03822C5B8988}"/>
    <cellStyle name="Comma 7 4 2 3 4 2 4" xfId="30768" xr:uid="{622C6861-D115-499C-A407-9F5AA1C65C51}"/>
    <cellStyle name="Comma 7 4 2 3 4 3" xfId="12020" xr:uid="{FA9899FA-E822-41AD-AD85-287577806EBE}"/>
    <cellStyle name="Comma 7 4 2 3 4 3 2" xfId="22400" xr:uid="{8A752706-E6EF-403A-ADAD-CC524FFEA0AD}"/>
    <cellStyle name="Comma 7 4 2 3 4 4" xfId="16734" xr:uid="{05687D9F-3A7B-4E08-8C61-4B266BFF80D4}"/>
    <cellStyle name="Comma 7 4 2 3 5" xfId="5631" xr:uid="{8655C0D7-5098-492F-88C6-7F9808A18537}"/>
    <cellStyle name="Comma 7 4 2 3 5 2" xfId="29703" xr:uid="{2CD370FC-BE89-44C6-B960-89019767396E}"/>
    <cellStyle name="Comma 7 4 2 3 5 2 2" xfId="30978" xr:uid="{AB2A1405-E9B2-4D65-9C63-84C25CAAF278}"/>
    <cellStyle name="Comma 7 4 2 3 6" xfId="24442" xr:uid="{E4AF0C8B-5284-4EFA-BE03-D51C5912C1E1}"/>
    <cellStyle name="Comma 7 4 2 3 7" xfId="13580" xr:uid="{2063385F-3AA0-4A2A-AB6F-AE53FCB5E919}"/>
    <cellStyle name="Comma 7 4 2 4" xfId="1759" xr:uid="{00000000-0005-0000-0000-0000CA020000}"/>
    <cellStyle name="Comma 7 4 2 4 2" xfId="3070" xr:uid="{00000000-0005-0000-0000-000033020000}"/>
    <cellStyle name="Comma 7 4 2 4 2 2" xfId="8150" xr:uid="{67EA87D6-BAC2-4F4C-9F76-DC111D6527C8}"/>
    <cellStyle name="Comma 7 4 2 4 2 2 2" xfId="28825" xr:uid="{81AC2B9C-6945-49EA-9AA8-627AEC46B77A}"/>
    <cellStyle name="Comma 7 4 2 4 2 2 3" xfId="27376" xr:uid="{F9B9B077-BD22-4EA8-822A-C1201A44B9CF}"/>
    <cellStyle name="Comma 7 4 2 4 2 2 4" xfId="18530" xr:uid="{2F5165DE-0F18-4DFA-9E76-C6E360EFF2DE}"/>
    <cellStyle name="Comma 7 4 2 4 2 3" xfId="10983" xr:uid="{4286A93B-BC7B-4C0B-8BA9-376812C755B5}"/>
    <cellStyle name="Comma 7 4 2 4 2 3 2" xfId="21363" xr:uid="{E620A8C8-844D-4CA0-B3E5-A5FB7B8181FD}"/>
    <cellStyle name="Comma 7 4 2 4 2 4" xfId="23864" xr:uid="{7A0B68CE-861E-4016-95DE-F4E04C840222}"/>
    <cellStyle name="Comma 7 4 2 4 2 5" xfId="15697" xr:uid="{F666E2A7-9066-44F5-BC43-15818D545E87}"/>
    <cellStyle name="Comma 7 4 2 4 3" xfId="3638" xr:uid="{00000000-0005-0000-0000-0000CA020000}"/>
    <cellStyle name="Comma 7 4 2 4 4" xfId="5632" xr:uid="{FFE912BB-055C-46DF-8818-DF8382E88359}"/>
    <cellStyle name="Comma 7 4 2 4 4 2" xfId="29959" xr:uid="{89796A6F-5040-434A-BAAD-19672D0CD23D}"/>
    <cellStyle name="Comma 7 4 2 4 5" xfId="23067" xr:uid="{769159F0-5C0D-45AD-A13C-86CDBB62F980}"/>
    <cellStyle name="Comma 7 4 2 4 6" xfId="13578" xr:uid="{9800965C-BD53-4754-868D-E5123D35909F}"/>
    <cellStyle name="Comma 7 4 2 5" xfId="1754" xr:uid="{00000000-0005-0000-0000-0000CB020000}"/>
    <cellStyle name="Comma 7 4 2 5 2" xfId="2613" xr:uid="{00000000-0005-0000-0000-000034020000}"/>
    <cellStyle name="Comma 7 4 2 5 2 2" xfId="7738" xr:uid="{264B3417-CBC5-4D83-B7A8-2F55D07895CD}"/>
    <cellStyle name="Comma 7 4 2 5 2 2 2" xfId="18118" xr:uid="{D7BC6FBF-51A4-4330-B851-3EE9DFCAB1C5}"/>
    <cellStyle name="Comma 7 4 2 5 2 3" xfId="10571" xr:uid="{4D31655A-AF45-4744-B266-007F93F7754D}"/>
    <cellStyle name="Comma 7 4 2 5 2 3 2" xfId="20951" xr:uid="{1049E83E-33B6-444A-A210-330810576F5E}"/>
    <cellStyle name="Comma 7 4 2 5 2 4" xfId="27066" xr:uid="{F1FB34C1-7873-4C6B-8ADA-ADE9CE3881D3}"/>
    <cellStyle name="Comma 7 4 2 5 2 5" xfId="26467" xr:uid="{9481BDCD-342A-4F51-B132-7DAB60CB44A7}"/>
    <cellStyle name="Comma 7 4 2 5 2 6" xfId="15285" xr:uid="{D0D03222-D2B4-4757-AF32-F9756CC6E30E}"/>
    <cellStyle name="Comma 7 4 2 5 3" xfId="3673" xr:uid="{00000000-0005-0000-0000-0000CB020000}"/>
    <cellStyle name="Comma 7 4 2 5 4" xfId="5629" xr:uid="{1C4CAF15-8B85-423C-8049-2DF4B15A9E04}"/>
    <cellStyle name="Comma 7 4 2 5 4 2" xfId="29886" xr:uid="{E23FAD94-262E-486E-AC68-65CF7F67F6ED}"/>
    <cellStyle name="Comma 7 4 2 5 5" xfId="22760" xr:uid="{63A9C5F6-EF77-4C6B-870B-B8420B9A6D50}"/>
    <cellStyle name="Comma 7 4 2 5 6" xfId="13001" xr:uid="{CC3099B8-C7CE-44FA-B70E-D2EAEDDB43B9}"/>
    <cellStyle name="Comma 7 4 2 6" xfId="2285" xr:uid="{00000000-0005-0000-0000-00002F020000}"/>
    <cellStyle name="Comma 7 4 2 6 2" xfId="7412" xr:uid="{E4C36005-5EDC-4729-A3E0-E43290015D95}"/>
    <cellStyle name="Comma 7 4 2 6 2 2" xfId="17792" xr:uid="{178E532A-F0CB-4EAF-AFBB-942C78F28E6D}"/>
    <cellStyle name="Comma 7 4 2 6 3" xfId="10245" xr:uid="{C75A9190-3FC3-47E9-9995-2DF8C9F66013}"/>
    <cellStyle name="Comma 7 4 2 6 3 2" xfId="20625" xr:uid="{54290424-A44E-4F48-B2D1-3C3BA61DA7AA}"/>
    <cellStyle name="Comma 7 4 2 6 4" xfId="22817" xr:uid="{A3D6ACC0-116F-4946-83C3-631641F8A836}"/>
    <cellStyle name="Comma 7 4 2 6 5" xfId="26016" xr:uid="{FE68FD12-9154-4AA7-A0C3-CD68D3A9D720}"/>
    <cellStyle name="Comma 7 4 2 6 6" xfId="14959" xr:uid="{6FA8B3BC-ADED-4CC2-8CC3-FFE0A1B68FE5}"/>
    <cellStyle name="Comma 7 4 2 7" xfId="3824" xr:uid="{B14658B2-FCC4-43CD-A4BC-C6FD30075BC7}"/>
    <cellStyle name="Comma 7 4 2 7 2" xfId="8657" xr:uid="{2C356EDD-54BF-4E47-B774-D6E55FADE4F0}"/>
    <cellStyle name="Comma 7 4 2 7 2 2" xfId="19037" xr:uid="{7811949C-31E2-421D-ADBF-A2352D2AA19E}"/>
    <cellStyle name="Comma 7 4 2 7 3" xfId="11490" xr:uid="{6F3A02B3-9DAA-486E-A01B-91AC2E380B47}"/>
    <cellStyle name="Comma 7 4 2 7 3 2" xfId="21870" xr:uid="{56A9FE8D-D055-4A14-AC81-A7470A84DE3E}"/>
    <cellStyle name="Comma 7 4 2 7 4" xfId="26520" xr:uid="{5FBD1249-0C3E-4921-BE51-79EA2CAC9B29}"/>
    <cellStyle name="Comma 7 4 2 7 5" xfId="27751" xr:uid="{91768008-3678-4E3B-BDC5-DF49DC87299E}"/>
    <cellStyle name="Comma 7 4 2 7 6" xfId="16204" xr:uid="{883239F2-5ACA-48AC-92E0-E80092C3F15F}"/>
    <cellStyle name="Comma 7 4 2 8" xfId="4907" xr:uid="{505D3395-F608-44BD-AEA0-71EDAA867C28}"/>
    <cellStyle name="Comma 7 4 2 8 2" xfId="14199" xr:uid="{3D6D5CD5-AE94-4527-93FF-700D5C6AF69C}"/>
    <cellStyle name="Comma 7 4 2 9" xfId="6652" xr:uid="{0A8693F1-C2C0-478E-B194-10661804C34F}"/>
    <cellStyle name="Comma 7 4 2 9 2" xfId="17032" xr:uid="{38F0DE82-D13B-40DA-9557-A7EDD7239E97}"/>
    <cellStyle name="Comma 7 4 3" xfId="518" xr:uid="{00000000-0005-0000-0000-0000CC020000}"/>
    <cellStyle name="Comma 7 4 3 10" xfId="12675" xr:uid="{E6520FE3-3C5C-4157-946D-CBA5C7996F81}"/>
    <cellStyle name="Comma 7 4 3 2" xfId="1761" xr:uid="{00000000-0005-0000-0000-0000CD020000}"/>
    <cellStyle name="Comma 7 4 3 2 2" xfId="3073" xr:uid="{00000000-0005-0000-0000-000036020000}"/>
    <cellStyle name="Comma 7 4 3 2 2 2" xfId="8153" xr:uid="{BF50235C-D9F5-4BE6-8E57-DA842ACA190A}"/>
    <cellStyle name="Comma 7 4 3 2 2 2 2" xfId="28828" xr:uid="{6BC52DD1-A91F-43FE-B3D1-B5A4132182CA}"/>
    <cellStyle name="Comma 7 4 3 2 2 2 3" xfId="26072" xr:uid="{344878CB-20EA-42C7-8ABE-B293196D2670}"/>
    <cellStyle name="Comma 7 4 3 2 2 2 4" xfId="18533" xr:uid="{D22F1899-2944-4CCB-B36A-5E8A124EFFE5}"/>
    <cellStyle name="Comma 7 4 3 2 2 3" xfId="10986" xr:uid="{9DA86617-6C52-4D0B-BB50-D655114B14BB}"/>
    <cellStyle name="Comma 7 4 3 2 2 3 2" xfId="21366" xr:uid="{0D55057B-18DB-43C2-9C52-2A25422470D3}"/>
    <cellStyle name="Comma 7 4 3 2 2 4" xfId="22743" xr:uid="{F680CB1D-9166-446B-BFD5-A9FF7876BB0F}"/>
    <cellStyle name="Comma 7 4 3 2 2 5" xfId="15700" xr:uid="{03C28C1E-303A-4C32-AADB-57485055AA2F}"/>
    <cellStyle name="Comma 7 4 3 2 3" xfId="3666" xr:uid="{00000000-0005-0000-0000-0000CD020000}"/>
    <cellStyle name="Comma 7 4 3 2 4" xfId="5633" xr:uid="{F42C1CC9-4C1E-4C09-96AA-B1331C9CE94A}"/>
    <cellStyle name="Comma 7 4 3 2 4 2" xfId="29961" xr:uid="{CBFC30DF-918A-4635-9F73-C3728EBCA183}"/>
    <cellStyle name="Comma 7 4 3 2 5" xfId="23228" xr:uid="{3B4E2DE3-9C5B-4543-9F55-002A6D0DBA63}"/>
    <cellStyle name="Comma 7 4 3 2 6" xfId="13581" xr:uid="{16383BDD-3E14-46A2-97B6-8F35987451FD}"/>
    <cellStyle name="Comma 7 4 3 3" xfId="1762" xr:uid="{00000000-0005-0000-0000-0000CE020000}"/>
    <cellStyle name="Comma 7 4 3 3 2" xfId="2682" xr:uid="{00000000-0005-0000-0000-000037020000}"/>
    <cellStyle name="Comma 7 4 3 3 2 2" xfId="7806" xr:uid="{9C8CB75C-6DD5-4A6E-8B48-84A31B9706F3}"/>
    <cellStyle name="Comma 7 4 3 3 2 2 2" xfId="18186" xr:uid="{7FFE0B91-DF7A-4B57-B83F-494585391AC3}"/>
    <cellStyle name="Comma 7 4 3 3 2 3" xfId="10639" xr:uid="{61B0738B-6FC2-483F-8B6D-B8217C9393CF}"/>
    <cellStyle name="Comma 7 4 3 3 2 3 2" xfId="21019" xr:uid="{E9091CA8-E1E0-439B-B93F-92F6CEC7289E}"/>
    <cellStyle name="Comma 7 4 3 3 2 4" xfId="15353" xr:uid="{E470E6FC-CA99-4ED1-8669-6D41E198481E}"/>
    <cellStyle name="Comma 7 4 3 3 2 5" xfId="30438" xr:uid="{B1C8CA97-8768-4B9B-AA25-B2978BD9674C}"/>
    <cellStyle name="Comma 7 4 3 3 3" xfId="3617" xr:uid="{00000000-0005-0000-0000-0000CE020000}"/>
    <cellStyle name="Comma 7 4 3 3 4" xfId="5634" xr:uid="{C0C64253-4544-4979-A07F-7EEC2FA73C74}"/>
    <cellStyle name="Comma 7 4 3 3 4 2" xfId="29907" xr:uid="{7158D19A-9FDF-4D3B-84E8-BAA5FCE634A9}"/>
    <cellStyle name="Comma 7 4 3 3 5" xfId="25522" xr:uid="{6F3732D1-E16A-4301-8E3F-B27761CF0255}"/>
    <cellStyle name="Comma 7 4 3 3 6" xfId="13092" xr:uid="{74843E64-0A04-40DD-9985-1B3D8C252F4E}"/>
    <cellStyle name="Comma 7 4 3 4" xfId="1760" xr:uid="{00000000-0005-0000-0000-0000CF020000}"/>
    <cellStyle name="Comma 7 4 3 4 2" xfId="3816" xr:uid="{D8562F3A-33C0-47DC-9768-B5E4819A23FF}"/>
    <cellStyle name="Comma 7 4 3 4 2 2" xfId="8650" xr:uid="{0C5A08FC-7258-4858-96EB-178F2F1D7D2A}"/>
    <cellStyle name="Comma 7 4 3 4 2 2 2" xfId="19030" xr:uid="{61DE5C44-A3CE-4400-870E-4156CE6AF8D3}"/>
    <cellStyle name="Comma 7 4 3 4 2 3" xfId="11483" xr:uid="{640F1C62-E8E9-475D-A089-FC636808A532}"/>
    <cellStyle name="Comma 7 4 3 4 2 3 2" xfId="21863" xr:uid="{12B6440F-867B-4044-B185-A1865D631395}"/>
    <cellStyle name="Comma 7 4 3 4 2 4" xfId="26145" xr:uid="{552BB63E-C010-4D93-B642-D969AD86307D}"/>
    <cellStyle name="Comma 7 4 3 4 2 5" xfId="28036" xr:uid="{EBF27C3A-2657-4D29-AF37-80CC896DFA93}"/>
    <cellStyle name="Comma 7 4 3 4 2 6" xfId="16197" xr:uid="{2B3F23E8-0972-4367-BA90-49DE4C62D40D}"/>
    <cellStyle name="Comma 7 4 3 4 3" xfId="24369" xr:uid="{6022CDEA-3303-4688-AF3E-2A06F16DFF68}"/>
    <cellStyle name="Comma 7 4 3 5" xfId="4131" xr:uid="{0C3AEDB6-47D3-4532-AD9F-B747C0D3D348}"/>
    <cellStyle name="Comma 7 4 3 5 2" xfId="8903" xr:uid="{A9D57613-0647-4252-A7DE-F96ACE4D2F25}"/>
    <cellStyle name="Comma 7 4 3 5 2 2" xfId="29010" xr:uid="{3223FC18-17D2-4449-8BCE-D3331DED2D0C}"/>
    <cellStyle name="Comma 7 4 3 5 2 3" xfId="28252" xr:uid="{6C9C8208-8D55-4D64-89B3-93B3A9FA53DD}"/>
    <cellStyle name="Comma 7 4 3 5 2 4" xfId="19283" xr:uid="{6A93D2D0-E2DE-4958-873C-7C9307DAE259}"/>
    <cellStyle name="Comma 7 4 3 5 2 5" xfId="31015" xr:uid="{AE91DB1F-9BFA-4E40-ABB4-055D676741C7}"/>
    <cellStyle name="Comma 7 4 3 5 3" xfId="11736" xr:uid="{5DBDEE2F-CB0E-48E9-B894-F3528BA102EF}"/>
    <cellStyle name="Comma 7 4 3 5 3 2" xfId="22116" xr:uid="{E35B95DF-9B87-4BFF-AE1A-40656154C09C}"/>
    <cellStyle name="Comma 7 4 3 5 4" xfId="24381" xr:uid="{64CB99C8-9B2C-4180-A06C-88ADD89B3129}"/>
    <cellStyle name="Comma 7 4 3 5 5" xfId="16450" xr:uid="{6D5896D9-6706-4E56-88C1-BCFB3F2F4844}"/>
    <cellStyle name="Comma 7 4 3 6" xfId="4909" xr:uid="{DA85075F-94FB-48B1-8890-E36FF3FD70B4}"/>
    <cellStyle name="Comma 7 4 3 6 2" xfId="28141" xr:uid="{4CFE3330-324B-4455-BD55-4159D7D6A5AB}"/>
    <cellStyle name="Comma 7 4 3 6 3" xfId="26163" xr:uid="{BF794F05-5DEE-469D-99FD-CB721AD9A86F}"/>
    <cellStyle name="Comma 7 4 3 6 4" xfId="14201" xr:uid="{253B09F4-F27C-4B2A-ABB8-76CC41B86518}"/>
    <cellStyle name="Comma 7 4 3 7" xfId="6654" xr:uid="{EFDA9DAE-3A68-43F3-A939-F094E59796C1}"/>
    <cellStyle name="Comma 7 4 3 7 2" xfId="27057" xr:uid="{FC4F1DFA-571F-4A4A-A501-8420725FAAB2}"/>
    <cellStyle name="Comma 7 4 3 7 3" xfId="26152" xr:uid="{E58BB649-B87C-4009-B139-0A916F21407C}"/>
    <cellStyle name="Comma 7 4 3 7 4" xfId="17034" xr:uid="{128962EE-7DCA-4045-9132-C4B3DF290F4F}"/>
    <cellStyle name="Comma 7 4 3 8" xfId="9487" xr:uid="{51EE6ED6-E2E0-4CED-910B-E529C0164812}"/>
    <cellStyle name="Comma 7 4 3 8 2" xfId="19867" xr:uid="{30253037-7FE3-4B81-8FD0-86D6676B1E60}"/>
    <cellStyle name="Comma 7 4 3 9" xfId="24011" xr:uid="{518B04B8-B99A-4BF2-90A8-E4814A881679}"/>
    <cellStyle name="Comma 7 4 4" xfId="519" xr:uid="{00000000-0005-0000-0000-0000D0020000}"/>
    <cellStyle name="Comma 7 4 4 10" xfId="13582" xr:uid="{8F87A287-EAB1-4464-80D3-D813300FA58E}"/>
    <cellStyle name="Comma 7 4 4 2" xfId="1764" xr:uid="{00000000-0005-0000-0000-0000D1020000}"/>
    <cellStyle name="Comma 7 4 4 2 2" xfId="25673" xr:uid="{87CCBCDE-2E7E-4962-9235-BD2EE4E989AF}"/>
    <cellStyle name="Comma 7 4 4 2 2 2" xfId="29795" xr:uid="{FD56B18F-F2A1-4404-84AA-2710BD5F70E9}"/>
    <cellStyle name="Comma 7 4 4 2 2 2 2" xfId="30771" xr:uid="{319C5315-1AFF-4ADF-8B9D-E9FDD8A5291F}"/>
    <cellStyle name="Comma 7 4 4 2 3" xfId="24977" xr:uid="{BAF6A2DD-6226-43D4-A684-8150AEF97C75}"/>
    <cellStyle name="Comma 7 4 4 2 4" xfId="30057" xr:uid="{75B74586-5889-4F8A-8B94-D1B0980FFA5F}"/>
    <cellStyle name="Comma 7 4 4 3" xfId="1765" xr:uid="{00000000-0005-0000-0000-0000D2020000}"/>
    <cellStyle name="Comma 7 4 4 4" xfId="1763" xr:uid="{00000000-0005-0000-0000-0000D3020000}"/>
    <cellStyle name="Comma 7 4 4 5" xfId="4416" xr:uid="{A79976AD-E645-441A-AD6C-97FE5F3FEE87}"/>
    <cellStyle name="Comma 7 4 4 5 2" xfId="9188" xr:uid="{5CEDBA4A-068F-49F2-8742-EED7FB556728}"/>
    <cellStyle name="Comma 7 4 4 5 2 2" xfId="19568" xr:uid="{C1D73A54-DF06-43E1-B02D-70138DAC0F65}"/>
    <cellStyle name="Comma 7 4 4 5 2 3" xfId="31082" xr:uid="{54FF0A26-6FC3-46E7-B541-2D3D4C7445BB}"/>
    <cellStyle name="Comma 7 4 4 5 2 4" xfId="30770" xr:uid="{9E45CC61-8D14-4306-AE88-07132C06F482}"/>
    <cellStyle name="Comma 7 4 4 5 3" xfId="12021" xr:uid="{F1F12C03-26D3-472A-A199-CA3BBADF4FF8}"/>
    <cellStyle name="Comma 7 4 4 5 3 2" xfId="22401" xr:uid="{D0600EDC-19A8-4DBE-B021-6AD9B46BC449}"/>
    <cellStyle name="Comma 7 4 4 5 4" xfId="16735" xr:uid="{E03EF074-59AE-4958-9A55-F8150CEC62AC}"/>
    <cellStyle name="Comma 7 4 4 6" xfId="4910" xr:uid="{B5894034-0CBE-4849-944D-A2145E2BA423}"/>
    <cellStyle name="Comma 7 4 4 6 2" xfId="14202" xr:uid="{E0144BC8-5106-4878-99BF-3ABA15849A30}"/>
    <cellStyle name="Comma 7 4 4 7" xfId="6655" xr:uid="{1CE7CD24-6A9B-47E4-A2C8-994D2158C902}"/>
    <cellStyle name="Comma 7 4 4 7 2" xfId="17035" xr:uid="{9A7E1A0B-0986-4842-8671-42445014E238}"/>
    <cellStyle name="Comma 7 4 4 8" xfId="9488" xr:uid="{0AFF9412-21A3-490D-997B-AFB0902370A2}"/>
    <cellStyle name="Comma 7 4 4 8 2" xfId="19868" xr:uid="{2A59CC9B-4745-4CEF-9C04-AE114DA413E5}"/>
    <cellStyle name="Comma 7 4 4 9" xfId="25013" xr:uid="{DA3D3D37-93EA-45C0-8D23-6DE1759E4E8B}"/>
    <cellStyle name="Comma 7 4 5" xfId="1766" xr:uid="{00000000-0005-0000-0000-0000D4020000}"/>
    <cellStyle name="Comma 7 4 5 2" xfId="2877" xr:uid="{00000000-0005-0000-0000-000039020000}"/>
    <cellStyle name="Comma 7 4 5 2 2" xfId="7994" xr:uid="{3436F44C-B494-4C12-B062-B05AE390F7DB}"/>
    <cellStyle name="Comma 7 4 5 2 2 2" xfId="28137" xr:uid="{C4C8EBBF-1363-4EDA-8249-8E2FAC6E891D}"/>
    <cellStyle name="Comma 7 4 5 2 2 2 2" xfId="31202" xr:uid="{C4434D6B-27E6-4DB2-B5C6-11D236A9EB9B}"/>
    <cellStyle name="Comma 7 4 5 2 2 2 3" xfId="30772" xr:uid="{5B586058-E49A-4F5A-A031-B1916C57A197}"/>
    <cellStyle name="Comma 7 4 5 2 2 3" xfId="28408" xr:uid="{A8388C42-FB4F-4E71-9665-28D8309C8F99}"/>
    <cellStyle name="Comma 7 4 5 2 2 4" xfId="18374" xr:uid="{010E3599-4041-494C-9E8B-47211047F9C8}"/>
    <cellStyle name="Comma 7 4 5 2 3" xfId="10827" xr:uid="{E234D908-EA01-4B18-A72C-F9A351E71EA5}"/>
    <cellStyle name="Comma 7 4 5 2 3 2" xfId="21207" xr:uid="{92EF256B-DCA1-4DAD-A75D-2632903337D1}"/>
    <cellStyle name="Comma 7 4 5 2 4" xfId="23631" xr:uid="{3DF51C16-BD7D-45E9-821B-7CB0DAC33938}"/>
    <cellStyle name="Comma 7 4 5 2 5" xfId="15541" xr:uid="{39C585DA-A2B8-4368-A749-A353297DF4B4}"/>
    <cellStyle name="Comma 7 4 5 3" xfId="3557" xr:uid="{00000000-0005-0000-0000-0000D4020000}"/>
    <cellStyle name="Comma 7 4 5 4" xfId="5635" xr:uid="{F25F8ABD-E47B-4ED6-8D3F-4A5C88232BBD}"/>
    <cellStyle name="Comma 7 4 5 4 2" xfId="29845" xr:uid="{4B10996F-A14C-46DD-8C2F-249591EC5D98}"/>
    <cellStyle name="Comma 7 4 5 5" xfId="24303" xr:uid="{34F8396F-3D25-4222-B311-5C22B2557EDE}"/>
    <cellStyle name="Comma 7 4 5 6" xfId="13373" xr:uid="{BD057F28-3B5C-4119-8DED-40BF81C07833}"/>
    <cellStyle name="Comma 7 4 6" xfId="1767" xr:uid="{00000000-0005-0000-0000-0000D5020000}"/>
    <cellStyle name="Comma 7 4 6 2" xfId="2450" xr:uid="{00000000-0005-0000-0000-00003A020000}"/>
    <cellStyle name="Comma 7 4 6 2 2" xfId="7575" xr:uid="{0EC8745B-CADC-4E90-A2A4-B929D2A07332}"/>
    <cellStyle name="Comma 7 4 6 2 2 2" xfId="17955" xr:uid="{8DAB496C-B792-4CAD-B564-5C584D52771C}"/>
    <cellStyle name="Comma 7 4 6 2 3" xfId="10408" xr:uid="{E940CE41-6AA0-4542-ADA4-02A6AA67B06A}"/>
    <cellStyle name="Comma 7 4 6 2 3 2" xfId="20788" xr:uid="{FD7A1908-EC3C-4637-BA0B-59DE488C5758}"/>
    <cellStyle name="Comma 7 4 6 2 4" xfId="28250" xr:uid="{97D421FA-B512-4A65-9020-4AD1C995F528}"/>
    <cellStyle name="Comma 7 4 6 2 5" xfId="27195" xr:uid="{0F71882D-9EE9-4AF9-BB8E-5D4AE3A4E7BE}"/>
    <cellStyle name="Comma 7 4 6 2 6" xfId="15122" xr:uid="{284E2CD2-1AE5-4730-B259-FED1EA434687}"/>
    <cellStyle name="Comma 7 4 6 3" xfId="3598" xr:uid="{00000000-0005-0000-0000-0000D5020000}"/>
    <cellStyle name="Comma 7 4 6 4" xfId="5636" xr:uid="{21A9B409-13AB-40F1-85E0-8DA63EC6AEB6}"/>
    <cellStyle name="Comma 7 4 6 4 2" xfId="29860" xr:uid="{805902E2-1874-4F43-B319-8A070BE8AB08}"/>
    <cellStyle name="Comma 7 4 6 5" xfId="25568" xr:uid="{10683595-BF23-4CD4-A616-26D637111E13}"/>
    <cellStyle name="Comma 7 4 6 6" xfId="12838" xr:uid="{0809ABC4-139C-4EA3-B4E0-B861784C5782}"/>
    <cellStyle name="Comma 7 4 7" xfId="1753" xr:uid="{00000000-0005-0000-0000-0000D6020000}"/>
    <cellStyle name="Comma 7 4 7 2" xfId="2204" xr:uid="{00000000-0005-0000-0000-00002E020000}"/>
    <cellStyle name="Comma 7 4 7 2 2" xfId="7331" xr:uid="{31F03D0B-5349-4749-B7D7-0B78895A88A5}"/>
    <cellStyle name="Comma 7 4 7 2 2 2" xfId="17711" xr:uid="{F4B4C7F2-E13A-4989-B108-93D02447DCAB}"/>
    <cellStyle name="Comma 7 4 7 2 3" xfId="10164" xr:uid="{BB85DFE3-E287-438D-B6A4-802C96684C4D}"/>
    <cellStyle name="Comma 7 4 7 2 3 2" xfId="20544" xr:uid="{906FE7D4-FA9C-4C0E-83E2-8D42A9C15F0F}"/>
    <cellStyle name="Comma 7 4 7 2 4" xfId="26243" xr:uid="{339CF1EF-81BC-4493-A9F7-6146948D3329}"/>
    <cellStyle name="Comma 7 4 7 2 5" xfId="27631" xr:uid="{E101F0AA-CAB3-44BF-99B8-EFD37EC09B6D}"/>
    <cellStyle name="Comma 7 4 7 2 6" xfId="14878" xr:uid="{160A4B17-A6AC-42DF-8C9C-AE7E27C74696}"/>
    <cellStyle name="Comma 7 4 7 3" xfId="3586" xr:uid="{00000000-0005-0000-0000-0000D6020000}"/>
    <cellStyle name="Comma 7 4 7 4" xfId="23783" xr:uid="{809982DD-55F7-4340-A2D8-962BFBBD17E2}"/>
    <cellStyle name="Comma 7 4 8" xfId="3872" xr:uid="{6D2C64E3-2EB5-4B5F-AB7C-2CFD353A925B}"/>
    <cellStyle name="Comma 7 4 8 2" xfId="8704" xr:uid="{418BB3BF-3B1D-4B63-9BA4-95B5E7B8F262}"/>
    <cellStyle name="Comma 7 4 8 2 2" xfId="19084" xr:uid="{6EB814DC-1EEE-4F0F-9A34-5AF4EF51B40F}"/>
    <cellStyle name="Comma 7 4 8 3" xfId="11537" xr:uid="{D5273CD8-F233-422C-8111-01D3A8CC2859}"/>
    <cellStyle name="Comma 7 4 8 3 2" xfId="21917" xr:uid="{C4937901-0BE3-44C0-B3B0-3522436B49CC}"/>
    <cellStyle name="Comma 7 4 8 4" xfId="26606" xr:uid="{208E59B3-CE85-479B-9D7C-C1E8DADA5EC0}"/>
    <cellStyle name="Comma 7 4 8 5" xfId="26557" xr:uid="{69AD928B-C453-4838-ACD3-276462F0F02B}"/>
    <cellStyle name="Comma 7 4 8 6" xfId="16251" xr:uid="{02070642-8455-4E33-9387-9A0B89000FF9}"/>
    <cellStyle name="Comma 7 4 9" xfId="4906" xr:uid="{AB73B4F1-1147-49B8-BA9C-978935F8249C}"/>
    <cellStyle name="Comma 7 4 9 2" xfId="26524" xr:uid="{A999B94A-0626-4C4E-9E27-FDD4334FC110}"/>
    <cellStyle name="Comma 7 4 9 3" xfId="26850" xr:uid="{95DD793D-BD7E-4FCF-A213-6E764638978F}"/>
    <cellStyle name="Comma 7 4 9 4" xfId="14198" xr:uid="{5569E507-C9A7-4281-98A1-8AC6F1D59175}"/>
    <cellStyle name="Comma 7 5" xfId="520" xr:uid="{00000000-0005-0000-0000-0000D7020000}"/>
    <cellStyle name="Comma 7 5 10" xfId="6656" xr:uid="{5646055F-E7BE-4976-8537-AD1E59322F6A}"/>
    <cellStyle name="Comma 7 5 10 2" xfId="17036" xr:uid="{CE0E45D4-7EE2-4722-BC34-D70527B4C2C8}"/>
    <cellStyle name="Comma 7 5 11" xfId="9489" xr:uid="{7717B620-F26A-4871-B6F1-33D9316F7E93}"/>
    <cellStyle name="Comma 7 5 11 2" xfId="19869" xr:uid="{D05A5041-035E-485E-94FC-5DD078A197C5}"/>
    <cellStyle name="Comma 7 5 12" xfId="22919" xr:uid="{69324D7E-F973-4021-B3C7-B6AD117E2B83}"/>
    <cellStyle name="Comma 7 5 13" xfId="12518" xr:uid="{37A7B014-FB51-47D1-AB9F-B6D1A1CCDEAE}"/>
    <cellStyle name="Comma 7 5 2" xfId="521" xr:uid="{00000000-0005-0000-0000-0000D8020000}"/>
    <cellStyle name="Comma 7 5 2 10" xfId="23732" xr:uid="{7271B6E7-9EC8-45ED-A39F-6A2EE9205006}"/>
    <cellStyle name="Comma 7 5 2 11" xfId="12676" xr:uid="{E3C414B1-985B-448E-A888-8F93AF525D4B}"/>
    <cellStyle name="Comma 7 5 2 2" xfId="522" xr:uid="{00000000-0005-0000-0000-0000D9020000}"/>
    <cellStyle name="Comma 7 5 2 2 2" xfId="1771" xr:uid="{00000000-0005-0000-0000-0000DA020000}"/>
    <cellStyle name="Comma 7 5 2 2 2 2" xfId="24739" xr:uid="{CE9739E2-0E6C-4012-8352-FEFC55D4E5E8}"/>
    <cellStyle name="Comma 7 5 2 2 2 2 2" xfId="29820" xr:uid="{5C6E918E-4939-45E8-B81B-2BB9443B9369}"/>
    <cellStyle name="Comma 7 5 2 2 2 2 2 2" xfId="30774" xr:uid="{8331577E-3BE0-4863-9249-C2E29EC91883}"/>
    <cellStyle name="Comma 7 5 2 2 2 3" xfId="25615" xr:uid="{E11AB7C8-071A-4B09-83C8-46783A515B04}"/>
    <cellStyle name="Comma 7 5 2 2 2 4" xfId="30058" xr:uid="{EDBA2B5F-6CEF-4901-AC0B-962DF8EC9CB1}"/>
    <cellStyle name="Comma 7 5 2 2 3" xfId="1772" xr:uid="{00000000-0005-0000-0000-0000DB020000}"/>
    <cellStyle name="Comma 7 5 2 2 3 2" xfId="27030" xr:uid="{4FA6F6FF-3998-4705-9D32-C8FCE46C3B75}"/>
    <cellStyle name="Comma 7 5 2 2 3 3" xfId="27386" xr:uid="{6C331F4C-E5CD-4B44-968E-0F45ABC4B5DD}"/>
    <cellStyle name="Comma 7 5 2 2 4" xfId="1770" xr:uid="{00000000-0005-0000-0000-0000DC020000}"/>
    <cellStyle name="Comma 7 5 2 2 5" xfId="4913" xr:uid="{292E7043-3ECC-4B86-8A68-9553D6F91E71}"/>
    <cellStyle name="Comma 7 5 2 2 5 2" xfId="26639" xr:uid="{499C625A-4CCE-4EF2-A8EA-D9B86F988028}"/>
    <cellStyle name="Comma 7 5 2 2 5 2 2" xfId="31180" xr:uid="{87B6A0FC-0A0D-4749-B9C8-431AB1B2B79E}"/>
    <cellStyle name="Comma 7 5 2 2 5 2 3" xfId="30773" xr:uid="{6B021D7B-467E-41E0-86AE-C149D8B144C3}"/>
    <cellStyle name="Comma 7 5 2 2 5 3" xfId="28695" xr:uid="{9658C0DE-99BE-4E79-987E-4296B294C41E}"/>
    <cellStyle name="Comma 7 5 2 2 5 4" xfId="14205" xr:uid="{5B1BE0DE-DB06-4CD0-9D5C-33FEDCF65142}"/>
    <cellStyle name="Comma 7 5 2 2 6" xfId="6658" xr:uid="{D1C9BAC6-1A7E-4DF8-AC19-F1503F2DB7E5}"/>
    <cellStyle name="Comma 7 5 2 2 6 2" xfId="17038" xr:uid="{F5D565DB-66DB-4426-83FE-CA2C1B834E84}"/>
    <cellStyle name="Comma 7 5 2 2 7" xfId="9491" xr:uid="{6A31CE58-6B40-4C65-BC91-7AFB0091B658}"/>
    <cellStyle name="Comma 7 5 2 2 7 2" xfId="19871" xr:uid="{0210F76D-6388-4692-9950-53EF0FA1D003}"/>
    <cellStyle name="Comma 7 5 2 2 8" xfId="23886" xr:uid="{5D62CAE4-9906-433E-88E3-AABC571647DB}"/>
    <cellStyle name="Comma 7 5 2 2 9" xfId="13583" xr:uid="{83868C91-B072-4CE9-B1C4-182C922D8C7E}"/>
    <cellStyle name="Comma 7 5 2 3" xfId="1773" xr:uid="{00000000-0005-0000-0000-0000DD020000}"/>
    <cellStyle name="Comma 7 5 2 3 2" xfId="2683" xr:uid="{00000000-0005-0000-0000-00003E020000}"/>
    <cellStyle name="Comma 7 5 2 3 2 2" xfId="7807" xr:uid="{D680A6ED-2E5B-494C-B20D-A469A372655C}"/>
    <cellStyle name="Comma 7 5 2 3 2 2 2" xfId="18187" xr:uid="{C2A50A2D-2117-475D-8CF9-BB8184BA4D36}"/>
    <cellStyle name="Comma 7 5 2 3 2 3" xfId="10640" xr:uid="{8F13F77B-5886-4B31-9A6B-6F7BBF4680C1}"/>
    <cellStyle name="Comma 7 5 2 3 2 3 2" xfId="21020" xr:uid="{806E31E5-44E7-4543-8EE7-D88714002892}"/>
    <cellStyle name="Comma 7 5 2 3 2 4" xfId="15354" xr:uid="{2B1DDC52-F985-4BDE-9709-0D693B7B1532}"/>
    <cellStyle name="Comma 7 5 2 3 2 5" xfId="30439" xr:uid="{4C69A4F6-066B-4602-A2FB-2507B99DA2D3}"/>
    <cellStyle name="Comma 7 5 2 3 3" xfId="3604" xr:uid="{00000000-0005-0000-0000-0000DD020000}"/>
    <cellStyle name="Comma 7 5 2 3 4" xfId="5637" xr:uid="{22F7C8BC-3E9A-4B2A-806B-9A80343B7F05}"/>
    <cellStyle name="Comma 7 5 2 3 4 2" xfId="29755" xr:uid="{CB335343-DFF7-47C9-BAD2-5555E0887C81}"/>
    <cellStyle name="Comma 7 5 2 3 5" xfId="24910" xr:uid="{F8A8837A-C407-4E3F-923E-3AFB3C58AF5E}"/>
    <cellStyle name="Comma 7 5 2 3 6" xfId="13094" xr:uid="{D1E8E6CF-0015-404D-A40C-C30BA51A8475}"/>
    <cellStyle name="Comma 7 5 2 4" xfId="1774" xr:uid="{00000000-0005-0000-0000-0000DE020000}"/>
    <cellStyle name="Comma 7 5 2 4 2" xfId="4661" xr:uid="{2293452D-99F2-4CAD-A165-3292E92C43D0}"/>
    <cellStyle name="Comma 7 5 2 4 2 2" xfId="9410" xr:uid="{8490B5E4-6184-4B5A-B643-0B3560AA6B22}"/>
    <cellStyle name="Comma 7 5 2 4 2 2 2" xfId="19790" xr:uid="{FCFB48EE-F3DA-40D4-827B-447D467F4461}"/>
    <cellStyle name="Comma 7 5 2 4 2 2 3" xfId="31109" xr:uid="{F6B2EA94-75BA-4FE9-BA97-825E66BAC5CD}"/>
    <cellStyle name="Comma 7 5 2 4 2 2 4" xfId="30775" xr:uid="{9413EA06-846F-4538-A8B6-AC9D9CB1956E}"/>
    <cellStyle name="Comma 7 5 2 4 2 3" xfId="12243" xr:uid="{6AD03675-E70A-43EC-8DE8-396BC8465545}"/>
    <cellStyle name="Comma 7 5 2 4 2 3 2" xfId="22623" xr:uid="{389CCCCB-5BE5-4301-9249-F53BBA9D0DA1}"/>
    <cellStyle name="Comma 7 5 2 4 2 4" xfId="26518" xr:uid="{70ABF6DC-7723-4A8F-99BB-4DB503F16498}"/>
    <cellStyle name="Comma 7 5 2 4 2 5" xfId="28688" xr:uid="{797ADB1F-1EB8-4FFC-B4C7-4F772DF04221}"/>
    <cellStyle name="Comma 7 5 2 4 2 6" xfId="16957" xr:uid="{54EA9394-C352-4F3E-8333-563BD2D23845}"/>
    <cellStyle name="Comma 7 5 2 4 3" xfId="23108" xr:uid="{4651104D-9B11-4DF9-AF50-B53CB8D8197E}"/>
    <cellStyle name="Comma 7 5 2 4 3 2" xfId="29909" xr:uid="{FC352166-CC94-4832-943B-05E380014AC4}"/>
    <cellStyle name="Comma 7 5 2 4 4" xfId="30021" xr:uid="{F9CFF630-ED37-41F2-88D7-D77DA160E269}"/>
    <cellStyle name="Comma 7 5 2 5" xfId="1769" xr:uid="{00000000-0005-0000-0000-0000DF020000}"/>
    <cellStyle name="Comma 7 5 2 5 2" xfId="22841" xr:uid="{D1DB451F-6159-4A74-9B86-700896744C6A}"/>
    <cellStyle name="Comma 7 5 2 5 3" xfId="23334" xr:uid="{93AFDCE7-C4AA-4008-818F-D54818BF790E}"/>
    <cellStyle name="Comma 7 5 2 6" xfId="4132" xr:uid="{6C3FB44E-C3DD-459C-9389-910BF7DB3F9C}"/>
    <cellStyle name="Comma 7 5 2 6 2" xfId="8904" xr:uid="{A90DD8B8-339C-4DFD-9955-5E5A304CC0C4}"/>
    <cellStyle name="Comma 7 5 2 6 2 2" xfId="19284" xr:uid="{B57EC07F-43BA-45E8-95C3-065ABF189734}"/>
    <cellStyle name="Comma 7 5 2 6 3" xfId="11737" xr:uid="{BB3C0E05-D031-4229-ABCD-7D9AF0680012}"/>
    <cellStyle name="Comma 7 5 2 6 3 2" xfId="22117" xr:uid="{EA49C380-52C9-4106-9534-2C5AB97684E3}"/>
    <cellStyle name="Comma 7 5 2 6 4" xfId="26569" xr:uid="{13B4D00C-BF5B-4937-9643-02477EBF71E3}"/>
    <cellStyle name="Comma 7 5 2 6 5" xfId="26506" xr:uid="{AFC1D15D-FE69-4DC5-A4C1-3A148A010EFD}"/>
    <cellStyle name="Comma 7 5 2 6 6" xfId="16451" xr:uid="{1ECDBD2A-CFE2-498B-8B43-F4E11D0599D1}"/>
    <cellStyle name="Comma 7 5 2 7" xfId="4912" xr:uid="{2FF2228D-1314-47F7-A649-B753533FBC8D}"/>
    <cellStyle name="Comma 7 5 2 7 2" xfId="27243" xr:uid="{C4EC5E6E-8F0B-49C6-9EB5-C71C495229DB}"/>
    <cellStyle name="Comma 7 5 2 7 3" xfId="27798" xr:uid="{6DAD2BEF-7EBF-4C6E-A116-18EA70E465FB}"/>
    <cellStyle name="Comma 7 5 2 7 4" xfId="14204" xr:uid="{4BE345BD-8721-4E6B-966D-99DA1638117A}"/>
    <cellStyle name="Comma 7 5 2 8" xfId="6657" xr:uid="{1C3ECEF6-26DB-46B5-BD5A-292C97DA5F61}"/>
    <cellStyle name="Comma 7 5 2 8 2" xfId="17037" xr:uid="{9B548DB4-02BF-4262-AC9A-890BCBFFCE8F}"/>
    <cellStyle name="Comma 7 5 2 9" xfId="9490" xr:uid="{7A9069B7-FCFB-48A7-B514-C0CD8B93DE19}"/>
    <cellStyle name="Comma 7 5 2 9 2" xfId="19870" xr:uid="{C0F14D28-BF11-45A9-8B65-1362B87914A1}"/>
    <cellStyle name="Comma 7 5 3" xfId="523" xr:uid="{00000000-0005-0000-0000-0000E0020000}"/>
    <cellStyle name="Comma 7 5 3 10" xfId="13584" xr:uid="{B1FF3BE9-35A9-4F2E-AB1A-162D9D826A92}"/>
    <cellStyle name="Comma 7 5 3 2" xfId="1776" xr:uid="{00000000-0005-0000-0000-0000E1020000}"/>
    <cellStyle name="Comma 7 5 3 2 2" xfId="22792" xr:uid="{0F83F840-92B1-4135-BB5C-61014B1EB3FA}"/>
    <cellStyle name="Comma 7 5 3 2 2 2" xfId="29799" xr:uid="{E1BC0F88-3013-4A17-86BC-D393EC6A12C2}"/>
    <cellStyle name="Comma 7 5 3 2 2 2 2" xfId="30777" xr:uid="{0405C4BC-9FA5-4E1C-AE2C-0E8E035E6E55}"/>
    <cellStyle name="Comma 7 5 3 2 3" xfId="24071" xr:uid="{8A811A5F-863A-432D-8845-82D7A335A18F}"/>
    <cellStyle name="Comma 7 5 3 2 3 2" xfId="26964" xr:uid="{ACD1A0F0-669A-46F3-822C-B3E39EEFFB34}"/>
    <cellStyle name="Comma 7 5 3 2 4" xfId="30059" xr:uid="{4003CD9E-9CDC-471A-80E3-40C67E7AE6F3}"/>
    <cellStyle name="Comma 7 5 3 3" xfId="1777" xr:uid="{00000000-0005-0000-0000-0000E2020000}"/>
    <cellStyle name="Comma 7 5 3 4" xfId="1775" xr:uid="{00000000-0005-0000-0000-0000E3020000}"/>
    <cellStyle name="Comma 7 5 3 4 2" xfId="25794" xr:uid="{C46FFFC4-5367-43D9-A0F2-883957F7948E}"/>
    <cellStyle name="Comma 7 5 3 4 3" xfId="25050" xr:uid="{B860A217-F0E0-4C8F-8370-1FADC8BB8F47}"/>
    <cellStyle name="Comma 7 5 3 5" xfId="4417" xr:uid="{C9503F72-C980-4EA6-9C7B-463E12EBFCF4}"/>
    <cellStyle name="Comma 7 5 3 5 2" xfId="9189" xr:uid="{5A1C26EA-F208-48EE-86DD-9FFC88BAFD19}"/>
    <cellStyle name="Comma 7 5 3 5 2 2" xfId="19569" xr:uid="{FCD690AC-5AC5-4154-904A-D83197D1328E}"/>
    <cellStyle name="Comma 7 5 3 5 2 3" xfId="31083" xr:uid="{D2DA8AD8-9203-46A4-840D-08F9276927A9}"/>
    <cellStyle name="Comma 7 5 3 5 2 4" xfId="30776" xr:uid="{ADEA8ABE-EF1C-4EE3-B196-098AA0C6560D}"/>
    <cellStyle name="Comma 7 5 3 5 3" xfId="12022" xr:uid="{FE1AF542-490F-455D-B3A3-CBC2CF555370}"/>
    <cellStyle name="Comma 7 5 3 5 3 2" xfId="22402" xr:uid="{00BE9369-0DF0-4924-8996-08D0CF6B80B1}"/>
    <cellStyle name="Comma 7 5 3 5 4" xfId="26390" xr:uid="{6B4CBF57-0C58-4E6E-8425-E119C9F18CE3}"/>
    <cellStyle name="Comma 7 5 3 5 5" xfId="26812" xr:uid="{2D16A3FA-6801-4321-9577-5BCA3F3D3CF6}"/>
    <cellStyle name="Comma 7 5 3 5 6" xfId="16736" xr:uid="{16B91357-5D72-4047-8D44-EA5C0437341A}"/>
    <cellStyle name="Comma 7 5 3 6" xfId="4914" xr:uid="{52DF5D1D-58FF-4F8F-A9B2-66477038F575}"/>
    <cellStyle name="Comma 7 5 3 6 2" xfId="27201" xr:uid="{6326BB40-03C3-4902-9C37-66E177A6EE9F}"/>
    <cellStyle name="Comma 7 5 3 6 3" xfId="26126" xr:uid="{8D6A2465-16E8-4E6F-A741-2AF012D9129F}"/>
    <cellStyle name="Comma 7 5 3 6 4" xfId="14206" xr:uid="{B4665CA3-479F-4BA8-B01A-97C19FE4190B}"/>
    <cellStyle name="Comma 7 5 3 7" xfId="6659" xr:uid="{1AFEB5F0-FB19-4185-86EE-541F27F587A7}"/>
    <cellStyle name="Comma 7 5 3 7 2" xfId="17039" xr:uid="{958F4867-4E4C-4A39-88B9-A6A66A6A68B3}"/>
    <cellStyle name="Comma 7 5 3 8" xfId="9492" xr:uid="{4B8908AE-1128-4C15-8990-7885F7F4F125}"/>
    <cellStyle name="Comma 7 5 3 8 2" xfId="19872" xr:uid="{57CCC8A8-3DAE-4B38-9E91-BA0D903C5B64}"/>
    <cellStyle name="Comma 7 5 3 9" xfId="25476" xr:uid="{07803372-5954-4D9E-9D44-7FB4212F89A6}"/>
    <cellStyle name="Comma 7 5 4" xfId="524" xr:uid="{00000000-0005-0000-0000-0000E4020000}"/>
    <cellStyle name="Comma 7 5 4 2" xfId="1779" xr:uid="{00000000-0005-0000-0000-0000E5020000}"/>
    <cellStyle name="Comma 7 5 4 2 2" xfId="24447" xr:uid="{BF2EC34A-698B-443F-AAE6-00CE8E0BD838}"/>
    <cellStyle name="Comma 7 5 4 2 2 2" xfId="29813" xr:uid="{ACABB38E-F2C3-4AC1-BAE5-A0B7DA0C7293}"/>
    <cellStyle name="Comma 7 5 4 2 2 2 2" xfId="30779" xr:uid="{AF40BC1E-0D28-4ADA-909F-280C9863C3CF}"/>
    <cellStyle name="Comma 7 5 4 2 3" xfId="25559" xr:uid="{57C8C355-B884-4ABB-8802-01C4ABA7B528}"/>
    <cellStyle name="Comma 7 5 4 2 4" xfId="30039" xr:uid="{2590A26D-2BC3-46D2-9CBC-376320D777B3}"/>
    <cellStyle name="Comma 7 5 4 3" xfId="1780" xr:uid="{00000000-0005-0000-0000-0000E6020000}"/>
    <cellStyle name="Comma 7 5 4 4" xfId="1778" xr:uid="{00000000-0005-0000-0000-0000E7020000}"/>
    <cellStyle name="Comma 7 5 4 5" xfId="4915" xr:uid="{DB919833-4F3D-4DD0-92E0-182B07EEBA4A}"/>
    <cellStyle name="Comma 7 5 4 5 2" xfId="14207" xr:uid="{40ACD453-DF55-4FFD-A391-5CE1BDDCA524}"/>
    <cellStyle name="Comma 7 5 4 5 2 2" xfId="31116" xr:uid="{AFD7E339-6562-4166-B7E4-17A96787670E}"/>
    <cellStyle name="Comma 7 5 4 5 2 3" xfId="30778" xr:uid="{171CD150-B758-49E1-ADA7-FED0D3CB3AFB}"/>
    <cellStyle name="Comma 7 5 4 6" xfId="6660" xr:uid="{3A3D3219-E4C3-4D65-9D99-82110F79AA60}"/>
    <cellStyle name="Comma 7 5 4 6 2" xfId="17040" xr:uid="{279B2CF0-A082-4FCF-9AAF-773691DA413F}"/>
    <cellStyle name="Comma 7 5 4 7" xfId="9493" xr:uid="{FCA469A8-8931-48F6-926A-41861DF39F45}"/>
    <cellStyle name="Comma 7 5 4 7 2" xfId="19873" xr:uid="{55A2D2CF-771F-45C4-8325-93696FF6CA25}"/>
    <cellStyle name="Comma 7 5 4 8" xfId="22755" xr:uid="{A900A73F-8391-41AF-A37D-A96D0AAB769A}"/>
    <cellStyle name="Comma 7 5 4 9" xfId="13374" xr:uid="{5991FD6E-E04B-4B1E-8779-90B5E1B3389E}"/>
    <cellStyle name="Comma 7 5 5" xfId="1781" xr:uid="{00000000-0005-0000-0000-0000E8020000}"/>
    <cellStyle name="Comma 7 5 5 2" xfId="2510" xr:uid="{00000000-0005-0000-0000-000041020000}"/>
    <cellStyle name="Comma 7 5 5 2 2" xfId="7635" xr:uid="{8BD04E5F-2AF6-4CAB-B0E4-9422C199D6EF}"/>
    <cellStyle name="Comma 7 5 5 2 2 2" xfId="18015" xr:uid="{1522A619-7A17-43D7-9F68-0A37B7D1ACB6}"/>
    <cellStyle name="Comma 7 5 5 2 3" xfId="10468" xr:uid="{F92458F7-2A4F-44FD-AEF2-734C921800EA}"/>
    <cellStyle name="Comma 7 5 5 2 3 2" xfId="20848" xr:uid="{AC8B4F3C-0517-4D8B-A400-6A262C563C4C}"/>
    <cellStyle name="Comma 7 5 5 2 4" xfId="15182" xr:uid="{C2388372-8FDB-4F2C-93F5-96DE42466C4F}"/>
    <cellStyle name="Comma 7 5 5 2 5" xfId="30440" xr:uid="{03E98A0F-5295-4006-9775-DC44882EA57A}"/>
    <cellStyle name="Comma 7 5 5 3" xfId="3668" xr:uid="{00000000-0005-0000-0000-0000E8020000}"/>
    <cellStyle name="Comma 7 5 5 4" xfId="5638" xr:uid="{549DF708-A440-479B-B2F3-1DB44B4EF640}"/>
    <cellStyle name="Comma 7 5 5 4 2" xfId="29846" xr:uid="{0CCCBC86-3CE8-47B5-9F99-C8ED5F9D97B3}"/>
    <cellStyle name="Comma 7 5 5 5" xfId="23830" xr:uid="{7ABF10FD-54AF-4FCB-A30B-74C19BFAC23C}"/>
    <cellStyle name="Comma 7 5 5 6" xfId="12898" xr:uid="{2299A01D-B91F-4761-845C-904B07E66C70}"/>
    <cellStyle name="Comma 7 5 6" xfId="1782" xr:uid="{00000000-0005-0000-0000-0000E9020000}"/>
    <cellStyle name="Comma 7 5 6 2" xfId="2286" xr:uid="{00000000-0005-0000-0000-00003B020000}"/>
    <cellStyle name="Comma 7 5 6 2 2" xfId="7413" xr:uid="{96301E53-3181-48FB-8AC6-3E2E435B2651}"/>
    <cellStyle name="Comma 7 5 6 2 2 2" xfId="17793" xr:uid="{E5BBB9F5-82C1-44B3-AB90-B6D07CA561EC}"/>
    <cellStyle name="Comma 7 5 6 2 3" xfId="10246" xr:uid="{1C344A61-EF6C-4749-8CC5-F367E86BAEC6}"/>
    <cellStyle name="Comma 7 5 6 2 3 2" xfId="20626" xr:uid="{6F00D7DF-26C0-4026-B970-FCDB35570BB5}"/>
    <cellStyle name="Comma 7 5 6 2 4" xfId="26704" xr:uid="{25367A79-03FE-4E99-A6D9-B39A4C021B71}"/>
    <cellStyle name="Comma 7 5 6 2 5" xfId="28078" xr:uid="{81956DED-55C2-46FF-BA51-2B1FE576EDA6}"/>
    <cellStyle name="Comma 7 5 6 2 6" xfId="14960" xr:uid="{1FC506FA-B02F-4406-BE5D-1A0AB0002CD6}"/>
    <cellStyle name="Comma 7 5 6 3" xfId="3709" xr:uid="{00000000-0005-0000-0000-0000E9020000}"/>
    <cellStyle name="Comma 7 5 6 4" xfId="23749" xr:uid="{28F6DA41-D61A-4D0F-9CA7-CAF5D179111F}"/>
    <cellStyle name="Comma 7 5 6 4 2" xfId="29872" xr:uid="{1E50365E-F381-4A78-9DEE-85DE002A0ED4}"/>
    <cellStyle name="Comma 7 5 6 5" xfId="30002" xr:uid="{2C6228CA-1ACB-48D5-AC98-48ED27FB57CC}"/>
    <cellStyle name="Comma 7 5 7" xfId="1768" xr:uid="{00000000-0005-0000-0000-0000EA020000}"/>
    <cellStyle name="Comma 7 5 7 2" xfId="25768" xr:uid="{F584A0C8-D732-472C-8BC3-DCA82A4452C1}"/>
    <cellStyle name="Comma 7 5 7 3" xfId="24312" xr:uid="{DE1C596D-9290-445D-A960-F019D4EBE472}"/>
    <cellStyle name="Comma 7 5 8" xfId="3873" xr:uid="{48CD740C-5852-4F71-8415-A59533214287}"/>
    <cellStyle name="Comma 7 5 8 2" xfId="8705" xr:uid="{2092291F-6D19-473F-B830-5642A321C9E0}"/>
    <cellStyle name="Comma 7 5 8 2 2" xfId="19085" xr:uid="{3C3C96BC-C15B-42E8-A25D-DFE52D72489C}"/>
    <cellStyle name="Comma 7 5 8 3" xfId="11538" xr:uid="{45226AFF-2E75-4335-B2ED-828ECCDB1B2E}"/>
    <cellStyle name="Comma 7 5 8 3 2" xfId="21918" xr:uid="{3BD3D099-5148-4FEB-9872-FEC1BB64264A}"/>
    <cellStyle name="Comma 7 5 8 4" xfId="27227" xr:uid="{9D9EC285-B6D7-4808-A5A5-F2B84F97DB89}"/>
    <cellStyle name="Comma 7 5 8 5" xfId="26603" xr:uid="{EA04B149-B8A8-46AB-8B5F-D3490B78CF45}"/>
    <cellStyle name="Comma 7 5 8 6" xfId="16252" xr:uid="{0F497EE2-3708-464E-B533-49B9C695DDE7}"/>
    <cellStyle name="Comma 7 5 9" xfId="4911" xr:uid="{EFAE726E-D909-4F3A-A93D-88D212696C5B}"/>
    <cellStyle name="Comma 7 5 9 2" xfId="27480" xr:uid="{5BA3817F-2561-481C-A447-26DAD1F5D2D1}"/>
    <cellStyle name="Comma 7 5 9 3" xfId="28118" xr:uid="{F59C1B3D-7808-45AB-A87E-F0FFD805067B}"/>
    <cellStyle name="Comma 7 5 9 4" xfId="14203" xr:uid="{F41FDCFE-A946-4145-AE37-811A2338AAC6}"/>
    <cellStyle name="Comma 7 6" xfId="525" xr:uid="{00000000-0005-0000-0000-0000EB020000}"/>
    <cellStyle name="Comma 7 6 10" xfId="6661" xr:uid="{3C922A1C-3EDF-4ADB-BCF9-4AAAD0AD9E0B}"/>
    <cellStyle name="Comma 7 6 10 2" xfId="17041" xr:uid="{7F79C41C-4C72-473D-8C7E-2F2111D1976D}"/>
    <cellStyle name="Comma 7 6 11" xfId="9494" xr:uid="{64755B39-2642-4500-B52C-9B7320D95F8E}"/>
    <cellStyle name="Comma 7 6 11 2" xfId="19874" xr:uid="{DFB4B661-D0C2-4C9C-98F4-4E5EC8E5A97B}"/>
    <cellStyle name="Comma 7 6 12" xfId="23727" xr:uid="{5BEAD8CD-3BBE-4F24-849F-DEB87F170612}"/>
    <cellStyle name="Comma 7 6 13" xfId="12519" xr:uid="{30036AA6-4C98-40E0-9CD5-00847A39A7FB}"/>
    <cellStyle name="Comma 7 6 2" xfId="526" xr:uid="{00000000-0005-0000-0000-0000EC020000}"/>
    <cellStyle name="Comma 7 6 2 10" xfId="25115" xr:uid="{814FE15A-4D33-47EF-8D30-EACB30C37661}"/>
    <cellStyle name="Comma 7 6 2 11" xfId="12677" xr:uid="{6724AC7A-9AE5-497A-A10F-2236E9674140}"/>
    <cellStyle name="Comma 7 6 2 2" xfId="527" xr:uid="{00000000-0005-0000-0000-0000ED020000}"/>
    <cellStyle name="Comma 7 6 2 2 2" xfId="1786" xr:uid="{00000000-0005-0000-0000-0000EE020000}"/>
    <cellStyle name="Comma 7 6 2 2 2 2" xfId="24580" xr:uid="{5DC6A7E0-F1A5-4CA2-B4F1-40AE2DEBE743}"/>
    <cellStyle name="Comma 7 6 2 2 2 2 2" xfId="29800" xr:uid="{6530A366-0929-4E11-BB5C-1247AF3904CA}"/>
    <cellStyle name="Comma 7 6 2 2 2 2 2 2" xfId="30781" xr:uid="{CD5614D8-BFEE-49F5-8B7B-9193CFB74C10}"/>
    <cellStyle name="Comma 7 6 2 2 2 3" xfId="23934" xr:uid="{E36F713B-902C-474C-93D2-2A68907E4954}"/>
    <cellStyle name="Comma 7 6 2 2 2 4" xfId="30060" xr:uid="{01672D53-D010-430C-A056-32DE89E2A64E}"/>
    <cellStyle name="Comma 7 6 2 2 3" xfId="1787" xr:uid="{00000000-0005-0000-0000-0000EF020000}"/>
    <cellStyle name="Comma 7 6 2 2 3 2" xfId="28556" xr:uid="{5E0339E1-F027-4441-B67C-359CFFC3FA81}"/>
    <cellStyle name="Comma 7 6 2 2 3 3" xfId="26688" xr:uid="{49DBD4AD-E167-4C32-A3F1-77C9BEF24AA4}"/>
    <cellStyle name="Comma 7 6 2 2 4" xfId="1785" xr:uid="{00000000-0005-0000-0000-0000F0020000}"/>
    <cellStyle name="Comma 7 6 2 2 5" xfId="4918" xr:uid="{568104A5-BF9E-4CAB-8466-A723EBB6FFCC}"/>
    <cellStyle name="Comma 7 6 2 2 5 2" xfId="27423" xr:uid="{6D27C4D8-3DCA-45E9-B4AB-2A98FB1E5EE5}"/>
    <cellStyle name="Comma 7 6 2 2 5 2 2" xfId="31191" xr:uid="{5D3FFA2F-4D53-434E-94A8-7F717C58A0F3}"/>
    <cellStyle name="Comma 7 6 2 2 5 2 3" xfId="30780" xr:uid="{1CC38D04-CD23-46B7-BB5E-CB53C7761DA1}"/>
    <cellStyle name="Comma 7 6 2 2 5 3" xfId="27497" xr:uid="{C946227B-FD3C-4022-B083-3E43AC2359BB}"/>
    <cellStyle name="Comma 7 6 2 2 5 4" xfId="14210" xr:uid="{E793957B-5283-40B1-A140-FAE3C320445E}"/>
    <cellStyle name="Comma 7 6 2 2 6" xfId="6663" xr:uid="{08D01A92-D402-4010-8F82-1B92687A9318}"/>
    <cellStyle name="Comma 7 6 2 2 6 2" xfId="17043" xr:uid="{2B0FA746-237E-4BCF-9749-FA783E15E6B1}"/>
    <cellStyle name="Comma 7 6 2 2 7" xfId="9496" xr:uid="{CB4BEAF8-8EA1-4E64-B2B4-DB3E3BE6CFC4}"/>
    <cellStyle name="Comma 7 6 2 2 7 2" xfId="19876" xr:uid="{D7BF4F8A-54A9-412F-8ACF-CC7A9377CEF4}"/>
    <cellStyle name="Comma 7 6 2 2 8" xfId="23651" xr:uid="{46A5AAB7-7F4C-49F6-98ED-6349F507F456}"/>
    <cellStyle name="Comma 7 6 2 2 9" xfId="13585" xr:uid="{BF096EB4-D816-419A-A0CF-AECE1917DBF7}"/>
    <cellStyle name="Comma 7 6 2 3" xfId="1788" xr:uid="{00000000-0005-0000-0000-0000F1020000}"/>
    <cellStyle name="Comma 7 6 2 3 2" xfId="2684" xr:uid="{00000000-0005-0000-0000-000045020000}"/>
    <cellStyle name="Comma 7 6 2 3 2 2" xfId="7808" xr:uid="{BF3D237B-7A5C-4AAA-888F-27E9372A55C6}"/>
    <cellStyle name="Comma 7 6 2 3 2 2 2" xfId="18188" xr:uid="{C7FBD44B-FA60-4D74-A7B2-1672FA506946}"/>
    <cellStyle name="Comma 7 6 2 3 2 3" xfId="10641" xr:uid="{6E4FC81E-5D87-4568-B43B-22C6D3B722B4}"/>
    <cellStyle name="Comma 7 6 2 3 2 3 2" xfId="21021" xr:uid="{4C3A11D8-3CA8-4B93-8360-3532C16154E6}"/>
    <cellStyle name="Comma 7 6 2 3 2 4" xfId="15355" xr:uid="{F5ABC2AE-96BF-4503-97DF-050751112AFA}"/>
    <cellStyle name="Comma 7 6 2 3 2 5" xfId="30441" xr:uid="{D87D8F3D-F43C-41C0-8037-C1D88E2C0419}"/>
    <cellStyle name="Comma 7 6 2 3 3" xfId="3618" xr:uid="{00000000-0005-0000-0000-0000F1020000}"/>
    <cellStyle name="Comma 7 6 2 3 4" xfId="5639" xr:uid="{A859882B-B923-4E27-B0EB-8C0E2A828252}"/>
    <cellStyle name="Comma 7 6 2 3 4 2" xfId="29756" xr:uid="{2383F154-FBC3-4396-AA20-4E3ACC12478B}"/>
    <cellStyle name="Comma 7 6 2 3 5" xfId="24408" xr:uid="{EC228E64-B2C8-4AC7-BE4E-D17338AB1515}"/>
    <cellStyle name="Comma 7 6 2 3 6" xfId="13095" xr:uid="{C208DBAA-B733-4EC3-AE62-2CF8D1447AE0}"/>
    <cellStyle name="Comma 7 6 2 4" xfId="1789" xr:uid="{00000000-0005-0000-0000-0000F2020000}"/>
    <cellStyle name="Comma 7 6 2 4 2" xfId="4664" xr:uid="{50E6BFA1-74EF-4B19-9EE4-646816D6291E}"/>
    <cellStyle name="Comma 7 6 2 4 2 2" xfId="9412" xr:uid="{6712593D-4D90-4972-B5EA-F02A2074CDB3}"/>
    <cellStyle name="Comma 7 6 2 4 2 2 2" xfId="19792" xr:uid="{8E197436-3704-4568-9E55-6040B877C7C6}"/>
    <cellStyle name="Comma 7 6 2 4 2 2 3" xfId="31110" xr:uid="{53BB95EB-C7DA-4A8C-A4C2-E7F1D2015036}"/>
    <cellStyle name="Comma 7 6 2 4 2 2 4" xfId="30782" xr:uid="{BFE3B2AC-07A6-4004-A56B-5447B1DA410D}"/>
    <cellStyle name="Comma 7 6 2 4 2 3" xfId="12245" xr:uid="{3CB18AEA-CAC2-4D64-9896-F6D9491787E4}"/>
    <cellStyle name="Comma 7 6 2 4 2 3 2" xfId="22625" xr:uid="{0DAC3779-A367-4685-9318-BD1DC710C257}"/>
    <cellStyle name="Comma 7 6 2 4 2 4" xfId="25844" xr:uid="{90FCDCF5-0E73-428A-AD01-8BD32EE7A20A}"/>
    <cellStyle name="Comma 7 6 2 4 2 5" xfId="26944" xr:uid="{FDEAC753-4E39-4E73-BA38-3471ED455783}"/>
    <cellStyle name="Comma 7 6 2 4 2 6" xfId="16959" xr:uid="{FB80DAFC-A2F7-40F0-AB68-3C4DEBDA971E}"/>
    <cellStyle name="Comma 7 6 2 4 3" xfId="23503" xr:uid="{04889AB2-5596-4889-95C2-683574FB893B}"/>
    <cellStyle name="Comma 7 6 2 4 3 2" xfId="29910" xr:uid="{A56ADC01-A341-4692-A5BD-408AA86B465C}"/>
    <cellStyle name="Comma 7 6 2 4 4" xfId="30022" xr:uid="{038B0F77-68FE-441B-A2D7-3E607D8FBD3E}"/>
    <cellStyle name="Comma 7 6 2 5" xfId="1784" xr:uid="{00000000-0005-0000-0000-0000F3020000}"/>
    <cellStyle name="Comma 7 6 2 5 2" xfId="25694" xr:uid="{43A0D14E-D700-4A27-B4AB-31B149617AFF}"/>
    <cellStyle name="Comma 7 6 2 5 3" xfId="24099" xr:uid="{54D0671A-307C-4728-BC97-C34C5ECF5973}"/>
    <cellStyle name="Comma 7 6 2 6" xfId="4133" xr:uid="{F945E186-3247-4F6C-B426-F7EFD44BCD80}"/>
    <cellStyle name="Comma 7 6 2 6 2" xfId="8905" xr:uid="{DE90C64F-E618-43DD-89D7-72CB5AD9AA83}"/>
    <cellStyle name="Comma 7 6 2 6 2 2" xfId="19285" xr:uid="{10632414-1D65-4747-948E-6E1245FE22D9}"/>
    <cellStyle name="Comma 7 6 2 6 3" xfId="11738" xr:uid="{5AB719FF-2D36-40CA-B87B-E0EEB0F6B2A4}"/>
    <cellStyle name="Comma 7 6 2 6 3 2" xfId="22118" xr:uid="{EF699C44-1A09-41A7-875A-469875BB7530}"/>
    <cellStyle name="Comma 7 6 2 6 4" xfId="27116" xr:uid="{E4AFD861-E5CC-47DE-95E7-34710AD78800}"/>
    <cellStyle name="Comma 7 6 2 6 5" xfId="26444" xr:uid="{5506A1C8-F541-44DE-857E-8369B4475383}"/>
    <cellStyle name="Comma 7 6 2 6 6" xfId="16452" xr:uid="{6857E195-9D92-4D19-A4E3-236B3934BF3B}"/>
    <cellStyle name="Comma 7 6 2 7" xfId="4917" xr:uid="{FE403337-2F0D-4875-BE3F-AE4E3512D1C4}"/>
    <cellStyle name="Comma 7 6 2 7 2" xfId="27185" xr:uid="{223CDA76-39A1-462B-B62D-67B01570377D}"/>
    <cellStyle name="Comma 7 6 2 7 3" xfId="25876" xr:uid="{2EA461FC-8742-4111-9649-6F3E9C6FB2B2}"/>
    <cellStyle name="Comma 7 6 2 7 4" xfId="14209" xr:uid="{3D7978FF-A8A6-4159-87A7-1406E29B3FFC}"/>
    <cellStyle name="Comma 7 6 2 8" xfId="6662" xr:uid="{6BFB99A7-C150-4A32-91F9-F00DD3F6570A}"/>
    <cellStyle name="Comma 7 6 2 8 2" xfId="17042" xr:uid="{E695DF8E-2F2C-42CB-86B7-745C00487F72}"/>
    <cellStyle name="Comma 7 6 2 9" xfId="9495" xr:uid="{9FEF4260-B3EB-478D-9250-28C108D44304}"/>
    <cellStyle name="Comma 7 6 2 9 2" xfId="19875" xr:uid="{994A1F05-8638-445F-81D5-DDF77F57B939}"/>
    <cellStyle name="Comma 7 6 3" xfId="528" xr:uid="{00000000-0005-0000-0000-0000F4020000}"/>
    <cellStyle name="Comma 7 6 3 10" xfId="13586" xr:uid="{56574CA9-3593-4025-BED2-E7C628883E83}"/>
    <cellStyle name="Comma 7 6 3 2" xfId="1791" xr:uid="{00000000-0005-0000-0000-0000F5020000}"/>
    <cellStyle name="Comma 7 6 3 2 2" xfId="22751" xr:uid="{593812E3-2DDF-4E3E-AF86-94AFED44583B}"/>
    <cellStyle name="Comma 7 6 3 2 2 2" xfId="29807" xr:uid="{C1CE4960-82BB-4DAF-BD8F-C3EF7E964D61}"/>
    <cellStyle name="Comma 7 6 3 2 2 2 2" xfId="30784" xr:uid="{05E51192-649A-411F-9AB3-46D1F40C9C68}"/>
    <cellStyle name="Comma 7 6 3 2 3" xfId="25625" xr:uid="{EF760203-0895-4660-ABBE-998EE7974075}"/>
    <cellStyle name="Comma 7 6 3 2 3 2" xfId="26189" xr:uid="{817FEF4E-F9EF-4ACF-AE83-5398CABA09AF}"/>
    <cellStyle name="Comma 7 6 3 2 4" xfId="30061" xr:uid="{A2F331B9-7AA9-4AC8-AD6F-60544D09BFCC}"/>
    <cellStyle name="Comma 7 6 3 3" xfId="1792" xr:uid="{00000000-0005-0000-0000-0000F6020000}"/>
    <cellStyle name="Comma 7 6 3 4" xfId="1790" xr:uid="{00000000-0005-0000-0000-0000F7020000}"/>
    <cellStyle name="Comma 7 6 3 4 2" xfId="26138" xr:uid="{E6EA9670-01AD-4097-8942-F95C02BBB311}"/>
    <cellStyle name="Comma 7 6 3 4 3" xfId="27843" xr:uid="{2083A926-FFA6-4312-9EFE-62A3FA2AB227}"/>
    <cellStyle name="Comma 7 6 3 5" xfId="4418" xr:uid="{17EE87F9-E15C-49D6-B698-675BFE4FD544}"/>
    <cellStyle name="Comma 7 6 3 5 2" xfId="9190" xr:uid="{B9F2C594-CA1B-4D92-82B7-FE9881B6570F}"/>
    <cellStyle name="Comma 7 6 3 5 2 2" xfId="19570" xr:uid="{8CB3C512-BA74-4514-9D59-133ED75F9BC5}"/>
    <cellStyle name="Comma 7 6 3 5 2 3" xfId="31084" xr:uid="{5B1F8756-6123-46BD-9F5C-3032651408D7}"/>
    <cellStyle name="Comma 7 6 3 5 2 4" xfId="30783" xr:uid="{75EF5744-0076-4620-A6E4-89D8800440B2}"/>
    <cellStyle name="Comma 7 6 3 5 3" xfId="12023" xr:uid="{6457D9C0-646F-48BD-A790-54F396FCF5C2}"/>
    <cellStyle name="Comma 7 6 3 5 3 2" xfId="22403" xr:uid="{2AE34014-F6E9-43B0-A9B5-3B3CA21E8788}"/>
    <cellStyle name="Comma 7 6 3 5 4" xfId="28330" xr:uid="{182E924A-FF7E-42F9-9D6F-3A88F64A8DB2}"/>
    <cellStyle name="Comma 7 6 3 5 5" xfId="26327" xr:uid="{F635D046-8281-43E0-AD08-5830F511022A}"/>
    <cellStyle name="Comma 7 6 3 5 6" xfId="16737" xr:uid="{F9D2678E-A41C-40F6-972B-1B0C4D2A6423}"/>
    <cellStyle name="Comma 7 6 3 6" xfId="4919" xr:uid="{33EFC1D5-54EB-4630-90A0-666D9DDD8F4A}"/>
    <cellStyle name="Comma 7 6 3 6 2" xfId="27263" xr:uid="{3DBEA452-D5B7-4573-9611-B22636B32724}"/>
    <cellStyle name="Comma 7 6 3 6 3" xfId="27857" xr:uid="{18868A69-83E5-43C1-B06F-3600A8F65256}"/>
    <cellStyle name="Comma 7 6 3 6 4" xfId="14211" xr:uid="{9E573F68-FCB4-4BA3-B42E-E92861EC75F0}"/>
    <cellStyle name="Comma 7 6 3 7" xfId="6664" xr:uid="{7052F44D-9F59-41BC-8F0E-03F9C92B062F}"/>
    <cellStyle name="Comma 7 6 3 7 2" xfId="17044" xr:uid="{C390A5C7-FDCB-42E1-917F-5CF360D52B23}"/>
    <cellStyle name="Comma 7 6 3 8" xfId="9497" xr:uid="{EA7EDDA5-DEB2-4B2A-B71E-B6740F9D6D4A}"/>
    <cellStyle name="Comma 7 6 3 8 2" xfId="19877" xr:uid="{B355EA29-EC2F-469C-A830-D4B3E64D5A5E}"/>
    <cellStyle name="Comma 7 6 3 9" xfId="23264" xr:uid="{C9357FCF-C68B-423E-8713-5590C530334C}"/>
    <cellStyle name="Comma 7 6 4" xfId="529" xr:uid="{00000000-0005-0000-0000-0000F8020000}"/>
    <cellStyle name="Comma 7 6 4 2" xfId="1794" xr:uid="{00000000-0005-0000-0000-0000F9020000}"/>
    <cellStyle name="Comma 7 6 4 2 2" xfId="23917" xr:uid="{461306F4-CC51-41EF-898A-E9488C332240}"/>
    <cellStyle name="Comma 7 6 4 2 2 2" xfId="29811" xr:uid="{57D54F67-70B5-4496-B67A-CCD271CE0A1A}"/>
    <cellStyle name="Comma 7 6 4 2 2 2 2" xfId="30786" xr:uid="{275B49E3-BA19-4808-AF0E-992BAD75E9CA}"/>
    <cellStyle name="Comma 7 6 4 2 3" xfId="24294" xr:uid="{089D13FD-4729-4D15-80E1-E28074858099}"/>
    <cellStyle name="Comma 7 6 4 2 4" xfId="30040" xr:uid="{3CAEEE8B-0AAD-4E47-8D9D-7B15CA8A6CF5}"/>
    <cellStyle name="Comma 7 6 4 3" xfId="1795" xr:uid="{00000000-0005-0000-0000-0000FA020000}"/>
    <cellStyle name="Comma 7 6 4 4" xfId="1793" xr:uid="{00000000-0005-0000-0000-0000FB020000}"/>
    <cellStyle name="Comma 7 6 4 5" xfId="4920" xr:uid="{2C77362A-6873-444E-B14C-FAA30BCA57CB}"/>
    <cellStyle name="Comma 7 6 4 5 2" xfId="14212" xr:uid="{C6C22BA0-4EEC-40BF-9A2B-ECD4F30E0328}"/>
    <cellStyle name="Comma 7 6 4 5 2 2" xfId="31117" xr:uid="{108BB9CF-32ED-4F0D-84FA-ED3968C16286}"/>
    <cellStyle name="Comma 7 6 4 5 2 3" xfId="30785" xr:uid="{0C9D9E98-C376-4509-99C7-461FA0F154D1}"/>
    <cellStyle name="Comma 7 6 4 6" xfId="6665" xr:uid="{B5D98CB2-C2F7-4A23-B0A0-CAFC738FBDA2}"/>
    <cellStyle name="Comma 7 6 4 6 2" xfId="17045" xr:uid="{CB0A4849-9D34-4D9C-828B-FA1FD7A9C39E}"/>
    <cellStyle name="Comma 7 6 4 7" xfId="9498" xr:uid="{A7F82291-B191-4B31-9A00-3C33733B7CDB}"/>
    <cellStyle name="Comma 7 6 4 7 2" xfId="19878" xr:uid="{895531C1-A89E-4C95-A546-1604F409EE1B}"/>
    <cellStyle name="Comma 7 6 4 8" xfId="23399" xr:uid="{1B88D223-F22D-4CD0-9B37-64E4FFB2E99C}"/>
    <cellStyle name="Comma 7 6 4 9" xfId="13375" xr:uid="{D6DEE421-8356-4C29-8B02-F990C6140E48}"/>
    <cellStyle name="Comma 7 6 5" xfId="1796" xr:uid="{00000000-0005-0000-0000-0000FC020000}"/>
    <cellStyle name="Comma 7 6 5 2" xfId="2573" xr:uid="{00000000-0005-0000-0000-000048020000}"/>
    <cellStyle name="Comma 7 6 5 2 2" xfId="7698" xr:uid="{214766C4-5442-4056-BBCF-25EFC9D14903}"/>
    <cellStyle name="Comma 7 6 5 2 2 2" xfId="18078" xr:uid="{7ABFEC52-D2E5-4E24-985B-B77C47CD40DF}"/>
    <cellStyle name="Comma 7 6 5 2 3" xfId="10531" xr:uid="{E4338EB2-8C0F-49BC-AB64-1C26551D1A54}"/>
    <cellStyle name="Comma 7 6 5 2 3 2" xfId="20911" xr:uid="{EE5AFDC6-F44C-47C9-AC73-44AAC855D5F6}"/>
    <cellStyle name="Comma 7 6 5 2 4" xfId="15245" xr:uid="{091C491E-3118-48B7-8179-E6285792460D}"/>
    <cellStyle name="Comma 7 6 5 2 5" xfId="30442" xr:uid="{F7FA1887-1CFD-4A77-A944-6246311872AB}"/>
    <cellStyle name="Comma 7 6 5 3" xfId="2063" xr:uid="{00000000-0005-0000-0000-0000FC020000}"/>
    <cellStyle name="Comma 7 6 5 4" xfId="5640" xr:uid="{E6B8AE12-F1B5-499A-8F3E-004979DA9C30}"/>
    <cellStyle name="Comma 7 6 5 4 2" xfId="29847" xr:uid="{7BBD256C-B730-43AF-815C-82C21BC38304}"/>
    <cellStyle name="Comma 7 6 5 5" xfId="23316" xr:uid="{186F7AEF-2327-4ED2-96ED-D56E6A0454EA}"/>
    <cellStyle name="Comma 7 6 5 6" xfId="12961" xr:uid="{E7DC528C-F130-4FF3-A64C-873FB2F5F56E}"/>
    <cellStyle name="Comma 7 6 6" xfId="1797" xr:uid="{00000000-0005-0000-0000-0000FD020000}"/>
    <cellStyle name="Comma 7 6 6 2" xfId="2287" xr:uid="{00000000-0005-0000-0000-000042020000}"/>
    <cellStyle name="Comma 7 6 6 2 2" xfId="7414" xr:uid="{DC0BA885-AAD0-406B-8C49-1F80B01D3139}"/>
    <cellStyle name="Comma 7 6 6 2 2 2" xfId="17794" xr:uid="{097FC72B-A4B1-41F1-89FA-E497A9C55EB6}"/>
    <cellStyle name="Comma 7 6 6 2 3" xfId="10247" xr:uid="{519F6ED0-7B20-436A-85EB-0745016D725D}"/>
    <cellStyle name="Comma 7 6 6 2 3 2" xfId="20627" xr:uid="{DF8105FF-DC48-4A5A-A798-92E7F20D62BA}"/>
    <cellStyle name="Comma 7 6 6 2 4" xfId="28720" xr:uid="{E1AB2579-9A5D-455E-A557-06AF11B88023}"/>
    <cellStyle name="Comma 7 6 6 2 5" xfId="27130" xr:uid="{9AA29743-1BB0-42A7-8142-D25BC83613CB}"/>
    <cellStyle name="Comma 7 6 6 2 6" xfId="14961" xr:uid="{D4CDCE7D-8BC5-43F6-B455-A2D94633B00D}"/>
    <cellStyle name="Comma 7 6 6 3" xfId="3566" xr:uid="{00000000-0005-0000-0000-0000FD020000}"/>
    <cellStyle name="Comma 7 6 6 4" xfId="25443" xr:uid="{42872B52-D575-49A2-AA17-DDB0CA2A7F99}"/>
    <cellStyle name="Comma 7 6 6 4 2" xfId="29883" xr:uid="{BA8926F2-5495-4B23-B877-3C97DC6CD642}"/>
    <cellStyle name="Comma 7 6 6 5" xfId="30006" xr:uid="{FA1DB840-8290-41D1-B01F-2F13D74261E2}"/>
    <cellStyle name="Comma 7 6 7" xfId="1783" xr:uid="{00000000-0005-0000-0000-0000FE020000}"/>
    <cellStyle name="Comma 7 6 7 2" xfId="27963" xr:uid="{1D32C5D1-031B-4E2E-A3F9-D5DB05CFD04C}"/>
    <cellStyle name="Comma 7 6 7 3" xfId="26878" xr:uid="{B323087D-4CC4-4BF7-B52C-5DE2B8509722}"/>
    <cellStyle name="Comma 7 6 8" xfId="3874" xr:uid="{A243BA53-A050-43A4-8A3D-C78E4411F594}"/>
    <cellStyle name="Comma 7 6 8 2" xfId="8706" xr:uid="{733A62D6-3F62-4B36-8242-2EBEEB5A247A}"/>
    <cellStyle name="Comma 7 6 8 2 2" xfId="19086" xr:uid="{81A8AB01-5EDE-492D-B7C3-58BE425DAAA2}"/>
    <cellStyle name="Comma 7 6 8 3" xfId="11539" xr:uid="{B218D86A-0B04-4ADA-B846-E6BC15240D73}"/>
    <cellStyle name="Comma 7 6 8 3 2" xfId="21919" xr:uid="{F31D6500-97F9-4A0D-A795-B6A0706BA972}"/>
    <cellStyle name="Comma 7 6 8 4" xfId="26595" xr:uid="{CAC20320-2EAC-4B05-8692-6D3045E06A47}"/>
    <cellStyle name="Comma 7 6 8 5" xfId="27356" xr:uid="{DEE963F9-8BF7-4796-ACC9-4FE8D34367F4}"/>
    <cellStyle name="Comma 7 6 8 6" xfId="16253" xr:uid="{2D16975B-8A13-4782-9163-3507B8A142AF}"/>
    <cellStyle name="Comma 7 6 9" xfId="4916" xr:uid="{E140A11C-3D15-4805-ADFA-F3493BC37417}"/>
    <cellStyle name="Comma 7 6 9 2" xfId="27838" xr:uid="{DBD250EF-0CB8-46C9-8225-D7982C860CC2}"/>
    <cellStyle name="Comma 7 6 9 3" xfId="26539" xr:uid="{E121BB5B-DD5E-428B-81BD-221BD63329A9}"/>
    <cellStyle name="Comma 7 6 9 4" xfId="14208" xr:uid="{4BEFEFAE-F8A4-43F4-B877-5A604371F221}"/>
    <cellStyle name="Comma 7 7" xfId="530" xr:uid="{00000000-0005-0000-0000-0000FF020000}"/>
    <cellStyle name="Comma 7 7 10" xfId="9499" xr:uid="{50FDD31A-098F-48AB-B132-9EE274435206}"/>
    <cellStyle name="Comma 7 7 10 2" xfId="19879" xr:uid="{A8FC17F2-4D77-4ADA-AD8A-911C3D7D6DEA}"/>
    <cellStyle name="Comma 7 7 11" xfId="25361" xr:uid="{118FA5C7-65DC-45FE-B93C-6554CEF9BCA8}"/>
    <cellStyle name="Comma 7 7 12" xfId="12520" xr:uid="{FF46BF83-0098-4B24-9994-7447DE95D4C9}"/>
    <cellStyle name="Comma 7 7 2" xfId="531" xr:uid="{00000000-0005-0000-0000-000000030000}"/>
    <cellStyle name="Comma 7 7 2 2" xfId="1800" xr:uid="{00000000-0005-0000-0000-000001030000}"/>
    <cellStyle name="Comma 7 7 2 2 2" xfId="2878" xr:uid="{00000000-0005-0000-0000-00004B020000}"/>
    <cellStyle name="Comma 7 7 2 2 2 2" xfId="7995" xr:uid="{D28A7FE0-815E-40F6-B577-8EE44F14115F}"/>
    <cellStyle name="Comma 7 7 2 2 2 2 2" xfId="18375" xr:uid="{7E714202-2115-41B1-BE5B-C9B27748611D}"/>
    <cellStyle name="Comma 7 7 2 2 2 2 2 2" xfId="31137" xr:uid="{7B4E6E3D-5D0B-40D6-84BD-43D775109142}"/>
    <cellStyle name="Comma 7 7 2 2 2 2 2 3" xfId="30787" xr:uid="{B018A964-2BCE-44BC-8397-0B29A05DF726}"/>
    <cellStyle name="Comma 7 7 2 2 2 3" xfId="10828" xr:uid="{F74D12D5-5D88-48FF-9BD2-A7E636270A5A}"/>
    <cellStyle name="Comma 7 7 2 2 2 3 2" xfId="21208" xr:uid="{95D531FD-307A-4FF7-8544-4302C89D47C7}"/>
    <cellStyle name="Comma 7 7 2 2 2 4" xfId="27272" xr:uid="{2D36A089-837D-4523-ABDD-F77154AE563C}"/>
    <cellStyle name="Comma 7 7 2 2 2 5" xfId="27935" xr:uid="{DCC99E43-CDA7-4EDE-81A0-F6B7B059AB6F}"/>
    <cellStyle name="Comma 7 7 2 2 2 6" xfId="15542" xr:uid="{04D0BAE1-45A9-4878-AF22-2CF922039EBE}"/>
    <cellStyle name="Comma 7 7 2 2 3" xfId="3580" xr:uid="{00000000-0005-0000-0000-000001030000}"/>
    <cellStyle name="Comma 7 7 2 2 4" xfId="5641" xr:uid="{E60974FD-09CC-420F-88A2-C27C1F08E48E}"/>
    <cellStyle name="Comma 7 7 2 2 4 2" xfId="29766" xr:uid="{FA4FB0BF-A96C-40AA-BA96-8F4951D06A90}"/>
    <cellStyle name="Comma 7 7 2 2 5" xfId="23738" xr:uid="{DDB5FC3F-E011-4CC3-8D63-61A5361B71E1}"/>
    <cellStyle name="Comma 7 7 2 2 6" xfId="13376" xr:uid="{A6B18B30-EDDD-470D-BDBF-EDBB2C02A202}"/>
    <cellStyle name="Comma 7 7 2 3" xfId="1801" xr:uid="{00000000-0005-0000-0000-000002030000}"/>
    <cellStyle name="Comma 7 7 2 3 2" xfId="25033" xr:uid="{6BDD10C8-D5D2-4B16-8186-157162E3C65A}"/>
    <cellStyle name="Comma 7 7 2 3 2 2" xfId="30788" xr:uid="{1E3CD265-152F-4835-8EE5-09A9941F2276}"/>
    <cellStyle name="Comma 7 7 2 3 2 3" xfId="30554" xr:uid="{02D9238D-CBBE-43CD-9C24-03C90F95B3B3}"/>
    <cellStyle name="Comma 7 7 2 3 3" xfId="23910" xr:uid="{53A23F6E-80A4-406E-B3C9-3A9ED17968CC}"/>
    <cellStyle name="Comma 7 7 2 3 4" xfId="30041" xr:uid="{B10D0033-ABBF-4989-8018-A0B99E559E65}"/>
    <cellStyle name="Comma 7 7 2 3 5" xfId="29663" xr:uid="{F6B21234-EF52-417D-A18F-B6EF8AD1E09D}"/>
    <cellStyle name="Comma 7 7 2 4" xfId="1799" xr:uid="{00000000-0005-0000-0000-000003030000}"/>
    <cellStyle name="Comma 7 7 2 4 2" xfId="25969" xr:uid="{928C0968-72D2-40CF-B38F-C587FD022FFD}"/>
    <cellStyle name="Comma 7 7 2 4 2 2" xfId="30789" xr:uid="{7E046A25-CAE9-4CDB-BD51-E8747CBC0EBF}"/>
    <cellStyle name="Comma 7 7 2 4 2 3" xfId="30588" xr:uid="{B9BA8C80-016D-4DAF-B5A7-EEAE08BA1850}"/>
    <cellStyle name="Comma 7 7 2 4 3" xfId="26523" xr:uid="{CAC2A65E-3A8D-42D8-84C7-B38C0C2F5982}"/>
    <cellStyle name="Comma 7 7 2 5" xfId="4922" xr:uid="{239690F2-C5AE-4138-BA4B-E931B00A0C76}"/>
    <cellStyle name="Comma 7 7 2 5 2" xfId="27397" xr:uid="{6C46E5A6-E068-48A6-84C8-923B14C8C664}"/>
    <cellStyle name="Comma 7 7 2 5 3" xfId="26345" xr:uid="{1121C310-24E6-43B1-AD4B-C5140617375D}"/>
    <cellStyle name="Comma 7 7 2 5 4" xfId="14214" xr:uid="{E085C55D-9818-4A07-9CBC-6D2769FAA9C6}"/>
    <cellStyle name="Comma 7 7 2 5 5" xfId="30619" xr:uid="{E846814E-5B6C-4A6E-9E58-68D4CC744C88}"/>
    <cellStyle name="Comma 7 7 2 6" xfId="6667" xr:uid="{DD6743ED-F36E-42EF-BCC8-D247E79BEAB5}"/>
    <cellStyle name="Comma 7 7 2 6 2" xfId="28191" xr:uid="{09C40607-E8D7-4EDF-8CAD-2BBBB59E95FE}"/>
    <cellStyle name="Comma 7 7 2 6 3" xfId="25851" xr:uid="{DF3D8436-B356-46BD-B73F-05EBED1C5A82}"/>
    <cellStyle name="Comma 7 7 2 6 4" xfId="17047" xr:uid="{6560A0A3-9F8F-4350-B9D6-8C08EAF729FA}"/>
    <cellStyle name="Comma 7 7 2 7" xfId="9500" xr:uid="{142BE0BF-F0C7-4044-B001-825484052DB6}"/>
    <cellStyle name="Comma 7 7 2 7 2" xfId="19880" xr:uid="{84AFA158-7969-4E74-A9C1-00288C7EAD7F}"/>
    <cellStyle name="Comma 7 7 2 8" xfId="23570" xr:uid="{B2713F2F-A70B-459F-89CB-BF8108D1CB18}"/>
    <cellStyle name="Comma 7 7 2 9" xfId="12678" xr:uid="{90971410-4F47-4005-9D38-04964861F1BA}"/>
    <cellStyle name="Comma 7 7 3" xfId="532" xr:uid="{00000000-0005-0000-0000-000004030000}"/>
    <cellStyle name="Comma 7 7 3 2" xfId="1803" xr:uid="{00000000-0005-0000-0000-000005030000}"/>
    <cellStyle name="Comma 7 7 3 2 2" xfId="28253" xr:uid="{48865CA2-C9C0-4384-9537-03BE2E1C1AEF}"/>
    <cellStyle name="Comma 7 7 3 2 2 2" xfId="30791" xr:uid="{54EA8795-81FA-4C62-9DDB-F155986CC086}"/>
    <cellStyle name="Comma 7 7 3 2 2 3" xfId="30602" xr:uid="{AC10B343-A6F7-4CEA-BFEF-D4DBB8A29826}"/>
    <cellStyle name="Comma 7 7 3 2 3" xfId="26167" xr:uid="{9DA42141-736D-4760-973F-3846DDC86D5D}"/>
    <cellStyle name="Comma 7 7 3 3" xfId="1804" xr:uid="{00000000-0005-0000-0000-000006030000}"/>
    <cellStyle name="Comma 7 7 3 4" xfId="1802" xr:uid="{00000000-0005-0000-0000-000007030000}"/>
    <cellStyle name="Comma 7 7 3 5" xfId="4923" xr:uid="{8A800B21-38D2-4169-9A0A-C7CE2DCA6913}"/>
    <cellStyle name="Comma 7 7 3 5 2" xfId="27775" xr:uid="{CAC9E993-7576-48F2-90FB-B70206948F53}"/>
    <cellStyle name="Comma 7 7 3 5 2 2" xfId="31197" xr:uid="{222CF450-24C8-4421-8103-13361694F782}"/>
    <cellStyle name="Comma 7 7 3 5 2 3" xfId="30790" xr:uid="{7960C803-F401-450C-B756-1ADD0E85CCC6}"/>
    <cellStyle name="Comma 7 7 3 5 3" xfId="28095" xr:uid="{DE909C5A-C2CB-4711-96D7-5834683A1C78}"/>
    <cellStyle name="Comma 7 7 3 5 4" xfId="14215" xr:uid="{2C8A9832-13D5-4034-8A46-573276CE087F}"/>
    <cellStyle name="Comma 7 7 3 6" xfId="6668" xr:uid="{3F43B62D-2338-43C2-89F5-E9BB71FB2183}"/>
    <cellStyle name="Comma 7 7 3 6 2" xfId="17048" xr:uid="{180EEF6C-AB5A-45C3-8317-609457B02BCF}"/>
    <cellStyle name="Comma 7 7 3 7" xfId="9501" xr:uid="{49A3CF87-C7C0-484A-9E72-9F82C0BF2CD2}"/>
    <cellStyle name="Comma 7 7 3 7 2" xfId="19881" xr:uid="{E964E7FB-30E3-4BAB-82A9-8AEB293FFDF0}"/>
    <cellStyle name="Comma 7 7 3 8" xfId="23300" xr:uid="{5096E029-B4D1-48BF-ABDA-3CDC57159BE6}"/>
    <cellStyle name="Comma 7 7 3 9" xfId="13096" xr:uid="{B0F81821-31D7-4208-8FE0-992320CEBD42}"/>
    <cellStyle name="Comma 7 7 4" xfId="1805" xr:uid="{00000000-0005-0000-0000-000008030000}"/>
    <cellStyle name="Comma 7 7 4 2" xfId="2288" xr:uid="{00000000-0005-0000-0000-000049020000}"/>
    <cellStyle name="Comma 7 7 4 2 2" xfId="7415" xr:uid="{F6D21630-6982-45E4-8F24-E3C9FFF045AE}"/>
    <cellStyle name="Comma 7 7 4 2 2 2" xfId="17795" xr:uid="{0EEBBDB9-627A-4B75-83EB-DBD19366E7CC}"/>
    <cellStyle name="Comma 7 7 4 2 2 2 2" xfId="31127" xr:uid="{578F950F-8ECC-4DFC-BB7D-F799DE989C62}"/>
    <cellStyle name="Comma 7 7 4 2 2 2 3" xfId="30792" xr:uid="{F5A2BB4A-33A4-4166-889B-4FB51AB60A5C}"/>
    <cellStyle name="Comma 7 7 4 2 3" xfId="10248" xr:uid="{AEA8E18D-997D-4E37-AD37-EF558E62476D}"/>
    <cellStyle name="Comma 7 7 4 2 3 2" xfId="20628" xr:uid="{60FC6F78-5B6C-463A-A447-570A1A607AF0}"/>
    <cellStyle name="Comma 7 7 4 2 4" xfId="26754" xr:uid="{019723D5-8315-480B-8F55-49C0F9153DF4}"/>
    <cellStyle name="Comma 7 7 4 2 5" xfId="27795" xr:uid="{042291AB-C325-4A62-BC20-890E333216F9}"/>
    <cellStyle name="Comma 7 7 4 2 6" xfId="14962" xr:uid="{FDB895C9-DDCC-4F51-B6E5-EBE8D4F40A4C}"/>
    <cellStyle name="Comma 7 7 4 3" xfId="2059" xr:uid="{00000000-0005-0000-0000-000008030000}"/>
    <cellStyle name="Comma 7 7 4 4" xfId="23744" xr:uid="{619F8327-B3EE-4273-8887-4963F8146300}"/>
    <cellStyle name="Comma 7 7 4 4 2" xfId="29738" xr:uid="{787F23BB-5755-4C4F-9AEF-D15F9D5BAA42}"/>
    <cellStyle name="Comma 7 7 4 5" xfId="29848" xr:uid="{B9DD2DA5-2A68-4CBC-BCA3-1B5F3034B17B}"/>
    <cellStyle name="Comma 7 7 4 6" xfId="29991" xr:uid="{B686D5D9-8B80-451A-AB28-EB3DD1D3523C}"/>
    <cellStyle name="Comma 7 7 5" xfId="1806" xr:uid="{00000000-0005-0000-0000-000009030000}"/>
    <cellStyle name="Comma 7 7 5 2" xfId="25672" xr:uid="{6DCCAF9D-3C6C-4CF6-ADEB-8BDFB46B6777}"/>
    <cellStyle name="Comma 7 7 5 2 2" xfId="29828" xr:uid="{4A7BD1EE-60D6-4780-87E7-19A73C10E6BF}"/>
    <cellStyle name="Comma 7 7 5 2 2 2" xfId="30793" xr:uid="{BA5C71EA-B3F2-4687-A4B5-790C585B6E1A}"/>
    <cellStyle name="Comma 7 7 5 3" xfId="24747" xr:uid="{3D5F4592-4DA7-47D0-9EA5-0B5125233E85}"/>
    <cellStyle name="Comma 7 7 5 4" xfId="30023" xr:uid="{1DEC4015-E095-4F70-8620-A8BE279518E9}"/>
    <cellStyle name="Comma 7 7 6" xfId="1798" xr:uid="{00000000-0005-0000-0000-00000A030000}"/>
    <cellStyle name="Comma 7 7 6 2" xfId="27388" xr:uid="{FD0E0FBD-37AE-490F-91F8-9CCBB4423EF3}"/>
    <cellStyle name="Comma 7 7 6 2 2" xfId="30794" xr:uid="{CAA61A27-B80A-4F0E-809E-70C3BBC4F0DD}"/>
    <cellStyle name="Comma 7 7 6 2 3" xfId="30587" xr:uid="{779BF925-478F-4B92-9D61-F3E81C8C6CCA}"/>
    <cellStyle name="Comma 7 7 6 3" xfId="26161" xr:uid="{9E7C1505-9440-4656-81A5-60B0DA959126}"/>
    <cellStyle name="Comma 7 7 7" xfId="3875" xr:uid="{63484131-385A-48FC-9577-827A00C6C209}"/>
    <cellStyle name="Comma 7 7 7 2" xfId="8707" xr:uid="{6B6E3777-A3F2-4DBF-8000-9E1C7145C7F7}"/>
    <cellStyle name="Comma 7 7 7 2 2" xfId="28966" xr:uid="{93D6C549-71AE-47E8-8365-1C72267D5D1F}"/>
    <cellStyle name="Comma 7 7 7 2 3" xfId="26597" xr:uid="{93FAB1B6-5EB6-47EA-9CAF-F284522760BF}"/>
    <cellStyle name="Comma 7 7 7 2 4" xfId="19087" xr:uid="{475EB69E-4EBA-446C-88F4-239C3C6C2AF1}"/>
    <cellStyle name="Comma 7 7 7 3" xfId="11540" xr:uid="{7DD52BCC-0988-4F95-90B7-2B0A471E3CB8}"/>
    <cellStyle name="Comma 7 7 7 3 2" xfId="21920" xr:uid="{9527B6D8-C9DB-46D7-9789-1171994ADE03}"/>
    <cellStyle name="Comma 7 7 7 4" xfId="28443" xr:uid="{2A04695C-E94E-4851-A7B6-EF551D4FACA7}"/>
    <cellStyle name="Comma 7 7 7 5" xfId="16254" xr:uid="{2AE89966-7AA3-4AD8-AF85-26D5201500BB}"/>
    <cellStyle name="Comma 7 7 8" xfId="4921" xr:uid="{1FF9725F-9C5C-4FEF-A994-E5879C35E46B}"/>
    <cellStyle name="Comma 7 7 8 2" xfId="26560" xr:uid="{F4F273FE-BBED-4FD3-A033-BAEA2F2F1D9B}"/>
    <cellStyle name="Comma 7 7 8 3" xfId="26220" xr:uid="{B5C319B4-74FC-456F-AD1E-DD4723D1A541}"/>
    <cellStyle name="Comma 7 7 8 4" xfId="14213" xr:uid="{9CDD5C5C-5C26-48FC-8E43-907198F456A1}"/>
    <cellStyle name="Comma 7 7 9" xfId="6666" xr:uid="{5D28B574-6165-49B6-9C0A-67D3A5BE9D44}"/>
    <cellStyle name="Comma 7 7 9 2" xfId="28353" xr:uid="{D8B50F86-FF86-4730-90EF-51DF93B57945}"/>
    <cellStyle name="Comma 7 7 9 3" xfId="26617" xr:uid="{5FDBDD01-9F65-4C69-8015-93A6A1BC3AE7}"/>
    <cellStyle name="Comma 7 7 9 4" xfId="17046" xr:uid="{E630287C-B041-4CC3-A8BF-95F48E308AAD}"/>
    <cellStyle name="Comma 7 8" xfId="533" xr:uid="{00000000-0005-0000-0000-00000B030000}"/>
    <cellStyle name="Comma 7 8 10" xfId="9502" xr:uid="{461F5D78-4212-4B9A-BA8E-E1658EDA4F9C}"/>
    <cellStyle name="Comma 7 8 10 2" xfId="19882" xr:uid="{154366DA-16BF-43D6-87AE-1FD7DB703DB4}"/>
    <cellStyle name="Comma 7 8 11" xfId="25560" xr:uid="{7BB37B85-2E11-4E16-93D5-DE9A40AB2DA7}"/>
    <cellStyle name="Comma 7 8 12" xfId="12521" xr:uid="{4E7BAA29-FD58-4EA4-B2C8-58E0CB3D8D7B}"/>
    <cellStyle name="Comma 7 8 2" xfId="534" xr:uid="{00000000-0005-0000-0000-00000C030000}"/>
    <cellStyle name="Comma 7 8 2 2" xfId="1809" xr:uid="{00000000-0005-0000-0000-00000D030000}"/>
    <cellStyle name="Comma 7 8 2 2 2" xfId="2879" xr:uid="{00000000-0005-0000-0000-00004F020000}"/>
    <cellStyle name="Comma 7 8 2 2 2 2" xfId="7996" xr:uid="{CD53C1D8-009B-4791-9A8C-45599DAAB69E}"/>
    <cellStyle name="Comma 7 8 2 2 2 2 2" xfId="18376" xr:uid="{6DA734DC-28A7-4035-BE93-E085BC2161E4}"/>
    <cellStyle name="Comma 7 8 2 2 2 2 2 2" xfId="31138" xr:uid="{081405D7-D07D-4A91-BD9B-45D8AD436235}"/>
    <cellStyle name="Comma 7 8 2 2 2 2 2 3" xfId="30795" xr:uid="{ED36736C-00D1-4FB1-B140-7B9566A4683E}"/>
    <cellStyle name="Comma 7 8 2 2 2 3" xfId="10829" xr:uid="{74B8DE86-C376-4E09-838B-42B6BE90821A}"/>
    <cellStyle name="Comma 7 8 2 2 2 3 2" xfId="21209" xr:uid="{B7791B1F-4DA4-4DDB-B1B7-190DD76C2FB9}"/>
    <cellStyle name="Comma 7 8 2 2 2 4" xfId="26069" xr:uid="{F150A47D-E926-48B2-BF75-9DE9AEF8B5B0}"/>
    <cellStyle name="Comma 7 8 2 2 2 5" xfId="27837" xr:uid="{EDF632D7-0D70-4B26-81C2-8C3E2A45B60A}"/>
    <cellStyle name="Comma 7 8 2 2 2 6" xfId="15543" xr:uid="{50E5CF0A-F2B3-4711-B935-FCE736EECF79}"/>
    <cellStyle name="Comma 7 8 2 2 3" xfId="3672" xr:uid="{00000000-0005-0000-0000-00000D030000}"/>
    <cellStyle name="Comma 7 8 2 2 4" xfId="5642" xr:uid="{9E374B7E-CF60-47C4-B1DD-BDBD665548B0}"/>
    <cellStyle name="Comma 7 8 2 2 4 2" xfId="29767" xr:uid="{E9FED823-1012-4BC6-A428-7E2379C3BA30}"/>
    <cellStyle name="Comma 7 8 2 2 5" xfId="24713" xr:uid="{9A5A09C9-3914-4354-B649-7132336C7DB3}"/>
    <cellStyle name="Comma 7 8 2 2 6" xfId="13377" xr:uid="{6C81D992-67E6-4CFD-8DBA-855A2E3A856C}"/>
    <cellStyle name="Comma 7 8 2 3" xfId="1810" xr:uid="{00000000-0005-0000-0000-00000E030000}"/>
    <cellStyle name="Comma 7 8 2 3 2" xfId="23652" xr:uid="{EB25C3F5-EA75-465E-A70E-F7B9887AEA1A}"/>
    <cellStyle name="Comma 7 8 2 3 2 2" xfId="30796" xr:uid="{F6B8A557-F23D-438B-8822-B00D42CBEC46}"/>
    <cellStyle name="Comma 7 8 2 3 2 3" xfId="30555" xr:uid="{D701D235-4E4F-4A67-B996-44B03CEEE62B}"/>
    <cellStyle name="Comma 7 8 2 3 3" xfId="23270" xr:uid="{E168AB56-CAC1-4EAC-9C84-294233F63871}"/>
    <cellStyle name="Comma 7 8 2 3 4" xfId="30042" xr:uid="{5595654F-D3F2-4C58-9711-80F5D4516389}"/>
    <cellStyle name="Comma 7 8 2 3 5" xfId="29664" xr:uid="{F89B622F-2B7F-4DD5-B596-4AE854E840FE}"/>
    <cellStyle name="Comma 7 8 2 4" xfId="1808" xr:uid="{00000000-0005-0000-0000-00000F030000}"/>
    <cellStyle name="Comma 7 8 2 4 2" xfId="27624" xr:uid="{E4811423-FA33-410A-9876-3E8BEC2D3065}"/>
    <cellStyle name="Comma 7 8 2 4 2 2" xfId="30797" xr:uid="{F5E6F138-1B96-4B9C-A041-BA40BEE9149A}"/>
    <cellStyle name="Comma 7 8 2 4 2 3" xfId="30590" xr:uid="{113A6CB1-FA98-4193-9DC6-59E261BEBAD5}"/>
    <cellStyle name="Comma 7 8 2 4 3" xfId="25917" xr:uid="{EABA93C2-25D5-4451-B9DE-9B5893A33E3F}"/>
    <cellStyle name="Comma 7 8 2 5" xfId="4925" xr:uid="{D1A1F25A-7A3B-40B1-BEC3-4D4C61326147}"/>
    <cellStyle name="Comma 7 8 2 5 2" xfId="28323" xr:uid="{F6F8DF29-AD51-47CE-B45E-C2AD691D54BC}"/>
    <cellStyle name="Comma 7 8 2 5 3" xfId="26730" xr:uid="{1E6E70BF-F1F1-448D-BA1B-C77D9E174168}"/>
    <cellStyle name="Comma 7 8 2 5 4" xfId="14217" xr:uid="{75CA7517-6A37-4BB9-AEC6-F672F6B531A4}"/>
    <cellStyle name="Comma 7 8 2 5 5" xfId="30618" xr:uid="{36739910-A0E7-407D-A213-70F47A9FB38C}"/>
    <cellStyle name="Comma 7 8 2 6" xfId="6670" xr:uid="{0981CEDA-989B-4C0C-B248-B66D8E8C1C01}"/>
    <cellStyle name="Comma 7 8 2 6 2" xfId="27155" xr:uid="{136CBA79-2251-444D-AC2F-3F6842052E5E}"/>
    <cellStyle name="Comma 7 8 2 6 3" xfId="27897" xr:uid="{16623E2B-23F0-471E-B292-20EDEFF4FA11}"/>
    <cellStyle name="Comma 7 8 2 6 4" xfId="17050" xr:uid="{AC21FBA9-A74E-4B2A-A66B-7E2177BDFDB9}"/>
    <cellStyle name="Comma 7 8 2 7" xfId="9503" xr:uid="{0C4FF75F-2AC2-4B80-9E5D-01B19B29264B}"/>
    <cellStyle name="Comma 7 8 2 7 2" xfId="19883" xr:uid="{66501C24-DCC0-4357-B57E-5A839A2717AC}"/>
    <cellStyle name="Comma 7 8 2 8" xfId="23029" xr:uid="{AAF3A4F9-B1B1-46C1-9D32-F0C7BCE6CA49}"/>
    <cellStyle name="Comma 7 8 2 9" xfId="12679" xr:uid="{6EF18D4A-69CC-4574-9887-CDB47C37F0AE}"/>
    <cellStyle name="Comma 7 8 3" xfId="535" xr:uid="{00000000-0005-0000-0000-000010030000}"/>
    <cellStyle name="Comma 7 8 3 2" xfId="1812" xr:uid="{00000000-0005-0000-0000-000011030000}"/>
    <cellStyle name="Comma 7 8 3 2 2" xfId="27696" xr:uid="{EE97ABFA-D157-4430-A325-5B0F3B9991C9}"/>
    <cellStyle name="Comma 7 8 3 2 2 2" xfId="30799" xr:uid="{27CF7EC5-7EB8-4BFD-BCE0-B0F02E2406C6}"/>
    <cellStyle name="Comma 7 8 3 2 2 3" xfId="30603" xr:uid="{5081A3B1-9BBF-4264-A72F-EC54681B085A}"/>
    <cellStyle name="Comma 7 8 3 2 3" xfId="26347" xr:uid="{96658A2E-F3EC-4CC7-885E-17AFB1B42EAE}"/>
    <cellStyle name="Comma 7 8 3 3" xfId="1813" xr:uid="{00000000-0005-0000-0000-000012030000}"/>
    <cellStyle name="Comma 7 8 3 4" xfId="1811" xr:uid="{00000000-0005-0000-0000-000013030000}"/>
    <cellStyle name="Comma 7 8 3 5" xfId="4926" xr:uid="{F0790063-54C7-4AD8-9AE8-CBE6BFE99F5F}"/>
    <cellStyle name="Comma 7 8 3 5 2" xfId="26396" xr:uid="{7FBAB89E-9A2E-4B30-8DE2-1B5B9E1B3B7B}"/>
    <cellStyle name="Comma 7 8 3 5 2 2" xfId="31177" xr:uid="{B7C2DA88-707B-4D9B-B86B-2337AB76038C}"/>
    <cellStyle name="Comma 7 8 3 5 2 3" xfId="30798" xr:uid="{C3139D6A-C6C8-4FB4-A5E3-3E0682926834}"/>
    <cellStyle name="Comma 7 8 3 5 3" xfId="26961" xr:uid="{905EB402-36F7-4334-AF2B-CBB7E0930E43}"/>
    <cellStyle name="Comma 7 8 3 5 4" xfId="14218" xr:uid="{CAF63625-BA47-433D-A2E5-6C304B8F5ADB}"/>
    <cellStyle name="Comma 7 8 3 6" xfId="6671" xr:uid="{D64777B9-39B4-4016-BBF2-2AE4971EE1AF}"/>
    <cellStyle name="Comma 7 8 3 6 2" xfId="17051" xr:uid="{8C8B1E7D-DE6D-448A-8E09-94964748D0F6}"/>
    <cellStyle name="Comma 7 8 3 7" xfId="9504" xr:uid="{84A33AD1-D033-409D-82FF-8B36F66D65E4}"/>
    <cellStyle name="Comma 7 8 3 7 2" xfId="19884" xr:uid="{F7BC0EF3-BD9E-4B91-929E-4003ECF93E0D}"/>
    <cellStyle name="Comma 7 8 3 8" xfId="25291" xr:uid="{B1225EDF-EBF5-4B5F-8E6C-B3A8C984E342}"/>
    <cellStyle name="Comma 7 8 3 9" xfId="13097" xr:uid="{526BFBFF-DA58-4A8D-AD4E-0152291E5DBC}"/>
    <cellStyle name="Comma 7 8 4" xfId="1814" xr:uid="{00000000-0005-0000-0000-000014030000}"/>
    <cellStyle name="Comma 7 8 4 2" xfId="2289" xr:uid="{00000000-0005-0000-0000-00004D020000}"/>
    <cellStyle name="Comma 7 8 4 2 2" xfId="7416" xr:uid="{867495F1-1ECD-434E-A732-4E7A6A51DB48}"/>
    <cellStyle name="Comma 7 8 4 2 2 2" xfId="17796" xr:uid="{E78E2C73-FC82-4138-9644-A92D78C309B8}"/>
    <cellStyle name="Comma 7 8 4 2 2 2 2" xfId="31128" xr:uid="{DCA6D1C7-1322-4480-B219-4BF158B0F1E8}"/>
    <cellStyle name="Comma 7 8 4 2 2 2 3" xfId="30800" xr:uid="{DE93F21A-3123-4AC4-B36D-73D11AF2C594}"/>
    <cellStyle name="Comma 7 8 4 2 3" xfId="10249" xr:uid="{BD492B3B-C3AD-4B81-BCB2-620D31CFDE8F}"/>
    <cellStyle name="Comma 7 8 4 2 3 2" xfId="20629" xr:uid="{396078FF-E548-4743-A8C6-FC817F04D910}"/>
    <cellStyle name="Comma 7 8 4 2 4" xfId="28332" xr:uid="{61DC55D1-8713-427D-9465-1702ADABBB63}"/>
    <cellStyle name="Comma 7 8 4 2 5" xfId="27441" xr:uid="{8D7AEC3E-A32C-440C-BB97-EF9226F8256A}"/>
    <cellStyle name="Comma 7 8 4 2 6" xfId="14963" xr:uid="{8B56D362-DC89-4A56-87CD-D5060D7A5E83}"/>
    <cellStyle name="Comma 7 8 4 3" xfId="3599" xr:uid="{00000000-0005-0000-0000-000014030000}"/>
    <cellStyle name="Comma 7 8 4 4" xfId="24318" xr:uid="{26CBA72F-2AA8-4AE1-958A-63A49970CB47}"/>
    <cellStyle name="Comma 7 8 4 4 2" xfId="29739" xr:uid="{24393F3C-DB19-4078-9336-35E1AE2F85F6}"/>
    <cellStyle name="Comma 7 8 4 5" xfId="29849" xr:uid="{4A5ECDAD-660F-4328-BAC4-07C32749A506}"/>
    <cellStyle name="Comma 7 8 4 6" xfId="29992" xr:uid="{587744C6-0414-46C8-8D3F-F58C20B13D75}"/>
    <cellStyle name="Comma 7 8 5" xfId="1815" xr:uid="{00000000-0005-0000-0000-000015030000}"/>
    <cellStyle name="Comma 7 8 5 2" xfId="23786" xr:uid="{79A225CD-EE67-4FD6-AD4B-AA6D75F99659}"/>
    <cellStyle name="Comma 7 8 5 2 2" xfId="29829" xr:uid="{85D21D4E-521C-4890-ABEA-B0F0A9C6E194}"/>
    <cellStyle name="Comma 7 8 5 2 2 2" xfId="30801" xr:uid="{32CF2401-1888-4757-9934-9E94BDDB7892}"/>
    <cellStyle name="Comma 7 8 5 3" xfId="24113" xr:uid="{BE8CBB68-BEC0-4594-95E1-007E844A55A2}"/>
    <cellStyle name="Comma 7 8 5 4" xfId="30024" xr:uid="{43D9B9D1-144B-4A25-937C-F86412C4CA52}"/>
    <cellStyle name="Comma 7 8 6" xfId="1807" xr:uid="{00000000-0005-0000-0000-000016030000}"/>
    <cellStyle name="Comma 7 8 6 2" xfId="28223" xr:uid="{1CA307A6-ECBB-4DCD-88E9-ED86F26BE09F}"/>
    <cellStyle name="Comma 7 8 6 2 2" xfId="30802" xr:uid="{36E76C61-6C08-4EC0-ADAB-97813DC20F84}"/>
    <cellStyle name="Comma 7 8 6 2 3" xfId="30589" xr:uid="{E692720D-A46C-47F1-A85F-B7A7AD465287}"/>
    <cellStyle name="Comma 7 8 6 3" xfId="27679" xr:uid="{47269680-C7F1-443B-94CC-DB37DC94BFF9}"/>
    <cellStyle name="Comma 7 8 7" xfId="3876" xr:uid="{4E1B37EE-892E-4B22-8A57-FAF1D1C6572E}"/>
    <cellStyle name="Comma 7 8 7 2" xfId="8708" xr:uid="{598D5516-2486-45CE-A842-83BBF8BFD9B2}"/>
    <cellStyle name="Comma 7 8 7 2 2" xfId="28967" xr:uid="{38C60BAA-5968-415B-9F0C-9B0A90809A03}"/>
    <cellStyle name="Comma 7 8 7 2 3" xfId="27200" xr:uid="{3212C4AC-5E4E-45E3-864E-6A8AA009C1C6}"/>
    <cellStyle name="Comma 7 8 7 2 4" xfId="19088" xr:uid="{AD156519-36F4-42C5-978F-CDB42CF7CE6E}"/>
    <cellStyle name="Comma 7 8 7 3" xfId="11541" xr:uid="{34AD759C-EECD-4EB7-A985-94EC25B6BD7C}"/>
    <cellStyle name="Comma 7 8 7 3 2" xfId="21921" xr:uid="{30F5E2A8-98E4-412F-98EA-9E6712A6434F}"/>
    <cellStyle name="Comma 7 8 7 4" xfId="28446" xr:uid="{6D0CA708-58AB-4A0A-8CA3-30F241B6BC9D}"/>
    <cellStyle name="Comma 7 8 7 5" xfId="16255" xr:uid="{F58FAA39-5F5F-40F3-8809-91C495ED2C5F}"/>
    <cellStyle name="Comma 7 8 8" xfId="4924" xr:uid="{FC361A54-B3B9-4526-A514-2FFB01AC2745}"/>
    <cellStyle name="Comma 7 8 8 2" xfId="27984" xr:uid="{CF2A26E8-C53A-49CB-ABB2-819806C7B2B5}"/>
    <cellStyle name="Comma 7 8 8 3" xfId="27485" xr:uid="{E208AC5E-DC00-4A5C-A8D5-24888A084401}"/>
    <cellStyle name="Comma 7 8 8 4" xfId="14216" xr:uid="{FF28E469-B7B7-4857-9622-C399099D8EE9}"/>
    <cellStyle name="Comma 7 8 9" xfId="6669" xr:uid="{B324349D-72A9-450E-9A21-C6036A1E6171}"/>
    <cellStyle name="Comma 7 8 9 2" xfId="28314" xr:uid="{D52010AA-3F8B-4FC2-9CB4-D35A2BD78896}"/>
    <cellStyle name="Comma 7 8 9 3" xfId="27606" xr:uid="{9327B767-1AD5-4B81-9BD1-7CF1E8F56090}"/>
    <cellStyle name="Comma 7 8 9 4" xfId="17049" xr:uid="{3B500CB7-EABF-4A64-AA2B-FAB952617488}"/>
    <cellStyle name="Comma 7 9" xfId="536" xr:uid="{00000000-0005-0000-0000-000017030000}"/>
    <cellStyle name="Comma 7 9 10" xfId="12513" xr:uid="{CA8F814C-E18C-478F-8492-0E3678FE41EE}"/>
    <cellStyle name="Comma 7 9 2" xfId="1817" xr:uid="{00000000-0005-0000-0000-000018030000}"/>
    <cellStyle name="Comma 7 9 2 2" xfId="3074" xr:uid="{00000000-0005-0000-0000-000052020000}"/>
    <cellStyle name="Comma 7 9 2 2 2" xfId="8154" xr:uid="{7EB1558F-4BBD-401A-9BB1-02827B491119}"/>
    <cellStyle name="Comma 7 9 2 2 2 2" xfId="18534" xr:uid="{A51FDFC9-0670-48B5-99DC-EA7F265E4998}"/>
    <cellStyle name="Comma 7 9 2 2 2 2 2" xfId="31144" xr:uid="{8996AED9-583D-45D1-90AF-796571A1EF0C}"/>
    <cellStyle name="Comma 7 9 2 2 2 2 3" xfId="30803" xr:uid="{11FE597E-A302-4F05-AB71-E873DAD04A9D}"/>
    <cellStyle name="Comma 7 9 2 2 3" xfId="10987" xr:uid="{5A4792B8-16DA-4A10-B4BA-D0A16135D4E9}"/>
    <cellStyle name="Comma 7 9 2 2 3 2" xfId="21367" xr:uid="{407AA900-0444-45C7-87FB-519CD37F3547}"/>
    <cellStyle name="Comma 7 9 2 2 4" xfId="24622" xr:uid="{263D3238-FB6A-4166-9E0F-9A170E5F5491}"/>
    <cellStyle name="Comma 7 9 2 2 4 2" xfId="30073" xr:uid="{4DA89B82-2FB7-4F27-A5F9-327004076252}"/>
    <cellStyle name="Comma 7 9 2 2 5" xfId="26913" xr:uid="{E0B26200-B909-460C-ADFE-F623EC31F0AD}"/>
    <cellStyle name="Comma 7 9 2 2 6" xfId="15701" xr:uid="{4D0F8B44-F253-416E-9952-95114F5388B3}"/>
    <cellStyle name="Comma 7 9 2 3" xfId="3539" xr:uid="{00000000-0005-0000-0000-000018030000}"/>
    <cellStyle name="Comma 7 9 2 3 2" xfId="26006" xr:uid="{A8C73E7C-8AB8-418B-A3AD-AE2E8770E7B7}"/>
    <cellStyle name="Comma 7 9 2 3 3" xfId="26207" xr:uid="{F5144315-CC66-497E-B687-52E38566539C}"/>
    <cellStyle name="Comma 7 9 2 4" xfId="5643" xr:uid="{26AB8BAA-7C90-4332-A8E8-C3C028A6FB41}"/>
    <cellStyle name="Comma 7 9 2 4 2" xfId="29779" xr:uid="{EBB2BB2F-2710-46EF-886B-754275719B42}"/>
    <cellStyle name="Comma 7 9 2 5" xfId="23296" xr:uid="{862CD927-F753-4FFB-9BA2-947802506C9D}"/>
    <cellStyle name="Comma 7 9 2 5 2" xfId="26384" xr:uid="{1DBF96B7-8112-4682-8CB5-A2B389146D52}"/>
    <cellStyle name="Comma 7 9 2 6" xfId="27145" xr:uid="{0D7A1526-65E0-4B55-9E48-AE83E29A2405}"/>
    <cellStyle name="Comma 7 9 2 7" xfId="13587" xr:uid="{3F6E615D-8E56-45E3-9BAA-34C81C32ED6C}"/>
    <cellStyle name="Comma 7 9 3" xfId="1818" xr:uid="{00000000-0005-0000-0000-000019030000}"/>
    <cellStyle name="Comma 7 9 3 2" xfId="2676" xr:uid="{00000000-0005-0000-0000-000053020000}"/>
    <cellStyle name="Comma 7 9 3 2 2" xfId="7800" xr:uid="{EE094E1D-91DD-4AF9-9924-669D955F4440}"/>
    <cellStyle name="Comma 7 9 3 2 2 2" xfId="18180" xr:uid="{168E5124-944A-4736-8237-BA275D072811}"/>
    <cellStyle name="Comma 7 9 3 2 3" xfId="10633" xr:uid="{8DE6D478-554F-48FC-97D3-FC2A598600F1}"/>
    <cellStyle name="Comma 7 9 3 2 3 2" xfId="21013" xr:uid="{BFCF240F-9FCF-4BBE-8720-4984D125AD11}"/>
    <cellStyle name="Comma 7 9 3 2 4" xfId="15347" xr:uid="{068C15C1-0248-4BB5-91C4-591913BAB33F}"/>
    <cellStyle name="Comma 7 9 3 2 5" xfId="30443" xr:uid="{92D51025-E4C0-4904-9638-6A17E656034E}"/>
    <cellStyle name="Comma 7 9 3 3" xfId="3679" xr:uid="{00000000-0005-0000-0000-000019030000}"/>
    <cellStyle name="Comma 7 9 3 4" xfId="5644" xr:uid="{E6BE7499-77E4-463B-BA19-0EA0E6022915}"/>
    <cellStyle name="Comma 7 9 3 4 2" xfId="29753" xr:uid="{8B795218-E896-406B-B68C-5A7BF886D01A}"/>
    <cellStyle name="Comma 7 9 3 5" xfId="25276" xr:uid="{7D0B094D-0CA5-4323-8D1E-92D1204A0A44}"/>
    <cellStyle name="Comma 7 9 3 6" xfId="13084" xr:uid="{2CB02459-2C4D-42D2-BC60-59F6E613B83F}"/>
    <cellStyle name="Comma 7 9 4" xfId="1816" xr:uid="{00000000-0005-0000-0000-00001A030000}"/>
    <cellStyle name="Comma 7 9 4 2" xfId="2281" xr:uid="{00000000-0005-0000-0000-000051020000}"/>
    <cellStyle name="Comma 7 9 4 2 2" xfId="7408" xr:uid="{ECA70E22-B669-47E5-B237-A70B09FDC2A2}"/>
    <cellStyle name="Comma 7 9 4 2 2 2" xfId="17788" xr:uid="{1D6C3169-C893-45C9-B5B3-340E7E6A62A5}"/>
    <cellStyle name="Comma 7 9 4 2 3" xfId="10241" xr:uid="{11770743-9A61-4906-A0ED-1A5ACCCDCA38}"/>
    <cellStyle name="Comma 7 9 4 2 3 2" xfId="20621" xr:uid="{7675E9C0-FB1D-44AD-B035-05F10DA62EA6}"/>
    <cellStyle name="Comma 7 9 4 2 4" xfId="27526" xr:uid="{95FCDC5A-9251-463A-A380-C6D5AD704ABD}"/>
    <cellStyle name="Comma 7 9 4 2 5" xfId="27305" xr:uid="{324D5791-4AA4-4432-A12B-D8FC4773221C}"/>
    <cellStyle name="Comma 7 9 4 2 6" xfId="14955" xr:uid="{F01CC1D9-EF50-417F-A807-BBAB256F29E1}"/>
    <cellStyle name="Comma 7 9 4 3" xfId="3554" xr:uid="{00000000-0005-0000-0000-00001A030000}"/>
    <cellStyle name="Comma 7 9 4 4" xfId="24762" xr:uid="{B4293C2A-2C20-4FDE-A651-4B5858E9672E}"/>
    <cellStyle name="Comma 7 9 5" xfId="3820" xr:uid="{3D055A9D-8184-4A6C-9135-4B8A07BEEB18}"/>
    <cellStyle name="Comma 7 9 5 2" xfId="8653" xr:uid="{7EB7CAAC-EB41-4A44-8227-8CF10A5544D8}"/>
    <cellStyle name="Comma 7 9 5 2 2" xfId="28960" xr:uid="{5CC8E82A-50BA-42E3-9621-4DBC89A6A158}"/>
    <cellStyle name="Comma 7 9 5 2 3" xfId="27856" xr:uid="{A5444BD1-DD3C-40FE-AECF-8FCD53DAD86E}"/>
    <cellStyle name="Comma 7 9 5 2 4" xfId="19033" xr:uid="{71F6C542-F48E-4D3B-A0C7-337AF60739F8}"/>
    <cellStyle name="Comma 7 9 5 3" xfId="11486" xr:uid="{3BD67E6A-DC58-4E0D-997C-E91619E70115}"/>
    <cellStyle name="Comma 7 9 5 3 2" xfId="21866" xr:uid="{CD9BBADF-ACEF-46B7-BFF9-58818B2D56C8}"/>
    <cellStyle name="Comma 7 9 5 4" xfId="25785" xr:uid="{D48D0E3E-A5CA-4B91-83E5-67DD914A8009}"/>
    <cellStyle name="Comma 7 9 5 5" xfId="16200" xr:uid="{F94D35A4-ECAF-49AC-BD3F-70DB8DD4B1B3}"/>
    <cellStyle name="Comma 7 9 6" xfId="4927" xr:uid="{D22195E0-32A3-453D-9C14-4748AEF3F690}"/>
    <cellStyle name="Comma 7 9 6 2" xfId="26466" xr:uid="{B179DB98-8514-4BDE-8987-D81C391102FC}"/>
    <cellStyle name="Comma 7 9 6 3" xfId="26827" xr:uid="{D9F1185C-06C9-42E9-B7C4-CEDEA200AE0E}"/>
    <cellStyle name="Comma 7 9 6 4" xfId="14219" xr:uid="{1D9C0D45-4A3E-4F7A-9E4C-C409913351A3}"/>
    <cellStyle name="Comma 7 9 7" xfId="6672" xr:uid="{A29537A1-F65B-4843-AF0C-05B168F8C09C}"/>
    <cellStyle name="Comma 7 9 7 2" xfId="27161" xr:uid="{55520C70-263D-4AB1-9319-FCA27D1942CD}"/>
    <cellStyle name="Comma 7 9 7 3" xfId="28105" xr:uid="{3DEC0D27-D036-43CE-80BF-8AA8FB19AFF0}"/>
    <cellStyle name="Comma 7 9 7 4" xfId="17052" xr:uid="{34C2D03F-AC0D-41F1-9799-D9E2EBFC00DD}"/>
    <cellStyle name="Comma 7 9 8" xfId="9505" xr:uid="{8F55B808-19E6-440B-84BB-7FBA72F377C5}"/>
    <cellStyle name="Comma 7 9 8 2" xfId="19885" xr:uid="{1D27389B-E2DF-4746-8101-736D586E99AF}"/>
    <cellStyle name="Comma 7 9 9" xfId="25140" xr:uid="{80C7AA19-964D-41F1-ACB4-443F7B2D85F5}"/>
    <cellStyle name="Comma 8" xfId="537" xr:uid="{00000000-0005-0000-0000-00001B030000}"/>
    <cellStyle name="Comma 9" xfId="538" xr:uid="{00000000-0005-0000-0000-00001C030000}"/>
    <cellStyle name="Comma 9 10" xfId="4928" xr:uid="{D81A1123-0425-468A-A1BB-1DD38680E9D1}"/>
    <cellStyle name="Comma 9 10 2" xfId="26367" xr:uid="{2F7F6436-B119-4AAD-9BB4-535464C9DAF3}"/>
    <cellStyle name="Comma 9 10 3" xfId="26330" xr:uid="{11FB18E3-EF94-4ED6-AAB4-FB17CD4BE561}"/>
    <cellStyle name="Comma 9 10 4" xfId="14220" xr:uid="{C2272325-F265-4852-9258-DAE0CE633BD7}"/>
    <cellStyle name="Comma 9 11" xfId="6673" xr:uid="{95397FF4-3D6A-4510-9989-BDDD317F97F2}"/>
    <cellStyle name="Comma 9 11 2" xfId="17053" xr:uid="{6A8550DD-A343-468B-A01C-05090AE9B719}"/>
    <cellStyle name="Comma 9 12" xfId="9506" xr:uid="{37183DA1-35CA-425D-87D1-F35C8D8A3F5E}"/>
    <cellStyle name="Comma 9 12 2" xfId="19886" xr:uid="{AA8AB3EF-C4D8-40C4-888D-AD22826DDFE1}"/>
    <cellStyle name="Comma 9 13" xfId="24007" xr:uid="{90CABFF4-ACC6-474D-BA61-1A43940CC5A2}"/>
    <cellStyle name="Comma 9 14" xfId="12406" xr:uid="{E2A8DE87-DBCD-4E16-9E4C-5722B7CB5393}"/>
    <cellStyle name="Comma 9 2" xfId="539" xr:uid="{00000000-0005-0000-0000-00001D030000}"/>
    <cellStyle name="Comma 9 2 10" xfId="6674" xr:uid="{800B4AE7-61CF-406F-BD50-717A47770535}"/>
    <cellStyle name="Comma 9 2 10 2" xfId="17054" xr:uid="{EA88CEC4-AC8C-4B27-B2D7-D33FADE80FF7}"/>
    <cellStyle name="Comma 9 2 11" xfId="9507" xr:uid="{F115FB81-E8DA-404A-892D-70F80F1B972C}"/>
    <cellStyle name="Comma 9 2 11 2" xfId="19887" xr:uid="{D7387538-8BF7-4F07-8FF0-AA9EC494776E}"/>
    <cellStyle name="Comma 9 2 12" xfId="24299" xr:uid="{E705879D-9FBA-4AEB-9FC8-2CC39AD5F36B}"/>
    <cellStyle name="Comma 9 2 13" xfId="12466" xr:uid="{8235A749-3C40-4A9B-8E8C-82B30F51A632}"/>
    <cellStyle name="Comma 9 2 2" xfId="540" xr:uid="{00000000-0005-0000-0000-00001E030000}"/>
    <cellStyle name="Comma 9 2 2 10" xfId="9508" xr:uid="{60CE9C71-F376-4025-821D-C30B7ED78186}"/>
    <cellStyle name="Comma 9 2 2 10 2" xfId="19888" xr:uid="{18234C9B-D2F9-4D6B-A13E-6C37086F7DF7}"/>
    <cellStyle name="Comma 9 2 2 11" xfId="25519" xr:uid="{6F546E97-01B6-477F-8094-EFA3F2FE1901}"/>
    <cellStyle name="Comma 9 2 2 12" xfId="12523" xr:uid="{DA9AA6E8-DB69-4F4C-A37A-A4469B73781E}"/>
    <cellStyle name="Comma 9 2 2 2" xfId="1822" xr:uid="{00000000-0005-0000-0000-00001F030000}"/>
    <cellStyle name="Comma 9 2 2 2 2" xfId="3076" xr:uid="{00000000-0005-0000-0000-000059020000}"/>
    <cellStyle name="Comma 9 2 2 2 2 2" xfId="6169" xr:uid="{1695681D-ACBD-434B-92F0-1F63368C6589}"/>
    <cellStyle name="Comma 9 2 2 2 2 2 2" xfId="25923" xr:uid="{1B1CBA3A-40E4-44FA-A7A4-CC0EB921C6F7}"/>
    <cellStyle name="Comma 9 2 2 2 2 2 3" xfId="26613" xr:uid="{DC9B371E-C0E3-4F73-83D3-29213CEBA90B}"/>
    <cellStyle name="Comma 9 2 2 2 2 2 4" xfId="15703" xr:uid="{447748E3-8314-4430-86E0-135F2EC6ED2D}"/>
    <cellStyle name="Comma 9 2 2 2 2 3" xfId="8156" xr:uid="{8046AE2B-9CD5-45A1-9232-B44A496B2A17}"/>
    <cellStyle name="Comma 9 2 2 2 2 3 2" xfId="18536" xr:uid="{F9F494A4-A347-41BB-86CB-E0B86E0FE416}"/>
    <cellStyle name="Comma 9 2 2 2 2 4" xfId="10989" xr:uid="{9B606771-FA20-4716-AFBD-6E37C66FE5D7}"/>
    <cellStyle name="Comma 9 2 2 2 2 4 2" xfId="21369" xr:uid="{90959D85-FFB6-4460-9FE8-52FDA187F7E2}"/>
    <cellStyle name="Comma 9 2 2 2 2 5" xfId="23820" xr:uid="{AD747A12-C7F9-41AF-8F2D-7D7060459104}"/>
    <cellStyle name="Comma 9 2 2 2 2 6" xfId="27342" xr:uid="{1A746590-4CA1-467D-848F-B895E1094CB2}"/>
    <cellStyle name="Comma 9 2 2 2 2 7" xfId="13589" xr:uid="{E7ABC69F-1CB5-411E-9E74-C2F9145DA71A}"/>
    <cellStyle name="Comma 9 2 2 2 3" xfId="2687" xr:uid="{00000000-0005-0000-0000-000058020000}"/>
    <cellStyle name="Comma 9 2 2 2 3 2" xfId="7811" xr:uid="{2128038F-D34A-47F5-90D6-38092A039B87}"/>
    <cellStyle name="Comma 9 2 2 2 3 2 2" xfId="27021" xr:uid="{A3DF1628-9D36-42BB-8086-112FB6BCA36B}"/>
    <cellStyle name="Comma 9 2 2 2 3 2 3" xfId="27860" xr:uid="{A5C60455-71A0-4AFE-8333-7E52BDF26654}"/>
    <cellStyle name="Comma 9 2 2 2 3 2 4" xfId="18191" xr:uid="{D77EA3DE-65CE-420F-B482-3F239AB4629E}"/>
    <cellStyle name="Comma 9 2 2 2 3 3" xfId="10644" xr:uid="{21EEC8A8-4538-49B0-9259-9092C61F7629}"/>
    <cellStyle name="Comma 9 2 2 2 3 3 2" xfId="21024" xr:uid="{6EF02B8B-FD2A-423A-9119-A24F9D043202}"/>
    <cellStyle name="Comma 9 2 2 2 3 4" xfId="25012" xr:uid="{E65E7057-6A9B-4E73-B147-10E224C434CB}"/>
    <cellStyle name="Comma 9 2 2 2 3 5" xfId="15358" xr:uid="{65EDEDBF-9135-4EDF-B076-15DD1724FE14}"/>
    <cellStyle name="Comma 9 2 2 2 4" xfId="2046" xr:uid="{00000000-0005-0000-0000-00001F030000}"/>
    <cellStyle name="Comma 9 2 2 2 4 2" xfId="26109" xr:uid="{122440CA-696A-44E0-9E96-A87373C105F9}"/>
    <cellStyle name="Comma 9 2 2 2 4 3" xfId="27292" xr:uid="{4E4768B2-7AB8-4453-8074-05036922F932}"/>
    <cellStyle name="Comma 9 2 2 2 5" xfId="4269" xr:uid="{15F18BA8-7F97-4777-9066-8253069EFE6E}"/>
    <cellStyle name="Comma 9 2 2 2 5 2" xfId="9041" xr:uid="{9FE3AAF4-1EE5-47ED-B8D4-F93ABC268CE4}"/>
    <cellStyle name="Comma 9 2 2 2 5 2 2" xfId="19421" xr:uid="{6A6573BE-1A19-4442-870C-069C69D8A52C}"/>
    <cellStyle name="Comma 9 2 2 2 5 2 3" xfId="31045" xr:uid="{F0C0A167-9B27-4A98-AB6A-B02856686997}"/>
    <cellStyle name="Comma 9 2 2 2 5 2 4" xfId="30804" xr:uid="{940BAFB2-DDDF-4DFD-AC79-DD26DD309846}"/>
    <cellStyle name="Comma 9 2 2 2 5 3" xfId="11874" xr:uid="{D66D2D42-7EBA-40C4-BE58-4D64A5059408}"/>
    <cellStyle name="Comma 9 2 2 2 5 3 2" xfId="22254" xr:uid="{6B46C0D7-EBC5-4194-90D8-6BCEC8A7CC97}"/>
    <cellStyle name="Comma 9 2 2 2 5 4" xfId="28387" xr:uid="{7BC0D46E-3348-466F-8DFC-3BD610176F0D}"/>
    <cellStyle name="Comma 9 2 2 2 5 5" xfId="27901" xr:uid="{B715E0BE-8612-4D9B-8094-A86B31BEC63D}"/>
    <cellStyle name="Comma 9 2 2 2 5 6" xfId="16588" xr:uid="{16CD614C-D92C-43D8-816F-40DF7AA64539}"/>
    <cellStyle name="Comma 9 2 2 2 6" xfId="5647" xr:uid="{668570A6-D60D-4778-B198-50FD03580688}"/>
    <cellStyle name="Comma 9 2 2 2 6 2" xfId="29725" xr:uid="{5FAFEE43-02EA-4263-B848-C1EA850D9CC6}"/>
    <cellStyle name="Comma 9 2 2 2 6 2 2" xfId="30979" xr:uid="{5D796100-B80F-4D81-937F-89F02B01DAF1}"/>
    <cellStyle name="Comma 9 2 2 2 7" xfId="25138" xr:uid="{C3EE7BD6-8743-4519-9C3D-CB652EFF1857}"/>
    <cellStyle name="Comma 9 2 2 2 8" xfId="13100" xr:uid="{E9F47D49-DC26-47D8-9B66-DEB5C8F17696}"/>
    <cellStyle name="Comma 9 2 2 3" xfId="1823" xr:uid="{00000000-0005-0000-0000-000020030000}"/>
    <cellStyle name="Comma 9 2 2 3 2" xfId="3077" xr:uid="{00000000-0005-0000-0000-00005A020000}"/>
    <cellStyle name="Comma 9 2 2 3 2 2" xfId="8157" xr:uid="{BA1A08A8-8F25-42BA-8FF5-CF4370543494}"/>
    <cellStyle name="Comma 9 2 2 3 2 2 2" xfId="28830" xr:uid="{FEA450FD-A44B-4F78-B887-6FBB04F43C55}"/>
    <cellStyle name="Comma 9 2 2 3 2 2 2 2" xfId="31229" xr:uid="{E0EAEE44-385B-43C4-A241-FDA503A0345E}"/>
    <cellStyle name="Comma 9 2 2 3 2 2 2 3" xfId="30806" xr:uid="{0E41FCD9-0F8F-41FD-9B49-7F0530E67F12}"/>
    <cellStyle name="Comma 9 2 2 3 2 2 3" xfId="26385" xr:uid="{4ABFB2F1-EFEF-44B5-B10D-DE0D3C6BDABA}"/>
    <cellStyle name="Comma 9 2 2 3 2 2 4" xfId="18537" xr:uid="{6D88F806-B1B0-4D9A-BBC6-DBDC26EA2E99}"/>
    <cellStyle name="Comma 9 2 2 3 2 3" xfId="10990" xr:uid="{4C570C57-C828-4E9B-9C5B-D3D470D1304A}"/>
    <cellStyle name="Comma 9 2 2 3 2 3 2" xfId="21370" xr:uid="{85E85D4A-641F-4B1F-B4B2-73E48F5F3F73}"/>
    <cellStyle name="Comma 9 2 2 3 2 4" xfId="24874" xr:uid="{3C1C18F6-326F-4101-B42C-CAFA790586F4}"/>
    <cellStyle name="Comma 9 2 2 3 2 5" xfId="15704" xr:uid="{5E62D3EB-52D8-4B2A-8967-E1EC80A96F32}"/>
    <cellStyle name="Comma 9 2 2 3 3" xfId="2090" xr:uid="{00000000-0005-0000-0000-000020030000}"/>
    <cellStyle name="Comma 9 2 2 3 4" xfId="4419" xr:uid="{51ADD6C0-603D-4098-9009-CBEFA0A69A4B}"/>
    <cellStyle name="Comma 9 2 2 3 4 2" xfId="9191" xr:uid="{F3BDC41A-CFD9-47C5-A0ED-1DF0D97D107C}"/>
    <cellStyle name="Comma 9 2 2 3 4 2 2" xfId="19571" xr:uid="{6A163FFC-6407-458E-95EF-1755EB510D2C}"/>
    <cellStyle name="Comma 9 2 2 3 4 2 3" xfId="31085" xr:uid="{200D0FEF-51EA-4B32-BD4F-ED01F56CF64F}"/>
    <cellStyle name="Comma 9 2 2 3 4 2 4" xfId="30805" xr:uid="{45D769B4-A51B-4357-BF7C-CEA3942690FF}"/>
    <cellStyle name="Comma 9 2 2 3 4 3" xfId="12024" xr:uid="{B8CDA8CB-E142-4092-9D7D-1F70CFFAECDF}"/>
    <cellStyle name="Comma 9 2 2 3 4 3 2" xfId="22404" xr:uid="{A2F09515-9B43-40E8-8E58-EDBDFCCA4661}"/>
    <cellStyle name="Comma 9 2 2 3 4 4" xfId="16738" xr:uid="{EAE4FB54-618E-4BD5-8A10-FD59118FE55B}"/>
    <cellStyle name="Comma 9 2 2 3 5" xfId="5648" xr:uid="{1753FA6C-087A-430B-A68A-C681B0D13A8B}"/>
    <cellStyle name="Comma 9 2 2 3 5 2" xfId="29711" xr:uid="{8E3DEB05-C8FD-4B12-9825-E73EE046D749}"/>
    <cellStyle name="Comma 9 2 2 3 5 2 2" xfId="30980" xr:uid="{AFFAD961-C129-4BDB-B8E1-FC9907D6727B}"/>
    <cellStyle name="Comma 9 2 2 3 6" xfId="24154" xr:uid="{41DAB614-918F-4599-BF83-9AA4B418D79E}"/>
    <cellStyle name="Comma 9 2 2 3 7" xfId="13590" xr:uid="{2E3B28A3-F72F-46DD-9CA8-18228347FB64}"/>
    <cellStyle name="Comma 9 2 2 4" xfId="1821" xr:uid="{00000000-0005-0000-0000-000021030000}"/>
    <cellStyle name="Comma 9 2 2 4 2" xfId="3075" xr:uid="{00000000-0005-0000-0000-00005B020000}"/>
    <cellStyle name="Comma 9 2 2 4 2 2" xfId="8155" xr:uid="{3821D36B-E30A-436A-ADD2-C492AC21B492}"/>
    <cellStyle name="Comma 9 2 2 4 2 2 2" xfId="28829" xr:uid="{75B182AE-DD33-43EB-BD11-5250C85A4E01}"/>
    <cellStyle name="Comma 9 2 2 4 2 2 3" xfId="26310" xr:uid="{BA6A95AF-6109-40B1-B3B9-241F006D302F}"/>
    <cellStyle name="Comma 9 2 2 4 2 2 4" xfId="18535" xr:uid="{6DC6F597-8D99-4D70-85A2-BCF10AE0AD8E}"/>
    <cellStyle name="Comma 9 2 2 4 2 3" xfId="10988" xr:uid="{2A3734C0-6283-4588-9F43-DBEA24F07785}"/>
    <cellStyle name="Comma 9 2 2 4 2 3 2" xfId="21368" xr:uid="{73BB00D0-276E-47F7-A419-031530E0420D}"/>
    <cellStyle name="Comma 9 2 2 4 2 4" xfId="26316" xr:uid="{4114B98C-05CB-4B13-B488-16099DD307AD}"/>
    <cellStyle name="Comma 9 2 2 4 2 5" xfId="15702" xr:uid="{6AE8E6BF-8A14-431C-99B4-E9E63BED19BF}"/>
    <cellStyle name="Comma 9 2 2 4 3" xfId="3607" xr:uid="{00000000-0005-0000-0000-000021030000}"/>
    <cellStyle name="Comma 9 2 2 4 4" xfId="5646" xr:uid="{8B26A1BB-AE5F-48D9-8E42-E69CDD492616}"/>
    <cellStyle name="Comma 9 2 2 4 4 2" xfId="29962" xr:uid="{7C9ED966-91AA-4C46-BB66-8180C9956C71}"/>
    <cellStyle name="Comma 9 2 2 4 5" xfId="24327" xr:uid="{8BA3453A-B276-4F0C-8B80-BF13CA76962C}"/>
    <cellStyle name="Comma 9 2 2 4 6" xfId="13588" xr:uid="{1A9E97E1-72D1-4AFC-BB30-AF8F5B6BAA27}"/>
    <cellStyle name="Comma 9 2 2 5" xfId="2642" xr:uid="{00000000-0005-0000-0000-00005C020000}"/>
    <cellStyle name="Comma 9 2 2 5 2" xfId="5904" xr:uid="{45A164FE-5FE9-43B5-9529-C545256EB1C7}"/>
    <cellStyle name="Comma 9 2 2 5 2 2" xfId="28650" xr:uid="{F52522D7-FE86-4CED-8031-4C36F7BDC289}"/>
    <cellStyle name="Comma 9 2 2 5 2 2 2" xfId="31211" xr:uid="{972E3E93-27A6-4530-8159-6C6AF4E7DBCC}"/>
    <cellStyle name="Comma 9 2 2 5 2 2 3" xfId="30807" xr:uid="{08104823-45CC-4C4D-B84B-B3362DB2DCBC}"/>
    <cellStyle name="Comma 9 2 2 5 2 3" xfId="27235" xr:uid="{C3BE4EB7-43AA-4AC7-BEFF-8B26A3BE7026}"/>
    <cellStyle name="Comma 9 2 2 5 2 4" xfId="15314" xr:uid="{08E79145-1382-4681-9832-B0F6E2DADE39}"/>
    <cellStyle name="Comma 9 2 2 5 3" xfId="7767" xr:uid="{5D0B9A8F-12FE-41D9-A9E6-A0FC75FD3FD8}"/>
    <cellStyle name="Comma 9 2 2 5 3 2" xfId="18147" xr:uid="{0A8DFB72-F3C6-4083-88C0-C732F813D519}"/>
    <cellStyle name="Comma 9 2 2 5 4" xfId="10600" xr:uid="{4B064456-B3B1-4B04-A024-41F9964ADD43}"/>
    <cellStyle name="Comma 9 2 2 5 4 2" xfId="20980" xr:uid="{755E6D50-A281-4A13-84B5-51D522FD572A}"/>
    <cellStyle name="Comma 9 2 2 5 5" xfId="23656" xr:uid="{435834F1-E757-4761-960E-34D3DB17B906}"/>
    <cellStyle name="Comma 9 2 2 5 6" xfId="13031" xr:uid="{5AE173AE-BF38-4842-AA91-78EA7873D122}"/>
    <cellStyle name="Comma 9 2 2 6" xfId="2291" xr:uid="{00000000-0005-0000-0000-000057020000}"/>
    <cellStyle name="Comma 9 2 2 6 2" xfId="7418" xr:uid="{F0EED383-DED6-4BF2-97EE-EDD10841C3A9}"/>
    <cellStyle name="Comma 9 2 2 6 2 2" xfId="17798" xr:uid="{E2E25D04-1C5B-42F3-971A-9693DBE7026D}"/>
    <cellStyle name="Comma 9 2 2 6 3" xfId="10251" xr:uid="{94DC420B-AA21-4FD5-93D5-21B40811B1C2}"/>
    <cellStyle name="Comma 9 2 2 6 3 2" xfId="20631" xr:uid="{E6D15CCE-188C-46C1-8F19-27097D48CB9C}"/>
    <cellStyle name="Comma 9 2 2 6 4" xfId="22652" xr:uid="{D0547388-BB56-43F0-887B-5DC1986503B8}"/>
    <cellStyle name="Comma 9 2 2 6 5" xfId="26805" xr:uid="{140F2489-462A-432C-AAD8-2C4B4DBDF3A3}"/>
    <cellStyle name="Comma 9 2 2 6 6" xfId="14965" xr:uid="{93BB5F1A-804A-42CC-B8EB-C9CEF1F05211}"/>
    <cellStyle name="Comma 9 2 2 7" xfId="3826" xr:uid="{F187D117-A490-47DB-9E10-75EB17734E90}"/>
    <cellStyle name="Comma 9 2 2 7 2" xfId="8659" xr:uid="{644F7400-21EC-44AC-96AB-03542AB9BCFE}"/>
    <cellStyle name="Comma 9 2 2 7 2 2" xfId="19039" xr:uid="{C00F856F-2CD0-4E3B-A3DA-35E428B0F0FE}"/>
    <cellStyle name="Comma 9 2 2 7 3" xfId="11492" xr:uid="{DC85BDFB-B499-4C6E-A0B1-105AFB53FA00}"/>
    <cellStyle name="Comma 9 2 2 7 3 2" xfId="21872" xr:uid="{2AB65E47-B840-4E3A-9190-E4321AA48705}"/>
    <cellStyle name="Comma 9 2 2 7 4" xfId="26443" xr:uid="{0585DF1F-C5C2-4D34-BBE6-8DFF8DBF905E}"/>
    <cellStyle name="Comma 9 2 2 7 5" xfId="28042" xr:uid="{BEC9E2EF-CCA4-4CC5-8AB1-C4763C60ED1D}"/>
    <cellStyle name="Comma 9 2 2 7 6" xfId="16206" xr:uid="{F05C9D44-64C0-4600-BDB2-376264D8F02B}"/>
    <cellStyle name="Comma 9 2 2 8" xfId="4930" xr:uid="{3AD1A3B8-0529-4279-AFBA-6A259E6478D4}"/>
    <cellStyle name="Comma 9 2 2 8 2" xfId="14222" xr:uid="{3A55FC0C-5526-4111-8F2F-A420A93B599F}"/>
    <cellStyle name="Comma 9 2 2 9" xfId="6675" xr:uid="{6EFE6E0B-F24A-4847-A285-0AA765FBEBDF}"/>
    <cellStyle name="Comma 9 2 2 9 2" xfId="17055" xr:uid="{0ECC4CAE-5358-4A94-B368-95E70F3C5906}"/>
    <cellStyle name="Comma 9 2 3" xfId="541" xr:uid="{00000000-0005-0000-0000-000022030000}"/>
    <cellStyle name="Comma 9 2 3 10" xfId="12681" xr:uid="{F4C62D95-DF88-450B-B844-5FCA3C4178EF}"/>
    <cellStyle name="Comma 9 2 3 2" xfId="1825" xr:uid="{00000000-0005-0000-0000-000023030000}"/>
    <cellStyle name="Comma 9 2 3 2 2" xfId="3078" xr:uid="{00000000-0005-0000-0000-00005E020000}"/>
    <cellStyle name="Comma 9 2 3 2 2 2" xfId="8158" xr:uid="{00C34E79-4A12-4FEF-8FD7-A120007AC003}"/>
    <cellStyle name="Comma 9 2 3 2 2 2 2" xfId="28831" xr:uid="{9400F8BF-E03C-47B4-8A73-79D8316A2F57}"/>
    <cellStyle name="Comma 9 2 3 2 2 2 3" xfId="28633" xr:uid="{7A2BE245-EA15-44B8-97A3-BD9684DEFF4F}"/>
    <cellStyle name="Comma 9 2 3 2 2 2 4" xfId="18538" xr:uid="{11C459B9-9635-43E5-A2CE-CA3DDB0927D6}"/>
    <cellStyle name="Comma 9 2 3 2 2 3" xfId="10991" xr:uid="{179EA3D4-61C5-47DF-BA03-BCD2392F900C}"/>
    <cellStyle name="Comma 9 2 3 2 2 3 2" xfId="21371" xr:uid="{2A1FE7AD-F25F-4C3B-8926-616BF3F7D3E5}"/>
    <cellStyle name="Comma 9 2 3 2 2 4" xfId="25748" xr:uid="{942CDB3C-31B9-48FD-A9C8-9181B9986ACB}"/>
    <cellStyle name="Comma 9 2 3 2 2 5" xfId="15705" xr:uid="{A62BBE42-1AD1-4C98-BC5F-080129262303}"/>
    <cellStyle name="Comma 9 2 3 2 3" xfId="3698" xr:uid="{00000000-0005-0000-0000-000023030000}"/>
    <cellStyle name="Comma 9 2 3 2 4" xfId="5649" xr:uid="{E79966CE-366E-44ED-8CF4-EF18FE3B9A08}"/>
    <cellStyle name="Comma 9 2 3 2 4 2" xfId="29963" xr:uid="{C540771B-03DD-4A97-8D6C-125C8B900220}"/>
    <cellStyle name="Comma 9 2 3 2 5" xfId="23091" xr:uid="{7BC34336-6CF0-4232-A50B-C2757E6B9AA2}"/>
    <cellStyle name="Comma 9 2 3 2 6" xfId="13591" xr:uid="{AE8E06AD-96D0-46A8-B033-8D8865597D33}"/>
    <cellStyle name="Comma 9 2 3 3" xfId="1826" xr:uid="{00000000-0005-0000-0000-000024030000}"/>
    <cellStyle name="Comma 9 2 3 3 2" xfId="2686" xr:uid="{00000000-0005-0000-0000-00005F020000}"/>
    <cellStyle name="Comma 9 2 3 3 2 2" xfId="7810" xr:uid="{B9ACF73D-5345-46F9-B10F-7BF577F6FA2C}"/>
    <cellStyle name="Comma 9 2 3 3 2 2 2" xfId="18190" xr:uid="{7BDE12E2-F66C-43CB-A936-014FC451446C}"/>
    <cellStyle name="Comma 9 2 3 3 2 3" xfId="10643" xr:uid="{7B796FA2-53F4-4E07-ACB6-8A1AA81C96CF}"/>
    <cellStyle name="Comma 9 2 3 3 2 3 2" xfId="21023" xr:uid="{865B3BD9-33FF-4391-A8D9-6B5ECEDC6CF6}"/>
    <cellStyle name="Comma 9 2 3 3 2 4" xfId="15357" xr:uid="{372507FF-8B1F-490B-A74C-426CD780667A}"/>
    <cellStyle name="Comma 9 2 3 3 2 5" xfId="30444" xr:uid="{B9D0D307-C678-4D48-9BB3-FA80D0D64076}"/>
    <cellStyle name="Comma 9 2 3 3 3" xfId="2079" xr:uid="{00000000-0005-0000-0000-000024030000}"/>
    <cellStyle name="Comma 9 2 3 3 4" xfId="5650" xr:uid="{CE82BC05-DECC-433A-A1AE-079FA93D71A1}"/>
    <cellStyle name="Comma 9 2 3 3 4 2" xfId="29911" xr:uid="{DEAC15BD-E4D5-4066-9D0F-223E4FCD8552}"/>
    <cellStyle name="Comma 9 2 3 3 5" xfId="25041" xr:uid="{6B690C1C-4E4E-4CEB-9458-3070211420B8}"/>
    <cellStyle name="Comma 9 2 3 3 6" xfId="13099" xr:uid="{9A279FFC-6243-4F00-B96A-9C2520A46EDC}"/>
    <cellStyle name="Comma 9 2 3 4" xfId="1824" xr:uid="{00000000-0005-0000-0000-000025030000}"/>
    <cellStyle name="Comma 9 2 3 4 2" xfId="4655" xr:uid="{2B316BF8-A02B-4FA6-9E0C-A81BF302FB1E}"/>
    <cellStyle name="Comma 9 2 3 4 2 2" xfId="9407" xr:uid="{83C3117E-0556-4527-B429-6733E7FC28FB}"/>
    <cellStyle name="Comma 9 2 3 4 2 2 2" xfId="19787" xr:uid="{75F44DC8-6775-40EE-BB1B-FE5900228869}"/>
    <cellStyle name="Comma 9 2 3 4 2 3" xfId="12240" xr:uid="{02383733-3AC8-4F33-847D-F4EDED4B1500}"/>
    <cellStyle name="Comma 9 2 3 4 2 3 2" xfId="22620" xr:uid="{7E9B7457-55E4-47A6-AEC3-2AB45A85A26B}"/>
    <cellStyle name="Comma 9 2 3 4 2 4" xfId="28309" xr:uid="{517B9FA5-CA7B-4147-8281-57997331AEA6}"/>
    <cellStyle name="Comma 9 2 3 4 2 5" xfId="27040" xr:uid="{67CB897C-285F-4C47-BC05-557ED67C8AB1}"/>
    <cellStyle name="Comma 9 2 3 4 2 6" xfId="16954" xr:uid="{3AB9AAA6-8579-4953-89F0-8E36A6C0DD15}"/>
    <cellStyle name="Comma 9 2 3 4 3" xfId="22758" xr:uid="{53723204-0815-4045-A056-7FCD23F7396E}"/>
    <cellStyle name="Comma 9 2 3 5" xfId="4135" xr:uid="{58960FB7-AA3D-4773-B9E0-BAA94B5F7831}"/>
    <cellStyle name="Comma 9 2 3 5 2" xfId="8907" xr:uid="{45BD0102-A3DB-46F1-B996-4B740B50B967}"/>
    <cellStyle name="Comma 9 2 3 5 2 2" xfId="29012" xr:uid="{FD6FD515-24A7-44F7-9B6A-EE8B41326D0B}"/>
    <cellStyle name="Comma 9 2 3 5 2 3" xfId="27360" xr:uid="{4196D849-59CB-4781-A66E-CA6616B641F1}"/>
    <cellStyle name="Comma 9 2 3 5 2 4" xfId="19287" xr:uid="{1B49DD98-D93E-4499-8109-0BF6F8E1781D}"/>
    <cellStyle name="Comma 9 2 3 5 2 5" xfId="31017" xr:uid="{F7D350F9-DB22-40CD-A277-E89E784C5412}"/>
    <cellStyle name="Comma 9 2 3 5 3" xfId="11740" xr:uid="{FEEBFF0E-3A22-490B-94EE-A20B651F3918}"/>
    <cellStyle name="Comma 9 2 3 5 3 2" xfId="22120" xr:uid="{7BCDA1FB-7008-4553-90F2-782DDE9547DF}"/>
    <cellStyle name="Comma 9 2 3 5 4" xfId="28102" xr:uid="{6B05F112-D1B4-4987-9ED9-AD61916186A5}"/>
    <cellStyle name="Comma 9 2 3 5 5" xfId="16454" xr:uid="{E2103747-DE1C-424E-A121-811632EDB617}"/>
    <cellStyle name="Comma 9 2 3 6" xfId="4931" xr:uid="{B11DD8E7-1558-472B-8FE9-B7DE5AE1C3AA}"/>
    <cellStyle name="Comma 9 2 3 6 2" xfId="28259" xr:uid="{B5064F52-1DEC-48C6-AD6C-94D57ED80CDC}"/>
    <cellStyle name="Comma 9 2 3 6 3" xfId="27717" xr:uid="{90953E80-ECF8-4692-9972-22BB6C8DE61E}"/>
    <cellStyle name="Comma 9 2 3 6 4" xfId="14223" xr:uid="{6FE659B4-9790-4D04-B838-7A04B11F19B9}"/>
    <cellStyle name="Comma 9 2 3 7" xfId="6676" xr:uid="{A3767453-1D26-4077-9762-3232EF5FAEF7}"/>
    <cellStyle name="Comma 9 2 3 7 2" xfId="28416" xr:uid="{C0ECF8F6-3BBF-4631-AE2A-78AAE82D9245}"/>
    <cellStyle name="Comma 9 2 3 7 3" xfId="27284" xr:uid="{A1AC7B48-6458-4882-A59B-BA808F918EEC}"/>
    <cellStyle name="Comma 9 2 3 7 4" xfId="17056" xr:uid="{C6323C8C-63AA-4061-9C69-B64F539EFDEC}"/>
    <cellStyle name="Comma 9 2 3 8" xfId="9509" xr:uid="{19B45FED-76C2-4145-940D-2F2BC325C947}"/>
    <cellStyle name="Comma 9 2 3 8 2" xfId="19889" xr:uid="{A7D0349A-2623-433A-82FA-CC129D323731}"/>
    <cellStyle name="Comma 9 2 3 9" xfId="25166" xr:uid="{491DEFD9-42C7-46F8-B951-F96D761D4FA0}"/>
    <cellStyle name="Comma 9 2 4" xfId="1827" xr:uid="{00000000-0005-0000-0000-000026030000}"/>
    <cellStyle name="Comma 9 2 4 2" xfId="3079" xr:uid="{00000000-0005-0000-0000-000060020000}"/>
    <cellStyle name="Comma 9 2 4 2 2" xfId="8159" xr:uid="{3871DE92-AD0D-4C55-9FDA-EB07377910AF}"/>
    <cellStyle name="Comma 9 2 4 2 2 2" xfId="28832" xr:uid="{35DDB46A-9F32-451D-BE4A-FB8BA2BFC5CB}"/>
    <cellStyle name="Comma 9 2 4 2 2 2 2" xfId="31230" xr:uid="{D86CE846-FB1A-46CF-AAA1-01DB85ECFA69}"/>
    <cellStyle name="Comma 9 2 4 2 2 2 3" xfId="30809" xr:uid="{BE13AE7C-8747-44CE-A1E1-1A36A7111489}"/>
    <cellStyle name="Comma 9 2 4 2 2 3" xfId="27382" xr:uid="{1D429F61-482C-40AA-9F51-7ED2D3E08585}"/>
    <cellStyle name="Comma 9 2 4 2 2 4" xfId="18539" xr:uid="{E513781B-C37F-4A79-B6A8-73A52D5D952C}"/>
    <cellStyle name="Comma 9 2 4 2 3" xfId="10992" xr:uid="{5FAD14CD-9E4E-4A54-B659-08425DC4EB51}"/>
    <cellStyle name="Comma 9 2 4 2 3 2" xfId="21372" xr:uid="{D5BA3C34-8A17-499D-9401-2290B594129A}"/>
    <cellStyle name="Comma 9 2 4 2 4" xfId="25662" xr:uid="{DE4B7DEE-3DFB-4D95-9D94-5B6697CA1424}"/>
    <cellStyle name="Comma 9 2 4 2 5" xfId="15706" xr:uid="{B32A986E-B469-403A-9A26-89063FFD10F3}"/>
    <cellStyle name="Comma 9 2 4 3" xfId="3619" xr:uid="{00000000-0005-0000-0000-000026030000}"/>
    <cellStyle name="Comma 9 2 4 4" xfId="4420" xr:uid="{730607A7-848F-4DD4-AC1A-3254E1DC46BC}"/>
    <cellStyle name="Comma 9 2 4 4 2" xfId="9192" xr:uid="{C7AB3644-B0B6-4154-BE4F-C29BF5ECB030}"/>
    <cellStyle name="Comma 9 2 4 4 2 2" xfId="19572" xr:uid="{7AE53B1F-54DA-4F06-99C4-5B8CE011620E}"/>
    <cellStyle name="Comma 9 2 4 4 2 3" xfId="31086" xr:uid="{BE5A0B73-4A4C-4029-A301-6535C3F13C1D}"/>
    <cellStyle name="Comma 9 2 4 4 2 4" xfId="30808" xr:uid="{C1548C2B-E83F-4CD1-8AE4-504BDC32719D}"/>
    <cellStyle name="Comma 9 2 4 4 3" xfId="12025" xr:uid="{05AB095B-DD55-4F70-B186-D55D3B66DE04}"/>
    <cellStyle name="Comma 9 2 4 4 3 2" xfId="22405" xr:uid="{83C0AEC2-D7F8-4FB1-8063-95763749ADDC}"/>
    <cellStyle name="Comma 9 2 4 4 4" xfId="27981" xr:uid="{48E7C24F-7C7F-4635-9EBC-9D453F175853}"/>
    <cellStyle name="Comma 9 2 4 4 5" xfId="28162" xr:uid="{38EC5DA3-2ECC-43FA-AFF3-4E44C4962149}"/>
    <cellStyle name="Comma 9 2 4 4 6" xfId="16739" xr:uid="{E7145DA8-4655-4CB9-96FD-E1E6B4F01E4F}"/>
    <cellStyle name="Comma 9 2 4 5" xfId="5651" xr:uid="{D9BE428C-8235-4EF9-B20E-E5BB3AFC6747}"/>
    <cellStyle name="Comma 9 2 4 5 2" xfId="29693" xr:uid="{E7A06D38-4B4A-4976-BC01-C3B6B233E532}"/>
    <cellStyle name="Comma 9 2 4 5 2 2" xfId="30981" xr:uid="{FFEA7A56-AD8A-44D9-BC17-C7A9B2757E95}"/>
    <cellStyle name="Comma 9 2 4 6" xfId="24676" xr:uid="{6EEEF6C0-BA3C-4450-82E6-71744843DDBB}"/>
    <cellStyle name="Comma 9 2 4 7" xfId="13592" xr:uid="{81F21B33-152E-41A4-8622-BE740F8B59B3}"/>
    <cellStyle name="Comma 9 2 5" xfId="1828" xr:uid="{00000000-0005-0000-0000-000027030000}"/>
    <cellStyle name="Comma 9 2 5 2" xfId="2881" xr:uid="{00000000-0005-0000-0000-000061020000}"/>
    <cellStyle name="Comma 9 2 5 2 2" xfId="7998" xr:uid="{30435070-21F0-450E-8F48-DD2475E78426}"/>
    <cellStyle name="Comma 9 2 5 2 2 2" xfId="27245" xr:uid="{B2DCA550-CDEE-430E-8093-FA1E260FBBA3}"/>
    <cellStyle name="Comma 9 2 5 2 2 2 2" xfId="31188" xr:uid="{935049C4-8F57-47F7-A020-2141BFAE117B}"/>
    <cellStyle name="Comma 9 2 5 2 2 2 3" xfId="30810" xr:uid="{E09FB7FE-6B02-4145-8F9C-245D63874152}"/>
    <cellStyle name="Comma 9 2 5 2 2 3" xfId="26153" xr:uid="{A90172AA-ECBA-49AF-A27D-7287150C6C55}"/>
    <cellStyle name="Comma 9 2 5 2 2 4" xfId="18378" xr:uid="{BB53FA4A-1DDF-48F5-8459-C96D8C66B94A}"/>
    <cellStyle name="Comma 9 2 5 2 3" xfId="10831" xr:uid="{8DBDF390-F889-45B9-8090-2E42DC2B125A}"/>
    <cellStyle name="Comma 9 2 5 2 3 2" xfId="21211" xr:uid="{3D817999-D32B-42D4-A4EE-FDDC6CAAAB75}"/>
    <cellStyle name="Comma 9 2 5 2 4" xfId="28531" xr:uid="{EFD68B7B-CEB1-42E8-96C8-A4CE64C8ED24}"/>
    <cellStyle name="Comma 9 2 5 2 5" xfId="15545" xr:uid="{178AD210-1937-49B9-920C-01104FD1710F}"/>
    <cellStyle name="Comma 9 2 5 3" xfId="3537" xr:uid="{00000000-0005-0000-0000-000027030000}"/>
    <cellStyle name="Comma 9 2 5 4" xfId="5652" xr:uid="{D7164F72-134C-4D46-901D-95E30936FD2B}"/>
    <cellStyle name="Comma 9 2 5 4 2" xfId="29926" xr:uid="{5C9B02E0-C788-4B1D-BC0E-E607E53C7539}"/>
    <cellStyle name="Comma 9 2 5 5" xfId="25505" xr:uid="{683D3246-020B-45A9-8F05-CD8C07E60BC7}"/>
    <cellStyle name="Comma 9 2 5 6" xfId="13379" xr:uid="{D127C0C3-511A-4158-94C4-3B598D743006}"/>
    <cellStyle name="Comma 9 2 6" xfId="1820" xr:uid="{00000000-0005-0000-0000-000028030000}"/>
    <cellStyle name="Comma 9 2 6 2" xfId="2540" xr:uid="{00000000-0005-0000-0000-000062020000}"/>
    <cellStyle name="Comma 9 2 6 2 2" xfId="7665" xr:uid="{12A85B8F-612E-4B7E-8375-3FD272B72C3E}"/>
    <cellStyle name="Comma 9 2 6 2 2 2" xfId="18045" xr:uid="{63602DFF-BD8A-4BE0-91FF-331DD6264E16}"/>
    <cellStyle name="Comma 9 2 6 2 3" xfId="10498" xr:uid="{61B4E7AC-8DB2-43F1-868D-FAA2881C85E4}"/>
    <cellStyle name="Comma 9 2 6 2 3 2" xfId="20878" xr:uid="{1BB267DC-2623-4AAD-9299-6628C1181669}"/>
    <cellStyle name="Comma 9 2 6 2 4" xfId="28008" xr:uid="{93DFBBE4-AEC2-43A7-B32D-98AE37918C88}"/>
    <cellStyle name="Comma 9 2 6 2 5" xfId="27053" xr:uid="{3C93F917-4687-49AB-A2DE-9CFA582651C6}"/>
    <cellStyle name="Comma 9 2 6 2 6" xfId="15212" xr:uid="{B954EB0A-A415-4D84-A87E-51039639E08C}"/>
    <cellStyle name="Comma 9 2 6 3" xfId="3706" xr:uid="{00000000-0005-0000-0000-000028030000}"/>
    <cellStyle name="Comma 9 2 6 4" xfId="5645" xr:uid="{D898191B-5E99-42ED-AE9E-BA7EEF98ED5F}"/>
    <cellStyle name="Comma 9 2 6 4 2" xfId="29878" xr:uid="{E41C2E13-76EE-4F01-AD17-0737E327D418}"/>
    <cellStyle name="Comma 9 2 6 5" xfId="23855" xr:uid="{D61276F4-B8A3-4202-B41B-BD1945D207E6}"/>
    <cellStyle name="Comma 9 2 6 6" xfId="12928" xr:uid="{0F80994B-85B6-4398-ADA2-8150445C52AA}"/>
    <cellStyle name="Comma 9 2 7" xfId="2234" xr:uid="{00000000-0005-0000-0000-000056020000}"/>
    <cellStyle name="Comma 9 2 7 2" xfId="7361" xr:uid="{C4B32B00-5182-49D8-9EA5-796AE2208F5A}"/>
    <cellStyle name="Comma 9 2 7 2 2" xfId="26720" xr:uid="{E24BCB5C-C6EA-4FDB-9EC3-913147FB8779}"/>
    <cellStyle name="Comma 9 2 7 2 2 2" xfId="31183" xr:uid="{B8E870C8-2DC3-4142-9B70-BD70882B4D51}"/>
    <cellStyle name="Comma 9 2 7 2 2 3" xfId="30811" xr:uid="{BBA9BA85-2DE8-4D34-8E86-BAE1DE19E844}"/>
    <cellStyle name="Comma 9 2 7 2 3" xfId="28268" xr:uid="{90482539-1104-4FEC-A0B4-4BBC91205F8D}"/>
    <cellStyle name="Comma 9 2 7 2 4" xfId="17741" xr:uid="{A997357B-75E5-4FBD-8E85-7D845313D2E4}"/>
    <cellStyle name="Comma 9 2 7 3" xfId="10194" xr:uid="{6CC74026-AB08-411B-B16F-52096AABA2AE}"/>
    <cellStyle name="Comma 9 2 7 3 2" xfId="20574" xr:uid="{D660BE8F-3CEC-43C8-B3F2-515CBFAE10A6}"/>
    <cellStyle name="Comma 9 2 7 4" xfId="25034" xr:uid="{6B933433-0728-4A4C-81A0-760F81048C5E}"/>
    <cellStyle name="Comma 9 2 7 5" xfId="14908" xr:uid="{9E029389-AF9E-4E2C-80CF-C3A6CB490564}"/>
    <cellStyle name="Comma 9 2 8" xfId="3878" xr:uid="{14ABF57D-7E2D-49B0-92F4-00CADDA395CB}"/>
    <cellStyle name="Comma 9 2 8 2" xfId="8710" xr:uid="{A7E88751-1D29-4175-B2B8-DA20A976F5E3}"/>
    <cellStyle name="Comma 9 2 8 2 2" xfId="19090" xr:uid="{E69C0CF9-2C8E-461A-BD73-73D7F51D1663}"/>
    <cellStyle name="Comma 9 2 8 3" xfId="11543" xr:uid="{95E42C6C-C80A-4C6F-AEA5-4FFFB2425A1A}"/>
    <cellStyle name="Comma 9 2 8 3 2" xfId="21923" xr:uid="{7A3F958E-C57F-4788-976D-1AE8E6A57944}"/>
    <cellStyle name="Comma 9 2 8 4" xfId="26413" xr:uid="{FD7B0B76-E8B9-487D-8AAD-C9933C1ACB6C}"/>
    <cellStyle name="Comma 9 2 8 5" xfId="27761" xr:uid="{AC65A6F0-19BB-40A6-9BE0-0678F17B6B3B}"/>
    <cellStyle name="Comma 9 2 8 6" xfId="16257" xr:uid="{6C8D399F-9CD0-4228-9326-262AC491334C}"/>
    <cellStyle name="Comma 9 2 9" xfId="4929" xr:uid="{BD7D2C77-C633-4CFC-AAC8-AEB80D7AE154}"/>
    <cellStyle name="Comma 9 2 9 2" xfId="25984" xr:uid="{FF5AE70A-CB98-46FE-AEBC-034F7A064D0C}"/>
    <cellStyle name="Comma 9 2 9 3" xfId="27780" xr:uid="{9617A20E-B9DC-4147-BB81-6D931C61435A}"/>
    <cellStyle name="Comma 9 2 9 4" xfId="14221" xr:uid="{B60DB025-08CD-4CE5-A225-EF26AA61A2E6}"/>
    <cellStyle name="Comma 9 3" xfId="542" xr:uid="{00000000-0005-0000-0000-000029030000}"/>
    <cellStyle name="Comma 9 3 10" xfId="9510" xr:uid="{E7E81DE3-7484-41E0-8FA9-F356A46CD991}"/>
    <cellStyle name="Comma 9 3 10 2" xfId="19890" xr:uid="{ABE7FEB3-D309-49D2-9D77-CEDDF86F8FC8}"/>
    <cellStyle name="Comma 9 3 11" xfId="24495" xr:uid="{D4380A83-A032-4878-B2BD-F5EDC2355B6A}"/>
    <cellStyle name="Comma 9 3 12" xfId="12522" xr:uid="{1EC29B22-E11A-4F03-9D04-7890D63A35C8}"/>
    <cellStyle name="Comma 9 3 2" xfId="1830" xr:uid="{00000000-0005-0000-0000-00002A030000}"/>
    <cellStyle name="Comma 9 3 2 2" xfId="3081" xr:uid="{00000000-0005-0000-0000-000065020000}"/>
    <cellStyle name="Comma 9 3 2 2 2" xfId="6170" xr:uid="{5D3F1E2F-6C13-4865-A186-7E6BC20EDFBA}"/>
    <cellStyle name="Comma 9 3 2 2 2 2" xfId="24147" xr:uid="{7FAC486F-3150-4423-B79F-82D92D5D4315}"/>
    <cellStyle name="Comma 9 3 2 2 2 2 2" xfId="28013" xr:uid="{6EDB3307-FB2D-428A-B7BB-51FD25238CFA}"/>
    <cellStyle name="Comma 9 3 2 2 2 2 3" xfId="31150" xr:uid="{5B67C8A6-D0F9-4F81-B1C0-F30C304F8C08}"/>
    <cellStyle name="Comma 9 3 2 2 2 3" xfId="26869" xr:uid="{652D5C03-1AD5-43F2-95C2-87421CEC1E98}"/>
    <cellStyle name="Comma 9 3 2 2 2 4" xfId="15708" xr:uid="{4A7AF802-84FA-4651-8493-69DBEFBEF268}"/>
    <cellStyle name="Comma 9 3 2 2 3" xfId="8161" xr:uid="{41C885F3-2F9F-457C-9A41-B93334694117}"/>
    <cellStyle name="Comma 9 3 2 2 3 2" xfId="18541" xr:uid="{52F9EBF8-6C8D-4A10-9E5C-BDDF8CD76353}"/>
    <cellStyle name="Comma 9 3 2 2 4" xfId="10994" xr:uid="{6690BEA3-7986-4505-B2F3-1A50EFC06E03}"/>
    <cellStyle name="Comma 9 3 2 2 4 2" xfId="21374" xr:uid="{16FA8055-7EF8-4083-8B83-CB2D93CE4C92}"/>
    <cellStyle name="Comma 9 3 2 2 5" xfId="24468" xr:uid="{C74E39ED-E802-4F6C-B356-E5113AB4E949}"/>
    <cellStyle name="Comma 9 3 2 2 5 2" xfId="30075" xr:uid="{8548742A-9BBA-4637-B5B9-9DA740E4A09B}"/>
    <cellStyle name="Comma 9 3 2 2 6" xfId="27865" xr:uid="{1092D0DD-8FB3-44DD-86EE-6FC6DA4E3B78}"/>
    <cellStyle name="Comma 9 3 2 2 7" xfId="13594" xr:uid="{20D41558-9592-4905-9B8D-FAFB5DB1DBDE}"/>
    <cellStyle name="Comma 9 3 2 3" xfId="2688" xr:uid="{00000000-0005-0000-0000-000064020000}"/>
    <cellStyle name="Comma 9 3 2 3 2" xfId="7812" xr:uid="{45825168-987C-424D-9B12-52F792D7F9B4}"/>
    <cellStyle name="Comma 9 3 2 3 2 2" xfId="28522" xr:uid="{E0FBFBB5-EC4B-4CDC-A0B7-7F4A0932546C}"/>
    <cellStyle name="Comma 9 3 2 3 2 3" xfId="28378" xr:uid="{B1C725C8-4663-4026-A58A-6EC98692EB7D}"/>
    <cellStyle name="Comma 9 3 2 3 2 4" xfId="18192" xr:uid="{CF70C67C-65D6-4BF2-9FF7-5986B90AEE6F}"/>
    <cellStyle name="Comma 9 3 2 3 3" xfId="10645" xr:uid="{51C13CA6-B671-4F5D-917F-E88F4B3AEAF6}"/>
    <cellStyle name="Comma 9 3 2 3 3 2" xfId="21025" xr:uid="{4A99DD87-1800-46CD-ADE8-C5F3EF349A55}"/>
    <cellStyle name="Comma 9 3 2 3 4" xfId="22681" xr:uid="{3EB0B22D-8F5E-48CF-B5FA-63B60A9EE603}"/>
    <cellStyle name="Comma 9 3 2 3 5" xfId="15359" xr:uid="{F541BCBC-753B-4B7B-AEF7-D891549388FA}"/>
    <cellStyle name="Comma 9 3 2 4" xfId="3695" xr:uid="{00000000-0005-0000-0000-00002A030000}"/>
    <cellStyle name="Comma 9 3 2 4 2" xfId="26650" xr:uid="{5A147B94-5AF9-4CDC-8BC6-C737EBE8A913}"/>
    <cellStyle name="Comma 9 3 2 4 3" xfId="26683" xr:uid="{FB1D1AC5-9D11-429C-BF39-EEAC07E5768E}"/>
    <cellStyle name="Comma 9 3 2 5" xfId="4270" xr:uid="{F1DB953E-CDE1-43E8-9BEA-964C5E5A9856}"/>
    <cellStyle name="Comma 9 3 2 5 2" xfId="9042" xr:uid="{F26FC550-BC30-48DE-A2FC-AF981BC732EC}"/>
    <cellStyle name="Comma 9 3 2 5 2 2" xfId="19422" xr:uid="{6FDAA852-56CA-4BF6-BB17-4AA7D4E56C64}"/>
    <cellStyle name="Comma 9 3 2 5 2 3" xfId="31046" xr:uid="{A3B5197F-9B5D-4143-A697-326D2D0AB011}"/>
    <cellStyle name="Comma 9 3 2 5 2 4" xfId="30812" xr:uid="{C5508924-C6EA-4A67-BDDF-7E50FD3BE005}"/>
    <cellStyle name="Comma 9 3 2 5 3" xfId="11875" xr:uid="{A33959D1-ED4C-4C55-92A7-CC84556D1C9C}"/>
    <cellStyle name="Comma 9 3 2 5 3 2" xfId="22255" xr:uid="{D062A147-5A9C-4F48-A79B-58F7E85DB901}"/>
    <cellStyle name="Comma 9 3 2 5 4" xfId="27367" xr:uid="{FD0C7BF0-A587-4637-98FE-1287570FBD22}"/>
    <cellStyle name="Comma 9 3 2 5 5" xfId="28426" xr:uid="{A03FA1EB-B70A-4B0D-B080-7587374271FE}"/>
    <cellStyle name="Comma 9 3 2 5 6" xfId="16589" xr:uid="{9A425600-8E7C-4649-8D14-D414987A8C3D}"/>
    <cellStyle name="Comma 9 3 2 6" xfId="5654" xr:uid="{77D156F7-476C-46F2-93AE-31A8AC882BEE}"/>
    <cellStyle name="Comma 9 3 2 6 2" xfId="29726" xr:uid="{553F6754-B523-42B0-B4FE-4907B6316108}"/>
    <cellStyle name="Comma 9 3 2 6 2 2" xfId="30982" xr:uid="{699CA55B-0135-496F-BFC8-968E66D2718F}"/>
    <cellStyle name="Comma 9 3 2 7" xfId="25227" xr:uid="{32CD50D2-C9AE-4571-939C-C8C54DC3B34F}"/>
    <cellStyle name="Comma 9 3 2 8" xfId="13101" xr:uid="{B68D3080-BA5F-48EA-9188-311DC047BBAB}"/>
    <cellStyle name="Comma 9 3 2 9" xfId="29993" xr:uid="{9DCA55B1-63A8-4DF5-A458-C59A6106A22A}"/>
    <cellStyle name="Comma 9 3 3" xfId="1831" xr:uid="{00000000-0005-0000-0000-00002B030000}"/>
    <cellStyle name="Comma 9 3 3 2" xfId="3082" xr:uid="{00000000-0005-0000-0000-000066020000}"/>
    <cellStyle name="Comma 9 3 3 2 2" xfId="8162" xr:uid="{30BFB4DD-F5E5-4102-846B-4027E615BCE0}"/>
    <cellStyle name="Comma 9 3 3 2 2 2" xfId="28834" xr:uid="{1D3DCD9E-22E3-4A2B-BFEA-68D716F7632B}"/>
    <cellStyle name="Comma 9 3 3 2 2 2 2" xfId="31231" xr:uid="{122F2141-B372-4667-A3EB-B92731022D63}"/>
    <cellStyle name="Comma 9 3 3 2 2 2 3" xfId="30814" xr:uid="{B37193DA-685B-4302-9C78-E276FA29B8E2}"/>
    <cellStyle name="Comma 9 3 3 2 2 3" xfId="27469" xr:uid="{761CFDA3-BD8E-439D-AE3A-6616D3D38BC8}"/>
    <cellStyle name="Comma 9 3 3 2 2 4" xfId="18542" xr:uid="{6FF6D2FD-49D1-478F-8C56-148E459735BA}"/>
    <cellStyle name="Comma 9 3 3 2 3" xfId="10995" xr:uid="{8A4A876A-3AFA-455C-9C42-6A97F80DED57}"/>
    <cellStyle name="Comma 9 3 3 2 3 2" xfId="21375" xr:uid="{9FE326AD-216F-4337-A89B-6ED14C842C11}"/>
    <cellStyle name="Comma 9 3 3 2 4" xfId="24095" xr:uid="{4A6A6AAB-A78E-43A5-A912-AA5037B542FD}"/>
    <cellStyle name="Comma 9 3 3 2 5" xfId="15709" xr:uid="{4224EED2-F5B5-4C80-A76D-50B890931CA9}"/>
    <cellStyle name="Comma 9 3 3 3" xfId="3705" xr:uid="{00000000-0005-0000-0000-00002B030000}"/>
    <cellStyle name="Comma 9 3 3 4" xfId="4421" xr:uid="{18170F86-C2D3-41E7-9BBC-5C6417543022}"/>
    <cellStyle name="Comma 9 3 3 4 2" xfId="9193" xr:uid="{26B92FD6-E0D8-470C-9556-778A5F8FEAFF}"/>
    <cellStyle name="Comma 9 3 3 4 2 2" xfId="19573" xr:uid="{F377DAD8-5711-4268-8A8B-9A61CD9EDB6C}"/>
    <cellStyle name="Comma 9 3 3 4 2 3" xfId="31087" xr:uid="{057F8738-14E9-452A-B2A1-4B72350EA751}"/>
    <cellStyle name="Comma 9 3 3 4 2 4" xfId="30813" xr:uid="{BE881679-89E9-4CF6-A166-B978E2ED3F85}"/>
    <cellStyle name="Comma 9 3 3 4 3" xfId="12026" xr:uid="{84CDBBE9-88B1-45BB-84B9-365383A18EEB}"/>
    <cellStyle name="Comma 9 3 3 4 3 2" xfId="22406" xr:uid="{11C3063F-87D1-4D1E-B343-A620DEF1A22B}"/>
    <cellStyle name="Comma 9 3 3 4 4" xfId="16740" xr:uid="{A83B7572-DEFE-4674-B9BC-F693F0EB8DA2}"/>
    <cellStyle name="Comma 9 3 3 5" xfId="5655" xr:uid="{B525BE71-296E-4A8D-A239-535718B25E1D}"/>
    <cellStyle name="Comma 9 3 3 5 2" xfId="29697" xr:uid="{25FDA149-4835-475C-A7F8-D677AAAFBB08}"/>
    <cellStyle name="Comma 9 3 3 5 2 2" xfId="30983" xr:uid="{8A31E08D-F38C-4717-AA35-0B286BA438E3}"/>
    <cellStyle name="Comma 9 3 3 6" xfId="24665" xr:uid="{3D67FC07-C30E-4BB2-B210-DB9C3EA33BDF}"/>
    <cellStyle name="Comma 9 3 3 7" xfId="13595" xr:uid="{5FA0F202-D403-4101-916A-106D8E59EF14}"/>
    <cellStyle name="Comma 9 3 4" xfId="1829" xr:uid="{00000000-0005-0000-0000-00002C030000}"/>
    <cellStyle name="Comma 9 3 4 2" xfId="3080" xr:uid="{00000000-0005-0000-0000-000067020000}"/>
    <cellStyle name="Comma 9 3 4 2 2" xfId="8160" xr:uid="{A44917E5-A260-4E57-A00D-74E81142C856}"/>
    <cellStyle name="Comma 9 3 4 2 2 2" xfId="28833" xr:uid="{E1D0D1D7-BCBC-4025-A9A4-65F4CA9D0DA2}"/>
    <cellStyle name="Comma 9 3 4 2 2 3" xfId="26695" xr:uid="{6EFBF9CB-8F8C-49E7-9369-5F3AF238C536}"/>
    <cellStyle name="Comma 9 3 4 2 2 4" xfId="18540" xr:uid="{411A0BFC-0770-4A0F-9BFF-5513F5ADE6E2}"/>
    <cellStyle name="Comma 9 3 4 2 3" xfId="10993" xr:uid="{379F143A-75EE-4D4F-83EE-FE40F42B0461}"/>
    <cellStyle name="Comma 9 3 4 2 3 2" xfId="21373" xr:uid="{0A5CACF6-8CDA-4E18-9620-A72C6691C0CE}"/>
    <cellStyle name="Comma 9 3 4 2 4" xfId="25175" xr:uid="{96CFF20C-9ADF-43F2-ABAD-249183DF8F3F}"/>
    <cellStyle name="Comma 9 3 4 2 5" xfId="15707" xr:uid="{12C4A8BE-B9AB-4776-A2A2-D7A439B32A7B}"/>
    <cellStyle name="Comma 9 3 4 3" xfId="3670" xr:uid="{00000000-0005-0000-0000-00002C030000}"/>
    <cellStyle name="Comma 9 3 4 4" xfId="5653" xr:uid="{2992C92C-8EDE-4819-B747-CFD197F07934}"/>
    <cellStyle name="Comma 9 3 4 4 2" xfId="29964" xr:uid="{BB309544-82A9-4F34-A3A4-5C8ABA70C651}"/>
    <cellStyle name="Comma 9 3 4 5" xfId="22864" xr:uid="{7A0D85F2-7603-4244-8EA4-BCE31E460284}"/>
    <cellStyle name="Comma 9 3 4 6" xfId="13593" xr:uid="{E59C85B5-D30B-41E2-8D24-850FCB8A133A}"/>
    <cellStyle name="Comma 9 3 5" xfId="2583" xr:uid="{00000000-0005-0000-0000-000068020000}"/>
    <cellStyle name="Comma 9 3 5 2" xfId="5848" xr:uid="{9AFCFEEE-2505-4F6D-A481-F03D7C6B099D}"/>
    <cellStyle name="Comma 9 3 5 2 2" xfId="27706" xr:uid="{71638D3E-073B-465B-8079-C421AEEF8FCF}"/>
    <cellStyle name="Comma 9 3 5 2 2 2" xfId="31196" xr:uid="{A200391D-8B39-419F-859D-3D90BFEFCC8C}"/>
    <cellStyle name="Comma 9 3 5 2 2 3" xfId="30815" xr:uid="{66DD9239-68FF-45F3-AF1C-1AA6F4162EB8}"/>
    <cellStyle name="Comma 9 3 5 2 3" xfId="28111" xr:uid="{88E78A97-D798-40B1-B121-601BFA26463A}"/>
    <cellStyle name="Comma 9 3 5 2 4" xfId="15255" xr:uid="{876EBB0C-63E8-4A7B-9EDA-9C1C3871BA2F}"/>
    <cellStyle name="Comma 9 3 5 3" xfId="7708" xr:uid="{BEA5950F-02E1-43FC-B1F1-A36C58FBB631}"/>
    <cellStyle name="Comma 9 3 5 3 2" xfId="18088" xr:uid="{FF85433C-FEC8-47E7-B6A5-8EEC6298B380}"/>
    <cellStyle name="Comma 9 3 5 4" xfId="10541" xr:uid="{65183B43-D80D-49BA-BEF9-F6E503BD1F06}"/>
    <cellStyle name="Comma 9 3 5 4 2" xfId="20921" xr:uid="{21238C72-15FC-4007-A9F9-B93D39F31BED}"/>
    <cellStyle name="Comma 9 3 5 5" xfId="23343" xr:uid="{E1FCD651-C478-44B8-92D8-7921DAE26410}"/>
    <cellStyle name="Comma 9 3 5 6" xfId="12971" xr:uid="{D658D3A0-00E0-4869-960E-19BC6F8649B5}"/>
    <cellStyle name="Comma 9 3 6" xfId="2290" xr:uid="{00000000-0005-0000-0000-000063020000}"/>
    <cellStyle name="Comma 9 3 6 2" xfId="7417" xr:uid="{025F373A-BE43-4E48-85A7-5A7239E2FC8F}"/>
    <cellStyle name="Comma 9 3 6 2 2" xfId="17797" xr:uid="{A00288B0-3EAD-4837-B259-F6C4CCB3457F}"/>
    <cellStyle name="Comma 9 3 6 3" xfId="10250" xr:uid="{CA02812C-EBA4-4234-A901-7D6F1FC3AB91}"/>
    <cellStyle name="Comma 9 3 6 3 2" xfId="20630" xr:uid="{8FCD722B-FB2D-486A-89B1-ACD6791E1381}"/>
    <cellStyle name="Comma 9 3 6 4" xfId="25403" xr:uid="{7C46B817-38A3-42C6-882C-98B3949A937A}"/>
    <cellStyle name="Comma 9 3 6 5" xfId="27260" xr:uid="{93B1D2DF-2A26-4BF0-ACE2-6FB4605820E9}"/>
    <cellStyle name="Comma 9 3 6 6" xfId="14964" xr:uid="{828B998B-8124-4DEA-903D-2B09FAA8B816}"/>
    <cellStyle name="Comma 9 3 7" xfId="3825" xr:uid="{9D146E72-9673-49A7-806E-FB272B5C17CE}"/>
    <cellStyle name="Comma 9 3 7 2" xfId="8658" xr:uid="{BC26A82D-0058-4EFB-8C47-948475657A86}"/>
    <cellStyle name="Comma 9 3 7 2 2" xfId="19038" xr:uid="{55C8ACED-B877-4D7A-A9B1-AC60BCE92CAA}"/>
    <cellStyle name="Comma 9 3 7 3" xfId="11491" xr:uid="{FDD557D6-8B8B-4718-92FD-32760A075EE3}"/>
    <cellStyle name="Comma 9 3 7 3 2" xfId="21871" xr:uid="{0FD211B6-4E5B-487B-87A0-EE2F7A318503}"/>
    <cellStyle name="Comma 9 3 7 4" xfId="26117" xr:uid="{0E9C60C0-50AC-45C5-A9CD-C7BE1E7C0246}"/>
    <cellStyle name="Comma 9 3 7 5" xfId="28094" xr:uid="{1633684F-EEAE-4F4D-8516-7185672DF3DD}"/>
    <cellStyle name="Comma 9 3 7 6" xfId="16205" xr:uid="{301EE679-6692-44AB-93B8-513D570952F7}"/>
    <cellStyle name="Comma 9 3 8" xfId="4932" xr:uid="{77B32B7E-E9F2-43A7-9503-9206BCE0429D}"/>
    <cellStyle name="Comma 9 3 8 2" xfId="14224" xr:uid="{84EDABC1-9EAF-47EA-9F3B-282B5B0532D7}"/>
    <cellStyle name="Comma 9 3 9" xfId="6677" xr:uid="{E1EE7C5D-FE69-4EF7-AC70-A5F4889A2F0D}"/>
    <cellStyle name="Comma 9 3 9 2" xfId="17057" xr:uid="{742713B6-8D96-48AF-8C04-8C2D9EA52616}"/>
    <cellStyle name="Comma 9 4" xfId="543" xr:uid="{00000000-0005-0000-0000-00002D030000}"/>
    <cellStyle name="Comma 9 4 10" xfId="12680" xr:uid="{3C78FD5E-2306-4C10-B6FB-57929E2C1CCB}"/>
    <cellStyle name="Comma 9 4 2" xfId="1833" xr:uid="{00000000-0005-0000-0000-00002E030000}"/>
    <cellStyle name="Comma 9 4 2 2" xfId="3083" xr:uid="{00000000-0005-0000-0000-00006A020000}"/>
    <cellStyle name="Comma 9 4 2 2 2" xfId="8163" xr:uid="{D45C281E-EDA4-4C74-897C-FA30A35FA9EC}"/>
    <cellStyle name="Comma 9 4 2 2 2 2" xfId="28835" xr:uid="{5EAC4C5F-3550-465C-8620-97567FEA2F7B}"/>
    <cellStyle name="Comma 9 4 2 2 2 3" xfId="28400" xr:uid="{D04C0551-F87A-4571-AF8D-4BD6E13F12A9}"/>
    <cellStyle name="Comma 9 4 2 2 2 4" xfId="18543" xr:uid="{0B0475C1-0F95-4754-8A42-092F6CFCE269}"/>
    <cellStyle name="Comma 9 4 2 2 3" xfId="10996" xr:uid="{505883EF-447C-4761-BB1F-648E3A0C6355}"/>
    <cellStyle name="Comma 9 4 2 2 3 2" xfId="21376" xr:uid="{3D737D26-8D47-42D5-BB22-1E4818534386}"/>
    <cellStyle name="Comma 9 4 2 2 4" xfId="24005" xr:uid="{96A29539-771F-4E38-884F-6CC3BCAFD248}"/>
    <cellStyle name="Comma 9 4 2 2 5" xfId="15710" xr:uid="{412DA1D9-9811-42B5-8081-0F6DE9609973}"/>
    <cellStyle name="Comma 9 4 2 3" xfId="2863" xr:uid="{00000000-0005-0000-0000-00002E030000}"/>
    <cellStyle name="Comma 9 4 2 4" xfId="5656" xr:uid="{FACDA99C-DDD8-460F-90C1-E63427823092}"/>
    <cellStyle name="Comma 9 4 2 4 2" xfId="29780" xr:uid="{E30DC661-0A7D-4302-84B9-97F8610FC21A}"/>
    <cellStyle name="Comma 9 4 2 5" xfId="24264" xr:uid="{3265BF72-9522-42AA-B61C-3BDC8B8C2FEA}"/>
    <cellStyle name="Comma 9 4 2 6" xfId="13596" xr:uid="{777200A9-6584-4AD9-8F33-936578F81C45}"/>
    <cellStyle name="Comma 9 4 3" xfId="1834" xr:uid="{00000000-0005-0000-0000-00002F030000}"/>
    <cellStyle name="Comma 9 4 3 2" xfId="2685" xr:uid="{00000000-0005-0000-0000-00006B020000}"/>
    <cellStyle name="Comma 9 4 3 2 2" xfId="7809" xr:uid="{E331375F-8633-44FE-825C-9D28423035A0}"/>
    <cellStyle name="Comma 9 4 3 2 2 2" xfId="18189" xr:uid="{1DAC768A-1B7D-40B1-827C-C4417E242BA6}"/>
    <cellStyle name="Comma 9 4 3 2 3" xfId="10642" xr:uid="{70FCB1B9-77A8-47C2-8CD6-DDBFED7DE979}"/>
    <cellStyle name="Comma 9 4 3 2 3 2" xfId="21022" xr:uid="{F4D14E92-635C-44F3-AF4A-2EE9D0000A5A}"/>
    <cellStyle name="Comma 9 4 3 2 4" xfId="15356" xr:uid="{A80AE682-E449-4C51-8007-0414D76349D1}"/>
    <cellStyle name="Comma 9 4 3 2 5" xfId="30445" xr:uid="{B26AB995-9DA7-45C6-8F4A-F83B12EC79F3}"/>
    <cellStyle name="Comma 9 4 3 3" xfId="2865" xr:uid="{00000000-0005-0000-0000-00002F030000}"/>
    <cellStyle name="Comma 9 4 3 4" xfId="5657" xr:uid="{5A2DC35C-DA84-47EE-9C97-6ECF34E3F1B9}"/>
    <cellStyle name="Comma 9 4 3 4 2" xfId="29757" xr:uid="{3FF33E2E-17F3-4806-92DB-FC2FBAC24A0C}"/>
    <cellStyle name="Comma 9 4 3 5" xfId="23996" xr:uid="{5E6A089C-D917-41FC-BC1A-85B936181ADC}"/>
    <cellStyle name="Comma 9 4 3 6" xfId="13098" xr:uid="{CA7AFE53-3DF3-4060-99A5-F06C7E393E9D}"/>
    <cellStyle name="Comma 9 4 4" xfId="1832" xr:uid="{00000000-0005-0000-0000-000030030000}"/>
    <cellStyle name="Comma 9 4 4 2" xfId="4625" xr:uid="{FE65B954-A8A9-4EAA-8C9D-BB93F9307337}"/>
    <cellStyle name="Comma 9 4 4 2 2" xfId="9397" xr:uid="{CC2D082B-9568-4061-BFBC-7503E89197A5}"/>
    <cellStyle name="Comma 9 4 4 2 2 2" xfId="19777" xr:uid="{1081FF1A-E036-4CD8-8BA8-9FC86411E3A1}"/>
    <cellStyle name="Comma 9 4 4 2 3" xfId="12230" xr:uid="{857A7544-3BCE-4D2B-A6D8-4060EFC69FAD}"/>
    <cellStyle name="Comma 9 4 4 2 3 2" xfId="22610" xr:uid="{3C845386-DD0D-4613-A146-6785A04FC2CA}"/>
    <cellStyle name="Comma 9 4 4 2 4" xfId="28495" xr:uid="{A373CDC8-DBDB-4B19-BFB6-C534F20C37EB}"/>
    <cellStyle name="Comma 9 4 4 2 5" xfId="26181" xr:uid="{54DC8C73-61C9-4057-873E-9401108C2B6F}"/>
    <cellStyle name="Comma 9 4 4 2 6" xfId="16944" xr:uid="{52C391CC-B8A7-420E-80D5-E049C16AC34D}"/>
    <cellStyle name="Comma 9 4 4 3" xfId="25130" xr:uid="{2F96BC45-D1A8-477B-912B-54E4C4A93C35}"/>
    <cellStyle name="Comma 9 4 5" xfId="4134" xr:uid="{3A5B6A9D-E2F9-4176-8736-970E7F931A38}"/>
    <cellStyle name="Comma 9 4 5 2" xfId="8906" xr:uid="{231E58DE-E60E-4884-A444-43E1D087A008}"/>
    <cellStyle name="Comma 9 4 5 2 2" xfId="29011" xr:uid="{50BE6FA5-AEA9-4730-8B03-94597896F2AC}"/>
    <cellStyle name="Comma 9 4 5 2 3" xfId="27946" xr:uid="{FC375E88-CEB9-42BF-B05D-CC17C8C7FACB}"/>
    <cellStyle name="Comma 9 4 5 2 4" xfId="19286" xr:uid="{8C961C43-0FD4-4DE2-AF9A-F682BF2269EA}"/>
    <cellStyle name="Comma 9 4 5 2 5" xfId="31016" xr:uid="{C70E7451-E225-40B7-9553-75756977E965}"/>
    <cellStyle name="Comma 9 4 5 3" xfId="11739" xr:uid="{97DBAD62-6B6E-4B36-BEDA-3E9C71377653}"/>
    <cellStyle name="Comma 9 4 5 3 2" xfId="22119" xr:uid="{5B2E8434-CDB6-4456-9914-5C1A52D21BA2}"/>
    <cellStyle name="Comma 9 4 5 4" xfId="23808" xr:uid="{43B1E241-E8F2-4E70-A670-726EB7856799}"/>
    <cellStyle name="Comma 9 4 5 5" xfId="16453" xr:uid="{1D690D66-5B99-40BC-A859-3606B2565E5A}"/>
    <cellStyle name="Comma 9 4 6" xfId="4933" xr:uid="{0091691E-B76B-4D47-B30A-70E1F774625F}"/>
    <cellStyle name="Comma 9 4 6 2" xfId="27140" xr:uid="{03F91043-8AF1-4A18-845A-F17760B2E279}"/>
    <cellStyle name="Comma 9 4 6 3" xfId="26024" xr:uid="{60957D1F-98E5-47F2-8A98-70467DECF462}"/>
    <cellStyle name="Comma 9 4 6 4" xfId="14225" xr:uid="{5C397A5E-5721-42D2-9020-F116BDBE3D50}"/>
    <cellStyle name="Comma 9 4 7" xfId="6678" xr:uid="{BF37F11C-F416-4874-9EC2-E625A9DD0D55}"/>
    <cellStyle name="Comma 9 4 7 2" xfId="25856" xr:uid="{6DBE41EF-36D8-4C35-8416-709ECA033017}"/>
    <cellStyle name="Comma 9 4 7 3" xfId="27649" xr:uid="{12019546-0995-48DF-B220-09A66AC498C8}"/>
    <cellStyle name="Comma 9 4 7 4" xfId="17058" xr:uid="{32AF84CE-B18D-464C-A70E-6DE5EC154F9A}"/>
    <cellStyle name="Comma 9 4 8" xfId="9511" xr:uid="{9CB2F9B3-66D1-40D1-952E-C5E337CE3155}"/>
    <cellStyle name="Comma 9 4 8 2" xfId="19891" xr:uid="{EACFA2CD-C989-4EFF-B1E9-0B93E72AA165}"/>
    <cellStyle name="Comma 9 4 9" xfId="23380" xr:uid="{DC4BC53C-6F1B-438D-AE51-C463E2080EF4}"/>
    <cellStyle name="Comma 9 5" xfId="544" xr:uid="{00000000-0005-0000-0000-000031030000}"/>
    <cellStyle name="Comma 9 5 10" xfId="13597" xr:uid="{83B15E35-6B93-4D49-AEF8-1630BB09035E}"/>
    <cellStyle name="Comma 9 5 2" xfId="1836" xr:uid="{00000000-0005-0000-0000-000032030000}"/>
    <cellStyle name="Comma 9 5 2 2" xfId="23872" xr:uid="{DCC8170A-53AF-458D-A295-81F5DBDF94FB}"/>
    <cellStyle name="Comma 9 5 2 2 2" xfId="29734" xr:uid="{4EE9F0A9-B64B-4BBC-877F-5C2DC9EA782C}"/>
    <cellStyle name="Comma 9 5 2 2 2 2" xfId="30817" xr:uid="{7DDDB3C0-0AA8-429A-9485-C1BA4A808B64}"/>
    <cellStyle name="Comma 9 5 2 3" xfId="25740" xr:uid="{BD4F76CC-DB4F-408A-9F04-DD94FC6E59F4}"/>
    <cellStyle name="Comma 9 5 2 4" xfId="30062" xr:uid="{2C5886AA-A058-4749-A25F-7DF620D43BC6}"/>
    <cellStyle name="Comma 9 5 3" xfId="1837" xr:uid="{00000000-0005-0000-0000-000033030000}"/>
    <cellStyle name="Comma 9 5 4" xfId="1835" xr:uid="{00000000-0005-0000-0000-000034030000}"/>
    <cellStyle name="Comma 9 5 5" xfId="4422" xr:uid="{8EC6386D-C2C1-405F-852E-EAC3F4EC2A41}"/>
    <cellStyle name="Comma 9 5 5 2" xfId="9194" xr:uid="{8A7F21B0-5A5D-4C74-B81C-486ACD5191D6}"/>
    <cellStyle name="Comma 9 5 5 2 2" xfId="19574" xr:uid="{E6AFE00C-408F-49CE-97BB-B98173877846}"/>
    <cellStyle name="Comma 9 5 5 2 3" xfId="31088" xr:uid="{2CDF2188-A78B-4855-8CE4-F384313AF8EE}"/>
    <cellStyle name="Comma 9 5 5 2 4" xfId="30816" xr:uid="{A68B76D1-A43A-4AAC-9BB7-E9A4D4A197E0}"/>
    <cellStyle name="Comma 9 5 5 3" xfId="12027" xr:uid="{5D6BBF46-0E92-42E9-8FE6-45DB54368DB5}"/>
    <cellStyle name="Comma 9 5 5 3 2" xfId="22407" xr:uid="{BDC8279A-D582-4486-AC4B-D513E2A5B65C}"/>
    <cellStyle name="Comma 9 5 5 4" xfId="16741" xr:uid="{537E17A7-7BE3-4DD4-B5E0-334C97CB41B1}"/>
    <cellStyle name="Comma 9 5 6" xfId="4934" xr:uid="{3BEECAB2-096E-478B-8733-052CC5DA46D1}"/>
    <cellStyle name="Comma 9 5 6 2" xfId="14226" xr:uid="{132FD597-578A-4B73-932F-F8193B464CB5}"/>
    <cellStyle name="Comma 9 5 7" xfId="6679" xr:uid="{C13BDEBE-EC6F-4B5B-B3FF-187FD5333AD1}"/>
    <cellStyle name="Comma 9 5 7 2" xfId="17059" xr:uid="{640FFE14-AE5F-4D33-94EA-47F986E50348}"/>
    <cellStyle name="Comma 9 5 8" xfId="9512" xr:uid="{A92927A1-ABCD-49F8-9AAF-A2700459F7EF}"/>
    <cellStyle name="Comma 9 5 8 2" xfId="19892" xr:uid="{6FC0863A-4F9B-40B6-857E-4D242A7598FA}"/>
    <cellStyle name="Comma 9 5 9" xfId="25537" xr:uid="{D2C37B91-35F4-4516-8914-A4B4F52CA9F9}"/>
    <cellStyle name="Comma 9 6" xfId="1838" xr:uid="{00000000-0005-0000-0000-000035030000}"/>
    <cellStyle name="Comma 9 6 2" xfId="2880" xr:uid="{00000000-0005-0000-0000-00006D020000}"/>
    <cellStyle name="Comma 9 6 2 2" xfId="7997" xr:uid="{F8DF9D05-4BF2-44A5-8B37-515E769FFBD5}"/>
    <cellStyle name="Comma 9 6 2 2 2" xfId="28512" xr:uid="{72FA9D96-51E4-4F4A-978B-4A85F827A191}"/>
    <cellStyle name="Comma 9 6 2 2 2 2" xfId="31207" xr:uid="{AC86CCF5-87B5-486C-A95D-B373481C3E5D}"/>
    <cellStyle name="Comma 9 6 2 2 2 3" xfId="30818" xr:uid="{A3D88B5A-1B43-49B3-A188-71217E96AF43}"/>
    <cellStyle name="Comma 9 6 2 2 3" xfId="28128" xr:uid="{13D8EEBD-E61C-47F1-8E6D-4914C778CF50}"/>
    <cellStyle name="Comma 9 6 2 2 4" xfId="18377" xr:uid="{2FBE579A-0724-40CE-A96C-AE6C5A8A6738}"/>
    <cellStyle name="Comma 9 6 2 3" xfId="10830" xr:uid="{117361D7-DE3B-48DA-A416-490B2DBE8F56}"/>
    <cellStyle name="Comma 9 6 2 3 2" xfId="21210" xr:uid="{4B1EFDCC-AF3A-4AA3-A4B3-4EA13FEE091E}"/>
    <cellStyle name="Comma 9 6 2 4" xfId="23707" xr:uid="{52309564-43A7-44AD-ACC3-88FC48623B4F}"/>
    <cellStyle name="Comma 9 6 2 5" xfId="15544" xr:uid="{A5167BCE-42C2-4F06-B756-5F61D70AB861}"/>
    <cellStyle name="Comma 9 6 3" xfId="3701" xr:uid="{00000000-0005-0000-0000-000035030000}"/>
    <cellStyle name="Comma 9 6 4" xfId="5658" xr:uid="{F0889DBC-5892-417F-8EE7-FA192F9E9925}"/>
    <cellStyle name="Comma 9 6 4 2" xfId="29768" xr:uid="{B3881E7F-EA6D-4505-A0C2-F6197E7FCB7D}"/>
    <cellStyle name="Comma 9 6 5" xfId="24583" xr:uid="{56AB86CB-57DE-41F5-A230-5CEEE65EC711}"/>
    <cellStyle name="Comma 9 6 6" xfId="13378" xr:uid="{9075C2A9-E0C7-42DA-8F05-B5C16EE5D13C}"/>
    <cellStyle name="Comma 9 7" xfId="1839" xr:uid="{00000000-0005-0000-0000-000036030000}"/>
    <cellStyle name="Comma 9 7 2" xfId="2480" xr:uid="{00000000-0005-0000-0000-00006E020000}"/>
    <cellStyle name="Comma 9 7 2 2" xfId="7605" xr:uid="{D5B135C5-3CB5-4DF1-B349-0B52A0BC6519}"/>
    <cellStyle name="Comma 9 7 2 2 2" xfId="17985" xr:uid="{839A207B-8E9A-435A-B9A2-4DB69BB8C548}"/>
    <cellStyle name="Comma 9 7 2 3" xfId="10438" xr:uid="{7A2A9931-09CA-4C00-8628-5260613B428F}"/>
    <cellStyle name="Comma 9 7 2 3 2" xfId="20818" xr:uid="{BB635F78-7B5F-469E-A4E1-A95E414DCC15}"/>
    <cellStyle name="Comma 9 7 2 4" xfId="27708" xr:uid="{E697571F-732E-4AA2-8232-8ADA520FD7E3}"/>
    <cellStyle name="Comma 9 7 2 5" xfId="27043" xr:uid="{2C8384A5-EDEB-4BC1-BCE6-5F8E40BA29C5}"/>
    <cellStyle name="Comma 9 7 2 6" xfId="15152" xr:uid="{5BA22906-1C66-4AAA-9480-D2A998B67ED2}"/>
    <cellStyle name="Comma 9 7 3" xfId="3659" xr:uid="{00000000-0005-0000-0000-000036030000}"/>
    <cellStyle name="Comma 9 7 4" xfId="5659" xr:uid="{30261AFC-BC09-4145-A1C1-20C674F34240}"/>
    <cellStyle name="Comma 9 7 4 2" xfId="29866" xr:uid="{F821CFCD-FFB9-4C80-B833-DA30AE5E5A8C}"/>
    <cellStyle name="Comma 9 7 5" xfId="24924" xr:uid="{29E6EB39-4CF9-46EE-BB9A-ACC34553CA10}"/>
    <cellStyle name="Comma 9 7 6" xfId="12868" xr:uid="{B716D2F0-27D6-45B7-9D21-02D2AFFE409C}"/>
    <cellStyle name="Comma 9 8" xfId="1819" xr:uid="{00000000-0005-0000-0000-000037030000}"/>
    <cellStyle name="Comma 9 8 2" xfId="2174" xr:uid="{00000000-0005-0000-0000-000055020000}"/>
    <cellStyle name="Comma 9 8 2 2" xfId="7301" xr:uid="{0681815D-DA0A-44AC-B63D-096C72FAF05F}"/>
    <cellStyle name="Comma 9 8 2 2 2" xfId="17681" xr:uid="{4E66BBA4-5680-4D52-8C98-7FD554A826E1}"/>
    <cellStyle name="Comma 9 8 2 3" xfId="10134" xr:uid="{8A8E8938-B03B-4A5B-B9C5-378A6A3693A6}"/>
    <cellStyle name="Comma 9 8 2 3 2" xfId="20514" xr:uid="{50971F9A-6718-488A-A0F2-E7DA43E14EA9}"/>
    <cellStyle name="Comma 9 8 2 4" xfId="27925" xr:uid="{0F5FA70B-01F5-4593-A104-BDD6E3273FAB}"/>
    <cellStyle name="Comma 9 8 2 5" xfId="25964" xr:uid="{B66DC2D6-5D54-4F8E-82C0-EC4FEB159109}"/>
    <cellStyle name="Comma 9 8 2 6" xfId="14848" xr:uid="{80F29169-2463-4D00-9FF7-78830790E047}"/>
    <cellStyle name="Comma 9 8 3" xfId="3546" xr:uid="{00000000-0005-0000-0000-000037030000}"/>
    <cellStyle name="Comma 9 8 4" xfId="25254" xr:uid="{002E24B2-B2C8-44B9-8713-3DE11B6D9157}"/>
    <cellStyle name="Comma 9 9" xfId="3877" xr:uid="{843F6AD1-FCB4-445A-AA8D-FE1C9F50769F}"/>
    <cellStyle name="Comma 9 9 2" xfId="8709" xr:uid="{95A34064-24CD-4754-9807-8A57438B2F68}"/>
    <cellStyle name="Comma 9 9 2 2" xfId="19089" xr:uid="{7555BDD1-0452-4A18-A1C8-2D9D28563F51}"/>
    <cellStyle name="Comma 9 9 3" xfId="11542" xr:uid="{6B5AB9F2-6D06-45A2-91F3-BB97F134CEA2}"/>
    <cellStyle name="Comma 9 9 3 2" xfId="21922" xr:uid="{5C5B9B25-98D4-49A4-940B-809F1F4D44DD}"/>
    <cellStyle name="Comma 9 9 4" xfId="28054" xr:uid="{86BCF2E4-A5F7-4B4D-9E16-0B7509DA28D2}"/>
    <cellStyle name="Comma 9 9 5" xfId="28683" xr:uid="{7A68E2DD-3DD2-483A-8D01-3717E66A3056}"/>
    <cellStyle name="Comma 9 9 6" xfId="16256" xr:uid="{C6FC2547-1541-496E-83B5-C02EE9239EC9}"/>
    <cellStyle name="Currency" xfId="545" builtinId="4"/>
    <cellStyle name="Currency 10" xfId="9513" xr:uid="{E689EB5D-FEBE-4207-8328-F59950977F17}"/>
    <cellStyle name="Currency 10 2" xfId="19893" xr:uid="{2B6095D5-BCD8-4CCD-85E7-EE646FEB2A7C}"/>
    <cellStyle name="Currency 2" xfId="546" xr:uid="{00000000-0005-0000-0000-000039030000}"/>
    <cellStyle name="Currency 2 2" xfId="547" xr:uid="{00000000-0005-0000-0000-00003A030000}"/>
    <cellStyle name="Currency 2 2 2" xfId="1841" xr:uid="{00000000-0005-0000-0000-00003B030000}"/>
    <cellStyle name="Currency 2 2 2 2" xfId="25523" xr:uid="{F33B5A7B-A6F4-4F39-9943-AAAD1FE7791C}"/>
    <cellStyle name="Currency 2 2 2 2 2" xfId="29676" xr:uid="{8A10BD16-5AEB-494E-881F-7E0D230EA123}"/>
    <cellStyle name="Currency 2 2 2 3" xfId="25761" xr:uid="{8F717FAC-E6A7-4309-961E-F4148D0E234D}"/>
    <cellStyle name="Currency 2 2 3" xfId="1842" xr:uid="{00000000-0005-0000-0000-00003C030000}"/>
    <cellStyle name="Currency 2 2 3 2" xfId="31311" xr:uid="{7BFE6CF7-9CFB-4E56-9502-51B9DDDA54DC}"/>
    <cellStyle name="Currency 2 2 3 3" xfId="31262" xr:uid="{1228AB1E-3502-40BF-A461-A45B15291AD2}"/>
    <cellStyle name="Currency 2 2 4" xfId="1840" xr:uid="{00000000-0005-0000-0000-00003D030000}"/>
    <cellStyle name="Currency 2 2 5" xfId="30404" xr:uid="{6C56C78C-CF80-400B-8AD4-5EA478965CBC}"/>
    <cellStyle name="Currency 2 2 5 2" xfId="30446" xr:uid="{52EAF437-DE7B-45B5-A79E-F2F09DDEC780}"/>
    <cellStyle name="Currency 2 3" xfId="548" xr:uid="{00000000-0005-0000-0000-00003E030000}"/>
    <cellStyle name="Currency 2 4" xfId="549" xr:uid="{00000000-0005-0000-0000-00003F030000}"/>
    <cellStyle name="Currency 2 4 10" xfId="27032" xr:uid="{E2BB59DD-EAC6-4905-8F26-36D6C8445F5A}"/>
    <cellStyle name="Currency 2 4 11" xfId="14228" xr:uid="{EFB3DA06-E140-4491-AB6E-684BE1B48751}"/>
    <cellStyle name="Currency 2 4 2" xfId="550" xr:uid="{00000000-0005-0000-0000-000040030000}"/>
    <cellStyle name="Currency 2 4 2 2" xfId="1845" xr:uid="{00000000-0005-0000-0000-000041030000}"/>
    <cellStyle name="Currency 2 4 2 3" xfId="1846" xr:uid="{00000000-0005-0000-0000-000042030000}"/>
    <cellStyle name="Currency 2 4 2 4" xfId="1844" xr:uid="{00000000-0005-0000-0000-000043030000}"/>
    <cellStyle name="Currency 2 4 2 5" xfId="6682" xr:uid="{6B07941A-733F-4265-B589-986D489FB7FB}"/>
    <cellStyle name="Currency 2 4 2 5 2" xfId="17062" xr:uid="{A75C8787-838D-458D-9893-435FAFB16D29}"/>
    <cellStyle name="Currency 2 4 2 6" xfId="9515" xr:uid="{4A2CCE91-071D-4DFC-94AA-3F311A8B76DD}"/>
    <cellStyle name="Currency 2 4 2 6 2" xfId="19895" xr:uid="{F9F12B49-8742-44E9-86C5-23FD4B485300}"/>
    <cellStyle name="Currency 2 4 2 7" xfId="25185" xr:uid="{8C613C50-0C1C-451F-91C4-8486798283CE}"/>
    <cellStyle name="Currency 2 4 2 8" xfId="14229" xr:uid="{F0C44351-F905-47A4-AD58-729DEE0B4430}"/>
    <cellStyle name="Currency 2 4 3" xfId="1847" xr:uid="{00000000-0005-0000-0000-000044030000}"/>
    <cellStyle name="Currency 2 4 3 2" xfId="31312" xr:uid="{63EA3BD5-D743-4D3E-B117-DC4C143B3472}"/>
    <cellStyle name="Currency 2 4 3 3" xfId="31271" xr:uid="{143BD92B-F210-4D52-85D1-C1196C82AA7E}"/>
    <cellStyle name="Currency 2 4 4" xfId="1848" xr:uid="{00000000-0005-0000-0000-000045030000}"/>
    <cellStyle name="Currency 2 4 5" xfId="1843" xr:uid="{00000000-0005-0000-0000-000046030000}"/>
    <cellStyle name="Currency 2 4 6" xfId="6681" xr:uid="{8CFBB05E-FC06-4B48-9CB7-78AB3B06959E}"/>
    <cellStyle name="Currency 2 4 6 2" xfId="17061" xr:uid="{24208534-EA6E-486C-9511-89CD5A46A0BC}"/>
    <cellStyle name="Currency 2 4 6 3" xfId="29821" xr:uid="{7495F884-4559-4BB6-B6DD-02CAC4FD0E91}"/>
    <cellStyle name="Currency 2 4 7" xfId="9514" xr:uid="{E9C1AF90-268C-4F7A-A2C6-48777BDDBCCB}"/>
    <cellStyle name="Currency 2 4 7 2" xfId="19894" xr:uid="{58A25324-231A-479A-B501-749E4161E97F}"/>
    <cellStyle name="Currency 2 4 8" xfId="24633" xr:uid="{27BCA51D-A890-4632-B002-5D71C0530BA5}"/>
    <cellStyle name="Currency 2 4 9" xfId="22901" xr:uid="{F015D0BA-F72C-4632-855D-37F062B28834}"/>
    <cellStyle name="Currency 2 5" xfId="1849" xr:uid="{00000000-0005-0000-0000-000047030000}"/>
    <cellStyle name="Currency 2 5 2" xfId="31273" xr:uid="{C9960BEB-433F-4D8A-AB3D-38B8005C5B97}"/>
    <cellStyle name="Currency 2 5 3" xfId="31313" xr:uid="{17E81078-713B-441E-8C51-6F85DC0B3771}"/>
    <cellStyle name="Currency 2 5 4" xfId="31255" xr:uid="{71529EA7-54A6-4052-B414-B4F635F70A11}"/>
    <cellStyle name="Currency 2 6" xfId="30403" xr:uid="{BCAB48D8-82F5-4F43-A322-3E67DE7472E1}"/>
    <cellStyle name="Currency 2 6 2" xfId="31261" xr:uid="{E8739B1A-634F-45BD-BCE4-041B23EE0F95}"/>
    <cellStyle name="Currency 3" xfId="551" xr:uid="{00000000-0005-0000-0000-000048030000}"/>
    <cellStyle name="Currency 3 10" xfId="30620" xr:uid="{CC98C09A-FB90-4F09-8713-CE67BE1C4FA6}"/>
    <cellStyle name="Currency 3 11" xfId="30918" xr:uid="{AC79C766-96F4-4BB0-9D53-CAD075CD5FB9}"/>
    <cellStyle name="Currency 3 2" xfId="552" xr:uid="{00000000-0005-0000-0000-000049030000}"/>
    <cellStyle name="Currency 3 2 2" xfId="1851" xr:uid="{00000000-0005-0000-0000-00004A030000}"/>
    <cellStyle name="Currency 3 2 2 2" xfId="30604" xr:uid="{87CC1BB8-D490-4CBA-AE62-52158B1BF23D}"/>
    <cellStyle name="Currency 3 2 2 2 2" xfId="30820" xr:uid="{0C94806D-7676-421F-9E69-D685AFF23599}"/>
    <cellStyle name="Currency 3 2 2 3" xfId="30565" xr:uid="{1EE52B54-EC85-4641-BC5E-D5D513A14121}"/>
    <cellStyle name="Currency 3 2 2 4" xfId="30931" xr:uid="{9104C6C5-305B-4CE0-B9BE-66CC40287E6D}"/>
    <cellStyle name="Currency 3 2 3" xfId="1852" xr:uid="{00000000-0005-0000-0000-00004B030000}"/>
    <cellStyle name="Currency 3 2 3 2" xfId="30615" xr:uid="{2D020D6F-B1E2-42BA-9525-8CD612C11686}"/>
    <cellStyle name="Currency 3 2 3 2 2" xfId="30821" xr:uid="{793F920B-E972-4134-AAFB-C8B0826B0E0C}"/>
    <cellStyle name="Currency 3 2 3 3" xfId="30576" xr:uid="{B4E6E47A-8B2C-4E61-BB8D-30D9C4F7C82A}"/>
    <cellStyle name="Currency 3 2 3 4" xfId="30942" xr:uid="{F852420D-7AB5-4DD1-92DF-D97324C12DE3}"/>
    <cellStyle name="Currency 3 2 4" xfId="1850" xr:uid="{00000000-0005-0000-0000-00004C030000}"/>
    <cellStyle name="Currency 3 2 4 2" xfId="30557" xr:uid="{143D821B-A1E5-45AA-8D28-FA09A9A6E54E}"/>
    <cellStyle name="Currency 3 2 4 2 2" xfId="30822" xr:uid="{5A603EFF-9CB2-4DC6-9418-67911C9EF2AE}"/>
    <cellStyle name="Currency 3 2 5" xfId="6683" xr:uid="{4FCFE811-3755-46F4-8803-2EFC844A90DA}"/>
    <cellStyle name="Currency 3 2 5 2" xfId="17063" xr:uid="{1F927C96-6E01-4C40-9B2D-7222789598FC}"/>
    <cellStyle name="Currency 3 2 5 2 2" xfId="30819" xr:uid="{82416E93-F733-465F-9221-BF5CA319CA6B}"/>
    <cellStyle name="Currency 3 2 5 3" xfId="30447" xr:uid="{CFB4445B-2822-44EE-97D3-586E0F3CB5E1}"/>
    <cellStyle name="Currency 3 2 6" xfId="9516" xr:uid="{A25B73E7-4A18-4EDD-982A-FC35F1B762F1}"/>
    <cellStyle name="Currency 3 2 6 2" xfId="19896" xr:uid="{FCE94371-A497-4F1A-B43C-D5DF03027CDF}"/>
    <cellStyle name="Currency 3 2 7" xfId="25617" xr:uid="{E1682AC9-7E11-46F4-8DF3-337BFBCF6CAC}"/>
    <cellStyle name="Currency 3 2 8" xfId="14230" xr:uid="{ADDB2CFA-D549-4A22-A71D-B2AEB10EA70D}"/>
    <cellStyle name="Currency 3 3" xfId="30413" xr:uid="{D9261D7C-4BB0-4F23-8A7D-89513C8C9F65}"/>
    <cellStyle name="Currency 3 4" xfId="30414" xr:uid="{56B42A0C-41FC-4CE6-B7AD-37115BE76475}"/>
    <cellStyle name="Currency 3 4 2" xfId="30448" xr:uid="{FAFC5492-58AD-4064-AA46-E99FA44DE317}"/>
    <cellStyle name="Currency 3 4 2 2" xfId="30605" xr:uid="{26A558A6-6954-4BC7-9B2E-CB04CA19DF15}"/>
    <cellStyle name="Currency 3 4 2 2 2" xfId="30823" xr:uid="{BAD0F4FB-A620-4584-9052-59B615478FE4}"/>
    <cellStyle name="Currency 3 4 2 3" xfId="30566" xr:uid="{CF89AC64-B129-47C4-9033-859EF82BC59F}"/>
    <cellStyle name="Currency 3 4 2 4" xfId="30932" xr:uid="{BFD1A78F-8924-435D-8C6C-0D4901C78012}"/>
    <cellStyle name="Currency 3 4 3" xfId="30558" xr:uid="{20CD84F8-EDE8-4AF4-B532-A3E1B5109EF4}"/>
    <cellStyle name="Currency 3 4 3 2" xfId="30635" xr:uid="{DF88B98C-68E1-47F3-A338-2C5D7520D934}"/>
    <cellStyle name="Currency 3 4 3 3" xfId="30945" xr:uid="{45BC16B4-B7BF-4099-8716-EADE89E871F5}"/>
    <cellStyle name="Currency 3 4 4" xfId="30591" xr:uid="{68808DD4-EE59-4BA1-BF12-A45A21B1D415}"/>
    <cellStyle name="Currency 3 4 5" xfId="30624" xr:uid="{D16E1CA0-3C3A-427D-9FC3-9BB85E6A1553}"/>
    <cellStyle name="Currency 3 4 6" xfId="30922" xr:uid="{FAD81B93-BBB8-43D5-BD80-94DF096C6A51}"/>
    <cellStyle name="Currency 3 5" xfId="30415" xr:uid="{81863DDD-1FEA-49F1-AEA7-615BE80C86A1}"/>
    <cellStyle name="Currency 3 5 2" xfId="30449" xr:uid="{CE9DCB24-732B-4ADA-857C-6F58DD618B77}"/>
    <cellStyle name="Currency 3 5 2 2" xfId="30606" xr:uid="{34227F4F-8C86-4B60-BC19-C90512E35E07}"/>
    <cellStyle name="Currency 3 5 2 2 2" xfId="30824" xr:uid="{239D24BD-EA61-4223-A6AC-E2D0B4B19C16}"/>
    <cellStyle name="Currency 3 5 2 3" xfId="30567" xr:uid="{DD97E0D8-3A98-41BE-B0BE-039F013CA0A8}"/>
    <cellStyle name="Currency 3 5 2 4" xfId="30933" xr:uid="{7558C0CC-CC3C-48DB-873C-E663906AD405}"/>
    <cellStyle name="Currency 3 5 3" xfId="30592" xr:uid="{06599778-836F-4CFE-92BA-FDF17CE2D98E}"/>
    <cellStyle name="Currency 3 5 3 2" xfId="30636" xr:uid="{2D11F2B4-9C32-4FD4-856C-702A205F961B}"/>
    <cellStyle name="Currency 3 5 3 3" xfId="30946" xr:uid="{DF42840B-E34C-485E-9570-C84EC1F5ECCC}"/>
    <cellStyle name="Currency 3 5 4" xfId="30625" xr:uid="{DFF81114-405C-4BD9-882E-3E6DCC627BBA}"/>
    <cellStyle name="Currency 3 5 5" xfId="30923" xr:uid="{889487E8-CDE1-4124-A152-07293079280A}"/>
    <cellStyle name="Currency 3 6" xfId="30556" xr:uid="{E6F281E3-0276-4ECA-AC9C-37A1F772038D}"/>
    <cellStyle name="Currency 3 7" xfId="30573" xr:uid="{5086352A-41FE-4853-9FBE-0A6014B61D30}"/>
    <cellStyle name="Currency 3 7 2" xfId="30612" xr:uid="{7367140C-062D-4451-8ECD-8EE326D93E2A}"/>
    <cellStyle name="Currency 3 7 3" xfId="30631" xr:uid="{EE3C1B3E-C238-41D4-83A6-0E95DA0C6E18}"/>
    <cellStyle name="Currency 3 7 4" xfId="30938" xr:uid="{95BC5195-8BFF-481F-A698-758C4BBDB773}"/>
    <cellStyle name="Currency 3 8" xfId="30546" xr:uid="{0CD1A085-9703-4560-91E9-56A6256AB4B6}"/>
    <cellStyle name="Currency 3 9" xfId="30577" xr:uid="{DB854ECE-A65B-4464-A0DC-C7561B51E415}"/>
    <cellStyle name="Currency 4" xfId="553" xr:uid="{00000000-0005-0000-0000-00004D030000}"/>
    <cellStyle name="Currency 4 10" xfId="554" xr:uid="{00000000-0005-0000-0000-00004E030000}"/>
    <cellStyle name="Currency 4 10 10" xfId="12682" xr:uid="{C89A52B3-84DE-4D56-AB19-F2222440D6C3}"/>
    <cellStyle name="Currency 4 10 2" xfId="1855" xr:uid="{00000000-0005-0000-0000-00004F030000}"/>
    <cellStyle name="Currency 4 10 2 2" xfId="3084" xr:uid="{00000000-0005-0000-0000-000075020000}"/>
    <cellStyle name="Currency 4 10 2 2 2" xfId="8164" xr:uid="{7A792EC4-ACE5-466A-BF18-DA894CE6B7E6}"/>
    <cellStyle name="Currency 4 10 2 2 2 2" xfId="18544" xr:uid="{82EF5D85-311B-4726-91D4-7AEA7459CB9A}"/>
    <cellStyle name="Currency 4 10 2 2 3" xfId="10997" xr:uid="{18F09CAA-3970-48F4-8028-B9700EEADCCB}"/>
    <cellStyle name="Currency 4 10 2 2 3 2" xfId="21377" xr:uid="{FBE3B2B8-BF65-4F7D-810C-65B197035DF8}"/>
    <cellStyle name="Currency 4 10 2 2 4" xfId="28669" xr:uid="{6B3573D9-B002-4527-BE7A-14C87DB37E3F}"/>
    <cellStyle name="Currency 4 10 2 2 5" xfId="28003" xr:uid="{3458A60A-E96B-4782-9C92-3C1E6BE08ED3}"/>
    <cellStyle name="Currency 4 10 2 2 6" xfId="15711" xr:uid="{EE4DF844-B7A5-4C38-8430-F6129C4964E3}"/>
    <cellStyle name="Currency 4 10 2 3" xfId="2052" xr:uid="{00000000-0005-0000-0000-00004F030000}"/>
    <cellStyle name="Currency 4 10 2 4" xfId="5660" xr:uid="{A2AAE002-0A20-488C-9C52-4228652B0BF6}"/>
    <cellStyle name="Currency 4 10 2 4 2" xfId="29781" xr:uid="{BF8FBF9C-A9AE-4570-B79D-C7C876F315A5}"/>
    <cellStyle name="Currency 4 10 2 5" xfId="25410" xr:uid="{B0582985-45F2-4C4B-80A7-F2EC0648FFB9}"/>
    <cellStyle name="Currency 4 10 2 6" xfId="13598" xr:uid="{22E4A5B0-9FF4-47B3-85B5-231E69F48698}"/>
    <cellStyle name="Currency 4 10 3" xfId="1856" xr:uid="{00000000-0005-0000-0000-000050030000}"/>
    <cellStyle name="Currency 4 10 3 2" xfId="24734" xr:uid="{CA990BB0-C204-4B40-886F-F2954B0D0D94}"/>
    <cellStyle name="Currency 4 10 3 3" xfId="24531" xr:uid="{7D6C6936-280A-4C1C-8BFF-53EA962C5745}"/>
    <cellStyle name="Currency 4 10 3 4" xfId="30063" xr:uid="{40918CAD-B437-47A8-B12D-997B4568D142}"/>
    <cellStyle name="Currency 4 10 3 5" xfId="29665" xr:uid="{67C50BD9-2CAF-4C73-BD9D-C799CBCDBB6B}"/>
    <cellStyle name="Currency 4 10 4" xfId="1854" xr:uid="{00000000-0005-0000-0000-000051030000}"/>
    <cellStyle name="Currency 4 10 4 2" xfId="24284" xr:uid="{ED9A845B-35BA-45AD-AF0D-05D9F0ECF894}"/>
    <cellStyle name="Currency 4 10 4 3" xfId="23779" xr:uid="{D5B3556B-A73E-4DB9-A41F-1F71F0BEC923}"/>
    <cellStyle name="Currency 4 10 5" xfId="4136" xr:uid="{28316C04-2271-4F96-8382-FEA953367420}"/>
    <cellStyle name="Currency 4 10 5 2" xfId="8908" xr:uid="{21AE18FF-01CE-414B-8875-3BAD9B9FCB74}"/>
    <cellStyle name="Currency 4 10 5 2 2" xfId="19288" xr:uid="{9966A440-B95F-4ADC-9324-D570952B48A6}"/>
    <cellStyle name="Currency 4 10 5 2 3" xfId="31018" xr:uid="{0871327B-F0E4-4A2A-83E5-48144795B73F}"/>
    <cellStyle name="Currency 4 10 5 2 4" xfId="30825" xr:uid="{F6878F02-5380-4822-B59B-FA3551951465}"/>
    <cellStyle name="Currency 4 10 5 3" xfId="11741" xr:uid="{8EDF15E3-3BF4-4105-81C3-E58B929AF5B2}"/>
    <cellStyle name="Currency 4 10 5 3 2" xfId="22121" xr:uid="{567DDC84-5198-4391-AC59-3C901AD1288D}"/>
    <cellStyle name="Currency 4 10 5 4" xfId="25951" xr:uid="{60920962-F1EA-43F0-A991-A08232A9634E}"/>
    <cellStyle name="Currency 4 10 5 5" xfId="28207" xr:uid="{D87AB717-F7E9-4807-B0A8-76E8CF9660A8}"/>
    <cellStyle name="Currency 4 10 5 6" xfId="16455" xr:uid="{B11E6810-51CE-4318-A490-C1192DB9235C}"/>
    <cellStyle name="Currency 4 10 6" xfId="4937" xr:uid="{F803A6F7-BC98-40BE-B52A-DDBD368BD4A7}"/>
    <cellStyle name="Currency 4 10 6 2" xfId="28038" xr:uid="{24DF6FA4-CC8D-41D8-A018-9EF7C39184F9}"/>
    <cellStyle name="Currency 4 10 6 3" xfId="28439" xr:uid="{BE24D556-7083-4982-A77C-092D2A3B50D3}"/>
    <cellStyle name="Currency 4 10 6 4" xfId="14232" xr:uid="{77673FEB-C8F7-4DBD-9C8B-128DB655EB07}"/>
    <cellStyle name="Currency 4 10 7" xfId="6685" xr:uid="{E7B1152D-13C8-4C51-99D0-C1CE86CA2672}"/>
    <cellStyle name="Currency 4 10 7 2" xfId="17065" xr:uid="{9F440BE2-68A6-4EF1-861E-6FCD31280449}"/>
    <cellStyle name="Currency 4 10 8" xfId="9518" xr:uid="{69CFF2B3-C837-4AF4-82CA-58394D59C04B}"/>
    <cellStyle name="Currency 4 10 8 2" xfId="19898" xr:uid="{2252050E-2952-4216-9021-BCEE2F54784E}"/>
    <cellStyle name="Currency 4 10 9" xfId="24282" xr:uid="{6C0D5AE9-E8ED-4663-A503-398A88041B84}"/>
    <cellStyle name="Currency 4 11" xfId="555" xr:uid="{00000000-0005-0000-0000-000052030000}"/>
    <cellStyle name="Currency 4 11 2" xfId="1858" xr:uid="{00000000-0005-0000-0000-000053030000}"/>
    <cellStyle name="Currency 4 11 2 2" xfId="25670" xr:uid="{6AE32305-D723-4F2B-9726-69A14A97E3DF}"/>
    <cellStyle name="Currency 4 11 2 2 2" xfId="29797" xr:uid="{E480E336-5C3C-44AC-9220-09707E85CE00}"/>
    <cellStyle name="Currency 4 11 2 2 2 2" xfId="30827" xr:uid="{4D352770-668B-4CB1-9BFD-BFF3A4AC1C1B}"/>
    <cellStyle name="Currency 4 11 2 3" xfId="22791" xr:uid="{5ABBA574-11C1-4A53-8D6F-81175CE6891C}"/>
    <cellStyle name="Currency 4 11 2 4" xfId="30043" xr:uid="{91030C44-997A-4D80-B0EF-B6069FB20D88}"/>
    <cellStyle name="Currency 4 11 3" xfId="1859" xr:uid="{00000000-0005-0000-0000-000054030000}"/>
    <cellStyle name="Currency 4 11 4" xfId="1857" xr:uid="{00000000-0005-0000-0000-000055030000}"/>
    <cellStyle name="Currency 4 11 5" xfId="4938" xr:uid="{BFC9E390-F889-4696-9995-875A71621CBA}"/>
    <cellStyle name="Currency 4 11 5 2" xfId="14233" xr:uid="{8AECC12D-B054-4142-9C5F-758968040410}"/>
    <cellStyle name="Currency 4 11 5 2 2" xfId="31118" xr:uid="{C0B40B35-E5C0-4FB5-9DCF-943164FD01CF}"/>
    <cellStyle name="Currency 4 11 5 2 3" xfId="30826" xr:uid="{E4F6EF9A-2249-4A18-99D1-59B07C1167CD}"/>
    <cellStyle name="Currency 4 11 6" xfId="6686" xr:uid="{0B58B3C8-2CC9-497F-8371-C9F709B7FDE3}"/>
    <cellStyle name="Currency 4 11 6 2" xfId="17066" xr:uid="{3DC1AB66-354C-4573-99AC-B2AFCBB0FB06}"/>
    <cellStyle name="Currency 4 11 7" xfId="9519" xr:uid="{8147509B-15A1-4C96-A0C2-45BD4C595CC9}"/>
    <cellStyle name="Currency 4 11 7 2" xfId="19899" xr:uid="{41CBA3BB-6B53-4097-A6A0-65C21B147329}"/>
    <cellStyle name="Currency 4 11 8" xfId="25120" xr:uid="{04ACA9BD-851F-42B7-91D0-95019CD4E73C}"/>
    <cellStyle name="Currency 4 11 9" xfId="13380" xr:uid="{F2C1A7B9-8D2A-4045-8439-6F7BD31BCAD2}"/>
    <cellStyle name="Currency 4 12" xfId="1860" xr:uid="{00000000-0005-0000-0000-000056030000}"/>
    <cellStyle name="Currency 4 12 2" xfId="2435" xr:uid="{00000000-0005-0000-0000-000077020000}"/>
    <cellStyle name="Currency 4 12 2 2" xfId="7560" xr:uid="{3D331767-DFA7-49F7-B67B-E2844C1A1125}"/>
    <cellStyle name="Currency 4 12 2 2 2" xfId="17940" xr:uid="{47AE85F2-3195-456D-AD1F-5296A0FD07A1}"/>
    <cellStyle name="Currency 4 12 2 2 2 2" xfId="31133" xr:uid="{59565F86-36CB-4BB2-8FFA-3406B5C83954}"/>
    <cellStyle name="Currency 4 12 2 2 2 3" xfId="30828" xr:uid="{CADA9377-013A-437D-AE8B-EEFEA9B1C519}"/>
    <cellStyle name="Currency 4 12 2 3" xfId="10393" xr:uid="{74AA856C-1546-48A1-902B-0B9C48E13197}"/>
    <cellStyle name="Currency 4 12 2 3 2" xfId="20773" xr:uid="{DB56C7FD-1566-4A75-8FCC-9C848565BFF6}"/>
    <cellStyle name="Currency 4 12 2 4" xfId="15107" xr:uid="{29096738-BB6A-486C-9D3B-D9E98C7DF5A2}"/>
    <cellStyle name="Currency 4 12 2 5" xfId="30450" xr:uid="{A1023E56-DF96-4373-8785-3BEA0179AB65}"/>
    <cellStyle name="Currency 4 12 3" xfId="3606" xr:uid="{00000000-0005-0000-0000-000056030000}"/>
    <cellStyle name="Currency 4 12 4" xfId="5661" xr:uid="{442882FD-A814-4225-99B5-C1E0B22554C2}"/>
    <cellStyle name="Currency 4 12 4 2" xfId="29745" xr:uid="{80832A7C-4F8F-4063-9660-3EE52C1F2BAF}"/>
    <cellStyle name="Currency 4 12 5" xfId="22761" xr:uid="{63F35A41-69FD-49A0-A60E-7B3978025D2D}"/>
    <cellStyle name="Currency 4 12 6" xfId="12822" xr:uid="{BE8AD55E-3093-4446-86E2-D073A8C1FFA1}"/>
    <cellStyle name="Currency 4 13" xfId="1861" xr:uid="{00000000-0005-0000-0000-000057030000}"/>
    <cellStyle name="Currency 4 13 2" xfId="2165" xr:uid="{00000000-0005-0000-0000-000073020000}"/>
    <cellStyle name="Currency 4 13 2 2" xfId="7292" xr:uid="{ED095754-1457-4145-9AB5-64B9CBFBC360}"/>
    <cellStyle name="Currency 4 13 2 2 2" xfId="17672" xr:uid="{8091C615-6AC9-417A-9B8D-39A46392F9F0}"/>
    <cellStyle name="Currency 4 13 2 3" xfId="10125" xr:uid="{842A2EB4-2F05-4C39-8A60-C6703A06F64D}"/>
    <cellStyle name="Currency 4 13 2 3 2" xfId="20505" xr:uid="{258F88F9-5150-4BC3-96C5-9ED93391EAFF}"/>
    <cellStyle name="Currency 4 13 2 4" xfId="28297" xr:uid="{53E75C48-0B63-4183-9B7C-D7E63C929532}"/>
    <cellStyle name="Currency 4 13 2 5" xfId="27338" xr:uid="{C17836A6-C549-4DBA-A4BB-6076037FA8EE}"/>
    <cellStyle name="Currency 4 13 2 6" xfId="14839" xr:uid="{14041440-C9DD-441B-854D-DD8735680B6E}"/>
    <cellStyle name="Currency 4 13 3" xfId="2077" xr:uid="{00000000-0005-0000-0000-000057030000}"/>
    <cellStyle name="Currency 4 13 4" xfId="23379" xr:uid="{D88FAFBE-9691-4F2E-80BC-179C5A201D6E}"/>
    <cellStyle name="Currency 4 13 4 2" xfId="29858" xr:uid="{B799D5DA-0548-4483-A7DA-59D6502F3999}"/>
    <cellStyle name="Currency 4 13 5" xfId="30001" xr:uid="{4FCFD07F-7408-4267-B201-B872777B8AC2}"/>
    <cellStyle name="Currency 4 14" xfId="1853" xr:uid="{00000000-0005-0000-0000-000058030000}"/>
    <cellStyle name="Currency 4 14 2" xfId="25803" xr:uid="{FBE6B4CA-BCAB-44EE-A7E9-70F4C6699F61}"/>
    <cellStyle name="Currency 4 14 2 2" xfId="30829" xr:uid="{08C9B446-C64D-40BA-8420-DEAE598B52CC}"/>
    <cellStyle name="Currency 4 14 2 3" xfId="30580" xr:uid="{7D39938B-7E55-4F5A-BF14-F961544A2D2A}"/>
    <cellStyle name="Currency 4 14 3" xfId="25776" xr:uid="{9A16FB8B-ADB5-4AC7-9F1A-D13AAB955871}"/>
    <cellStyle name="Currency 4 15" xfId="3881" xr:uid="{8A16B6F4-4C91-4357-9C17-F36A8BA48B18}"/>
    <cellStyle name="Currency 4 15 2" xfId="8713" xr:uid="{8EB94A9F-EF8B-4EA7-897E-FE94FBF423D5}"/>
    <cellStyle name="Currency 4 15 2 2" xfId="19093" xr:uid="{98BB6A6F-5B49-4748-8DB0-C0E4275141D6}"/>
    <cellStyle name="Currency 4 15 3" xfId="11546" xr:uid="{38A5F320-0DE0-46D5-A927-27C5471EBED7}"/>
    <cellStyle name="Currency 4 15 3 2" xfId="21926" xr:uid="{571A51F8-6074-48F7-BBB4-1AC0F039850E}"/>
    <cellStyle name="Currency 4 15 4" xfId="27295" xr:uid="{B2877688-2F6B-4368-95B5-4718C229756B}"/>
    <cellStyle name="Currency 4 15 5" xfId="26519" xr:uid="{C27C6762-C1D9-464C-B909-10F478B0DAED}"/>
    <cellStyle name="Currency 4 15 6" xfId="16260" xr:uid="{C60FEDF8-8FD8-476E-B86E-1BEECE6D3847}"/>
    <cellStyle name="Currency 4 16" xfId="4936" xr:uid="{2E48FC4A-ACA0-4D64-BB27-D26AB243475C}"/>
    <cellStyle name="Currency 4 16 2" xfId="27591" xr:uid="{7DBE2F17-F500-45BB-8C28-33AA7DF16E87}"/>
    <cellStyle name="Currency 4 16 3" xfId="26841" xr:uid="{5E6EA418-A6FA-41B7-A169-4158FC19B3FD}"/>
    <cellStyle name="Currency 4 16 4" xfId="14231" xr:uid="{E5BB4F4D-65E4-4119-89EF-B26E1F145ED9}"/>
    <cellStyle name="Currency 4 17" xfId="6684" xr:uid="{23119076-1826-438F-A532-AFC5D5908B0C}"/>
    <cellStyle name="Currency 4 17 2" xfId="17064" xr:uid="{84C8C268-56AD-4B42-9168-6A1E80FAA892}"/>
    <cellStyle name="Currency 4 18" xfId="9517" xr:uid="{DEE09A3A-0523-4291-B302-B35F22E14947}"/>
    <cellStyle name="Currency 4 18 2" xfId="19897" xr:uid="{B2E97F39-C4B4-4017-88F1-E8DB22F1FEF5}"/>
    <cellStyle name="Currency 4 19" xfId="22844" xr:uid="{CD82A28B-6BBC-4D24-BA6B-DBE201BB073F}"/>
    <cellStyle name="Currency 4 2" xfId="556" xr:uid="{00000000-0005-0000-0000-000059030000}"/>
    <cellStyle name="Currency 4 2 10" xfId="4939" xr:uid="{7CE55DFC-6AB4-49FF-B062-66C91C3D19B3}"/>
    <cellStyle name="Currency 4 2 10 2" xfId="27654" xr:uid="{B5983676-F40C-431A-A600-57A48763A5C4}"/>
    <cellStyle name="Currency 4 2 10 3" xfId="26911" xr:uid="{2AA3DBB0-A053-4C1D-ACC6-1B9B3D63B6E8}"/>
    <cellStyle name="Currency 4 2 10 4" xfId="14234" xr:uid="{D104C87A-7ABC-4ED6-A828-217CB3DD3CA6}"/>
    <cellStyle name="Currency 4 2 11" xfId="6687" xr:uid="{B5AC1A94-00AB-423D-9ED8-093C7331C0FA}"/>
    <cellStyle name="Currency 4 2 11 2" xfId="17067" xr:uid="{FA29BC29-6948-4046-9E61-620462271D69}"/>
    <cellStyle name="Currency 4 2 12" xfId="9520" xr:uid="{99278EF3-BC64-40D5-A41C-D1BBB7E92051}"/>
    <cellStyle name="Currency 4 2 12 2" xfId="19900" xr:uid="{CF63DCC8-C075-4F0E-9FCB-66AA89898ADA}"/>
    <cellStyle name="Currency 4 2 13" xfId="23306" xr:uid="{C0F291B2-0F24-468C-A470-39546BA1EA8C}"/>
    <cellStyle name="Currency 4 2 14" xfId="12420" xr:uid="{61B0A083-6D10-4333-BA5F-38A9CD77F14B}"/>
    <cellStyle name="Currency 4 2 2" xfId="557" xr:uid="{00000000-0005-0000-0000-00005A030000}"/>
    <cellStyle name="Currency 4 2 2 10" xfId="6688" xr:uid="{E924E7D5-EEB2-48A0-AB3C-FC2465E48362}"/>
    <cellStyle name="Currency 4 2 2 10 2" xfId="17068" xr:uid="{2AC6DD1D-EB61-45BE-863B-CD2611824E85}"/>
    <cellStyle name="Currency 4 2 2 11" xfId="9521" xr:uid="{E04CC9AF-519D-4284-9439-E38B1CBDB025}"/>
    <cellStyle name="Currency 4 2 2 11 2" xfId="19901" xr:uid="{179D9FE8-DC4A-4A66-90F9-01A96618D461}"/>
    <cellStyle name="Currency 4 2 2 12" xfId="24835" xr:uid="{557BFA1C-DCB3-4381-8D1D-328BAAF1BB48}"/>
    <cellStyle name="Currency 4 2 2 13" xfId="12480" xr:uid="{48380BA2-5D42-43E8-9181-C7C6489F582C}"/>
    <cellStyle name="Currency 4 2 2 2" xfId="558" xr:uid="{00000000-0005-0000-0000-00005B030000}"/>
    <cellStyle name="Currency 4 2 2 2 10" xfId="9522" xr:uid="{D7792FC4-660D-4C69-8479-83A98CBA5288}"/>
    <cellStyle name="Currency 4 2 2 2 10 2" xfId="19902" xr:uid="{F61283B0-DDE0-4A4D-8DDA-38AF6E104196}"/>
    <cellStyle name="Currency 4 2 2 2 11" xfId="23796" xr:uid="{6BFC9E81-2557-4A8A-A80C-6DBBCE540376}"/>
    <cellStyle name="Currency 4 2 2 2 12" xfId="12526" xr:uid="{BD0B3595-35FD-4A85-BCA8-12D04857AA2D}"/>
    <cellStyle name="Currency 4 2 2 2 2" xfId="1865" xr:uid="{00000000-0005-0000-0000-00005C030000}"/>
    <cellStyle name="Currency 4 2 2 2 2 2" xfId="3086" xr:uid="{00000000-0005-0000-0000-00007C020000}"/>
    <cellStyle name="Currency 4 2 2 2 2 2 2" xfId="6171" xr:uid="{3688B7CC-920A-49CE-8F5C-A63ADC39A1FD}"/>
    <cellStyle name="Currency 4 2 2 2 2 2 2 2" xfId="28276" xr:uid="{DCF2970D-8D47-4C4A-B66C-0F5DF9A0326F}"/>
    <cellStyle name="Currency 4 2 2 2 2 2 2 3" xfId="28319" xr:uid="{43DE835C-E4BB-4BA9-AE0C-0D6D1B34494B}"/>
    <cellStyle name="Currency 4 2 2 2 2 2 2 4" xfId="15713" xr:uid="{B4E63A51-BF19-41A6-A3F9-C86E5DA7D71B}"/>
    <cellStyle name="Currency 4 2 2 2 2 2 3" xfId="8166" xr:uid="{11B0660F-2B66-45A8-ABB5-D7786E6025C7}"/>
    <cellStyle name="Currency 4 2 2 2 2 2 3 2" xfId="18546" xr:uid="{3677FF65-3179-47D8-BF89-8023B736CC7B}"/>
    <cellStyle name="Currency 4 2 2 2 2 2 4" xfId="10999" xr:uid="{F4B7426D-37A2-4AD3-9108-2BF0B5D8E954}"/>
    <cellStyle name="Currency 4 2 2 2 2 2 4 2" xfId="21379" xr:uid="{E1A63A5C-6CD3-4859-A95B-383D2421C311}"/>
    <cellStyle name="Currency 4 2 2 2 2 2 5" xfId="25288" xr:uid="{3B11134B-3D6C-47C6-9D7D-3220DDA33DE8}"/>
    <cellStyle name="Currency 4 2 2 2 2 2 6" xfId="27210" xr:uid="{8F821E97-BBE8-4B19-903E-01305D917831}"/>
    <cellStyle name="Currency 4 2 2 2 2 2 7" xfId="13600" xr:uid="{2F5E4AA7-08A4-4739-9D5C-0FD9A020F792}"/>
    <cellStyle name="Currency 4 2 2 2 2 3" xfId="2693" xr:uid="{00000000-0005-0000-0000-00007B020000}"/>
    <cellStyle name="Currency 4 2 2 2 2 3 2" xfId="7817" xr:uid="{1FF16178-2B08-4E6A-AB25-0B4BFD600FA2}"/>
    <cellStyle name="Currency 4 2 2 2 2 3 2 2" xfId="28006" xr:uid="{BA6C94ED-13EE-42EF-B9BB-F915C33DECC8}"/>
    <cellStyle name="Currency 4 2 2 2 2 3 2 3" xfId="27468" xr:uid="{8236B4FE-D5FC-4F0B-9702-DB72491E0818}"/>
    <cellStyle name="Currency 4 2 2 2 2 3 2 4" xfId="18197" xr:uid="{CE04EA8D-052C-4BBD-93ED-F0D5F91FA45F}"/>
    <cellStyle name="Currency 4 2 2 2 2 3 3" xfId="10650" xr:uid="{9CFBD146-D83F-4CC8-AF4A-A9B8D5843DF2}"/>
    <cellStyle name="Currency 4 2 2 2 2 3 3 2" xfId="21030" xr:uid="{4AFCC743-FA0D-4F2A-94CB-96E5BC9C847F}"/>
    <cellStyle name="Currency 4 2 2 2 2 3 4" xfId="24059" xr:uid="{C57C7806-3BB8-4151-AFF1-2022B9C2BAA7}"/>
    <cellStyle name="Currency 4 2 2 2 2 3 5" xfId="15364" xr:uid="{C5369981-2202-4D8C-9F0D-B27E3412C25A}"/>
    <cellStyle name="Currency 4 2 2 2 2 4" xfId="3703" xr:uid="{00000000-0005-0000-0000-00005C030000}"/>
    <cellStyle name="Currency 4 2 2 2 2 4 2" xfId="26599" xr:uid="{F886625C-0AFC-492F-A3D1-E841A6F7365F}"/>
    <cellStyle name="Currency 4 2 2 2 2 4 3" xfId="26881" xr:uid="{F81CAD20-DEED-47B7-BD1C-8459B3A8B952}"/>
    <cellStyle name="Currency 4 2 2 2 2 5" xfId="4272" xr:uid="{DB678E1F-F1EB-415D-8189-981646C9AD72}"/>
    <cellStyle name="Currency 4 2 2 2 2 5 2" xfId="9044" xr:uid="{A997A002-51DC-428D-9D9A-8390B6CA7F20}"/>
    <cellStyle name="Currency 4 2 2 2 2 5 2 2" xfId="19424" xr:uid="{5779248A-0167-4B0D-97F6-18172432DF5A}"/>
    <cellStyle name="Currency 4 2 2 2 2 5 2 3" xfId="31048" xr:uid="{3B7AB140-6A10-4BC0-BE67-072D624912D8}"/>
    <cellStyle name="Currency 4 2 2 2 2 5 2 4" xfId="30830" xr:uid="{841903E7-109E-4832-AD2D-F43F3855F60D}"/>
    <cellStyle name="Currency 4 2 2 2 2 5 3" xfId="11877" xr:uid="{B570B061-A6FE-4BE4-8262-8A3A437A7EC0}"/>
    <cellStyle name="Currency 4 2 2 2 2 5 3 2" xfId="22257" xr:uid="{549C98A1-7C4B-4065-9044-14CFB49B77DC}"/>
    <cellStyle name="Currency 4 2 2 2 2 5 4" xfId="27521" xr:uid="{0E0B8DDC-1564-46C0-BC44-A2A8C5F7C96A}"/>
    <cellStyle name="Currency 4 2 2 2 2 5 5" xfId="27603" xr:uid="{69244FEA-B661-4569-8F52-94339BC4842D}"/>
    <cellStyle name="Currency 4 2 2 2 2 5 6" xfId="16591" xr:uid="{A45FA4F4-052B-49EC-A1CC-7DEE362FD4CB}"/>
    <cellStyle name="Currency 4 2 2 2 2 6" xfId="5664" xr:uid="{BF7DF391-C85B-4BD0-A2FA-E856C1E1B837}"/>
    <cellStyle name="Currency 4 2 2 2 2 6 2" xfId="29727" xr:uid="{D4F02699-9D7A-4636-8246-722EE6D50577}"/>
    <cellStyle name="Currency 4 2 2 2 2 6 2 2" xfId="30984" xr:uid="{25D31D1E-9374-4588-8BAD-34D1CFD1B55D}"/>
    <cellStyle name="Currency 4 2 2 2 2 7" xfId="22683" xr:uid="{AB73C219-89C9-4191-8E87-5E4330197BFE}"/>
    <cellStyle name="Currency 4 2 2 2 2 8" xfId="13106" xr:uid="{1655F9DF-4D17-4F9F-9CAE-DC6F8C6EF0E8}"/>
    <cellStyle name="Currency 4 2 2 2 3" xfId="1866" xr:uid="{00000000-0005-0000-0000-00005D030000}"/>
    <cellStyle name="Currency 4 2 2 2 3 2" xfId="3087" xr:uid="{00000000-0005-0000-0000-00007D020000}"/>
    <cellStyle name="Currency 4 2 2 2 3 2 2" xfId="8167" xr:uid="{9D23410F-F07A-447E-A7A6-0CAFF5985449}"/>
    <cellStyle name="Currency 4 2 2 2 3 2 2 2" xfId="28837" xr:uid="{06941125-7C96-42BA-A28D-34E6CCA3D8C6}"/>
    <cellStyle name="Currency 4 2 2 2 3 2 2 2 2" xfId="31232" xr:uid="{3429C379-89FB-4D0B-AA6F-20CAB746CD96}"/>
    <cellStyle name="Currency 4 2 2 2 3 2 2 2 3" xfId="30832" xr:uid="{8634E1EF-FB6D-4204-A640-59C7D326ADDF}"/>
    <cellStyle name="Currency 4 2 2 2 3 2 2 3" xfId="26853" xr:uid="{77F1A8C5-0AA4-4CC9-9F31-861556EFC010}"/>
    <cellStyle name="Currency 4 2 2 2 3 2 2 4" xfId="18547" xr:uid="{E759ECE0-2A5E-40BE-86E4-AE97AA408258}"/>
    <cellStyle name="Currency 4 2 2 2 3 2 3" xfId="11000" xr:uid="{BA158067-73CD-43F9-AEB2-2278BDB95667}"/>
    <cellStyle name="Currency 4 2 2 2 3 2 3 2" xfId="21380" xr:uid="{E1421810-EB1E-48A1-B126-9B300EE9C975}"/>
    <cellStyle name="Currency 4 2 2 2 3 2 4" xfId="25648" xr:uid="{256A75EC-637D-4BE9-AD3C-BB4054B363D8}"/>
    <cellStyle name="Currency 4 2 2 2 3 2 5" xfId="15714" xr:uid="{EBFF9E94-0DD9-4222-A386-91E2CA987D69}"/>
    <cellStyle name="Currency 4 2 2 2 3 3" xfId="2088" xr:uid="{00000000-0005-0000-0000-00005D030000}"/>
    <cellStyle name="Currency 4 2 2 2 3 4" xfId="4423" xr:uid="{3F8880EA-BDCC-4264-BCE8-60BF4BA92E42}"/>
    <cellStyle name="Currency 4 2 2 2 3 4 2" xfId="9195" xr:uid="{FD36FD56-46F6-4D3B-B9F6-689E1F5F0734}"/>
    <cellStyle name="Currency 4 2 2 2 3 4 2 2" xfId="19575" xr:uid="{6F9AA829-FAFE-4260-A170-9D6A9F5DEBC9}"/>
    <cellStyle name="Currency 4 2 2 2 3 4 2 3" xfId="31089" xr:uid="{D1E76A2F-6447-478C-A663-6EA53EC550CC}"/>
    <cellStyle name="Currency 4 2 2 2 3 4 2 4" xfId="30831" xr:uid="{657565F7-E228-4780-9F08-C035C0197582}"/>
    <cellStyle name="Currency 4 2 2 2 3 4 3" xfId="12028" xr:uid="{749C648E-FE14-4E78-88E1-738DB6998D09}"/>
    <cellStyle name="Currency 4 2 2 2 3 4 3 2" xfId="22408" xr:uid="{8C8B550F-F6E7-4047-A75E-4E13D2B95563}"/>
    <cellStyle name="Currency 4 2 2 2 3 4 4" xfId="16742" xr:uid="{0A45D439-F008-4276-BCCC-1A592538F7EB}"/>
    <cellStyle name="Currency 4 2 2 2 3 5" xfId="5665" xr:uid="{2D7828CB-E2C0-4146-9476-187DEA31046E}"/>
    <cellStyle name="Currency 4 2 2 2 3 5 2" xfId="29714" xr:uid="{EC6735F0-7DE9-4568-B77B-F6FDEF7A8DC7}"/>
    <cellStyle name="Currency 4 2 2 2 3 5 2 2" xfId="30985" xr:uid="{CFC58C28-6C1B-47B8-8F44-D625CD50AA8A}"/>
    <cellStyle name="Currency 4 2 2 2 3 6" xfId="22667" xr:uid="{15B918AE-678C-49C0-9E66-682B52E15F1F}"/>
    <cellStyle name="Currency 4 2 2 2 3 7" xfId="13601" xr:uid="{CD1D9F12-7423-4636-BB08-F1DA4C51B085}"/>
    <cellStyle name="Currency 4 2 2 2 4" xfId="1864" xr:uid="{00000000-0005-0000-0000-00005E030000}"/>
    <cellStyle name="Currency 4 2 2 2 4 2" xfId="3085" xr:uid="{00000000-0005-0000-0000-00007E020000}"/>
    <cellStyle name="Currency 4 2 2 2 4 2 2" xfId="8165" xr:uid="{3E0C9CBD-1BDD-4D4D-AC3B-38B36802B03E}"/>
    <cellStyle name="Currency 4 2 2 2 4 2 2 2" xfId="28836" xr:uid="{6D84C83D-A4D2-4098-AD3E-999BE8D72815}"/>
    <cellStyle name="Currency 4 2 2 2 4 2 2 3" xfId="27099" xr:uid="{E06DE2C2-9923-4FB1-B7F5-5027FA1F3B76}"/>
    <cellStyle name="Currency 4 2 2 2 4 2 2 4" xfId="18545" xr:uid="{70AEAA82-E9C7-4677-B3D2-4A044445B867}"/>
    <cellStyle name="Currency 4 2 2 2 4 2 3" xfId="10998" xr:uid="{87D96046-58A7-4656-BC78-7523A2D5308F}"/>
    <cellStyle name="Currency 4 2 2 2 4 2 3 2" xfId="21378" xr:uid="{911DE9A5-E645-4507-9539-A78CE5E85084}"/>
    <cellStyle name="Currency 4 2 2 2 4 2 4" xfId="27550" xr:uid="{9E5508BD-0A72-4689-AF3B-59B978984740}"/>
    <cellStyle name="Currency 4 2 2 2 4 2 5" xfId="15712" xr:uid="{F311196B-7DF4-4496-A2E5-2D96B7A7FEA7}"/>
    <cellStyle name="Currency 4 2 2 2 4 3" xfId="3587" xr:uid="{00000000-0005-0000-0000-00005E030000}"/>
    <cellStyle name="Currency 4 2 2 2 4 4" xfId="5663" xr:uid="{06882770-1EE0-45F0-A226-52CE0F863C5B}"/>
    <cellStyle name="Currency 4 2 2 2 4 4 2" xfId="29965" xr:uid="{FF29FBEB-C139-42CC-898F-F368F7E51091}"/>
    <cellStyle name="Currency 4 2 2 2 4 5" xfId="24698" xr:uid="{68697844-2BE1-45A1-8C80-4FCA89377120}"/>
    <cellStyle name="Currency 4 2 2 2 4 6" xfId="13599" xr:uid="{3B8B31F1-F86F-4BB4-B066-241BD2D4A438}"/>
    <cellStyle name="Currency 4 2 2 2 5" xfId="2649" xr:uid="{00000000-0005-0000-0000-00007F020000}"/>
    <cellStyle name="Currency 4 2 2 2 5 2" xfId="5911" xr:uid="{83E46272-0DC1-48F9-A571-1CF062190DDF}"/>
    <cellStyle name="Currency 4 2 2 2 5 2 2" xfId="26289" xr:uid="{28B265D6-57F6-46F1-B54D-41941B40D1D7}"/>
    <cellStyle name="Currency 4 2 2 2 5 2 2 2" xfId="31174" xr:uid="{599A9C6C-AF98-47C8-9562-6F1C30BA128B}"/>
    <cellStyle name="Currency 4 2 2 2 5 2 2 3" xfId="30833" xr:uid="{92DF8621-EC15-4BA9-BFE4-A154DAF79516}"/>
    <cellStyle name="Currency 4 2 2 2 5 2 3" xfId="28173" xr:uid="{DC7D8C25-8C23-4107-BDC1-B746510148FB}"/>
    <cellStyle name="Currency 4 2 2 2 5 2 4" xfId="15321" xr:uid="{A98FC3E3-572A-40ED-A21E-F5ECEABB3036}"/>
    <cellStyle name="Currency 4 2 2 2 5 3" xfId="7774" xr:uid="{25711A40-4108-4F35-A2B4-70F996F6CED1}"/>
    <cellStyle name="Currency 4 2 2 2 5 3 2" xfId="18154" xr:uid="{3408E077-60C0-4AFB-95A8-135D5E7B625E}"/>
    <cellStyle name="Currency 4 2 2 2 5 4" xfId="10607" xr:uid="{704F98E0-1C98-4DFD-9553-83B92A07B364}"/>
    <cellStyle name="Currency 4 2 2 2 5 4 2" xfId="20987" xr:uid="{A371C0BE-95BF-4651-940A-4FB05495D601}"/>
    <cellStyle name="Currency 4 2 2 2 5 5" xfId="23496" xr:uid="{60D28789-341B-47F0-8C26-505604337F32}"/>
    <cellStyle name="Currency 4 2 2 2 5 6" xfId="13045" xr:uid="{6ED3DC99-6AC8-4E10-BAE0-B6C7CD7F2146}"/>
    <cellStyle name="Currency 4 2 2 2 6" xfId="2294" xr:uid="{00000000-0005-0000-0000-00007A020000}"/>
    <cellStyle name="Currency 4 2 2 2 6 2" xfId="7421" xr:uid="{F671DDA7-3E30-4C62-82F6-73444BD626D3}"/>
    <cellStyle name="Currency 4 2 2 2 6 2 2" xfId="17801" xr:uid="{DDDE0EDC-E9B1-422B-8168-05F3B033392F}"/>
    <cellStyle name="Currency 4 2 2 2 6 3" xfId="10254" xr:uid="{BCEA1E7E-7C7A-447F-9F10-C5A83EEDA9C7}"/>
    <cellStyle name="Currency 4 2 2 2 6 3 2" xfId="20634" xr:uid="{C45980F5-9E3F-4555-B7F5-17068C6F33AC}"/>
    <cellStyle name="Currency 4 2 2 2 6 4" xfId="22867" xr:uid="{518C6954-DE2D-4A1F-B51B-FD39A6713FDC}"/>
    <cellStyle name="Currency 4 2 2 2 6 5" xfId="26799" xr:uid="{CBFD2042-DFFD-4375-BCFF-EC63999D1C44}"/>
    <cellStyle name="Currency 4 2 2 2 6 6" xfId="14968" xr:uid="{0492F95F-2C72-41AC-8F42-86FE9E07F6D7}"/>
    <cellStyle name="Currency 4 2 2 2 7" xfId="3829" xr:uid="{AEDD572E-49A8-4592-81DB-9FDFE8A31D30}"/>
    <cellStyle name="Currency 4 2 2 2 7 2" xfId="8662" xr:uid="{F5FA23B3-90C2-4BF7-A52B-E182D1D987E7}"/>
    <cellStyle name="Currency 4 2 2 2 7 2 2" xfId="19042" xr:uid="{D96DD5AE-ECD6-4C43-8598-7B0529A20AB6}"/>
    <cellStyle name="Currency 4 2 2 2 7 3" xfId="11495" xr:uid="{BBF68987-22E1-4A7F-9D1E-3AEE85A9A77A}"/>
    <cellStyle name="Currency 4 2 2 2 7 3 2" xfId="21875" xr:uid="{F0317D2F-E882-438D-ADF9-5A31A6255D9C}"/>
    <cellStyle name="Currency 4 2 2 2 7 4" xfId="26216" xr:uid="{6750DDDB-9048-4B28-97CC-33D0EF6C2B58}"/>
    <cellStyle name="Currency 4 2 2 2 7 5" xfId="26293" xr:uid="{73484976-F7E6-4EF2-BE00-4B7F773BD133}"/>
    <cellStyle name="Currency 4 2 2 2 7 6" xfId="16209" xr:uid="{1750DA11-4588-4CA5-8D39-D176BD0A9D3D}"/>
    <cellStyle name="Currency 4 2 2 2 8" xfId="4941" xr:uid="{740CED31-770C-481C-B112-BA20FC30C448}"/>
    <cellStyle name="Currency 4 2 2 2 8 2" xfId="14236" xr:uid="{D5F5BC0A-4A43-44E9-BE67-3E39B11243A7}"/>
    <cellStyle name="Currency 4 2 2 2 9" xfId="6689" xr:uid="{A7F7E3E4-0F05-4536-9E3B-CC3F3C6D97F5}"/>
    <cellStyle name="Currency 4 2 2 2 9 2" xfId="17069" xr:uid="{7D8C6FF3-2185-4AF1-9706-F4F5A1E7BD83}"/>
    <cellStyle name="Currency 4 2 2 3" xfId="559" xr:uid="{00000000-0005-0000-0000-00005F030000}"/>
    <cellStyle name="Currency 4 2 2 3 10" xfId="12684" xr:uid="{12FB2570-54E9-49DD-9D58-A74BA829CB74}"/>
    <cellStyle name="Currency 4 2 2 3 2" xfId="1868" xr:uid="{00000000-0005-0000-0000-000060030000}"/>
    <cellStyle name="Currency 4 2 2 3 2 2" xfId="3088" xr:uid="{00000000-0005-0000-0000-000081020000}"/>
    <cellStyle name="Currency 4 2 2 3 2 2 2" xfId="8168" xr:uid="{2D1CDA98-77C7-48FC-960A-6583ECA88D6E}"/>
    <cellStyle name="Currency 4 2 2 3 2 2 2 2" xfId="28838" xr:uid="{18A7D48F-E35C-43F1-BA04-69DE9CF7540D}"/>
    <cellStyle name="Currency 4 2 2 3 2 2 2 3" xfId="28626" xr:uid="{D5812786-C032-4CDF-9EDA-498A1EE67794}"/>
    <cellStyle name="Currency 4 2 2 3 2 2 2 4" xfId="18548" xr:uid="{45EED34F-0258-46DF-8948-96EFD8EAFA27}"/>
    <cellStyle name="Currency 4 2 2 3 2 2 3" xfId="11001" xr:uid="{6F15308D-77B7-45E6-8AD3-9B2CFCA37476}"/>
    <cellStyle name="Currency 4 2 2 3 2 2 3 2" xfId="21381" xr:uid="{7F1298BF-0552-4CFA-B969-9AB32C01784D}"/>
    <cellStyle name="Currency 4 2 2 3 2 2 4" xfId="24201" xr:uid="{1DAE9C54-2866-43E3-8327-95AAB3BC852E}"/>
    <cellStyle name="Currency 4 2 2 3 2 2 5" xfId="15715" xr:uid="{7AE32027-111A-482B-B7C3-2C8BEBD24D70}"/>
    <cellStyle name="Currency 4 2 2 3 2 3" xfId="3588" xr:uid="{00000000-0005-0000-0000-000060030000}"/>
    <cellStyle name="Currency 4 2 2 3 2 4" xfId="5666" xr:uid="{8018743C-C0EA-4511-8D4B-89AF2CE609A2}"/>
    <cellStyle name="Currency 4 2 2 3 2 4 2" xfId="29966" xr:uid="{BCF43D88-6F00-4BCB-8D9B-D13D0B18D182}"/>
    <cellStyle name="Currency 4 2 2 3 2 5" xfId="24413" xr:uid="{1F3EC9DF-3A17-44F8-BCD3-8F434B9ACAE7}"/>
    <cellStyle name="Currency 4 2 2 3 2 6" xfId="13602" xr:uid="{D2ED86B0-06EC-40E1-B798-C5EA65BD5F87}"/>
    <cellStyle name="Currency 4 2 2 3 3" xfId="1869" xr:uid="{00000000-0005-0000-0000-000061030000}"/>
    <cellStyle name="Currency 4 2 2 3 3 2" xfId="2692" xr:uid="{00000000-0005-0000-0000-000082020000}"/>
    <cellStyle name="Currency 4 2 2 3 3 2 2" xfId="7816" xr:uid="{E7254797-DD52-4F58-B785-D77F75FC3C5E}"/>
    <cellStyle name="Currency 4 2 2 3 3 2 2 2" xfId="18196" xr:uid="{F9AA6FD1-34E3-4F94-A6AC-969C0D5DB479}"/>
    <cellStyle name="Currency 4 2 2 3 3 2 3" xfId="10649" xr:uid="{1A451A4B-7CE6-4ECD-9171-CA89AA3AC624}"/>
    <cellStyle name="Currency 4 2 2 3 3 2 3 2" xfId="21029" xr:uid="{06392627-01C8-474B-9D68-76A9C022F644}"/>
    <cellStyle name="Currency 4 2 2 3 3 2 4" xfId="15363" xr:uid="{539A20AD-36D9-4CB3-B257-FCB66F05D8B7}"/>
    <cellStyle name="Currency 4 2 2 3 3 2 5" xfId="30451" xr:uid="{3FE6DD69-5112-4CB9-B21A-BAC2204DC643}"/>
    <cellStyle name="Currency 4 2 2 3 3 3" xfId="3657" xr:uid="{00000000-0005-0000-0000-000061030000}"/>
    <cellStyle name="Currency 4 2 2 3 3 4" xfId="5667" xr:uid="{54673D43-2BB9-4497-8CC5-C0E86AE657BC}"/>
    <cellStyle name="Currency 4 2 2 3 3 4 2" xfId="29912" xr:uid="{DD81D97E-F9C6-4B81-A72E-F394027770CE}"/>
    <cellStyle name="Currency 4 2 2 3 3 5" xfId="24679" xr:uid="{8D09122D-84F4-4960-9374-9E24DCCB9E3A}"/>
    <cellStyle name="Currency 4 2 2 3 3 6" xfId="13105" xr:uid="{B6B5EFCA-9112-4ABA-BFEE-B840EF71AE48}"/>
    <cellStyle name="Currency 4 2 2 3 4" xfId="1867" xr:uid="{00000000-0005-0000-0000-000062030000}"/>
    <cellStyle name="Currency 4 2 2 3 4 2" xfId="4657" xr:uid="{CC980793-D0C8-4424-A7C5-AE4A8E64578E}"/>
    <cellStyle name="Currency 4 2 2 3 4 2 2" xfId="9409" xr:uid="{AED29F7E-434E-42FA-8E6A-C66FF95573B4}"/>
    <cellStyle name="Currency 4 2 2 3 4 2 2 2" xfId="19789" xr:uid="{3117212E-7C17-4F6C-9C44-E06FC96A4C80}"/>
    <cellStyle name="Currency 4 2 2 3 4 2 3" xfId="12242" xr:uid="{011EA6B3-49D7-4835-AAD1-9FBAB145647D}"/>
    <cellStyle name="Currency 4 2 2 3 4 2 3 2" xfId="22622" xr:uid="{8337E57A-7EAC-4C18-8CA6-458217DE41E4}"/>
    <cellStyle name="Currency 4 2 2 3 4 2 4" xfId="25925" xr:uid="{DC08C6D1-B735-40EB-A43C-FF0621B728A5}"/>
    <cellStyle name="Currency 4 2 2 3 4 2 5" xfId="26459" xr:uid="{DE2F6A7B-293C-4CCE-9EAD-3A88EB6DCAF3}"/>
    <cellStyle name="Currency 4 2 2 3 4 2 6" xfId="16956" xr:uid="{0D780D72-C747-452F-A29B-D4296A86D028}"/>
    <cellStyle name="Currency 4 2 2 3 4 3" xfId="25278" xr:uid="{8CE549D3-FDA6-487B-943C-0B255D4EA3CA}"/>
    <cellStyle name="Currency 4 2 2 3 5" xfId="4138" xr:uid="{95FA858A-2BDC-4173-BFEE-BF2ABA95A8C7}"/>
    <cellStyle name="Currency 4 2 2 3 5 2" xfId="8910" xr:uid="{1C92966F-C3D2-4662-B0CA-E68A72E70994}"/>
    <cellStyle name="Currency 4 2 2 3 5 2 2" xfId="29014" xr:uid="{9831571E-A929-40C4-9791-AFA563C1D249}"/>
    <cellStyle name="Currency 4 2 2 3 5 2 3" xfId="27999" xr:uid="{3A23BD10-8C90-4E9E-A470-3426702BB18A}"/>
    <cellStyle name="Currency 4 2 2 3 5 2 4" xfId="19290" xr:uid="{90BD0B2D-3193-410C-96C9-313653765774}"/>
    <cellStyle name="Currency 4 2 2 3 5 2 5" xfId="31020" xr:uid="{CF2B4C35-60CF-460E-A7D8-6BD89E16FAF9}"/>
    <cellStyle name="Currency 4 2 2 3 5 3" xfId="11743" xr:uid="{426FC3C0-6268-42CE-8128-FC1454B2F22D}"/>
    <cellStyle name="Currency 4 2 2 3 5 3 2" xfId="22123" xr:uid="{C265E806-E5E1-4BD8-8320-E58B3EE5BF41}"/>
    <cellStyle name="Currency 4 2 2 3 5 4" xfId="26185" xr:uid="{590F1586-4CEF-447B-9C49-1778174C47A7}"/>
    <cellStyle name="Currency 4 2 2 3 5 5" xfId="16457" xr:uid="{9AB822C2-1588-42F8-943D-E0258AB25A9A}"/>
    <cellStyle name="Currency 4 2 2 3 6" xfId="4942" xr:uid="{66E85FEB-3D31-49A1-8112-4EA1334B0591}"/>
    <cellStyle name="Currency 4 2 2 3 6 2" xfId="25932" xr:uid="{A128CCC4-F47A-4B50-A174-18F517781FE9}"/>
    <cellStyle name="Currency 4 2 2 3 6 3" xfId="27597" xr:uid="{0A2C335F-ADB7-43CE-AEB9-B2A88B3C7C2A}"/>
    <cellStyle name="Currency 4 2 2 3 6 4" xfId="14237" xr:uid="{F7241AC6-56D9-4A60-98A9-B4C740F85212}"/>
    <cellStyle name="Currency 4 2 2 3 7" xfId="6690" xr:uid="{86F2CBE7-DEE3-4F39-B0A0-F72FF436338F}"/>
    <cellStyle name="Currency 4 2 2 3 7 2" xfId="27507" xr:uid="{682B9FDD-1A05-400E-92AE-A006F4ABDC57}"/>
    <cellStyle name="Currency 4 2 2 3 7 3" xfId="27081" xr:uid="{CE759CE1-7EF2-445D-BC83-7828FB74C5F0}"/>
    <cellStyle name="Currency 4 2 2 3 7 4" xfId="17070" xr:uid="{FD0314CA-2EC9-4017-AA15-A8E7FF309620}"/>
    <cellStyle name="Currency 4 2 2 3 8" xfId="9523" xr:uid="{AFD745C1-6FE5-41C6-9F9B-3C2CD35EBF91}"/>
    <cellStyle name="Currency 4 2 2 3 8 2" xfId="19903" xr:uid="{47128C4A-90B2-49E8-9482-60BEA9C11F66}"/>
    <cellStyle name="Currency 4 2 2 3 9" xfId="25214" xr:uid="{3120D515-0BF3-471E-B23D-AC38E91AAB33}"/>
    <cellStyle name="Currency 4 2 2 4" xfId="1870" xr:uid="{00000000-0005-0000-0000-000063030000}"/>
    <cellStyle name="Currency 4 2 2 4 2" xfId="3089" xr:uid="{00000000-0005-0000-0000-000083020000}"/>
    <cellStyle name="Currency 4 2 2 4 2 2" xfId="8169" xr:uid="{B249E808-69BA-41E5-8517-06DD57AB579C}"/>
    <cellStyle name="Currency 4 2 2 4 2 2 2" xfId="28839" xr:uid="{D6F6C0B3-24CD-49D3-9FE1-5B5A449CBB59}"/>
    <cellStyle name="Currency 4 2 2 4 2 2 2 2" xfId="31233" xr:uid="{69AF95F0-2C79-4BC4-A731-DBA5CA72172F}"/>
    <cellStyle name="Currency 4 2 2 4 2 2 2 3" xfId="30835" xr:uid="{F7ED024B-50A5-4D78-9170-B4E74ADDAF8F}"/>
    <cellStyle name="Currency 4 2 2 4 2 2 3" xfId="27663" xr:uid="{FE1F9BD8-45C0-4168-80EA-FFDAF9B57489}"/>
    <cellStyle name="Currency 4 2 2 4 2 2 4" xfId="18549" xr:uid="{F48EE902-35A7-4BF1-9B26-C1E31B105C17}"/>
    <cellStyle name="Currency 4 2 2 4 2 3" xfId="11002" xr:uid="{E1C145DE-9ED4-4C61-A237-6B63AB3CB48E}"/>
    <cellStyle name="Currency 4 2 2 4 2 3 2" xfId="21382" xr:uid="{B0FC5EB6-BB8C-4AB1-B5D6-872074AAD62C}"/>
    <cellStyle name="Currency 4 2 2 4 2 4" xfId="25710" xr:uid="{A6864269-8090-4440-A199-8765F072ADFD}"/>
    <cellStyle name="Currency 4 2 2 4 2 5" xfId="15716" xr:uid="{1A8C1341-98D4-4639-9C51-3862C5A8F731}"/>
    <cellStyle name="Currency 4 2 2 4 3" xfId="3658" xr:uid="{00000000-0005-0000-0000-000063030000}"/>
    <cellStyle name="Currency 4 2 2 4 4" xfId="4424" xr:uid="{CF69BC13-52B8-4798-8E81-C7268A38C4FA}"/>
    <cellStyle name="Currency 4 2 2 4 4 2" xfId="9196" xr:uid="{25EC9408-17FB-4110-9134-B0181A0953B7}"/>
    <cellStyle name="Currency 4 2 2 4 4 2 2" xfId="19576" xr:uid="{EB5CBB7B-9B8D-4BF2-A01D-4B991EC898A3}"/>
    <cellStyle name="Currency 4 2 2 4 4 2 3" xfId="31090" xr:uid="{ADCB1A0A-2CA2-44D3-9A0C-3CB9A9AFA32C}"/>
    <cellStyle name="Currency 4 2 2 4 4 2 4" xfId="30834" xr:uid="{93DE7190-B7AD-4AB0-B507-D2661CDEBD52}"/>
    <cellStyle name="Currency 4 2 2 4 4 3" xfId="12029" xr:uid="{45D01D25-64E5-4D7B-B559-F428CC890CC5}"/>
    <cellStyle name="Currency 4 2 2 4 4 3 2" xfId="22409" xr:uid="{B1793D73-9662-4491-B6B8-AD4071769B2C}"/>
    <cellStyle name="Currency 4 2 2 4 4 4" xfId="26830" xr:uid="{86EEE576-954E-46C6-8F94-D72670018F49}"/>
    <cellStyle name="Currency 4 2 2 4 4 5" xfId="27078" xr:uid="{B8309A1A-9020-4BB3-B765-C3DD96BB5058}"/>
    <cellStyle name="Currency 4 2 2 4 4 6" xfId="16743" xr:uid="{80C1B030-FA98-4752-BD54-270B469BDE53}"/>
    <cellStyle name="Currency 4 2 2 4 5" xfId="5668" xr:uid="{9E1FAF8C-48F2-4F7F-A8B8-765DCFB35246}"/>
    <cellStyle name="Currency 4 2 2 4 5 2" xfId="29696" xr:uid="{DF7D1619-517D-47AF-AAFD-626650862B22}"/>
    <cellStyle name="Currency 4 2 2 4 5 2 2" xfId="30986" xr:uid="{6FA4CAAA-8E9A-4CF5-91CC-0CAAFF2C5227}"/>
    <cellStyle name="Currency 4 2 2 4 6" xfId="23817" xr:uid="{35ADBFBA-A85C-477A-84F5-63440B36A8E0}"/>
    <cellStyle name="Currency 4 2 2 4 7" xfId="13603" xr:uid="{5DF953C3-1FED-4440-A60D-B6FE9F74927B}"/>
    <cellStyle name="Currency 4 2 2 5" xfId="1871" xr:uid="{00000000-0005-0000-0000-000064030000}"/>
    <cellStyle name="Currency 4 2 2 5 2" xfId="2883" xr:uid="{00000000-0005-0000-0000-000084020000}"/>
    <cellStyle name="Currency 4 2 2 5 2 2" xfId="8000" xr:uid="{39A33189-87A6-47F7-AE7B-3CE47C8BD1E0}"/>
    <cellStyle name="Currency 4 2 2 5 2 2 2" xfId="28696" xr:uid="{CB894F0A-1EC9-4C97-B186-4672DCD65E4E}"/>
    <cellStyle name="Currency 4 2 2 5 2 2 2 2" xfId="31213" xr:uid="{DDC9AFF2-2326-4EB9-95EC-058A72C5EA4C}"/>
    <cellStyle name="Currency 4 2 2 5 2 2 2 3" xfId="30836" xr:uid="{33C4AC48-D594-48B2-8E15-C4425C6412AB}"/>
    <cellStyle name="Currency 4 2 2 5 2 2 3" xfId="27641" xr:uid="{C1626618-0956-44A0-841F-AC04F55A02CD}"/>
    <cellStyle name="Currency 4 2 2 5 2 2 4" xfId="18380" xr:uid="{6E6533DC-EAC9-4A28-9F2E-162B9DFA2256}"/>
    <cellStyle name="Currency 4 2 2 5 2 3" xfId="10833" xr:uid="{C2851AB1-8DD7-440F-9C38-6DB498380CD3}"/>
    <cellStyle name="Currency 4 2 2 5 2 3 2" xfId="21213" xr:uid="{17197483-858B-441E-8415-CE8B299F041B}"/>
    <cellStyle name="Currency 4 2 2 5 2 4" xfId="28513" xr:uid="{D122D015-4BB5-48E6-8525-1DB2A3C3DCB6}"/>
    <cellStyle name="Currency 4 2 2 5 2 5" xfId="15547" xr:uid="{06D4D528-8926-46F3-A3DA-B3E62D726AD4}"/>
    <cellStyle name="Currency 4 2 2 5 3" xfId="3583" xr:uid="{00000000-0005-0000-0000-000064030000}"/>
    <cellStyle name="Currency 4 2 2 5 4" xfId="5669" xr:uid="{58D8500D-FBEA-4C98-8081-053458571054}"/>
    <cellStyle name="Currency 4 2 2 5 4 2" xfId="29927" xr:uid="{924939E3-BF39-442A-AD08-F63E11A1C0F0}"/>
    <cellStyle name="Currency 4 2 2 5 5" xfId="24709" xr:uid="{1126450A-31DB-4C4F-A335-641F4D6358E9}"/>
    <cellStyle name="Currency 4 2 2 5 6" xfId="13382" xr:uid="{B9CC0FFD-36D7-45F1-8435-2944F2221DC5}"/>
    <cellStyle name="Currency 4 2 2 6" xfId="1863" xr:uid="{00000000-0005-0000-0000-000065030000}"/>
    <cellStyle name="Currency 4 2 2 6 2" xfId="2554" xr:uid="{00000000-0005-0000-0000-000085020000}"/>
    <cellStyle name="Currency 4 2 2 6 2 2" xfId="7679" xr:uid="{3D87AF66-468E-446E-8E2A-12333BEEC211}"/>
    <cellStyle name="Currency 4 2 2 6 2 2 2" xfId="18059" xr:uid="{9D1B622F-8CE9-4FAE-8DE9-FF2B53091631}"/>
    <cellStyle name="Currency 4 2 2 6 2 3" xfId="10512" xr:uid="{AE359255-6574-4D24-BC2C-EC9BC5BE4DD1}"/>
    <cellStyle name="Currency 4 2 2 6 2 3 2" xfId="20892" xr:uid="{B859BCC4-C3FA-4BDC-A65D-0286EBFF7CE3}"/>
    <cellStyle name="Currency 4 2 2 6 2 4" xfId="28247" xr:uid="{A12BB49D-A8F9-4964-9A34-0C236A16D621}"/>
    <cellStyle name="Currency 4 2 2 6 2 5" xfId="25942" xr:uid="{B0A45D3E-317E-4D72-B4F1-4EEBBA210DD0}"/>
    <cellStyle name="Currency 4 2 2 6 2 6" xfId="15226" xr:uid="{F8B74700-4FBE-4A67-97B7-952F3D106425}"/>
    <cellStyle name="Currency 4 2 2 6 3" xfId="3622" xr:uid="{00000000-0005-0000-0000-000065030000}"/>
    <cellStyle name="Currency 4 2 2 6 4" xfId="5662" xr:uid="{229CF4C7-E3F3-480B-A319-0C1C5676E734}"/>
    <cellStyle name="Currency 4 2 2 6 4 2" xfId="29881" xr:uid="{90064861-D917-4C49-97BF-764532CE1FD2}"/>
    <cellStyle name="Currency 4 2 2 6 5" xfId="25123" xr:uid="{07D8DC91-EC45-4BF7-9FC3-FFAF7C1D6E88}"/>
    <cellStyle name="Currency 4 2 2 6 6" xfId="12942" xr:uid="{A5B3E042-E960-477F-9489-5C7CF4EE0B5B}"/>
    <cellStyle name="Currency 4 2 2 7" xfId="2248" xr:uid="{00000000-0005-0000-0000-000079020000}"/>
    <cellStyle name="Currency 4 2 2 7 2" xfId="7375" xr:uid="{CF61BC43-D246-40C1-8228-F46B8E85AA20}"/>
    <cellStyle name="Currency 4 2 2 7 2 2" xfId="27457" xr:uid="{155B2DC9-5B67-461A-8EAA-84F12AA59FCC}"/>
    <cellStyle name="Currency 4 2 2 7 2 2 2" xfId="31193" xr:uid="{8BFEFF6A-F05D-4F21-A359-E27BC701FB97}"/>
    <cellStyle name="Currency 4 2 2 7 2 2 3" xfId="30837" xr:uid="{AD4086B9-CE40-4A7C-AF4B-5AEC0730E92D}"/>
    <cellStyle name="Currency 4 2 2 7 2 3" xfId="27141" xr:uid="{F94D2FD7-9A02-40AF-8B43-7BF5C73AF079}"/>
    <cellStyle name="Currency 4 2 2 7 2 4" xfId="17755" xr:uid="{DBAA10A6-010A-4A90-8EA4-0D37EA7DA690}"/>
    <cellStyle name="Currency 4 2 2 7 3" xfId="10208" xr:uid="{B5A59965-5130-43D4-BD34-6120EF025F3B}"/>
    <cellStyle name="Currency 4 2 2 7 3 2" xfId="20588" xr:uid="{C290ED95-C53C-4400-AF1F-4BBD0AF54E79}"/>
    <cellStyle name="Currency 4 2 2 7 4" xfId="25139" xr:uid="{263A0DD8-E8EA-4EAC-8584-88E97C69B1A3}"/>
    <cellStyle name="Currency 4 2 2 7 5" xfId="14922" xr:uid="{83F0063F-A364-4B33-9973-13665D2F9F7E}"/>
    <cellStyle name="Currency 4 2 2 8" xfId="3883" xr:uid="{02D6025C-9008-4080-A62F-87941E94EAC3}"/>
    <cellStyle name="Currency 4 2 2 8 2" xfId="8715" xr:uid="{31ABCD9A-557C-4FBD-B23D-4E8EA293FC85}"/>
    <cellStyle name="Currency 4 2 2 8 2 2" xfId="19095" xr:uid="{00DFE264-E757-4BD1-BEED-EDC5FF6E9E40}"/>
    <cellStyle name="Currency 4 2 2 8 3" xfId="11548" xr:uid="{555440EB-A1AE-4960-8CF0-72DF55CCC59F}"/>
    <cellStyle name="Currency 4 2 2 8 3 2" xfId="21928" xr:uid="{86593793-E730-4EA6-BCCA-C72710799FA4}"/>
    <cellStyle name="Currency 4 2 2 8 4" xfId="27788" xr:uid="{F66A2384-47A5-4FA5-820D-9018DE561E82}"/>
    <cellStyle name="Currency 4 2 2 8 5" xfId="26745" xr:uid="{186FE025-C58D-40FD-8360-E37021ADA0FB}"/>
    <cellStyle name="Currency 4 2 2 8 6" xfId="16262" xr:uid="{A5E47255-A51E-4511-8025-47516A45DD44}"/>
    <cellStyle name="Currency 4 2 2 9" xfId="4940" xr:uid="{A4837D9E-0938-4336-AB79-069CE2A75BEB}"/>
    <cellStyle name="Currency 4 2 2 9 2" xfId="28367" xr:uid="{3DF05A3F-F5D8-48EB-9C06-9CE90129E617}"/>
    <cellStyle name="Currency 4 2 2 9 3" xfId="27347" xr:uid="{34372BF1-5B0F-4D78-8F8E-BE7F7FE86EE0}"/>
    <cellStyle name="Currency 4 2 2 9 4" xfId="14235" xr:uid="{B87B5004-9D66-42A9-B637-834375DCC983}"/>
    <cellStyle name="Currency 4 2 3" xfId="560" xr:uid="{00000000-0005-0000-0000-000066030000}"/>
    <cellStyle name="Currency 4 2 3 10" xfId="9524" xr:uid="{695ED208-2620-44DF-8ED8-E638FF8739D1}"/>
    <cellStyle name="Currency 4 2 3 10 2" xfId="19904" xr:uid="{8EC27CBF-38A1-4ACC-A7E0-07191E691C39}"/>
    <cellStyle name="Currency 4 2 3 11" xfId="23275" xr:uid="{E3E388FA-5DD8-4981-84F3-518176296E34}"/>
    <cellStyle name="Currency 4 2 3 12" xfId="12525" xr:uid="{92D5FDE4-7754-4360-AE4E-375B07903A2C}"/>
    <cellStyle name="Currency 4 2 3 2" xfId="1873" xr:uid="{00000000-0005-0000-0000-000067030000}"/>
    <cellStyle name="Currency 4 2 3 2 2" xfId="3091" xr:uid="{00000000-0005-0000-0000-000088020000}"/>
    <cellStyle name="Currency 4 2 3 2 2 2" xfId="6172" xr:uid="{529FDFE1-490E-439F-9A13-75EB267CAC06}"/>
    <cellStyle name="Currency 4 2 3 2 2 2 2" xfId="25786" xr:uid="{F431D705-0B00-4DD5-933D-39E3B7975FE7}"/>
    <cellStyle name="Currency 4 2 3 2 2 2 2 2" xfId="28577" xr:uid="{33859A7B-3E3E-44FA-AB81-4F9A6CEE3E82}"/>
    <cellStyle name="Currency 4 2 3 2 2 2 2 3" xfId="31165" xr:uid="{3B754025-5AC2-41B4-85AB-66A50B2BE5A3}"/>
    <cellStyle name="Currency 4 2 3 2 2 2 3" xfId="27869" xr:uid="{A981DF5B-5B04-4B53-915B-2398880F7EA4}"/>
    <cellStyle name="Currency 4 2 3 2 2 2 4" xfId="15718" xr:uid="{C24EDAA9-5D1E-4600-86CF-2ED8BEF3ABA6}"/>
    <cellStyle name="Currency 4 2 3 2 2 3" xfId="8171" xr:uid="{34656554-6727-4A10-9ACA-B181A3EE2E28}"/>
    <cellStyle name="Currency 4 2 3 2 2 3 2" xfId="18551" xr:uid="{F72D74B5-7058-43DA-857E-5760BF2B87F3}"/>
    <cellStyle name="Currency 4 2 3 2 2 4" xfId="11004" xr:uid="{5932ADF4-53B9-4E05-9A00-5465848E08D8}"/>
    <cellStyle name="Currency 4 2 3 2 2 4 2" xfId="21384" xr:uid="{525AD4BB-1C5B-4334-9322-D0C6B119D911}"/>
    <cellStyle name="Currency 4 2 3 2 2 5" xfId="24238" xr:uid="{1A5353D5-0119-46F7-B2FB-9B1991F58909}"/>
    <cellStyle name="Currency 4 2 3 2 2 5 2" xfId="30082" xr:uid="{21807AB0-79A4-4976-8C9B-271BC80672DC}"/>
    <cellStyle name="Currency 4 2 3 2 2 6" xfId="26206" xr:uid="{2BC38E44-7C15-46FF-BAD3-946606B00C78}"/>
    <cellStyle name="Currency 4 2 3 2 2 7" xfId="13605" xr:uid="{6932969E-A1A3-4AC4-8909-D1F94B61B969}"/>
    <cellStyle name="Currency 4 2 3 2 3" xfId="2694" xr:uid="{00000000-0005-0000-0000-000087020000}"/>
    <cellStyle name="Currency 4 2 3 2 3 2" xfId="7818" xr:uid="{5DFFB09E-D274-43B4-B6E0-BD55CF92B166}"/>
    <cellStyle name="Currency 4 2 3 2 3 2 2" xfId="28182" xr:uid="{63F14ABF-E145-4E7D-B680-BE1E0C62CDDA}"/>
    <cellStyle name="Currency 4 2 3 2 3 2 3" xfId="27692" xr:uid="{7619C5EA-2AFE-4ABE-BAFA-968FD09C35B7}"/>
    <cellStyle name="Currency 4 2 3 2 3 2 4" xfId="18198" xr:uid="{421F896E-D0D1-4FB9-A760-44BC4C8C6E60}"/>
    <cellStyle name="Currency 4 2 3 2 3 3" xfId="10651" xr:uid="{845C16D8-8D3E-41C7-8397-39891DB842CE}"/>
    <cellStyle name="Currency 4 2 3 2 3 3 2" xfId="21031" xr:uid="{4541039F-E2E9-43CB-B98F-E3493F725D50}"/>
    <cellStyle name="Currency 4 2 3 2 3 4" xfId="24102" xr:uid="{43A3297C-4A6C-4FA1-84AD-A107F954B7B8}"/>
    <cellStyle name="Currency 4 2 3 2 3 5" xfId="15365" xr:uid="{4D537A8F-8D36-4A54-87CC-7F5812182BA3}"/>
    <cellStyle name="Currency 4 2 3 2 4" xfId="3616" xr:uid="{00000000-0005-0000-0000-000067030000}"/>
    <cellStyle name="Currency 4 2 3 2 4 2" xfId="28594" xr:uid="{34300D74-C053-4AAD-9447-88E2ED878C9A}"/>
    <cellStyle name="Currency 4 2 3 2 4 3" xfId="26231" xr:uid="{149D8F1A-E6C2-4FB7-87CA-FA6E9DD07168}"/>
    <cellStyle name="Currency 4 2 3 2 5" xfId="4273" xr:uid="{6C21EA1C-5FC1-4AF8-8D45-861CCF0AD6F3}"/>
    <cellStyle name="Currency 4 2 3 2 5 2" xfId="9045" xr:uid="{D2CE4BA3-C487-47E9-9CAE-F483B713702D}"/>
    <cellStyle name="Currency 4 2 3 2 5 2 2" xfId="19425" xr:uid="{4E1B1DE2-BE2D-429C-ABFB-2D7273E3FB02}"/>
    <cellStyle name="Currency 4 2 3 2 5 2 3" xfId="31049" xr:uid="{92252FF1-0E6E-4F89-9FC8-C021125B6D9E}"/>
    <cellStyle name="Currency 4 2 3 2 5 2 4" xfId="30838" xr:uid="{2AE58734-02FC-450F-90A1-8F5E85C2D3B9}"/>
    <cellStyle name="Currency 4 2 3 2 5 3" xfId="11878" xr:uid="{BE6DA673-B497-4F82-B97B-096E06E1E983}"/>
    <cellStyle name="Currency 4 2 3 2 5 3 2" xfId="22258" xr:uid="{819E14CE-8029-4574-8034-A7B24823BEAB}"/>
    <cellStyle name="Currency 4 2 3 2 5 4" xfId="28717" xr:uid="{61A02F48-DA36-4DA1-BB9A-2CEFB590F505}"/>
    <cellStyle name="Currency 4 2 3 2 5 5" xfId="25921" xr:uid="{329B915E-4F03-4FBD-9623-05CA2ADFF798}"/>
    <cellStyle name="Currency 4 2 3 2 5 6" xfId="16592" xr:uid="{7C3E439B-919E-4FBE-BCB6-38BA65C38AC5}"/>
    <cellStyle name="Currency 4 2 3 2 6" xfId="5671" xr:uid="{ECC4CDE5-61C7-4742-B2AF-01B672A90F98}"/>
    <cellStyle name="Currency 4 2 3 2 6 2" xfId="29728" xr:uid="{FE5A2704-6749-4B6E-8BB6-A7683E9B9E0D}"/>
    <cellStyle name="Currency 4 2 3 2 6 2 2" xfId="30987" xr:uid="{39D5B816-D691-4D85-95CC-46B2E8671A0E}"/>
    <cellStyle name="Currency 4 2 3 2 7" xfId="23523" xr:uid="{E6D4F43F-005B-44E0-A529-E07D81929683}"/>
    <cellStyle name="Currency 4 2 3 2 8" xfId="13107" xr:uid="{2F7DCC0A-CB6C-48C1-8D0F-8FB466F04FD1}"/>
    <cellStyle name="Currency 4 2 3 2 9" xfId="29994" xr:uid="{CE033F57-9BDB-4821-8A87-DD0E4EAE44F2}"/>
    <cellStyle name="Currency 4 2 3 3" xfId="1874" xr:uid="{00000000-0005-0000-0000-000068030000}"/>
    <cellStyle name="Currency 4 2 3 3 2" xfId="3092" xr:uid="{00000000-0005-0000-0000-000089020000}"/>
    <cellStyle name="Currency 4 2 3 3 2 2" xfId="8172" xr:uid="{D83CBDCA-093F-4CCB-8B52-A7FE5C85D8BC}"/>
    <cellStyle name="Currency 4 2 3 3 2 2 2" xfId="28841" xr:uid="{8E98CBE0-E801-4D1E-8075-39B91C1C3D46}"/>
    <cellStyle name="Currency 4 2 3 3 2 2 2 2" xfId="31234" xr:uid="{C99B5626-34D4-4ECE-A3A0-3BD7C3C868CA}"/>
    <cellStyle name="Currency 4 2 3 3 2 2 2 3" xfId="30840" xr:uid="{540CDF2A-17D0-4EA1-8CE7-D91FE6235E7F}"/>
    <cellStyle name="Currency 4 2 3 3 2 2 3" xfId="28362" xr:uid="{19617199-D83D-4AC7-90B6-59B24B7F329C}"/>
    <cellStyle name="Currency 4 2 3 3 2 2 4" xfId="18552" xr:uid="{3E2E16FA-DCE9-46FF-B8A4-F05A297A4526}"/>
    <cellStyle name="Currency 4 2 3 3 2 3" xfId="11005" xr:uid="{7CFAE4A0-4080-4C07-80C7-E28373BFBF7D}"/>
    <cellStyle name="Currency 4 2 3 3 2 3 2" xfId="21385" xr:uid="{D0FE9186-B2E3-43CB-B7F5-B0B8BC9A5375}"/>
    <cellStyle name="Currency 4 2 3 3 2 4" xfId="25536" xr:uid="{44024CD4-E30C-4AB6-BC07-6BA716230037}"/>
    <cellStyle name="Currency 4 2 3 3 2 5" xfId="15719" xr:uid="{9693027F-2390-42EA-BA52-62532ADB1EB8}"/>
    <cellStyle name="Currency 4 2 3 3 3" xfId="3696" xr:uid="{00000000-0005-0000-0000-000068030000}"/>
    <cellStyle name="Currency 4 2 3 3 4" xfId="4425" xr:uid="{5BDB5EC5-CCD8-4C46-BD80-392ACA59EAB0}"/>
    <cellStyle name="Currency 4 2 3 3 4 2" xfId="9197" xr:uid="{C1E69659-3681-45CB-91F0-E14049CFA03C}"/>
    <cellStyle name="Currency 4 2 3 3 4 2 2" xfId="19577" xr:uid="{85A96AB0-93FD-45A8-96BD-571FE5277C62}"/>
    <cellStyle name="Currency 4 2 3 3 4 2 3" xfId="31091" xr:uid="{2085B30E-C37C-4522-A981-D6661F484E54}"/>
    <cellStyle name="Currency 4 2 3 3 4 2 4" xfId="30839" xr:uid="{C2DA64AC-30E0-4B03-B951-7E831A57408C}"/>
    <cellStyle name="Currency 4 2 3 3 4 3" xfId="12030" xr:uid="{DF8D0B10-B80B-4C88-AA50-4ED2ED041C8A}"/>
    <cellStyle name="Currency 4 2 3 3 4 3 2" xfId="22410" xr:uid="{4FB6F006-0045-4513-A45D-725B561FB53A}"/>
    <cellStyle name="Currency 4 2 3 3 4 4" xfId="16744" xr:uid="{856CCB70-DBD9-45B6-B09F-84B16CE69444}"/>
    <cellStyle name="Currency 4 2 3 3 5" xfId="5672" xr:uid="{742C104B-D487-477C-A233-160ADA915D3F}"/>
    <cellStyle name="Currency 4 2 3 3 5 2" xfId="29701" xr:uid="{8B2CE640-C1D9-4645-B3FB-D2F01298CF19}"/>
    <cellStyle name="Currency 4 2 3 3 5 2 2" xfId="30988" xr:uid="{0C3D6EFD-9BBD-4736-8CE3-EC30A16ED133}"/>
    <cellStyle name="Currency 4 2 3 3 6" xfId="24725" xr:uid="{BD39BC1E-AABB-4030-A7E8-3000083EDE7C}"/>
    <cellStyle name="Currency 4 2 3 3 7" xfId="13606" xr:uid="{F03C87AD-13DC-43F5-B66B-1FB7AEC9B24E}"/>
    <cellStyle name="Currency 4 2 3 4" xfId="1872" xr:uid="{00000000-0005-0000-0000-000069030000}"/>
    <cellStyle name="Currency 4 2 3 4 2" xfId="3090" xr:uid="{00000000-0005-0000-0000-00008A020000}"/>
    <cellStyle name="Currency 4 2 3 4 2 2" xfId="8170" xr:uid="{5C881F30-0B2B-4648-A0A4-7DBA5ED0CCAD}"/>
    <cellStyle name="Currency 4 2 3 4 2 2 2" xfId="28840" xr:uid="{AC3AFC22-5037-4FFD-B57F-C0946715E48A}"/>
    <cellStyle name="Currency 4 2 3 4 2 2 3" xfId="27348" xr:uid="{814C2E99-50A8-4FF5-8C1F-28C53EAAAF84}"/>
    <cellStyle name="Currency 4 2 3 4 2 2 4" xfId="18550" xr:uid="{D6C59507-A017-43D8-903A-AB98D4BECB59}"/>
    <cellStyle name="Currency 4 2 3 4 2 3" xfId="11003" xr:uid="{7D840997-B835-4F73-AEA9-AC9E4299B1E8}"/>
    <cellStyle name="Currency 4 2 3 4 2 3 2" xfId="21383" xr:uid="{958B9C8A-4531-4E13-B949-0D70D92A0A8B}"/>
    <cellStyle name="Currency 4 2 3 4 2 4" xfId="24006" xr:uid="{2F9351C4-E203-419F-9DCF-75B9A7A27534}"/>
    <cellStyle name="Currency 4 2 3 4 2 5" xfId="15717" xr:uid="{887C9BDA-5D0E-4F0C-8D00-8C51FE003AF2}"/>
    <cellStyle name="Currency 4 2 3 4 3" xfId="2078" xr:uid="{00000000-0005-0000-0000-000069030000}"/>
    <cellStyle name="Currency 4 2 3 4 4" xfId="5670" xr:uid="{49E33153-542F-4E88-B6C3-166F4B1C18DC}"/>
    <cellStyle name="Currency 4 2 3 4 4 2" xfId="29967" xr:uid="{D1E42E86-3344-414E-8575-B8C7A311F714}"/>
    <cellStyle name="Currency 4 2 3 4 5" xfId="22650" xr:uid="{62BA27C6-77E6-41BD-8D63-3BCD72104C5F}"/>
    <cellStyle name="Currency 4 2 3 4 6" xfId="13604" xr:uid="{A451A3AB-0BB6-4084-8903-9C99083D7011}"/>
    <cellStyle name="Currency 4 2 3 5" xfId="2597" xr:uid="{00000000-0005-0000-0000-00008B020000}"/>
    <cellStyle name="Currency 4 2 3 5 2" xfId="5862" xr:uid="{BF8B7BF8-8050-4AE5-86B0-FCA739EDFF6C}"/>
    <cellStyle name="Currency 4 2 3 5 2 2" xfId="27996" xr:uid="{52F07813-E789-4CF5-9D08-E661A5C701DE}"/>
    <cellStyle name="Currency 4 2 3 5 2 2 2" xfId="31199" xr:uid="{A372AF4B-0BAD-46E7-AA5D-F790CCD5BF14}"/>
    <cellStyle name="Currency 4 2 3 5 2 2 3" xfId="30841" xr:uid="{2DA2947D-AA7D-4126-9341-6CAA595EB8A4}"/>
    <cellStyle name="Currency 4 2 3 5 2 3" xfId="28390" xr:uid="{8E563ED7-F0F0-45B6-BAE0-76BA186494E3}"/>
    <cellStyle name="Currency 4 2 3 5 2 4" xfId="15269" xr:uid="{3CE94080-81E3-4EA5-89A9-06744ACA887F}"/>
    <cellStyle name="Currency 4 2 3 5 3" xfId="7722" xr:uid="{10A27F76-22D1-40F1-9D4E-3B6CD16079DF}"/>
    <cellStyle name="Currency 4 2 3 5 3 2" xfId="18102" xr:uid="{7F7DFED3-7BB8-455F-9995-CEFD7DF182BF}"/>
    <cellStyle name="Currency 4 2 3 5 4" xfId="10555" xr:uid="{8E36015E-7D5F-43EF-AC56-4E500078CE31}"/>
    <cellStyle name="Currency 4 2 3 5 4 2" xfId="20935" xr:uid="{EB5A8D79-EB5E-45E2-999F-30A02B06F379}"/>
    <cellStyle name="Currency 4 2 3 5 5" xfId="23648" xr:uid="{8D2AA314-6331-4CE2-A009-BA60DC777D95}"/>
    <cellStyle name="Currency 4 2 3 5 6" xfId="12985" xr:uid="{01C63BBB-8E9A-4A69-8249-8F15043C4F8F}"/>
    <cellStyle name="Currency 4 2 3 6" xfId="2293" xr:uid="{00000000-0005-0000-0000-000086020000}"/>
    <cellStyle name="Currency 4 2 3 6 2" xfId="7420" xr:uid="{3EDDEF0C-1170-44FC-9E29-73084BA92D9B}"/>
    <cellStyle name="Currency 4 2 3 6 2 2" xfId="17800" xr:uid="{5DB08EA5-B4BF-4D08-AE10-B1BCA4637284}"/>
    <cellStyle name="Currency 4 2 3 6 3" xfId="10253" xr:uid="{766D3AD7-0F8A-4BEB-99F0-47B8CFBA1265}"/>
    <cellStyle name="Currency 4 2 3 6 3 2" xfId="20633" xr:uid="{5CBF30F4-97C8-4CD2-8F89-56254FCB70D3}"/>
    <cellStyle name="Currency 4 2 3 6 4" xfId="24491" xr:uid="{08A6B700-F4DA-43CF-B126-E5EA9D210A08}"/>
    <cellStyle name="Currency 4 2 3 6 5" xfId="26180" xr:uid="{20347FE0-F2EA-44A7-A8C9-696BEDCF4246}"/>
    <cellStyle name="Currency 4 2 3 6 6" xfId="14967" xr:uid="{5271A6B4-83D2-498D-870F-F8FBF77613DD}"/>
    <cellStyle name="Currency 4 2 3 7" xfId="3828" xr:uid="{9411D43E-CDD6-4FE8-9E7A-3AD695C85148}"/>
    <cellStyle name="Currency 4 2 3 7 2" xfId="8661" xr:uid="{5519AB10-F8F2-4D99-B35F-2920FBCAB596}"/>
    <cellStyle name="Currency 4 2 3 7 2 2" xfId="19041" xr:uid="{3762F2F5-1A6B-4987-99BC-7F33792DA194}"/>
    <cellStyle name="Currency 4 2 3 7 3" xfId="11494" xr:uid="{03272CB4-0F1F-487B-8764-901F797A1C04}"/>
    <cellStyle name="Currency 4 2 3 7 3 2" xfId="21874" xr:uid="{0567CB41-A16A-4CB1-B5E6-4355AB676991}"/>
    <cellStyle name="Currency 4 2 3 7 4" xfId="27170" xr:uid="{B50D6951-3AFD-4C0A-AAB4-FA29C68C8620}"/>
    <cellStyle name="Currency 4 2 3 7 5" xfId="27293" xr:uid="{75015154-D464-4CCB-BD13-E277D11AC6A7}"/>
    <cellStyle name="Currency 4 2 3 7 6" xfId="16208" xr:uid="{1F217B41-0735-48D3-AEE7-8886CA084B4B}"/>
    <cellStyle name="Currency 4 2 3 8" xfId="4943" xr:uid="{77780067-030E-49AF-8FFE-4CA465D3A5C6}"/>
    <cellStyle name="Currency 4 2 3 8 2" xfId="14238" xr:uid="{600B4770-E496-4DD5-AFE1-1860E27E30CF}"/>
    <cellStyle name="Currency 4 2 3 9" xfId="6691" xr:uid="{BF23809D-EBF7-4EFE-86D3-CF7C525534CF}"/>
    <cellStyle name="Currency 4 2 3 9 2" xfId="17071" xr:uid="{1DF2657B-E75C-44F5-9CF7-84E234C571AD}"/>
    <cellStyle name="Currency 4 2 4" xfId="561" xr:uid="{00000000-0005-0000-0000-00006A030000}"/>
    <cellStyle name="Currency 4 2 4 10" xfId="12683" xr:uid="{9DA9BDBB-D445-405D-BA27-E0B7D5CB6604}"/>
    <cellStyle name="Currency 4 2 4 2" xfId="1876" xr:uid="{00000000-0005-0000-0000-00006B030000}"/>
    <cellStyle name="Currency 4 2 4 2 2" xfId="3093" xr:uid="{00000000-0005-0000-0000-00008D020000}"/>
    <cellStyle name="Currency 4 2 4 2 2 2" xfId="8173" xr:uid="{CFB74B2A-0CBE-40EE-92E1-1BACF4A65146}"/>
    <cellStyle name="Currency 4 2 4 2 2 2 2" xfId="28842" xr:uid="{ED178F4A-FEEE-466E-AC2A-B99B31DCC047}"/>
    <cellStyle name="Currency 4 2 4 2 2 2 3" xfId="26434" xr:uid="{E651ACCA-3D04-4362-9B0F-584E41BCF71F}"/>
    <cellStyle name="Currency 4 2 4 2 2 2 4" xfId="18553" xr:uid="{440D2D27-4EF5-4E3E-86BE-831E0D4C899A}"/>
    <cellStyle name="Currency 4 2 4 2 2 3" xfId="11006" xr:uid="{FCA3847D-3FF1-4472-B67C-BE8CF608A60C}"/>
    <cellStyle name="Currency 4 2 4 2 2 3 2" xfId="21386" xr:uid="{361E8EA1-4C7C-4CF3-9F7C-90F78BB283B3}"/>
    <cellStyle name="Currency 4 2 4 2 2 4" xfId="25525" xr:uid="{020CC287-4FBA-4C24-A9A5-7C37D3A3181B}"/>
    <cellStyle name="Currency 4 2 4 2 2 5" xfId="15720" xr:uid="{B01317A4-4A1D-4031-9F10-55C58A1D8E6D}"/>
    <cellStyle name="Currency 4 2 4 2 3" xfId="2862" xr:uid="{00000000-0005-0000-0000-00006B030000}"/>
    <cellStyle name="Currency 4 2 4 2 4" xfId="5673" xr:uid="{B894F6FB-E5D2-4426-BAE5-F361ED958DC3}"/>
    <cellStyle name="Currency 4 2 4 2 4 2" xfId="29782" xr:uid="{779327EA-EF40-48DB-992B-79710876AA2B}"/>
    <cellStyle name="Currency 4 2 4 2 5" xfId="24064" xr:uid="{645DD58F-3869-4C0D-9441-67FA2EE6DC69}"/>
    <cellStyle name="Currency 4 2 4 2 6" xfId="13607" xr:uid="{706296AA-0A5B-4EAF-BF06-F3AE995AD1C0}"/>
    <cellStyle name="Currency 4 2 4 3" xfId="1877" xr:uid="{00000000-0005-0000-0000-00006C030000}"/>
    <cellStyle name="Currency 4 2 4 3 2" xfId="2691" xr:uid="{00000000-0005-0000-0000-00008E020000}"/>
    <cellStyle name="Currency 4 2 4 3 2 2" xfId="7815" xr:uid="{45B4AD22-B857-4B3D-868F-EF1F991F9401}"/>
    <cellStyle name="Currency 4 2 4 3 2 2 2" xfId="18195" xr:uid="{C2AE4201-2DB8-47A4-962A-FDF7425F1B76}"/>
    <cellStyle name="Currency 4 2 4 3 2 3" xfId="10648" xr:uid="{425932D7-C8FB-4693-9F2C-0F54D708A077}"/>
    <cellStyle name="Currency 4 2 4 3 2 3 2" xfId="21028" xr:uid="{46A72BFD-107A-45BA-B43C-9ACD1F1572C4}"/>
    <cellStyle name="Currency 4 2 4 3 2 4" xfId="15362" xr:uid="{56B20FC1-F91B-4CCE-8163-6DCC8E68F688}"/>
    <cellStyle name="Currency 4 2 4 3 2 5" xfId="30452" xr:uid="{3E7E8B7A-271B-4ED0-B1E0-67B7EC7F1A1F}"/>
    <cellStyle name="Currency 4 2 4 3 3" xfId="3544" xr:uid="{00000000-0005-0000-0000-00006C030000}"/>
    <cellStyle name="Currency 4 2 4 3 4" xfId="5674" xr:uid="{08E421AE-DDE3-4B6C-AA1C-46544E7401B9}"/>
    <cellStyle name="Currency 4 2 4 3 4 2" xfId="29759" xr:uid="{2AC4BDB1-E701-44D9-B0FC-9883B7A7B3FF}"/>
    <cellStyle name="Currency 4 2 4 3 5" xfId="25345" xr:uid="{08DAE02F-1B6E-44AD-A9C8-912AD3AAD387}"/>
    <cellStyle name="Currency 4 2 4 3 6" xfId="13104" xr:uid="{82EBEC48-3D43-4E9D-B56D-7E929E0E1A17}"/>
    <cellStyle name="Currency 4 2 4 4" xfId="1875" xr:uid="{00000000-0005-0000-0000-00006D030000}"/>
    <cellStyle name="Currency 4 2 4 4 2" xfId="4674" xr:uid="{C9DA1A56-732E-4961-B2D9-0A915ACCB4C5}"/>
    <cellStyle name="Currency 4 2 4 4 2 2" xfId="9414" xr:uid="{7E88755F-A896-471C-8857-39454F619F9C}"/>
    <cellStyle name="Currency 4 2 4 4 2 2 2" xfId="19794" xr:uid="{4538922B-7154-4E44-BB56-F4171AAAE1F4}"/>
    <cellStyle name="Currency 4 2 4 4 2 3" xfId="12247" xr:uid="{DE8A55F2-EE62-41C6-8A66-CB165A7E6D10}"/>
    <cellStyle name="Currency 4 2 4 4 2 3 2" xfId="22627" xr:uid="{786E37C1-C954-4926-BD86-4FC6456CF137}"/>
    <cellStyle name="Currency 4 2 4 4 2 4" xfId="27425" xr:uid="{4843839A-BCB9-41CE-8805-8D0614D92E2A}"/>
    <cellStyle name="Currency 4 2 4 4 2 5" xfId="26256" xr:uid="{D30ADB09-C3D5-4D8C-886A-89143E520A69}"/>
    <cellStyle name="Currency 4 2 4 4 2 6" xfId="16961" xr:uid="{4D75FEE1-E172-457D-8E34-8A272A4E5949}"/>
    <cellStyle name="Currency 4 2 4 4 3" xfId="22701" xr:uid="{820DF042-B0AA-4327-B8F4-D655FDAD1E0D}"/>
    <cellStyle name="Currency 4 2 4 5" xfId="4137" xr:uid="{0946DA19-72C4-4F96-A1A1-F785B9C6BDD3}"/>
    <cellStyle name="Currency 4 2 4 5 2" xfId="8909" xr:uid="{52D4BD7B-0DFF-4DF8-B14E-5D13184F5469}"/>
    <cellStyle name="Currency 4 2 4 5 2 2" xfId="29013" xr:uid="{E710C129-20D4-4EA0-A247-8B6E8FB27B7F}"/>
    <cellStyle name="Currency 4 2 4 5 2 3" xfId="27995" xr:uid="{A14DBC58-1E78-4416-B710-8CEE806D9C5C}"/>
    <cellStyle name="Currency 4 2 4 5 2 4" xfId="19289" xr:uid="{45E24BB5-B74E-4C6E-A80D-67E7CC7F8C32}"/>
    <cellStyle name="Currency 4 2 4 5 2 5" xfId="31019" xr:uid="{CFD86F19-DED4-497F-A8E9-A80709CF90C1}"/>
    <cellStyle name="Currency 4 2 4 5 3" xfId="11742" xr:uid="{2D06F008-726C-4EA8-9BFA-B27F239E95B8}"/>
    <cellStyle name="Currency 4 2 4 5 3 2" xfId="22122" xr:uid="{B2CB1173-AC2D-48EF-99F8-74AE1DAD9F27}"/>
    <cellStyle name="Currency 4 2 4 5 4" xfId="23874" xr:uid="{24B491C3-5B43-4CC6-B7EF-7621C2CD760B}"/>
    <cellStyle name="Currency 4 2 4 5 5" xfId="16456" xr:uid="{4C351AFE-E773-49FC-B65C-B8A5A1A6D29E}"/>
    <cellStyle name="Currency 4 2 4 6" xfId="4944" xr:uid="{A85A3DAA-772F-42F7-BF9C-C31803A88D2F}"/>
    <cellStyle name="Currency 4 2 4 6 2" xfId="26950" xr:uid="{03811147-8C50-47E1-923A-26744278F7C8}"/>
    <cellStyle name="Currency 4 2 4 6 3" xfId="28170" xr:uid="{302BAD18-AED0-4DA1-A413-14D8B1B5424A}"/>
    <cellStyle name="Currency 4 2 4 6 4" xfId="14239" xr:uid="{D9AEFE65-B40E-45B2-9368-CB1A5C7C5D7C}"/>
    <cellStyle name="Currency 4 2 4 7" xfId="6692" xr:uid="{D7EBC9D8-EC36-4DE1-A16C-BF75E4923FA1}"/>
    <cellStyle name="Currency 4 2 4 7 2" xfId="27797" xr:uid="{50E52D62-6867-4317-BEEB-33758CF09BA5}"/>
    <cellStyle name="Currency 4 2 4 7 3" xfId="27054" xr:uid="{E8E6F158-4E81-48AC-9BA8-01025F1229BD}"/>
    <cellStyle name="Currency 4 2 4 7 4" xfId="17072" xr:uid="{0D456588-FC15-4460-9B0C-F6C7C29288FC}"/>
    <cellStyle name="Currency 4 2 4 8" xfId="9525" xr:uid="{B089C968-59EF-458D-82E3-1CFD27974824}"/>
    <cellStyle name="Currency 4 2 4 8 2" xfId="19905" xr:uid="{03179FD1-793B-47CD-ABA0-805593513C97}"/>
    <cellStyle name="Currency 4 2 4 9" xfId="25437" xr:uid="{429B4003-C873-4D2F-BCDF-EF56C7FA5C47}"/>
    <cellStyle name="Currency 4 2 5" xfId="562" xr:uid="{00000000-0005-0000-0000-00006E030000}"/>
    <cellStyle name="Currency 4 2 5 10" xfId="13608" xr:uid="{87F1B163-5B83-4557-A952-E2C29472F216}"/>
    <cellStyle name="Currency 4 2 5 2" xfId="1879" xr:uid="{00000000-0005-0000-0000-00006F030000}"/>
    <cellStyle name="Currency 4 2 5 2 2" xfId="24954" xr:uid="{BBEF5993-F8AC-4524-941D-112A15F3447D}"/>
    <cellStyle name="Currency 4 2 5 2 2 2" xfId="29679" xr:uid="{33DBED40-3AE8-4C44-861D-1863CE025044}"/>
    <cellStyle name="Currency 4 2 5 2 2 2 2" xfId="30843" xr:uid="{883563B9-AF8B-4872-A207-9A25B2B164BE}"/>
    <cellStyle name="Currency 4 2 5 2 3" xfId="23374" xr:uid="{043B26EB-F4A5-45D7-8163-B3F881D5C636}"/>
    <cellStyle name="Currency 4 2 5 2 4" xfId="30064" xr:uid="{2461003D-E32D-42BD-BB02-6DB484292D06}"/>
    <cellStyle name="Currency 4 2 5 3" xfId="1880" xr:uid="{00000000-0005-0000-0000-000070030000}"/>
    <cellStyle name="Currency 4 2 5 4" xfId="1878" xr:uid="{00000000-0005-0000-0000-000071030000}"/>
    <cellStyle name="Currency 4 2 5 5" xfId="4426" xr:uid="{FDF6B367-10B3-4EAE-9E49-B3C45734BFB2}"/>
    <cellStyle name="Currency 4 2 5 5 2" xfId="9198" xr:uid="{E85DF9EB-311B-4F81-9D96-394CE20C5CC6}"/>
    <cellStyle name="Currency 4 2 5 5 2 2" xfId="19578" xr:uid="{9A4B6684-C591-4F16-BFB6-3361E96139EE}"/>
    <cellStyle name="Currency 4 2 5 5 2 3" xfId="31092" xr:uid="{E7D19E49-7B60-44F2-B6FD-9392A2CF31AF}"/>
    <cellStyle name="Currency 4 2 5 5 2 4" xfId="30842" xr:uid="{784B0320-B780-4FBA-9D1B-039687A1453B}"/>
    <cellStyle name="Currency 4 2 5 5 3" xfId="12031" xr:uid="{8D53D6CB-B4E3-489F-BBCC-35A064EF6FAF}"/>
    <cellStyle name="Currency 4 2 5 5 3 2" xfId="22411" xr:uid="{64F3B7EC-0534-43AB-9EAD-0CC24A310D9A}"/>
    <cellStyle name="Currency 4 2 5 5 4" xfId="16745" xr:uid="{70F4C88B-8E51-42FE-8C6F-8A063CDA9E59}"/>
    <cellStyle name="Currency 4 2 5 6" xfId="4945" xr:uid="{D75D85CF-44E9-4C80-9CB6-9D9124C48907}"/>
    <cellStyle name="Currency 4 2 5 6 2" xfId="14240" xr:uid="{27564A53-3BA4-430B-B3EF-BF70748DDED5}"/>
    <cellStyle name="Currency 4 2 5 7" xfId="6693" xr:uid="{EF48389A-C1B4-42B8-8C4B-650B09C9B780}"/>
    <cellStyle name="Currency 4 2 5 7 2" xfId="17073" xr:uid="{F8AB562E-FFA0-4A7F-8969-4F39454F2260}"/>
    <cellStyle name="Currency 4 2 5 8" xfId="9526" xr:uid="{952B69F6-6B5D-4A85-847A-6DEDE172799E}"/>
    <cellStyle name="Currency 4 2 5 8 2" xfId="19906" xr:uid="{CEE02A62-0CD3-4293-B7B4-71B8F3D0F850}"/>
    <cellStyle name="Currency 4 2 5 9" xfId="23847" xr:uid="{2A72D9E9-32D0-4D14-AF50-E3BAE811FBCB}"/>
    <cellStyle name="Currency 4 2 6" xfId="1881" xr:uid="{00000000-0005-0000-0000-000072030000}"/>
    <cellStyle name="Currency 4 2 6 2" xfId="2882" xr:uid="{00000000-0005-0000-0000-000090020000}"/>
    <cellStyle name="Currency 4 2 6 2 2" xfId="7999" xr:uid="{5D8F085F-F860-4350-BA19-9FEA730AB68D}"/>
    <cellStyle name="Currency 4 2 6 2 2 2" xfId="26386" xr:uid="{4A5CEC5D-6DA3-4D94-BF9E-322F0E90D597}"/>
    <cellStyle name="Currency 4 2 6 2 2 2 2" xfId="31176" xr:uid="{93D65879-61DA-41FA-BF5B-6144E174BADC}"/>
    <cellStyle name="Currency 4 2 6 2 2 2 3" xfId="30844" xr:uid="{9E43A73B-313A-47DA-AE4A-45B5A584F094}"/>
    <cellStyle name="Currency 4 2 6 2 2 3" xfId="26504" xr:uid="{890B3BF8-48AC-47C6-AAC9-605649711EC0}"/>
    <cellStyle name="Currency 4 2 6 2 2 4" xfId="18379" xr:uid="{7FB0E7EE-E818-4648-B60B-1C8120B2A2CA}"/>
    <cellStyle name="Currency 4 2 6 2 3" xfId="10832" xr:uid="{61056E6D-32BB-45EE-8590-72DB29A983E9}"/>
    <cellStyle name="Currency 4 2 6 2 3 2" xfId="21212" xr:uid="{258AFFD5-7A7C-4EB2-84E4-9C0DB9D58681}"/>
    <cellStyle name="Currency 4 2 6 2 4" xfId="24955" xr:uid="{73DD1256-9F3D-417F-B69C-12C22E4E672C}"/>
    <cellStyle name="Currency 4 2 6 2 5" xfId="15546" xr:uid="{315A732A-0586-4DCE-A71C-DF0DB78775B4}"/>
    <cellStyle name="Currency 4 2 6 3" xfId="3621" xr:uid="{00000000-0005-0000-0000-000072030000}"/>
    <cellStyle name="Currency 4 2 6 4" xfId="5675" xr:uid="{4939E943-A2E0-427A-AEC4-B21F9D4F8159}"/>
    <cellStyle name="Currency 4 2 6 4 2" xfId="29769" xr:uid="{3E9B3AED-6894-4FB7-981B-D2BD8B1F19DF}"/>
    <cellStyle name="Currency 4 2 6 5" xfId="25114" xr:uid="{E30B2578-1288-47A3-B3BA-30B1805299C3}"/>
    <cellStyle name="Currency 4 2 6 6" xfId="13381" xr:uid="{8C718C21-172C-44CD-A8BD-BFF25B26646A}"/>
    <cellStyle name="Currency 4 2 7" xfId="1882" xr:uid="{00000000-0005-0000-0000-000073030000}"/>
    <cellStyle name="Currency 4 2 7 2" xfId="2494" xr:uid="{00000000-0005-0000-0000-000091020000}"/>
    <cellStyle name="Currency 4 2 7 2 2" xfId="7619" xr:uid="{1DE766FD-5D05-4437-B056-8A76C40DDAC2}"/>
    <cellStyle name="Currency 4 2 7 2 2 2" xfId="17999" xr:uid="{B4E5BD64-019F-4A22-A7FE-7D1E16BC3D5A}"/>
    <cellStyle name="Currency 4 2 7 2 3" xfId="10452" xr:uid="{4947354B-127E-4991-A5AF-5B8FEC7AE1DC}"/>
    <cellStyle name="Currency 4 2 7 2 3 2" xfId="20832" xr:uid="{ECFD314C-DBD6-41EE-86B1-BF20A1FB9818}"/>
    <cellStyle name="Currency 4 2 7 2 4" xfId="27944" xr:uid="{AC587898-EBF3-48E3-B172-2974943146AE}"/>
    <cellStyle name="Currency 4 2 7 2 5" xfId="27889" xr:uid="{16D58729-C246-4B37-87BA-1A2F3AFA2EBE}"/>
    <cellStyle name="Currency 4 2 7 2 6" xfId="15166" xr:uid="{3994FC5A-32A5-45BA-BD59-4D7DDBD598D6}"/>
    <cellStyle name="Currency 4 2 7 3" xfId="3603" xr:uid="{00000000-0005-0000-0000-000073030000}"/>
    <cellStyle name="Currency 4 2 7 4" xfId="5676" xr:uid="{EA961475-3856-4FED-AB9C-654EB4EC64FD}"/>
    <cellStyle name="Currency 4 2 7 4 2" xfId="29870" xr:uid="{65B5D0E8-B145-4E9B-89E2-C7AEE6F364BA}"/>
    <cellStyle name="Currency 4 2 7 5" xfId="23894" xr:uid="{CB6FFF07-08EE-4C7E-B764-E810EDFDC868}"/>
    <cellStyle name="Currency 4 2 7 6" xfId="12882" xr:uid="{88AABC15-3833-4375-B132-D2ADFE52CB51}"/>
    <cellStyle name="Currency 4 2 8" xfId="1862" xr:uid="{00000000-0005-0000-0000-000074030000}"/>
    <cellStyle name="Currency 4 2 8 2" xfId="2188" xr:uid="{00000000-0005-0000-0000-000078020000}"/>
    <cellStyle name="Currency 4 2 8 2 2" xfId="7315" xr:uid="{ADD0A165-ABE0-4F90-A33F-077F5FF9274C}"/>
    <cellStyle name="Currency 4 2 8 2 2 2" xfId="17695" xr:uid="{C1BBF7D4-FBF1-47C1-BB55-91EFC3948301}"/>
    <cellStyle name="Currency 4 2 8 2 3" xfId="10148" xr:uid="{33E315B1-4D3D-49E9-A76E-8054D92275A7}"/>
    <cellStyle name="Currency 4 2 8 2 3 2" xfId="20528" xr:uid="{88A0F51E-EE8C-447C-B6BC-64E9415C38E1}"/>
    <cellStyle name="Currency 4 2 8 2 4" xfId="26698" xr:uid="{36B731ED-7B10-4707-8CE6-205628889D4E}"/>
    <cellStyle name="Currency 4 2 8 2 5" xfId="27853" xr:uid="{C058DF41-89BC-4679-BC90-E6969DEB80F2}"/>
    <cellStyle name="Currency 4 2 8 2 6" xfId="14862" xr:uid="{99E20BDB-1FDA-4F7A-9084-46C793C71BFD}"/>
    <cellStyle name="Currency 4 2 8 3" xfId="3651" xr:uid="{00000000-0005-0000-0000-000074030000}"/>
    <cellStyle name="Currency 4 2 8 4" xfId="24962" xr:uid="{3F0C25D4-5FA2-4F09-A128-283041A580CB}"/>
    <cellStyle name="Currency 4 2 9" xfId="3882" xr:uid="{DC251A4F-5AD9-45C1-BD34-8461C5214166}"/>
    <cellStyle name="Currency 4 2 9 2" xfId="8714" xr:uid="{C1BC6D1A-7EE7-4C47-87C8-C0673B800AAC}"/>
    <cellStyle name="Currency 4 2 9 2 2" xfId="19094" xr:uid="{648BA1C2-C386-4F11-BB8B-8B4A1CC8CB92}"/>
    <cellStyle name="Currency 4 2 9 3" xfId="11547" xr:uid="{BF03B1AD-0DE8-47DE-A307-4E2A32AA0B13}"/>
    <cellStyle name="Currency 4 2 9 3 2" xfId="21927" xr:uid="{0D3D9BC0-3938-4572-A44C-6B9F1688C330}"/>
    <cellStyle name="Currency 4 2 9 4" xfId="27236" xr:uid="{11A01AB7-B43D-42C9-8214-AD90DCB92BD5}"/>
    <cellStyle name="Currency 4 2 9 5" xfId="27203" xr:uid="{20CAEDD4-581A-49A6-A983-2D7BD69C167F}"/>
    <cellStyle name="Currency 4 2 9 6" xfId="16261" xr:uid="{35051925-8774-429B-B45F-CA6B9A703F0C}"/>
    <cellStyle name="Currency 4 20" xfId="12397" xr:uid="{66CD73B6-8B5C-4CEE-B1C4-83C336E77431}"/>
    <cellStyle name="Currency 4 3" xfId="563" xr:uid="{00000000-0005-0000-0000-000075030000}"/>
    <cellStyle name="Currency 4 3 10" xfId="4946" xr:uid="{9A699C1C-8F3B-46EB-83CA-1AEA14EAD978}"/>
    <cellStyle name="Currency 4 3 10 2" xfId="14241" xr:uid="{533075EF-05BA-4DF2-AB97-D7CA5F6AAFE4}"/>
    <cellStyle name="Currency 4 3 11" xfId="6694" xr:uid="{A047A60A-45CE-407B-A049-2223B505892E}"/>
    <cellStyle name="Currency 4 3 11 2" xfId="17074" xr:uid="{8CD57AC2-6D36-4FFB-9CDE-DCF555BE769C}"/>
    <cellStyle name="Currency 4 3 12" xfId="9527" xr:uid="{F62B27D1-058D-4BAB-B5E3-7E6115F0D553}"/>
    <cellStyle name="Currency 4 3 12 2" xfId="19907" xr:uid="{A08D132D-B56D-4C61-9E3E-B618E503E16E}"/>
    <cellStyle name="Currency 4 3 13" xfId="23763" xr:uid="{8560C23E-977A-4A64-B47A-9FD147CA5650}"/>
    <cellStyle name="Currency 4 3 14" xfId="12457" xr:uid="{4762B291-B850-4854-8306-35256D12D3FD}"/>
    <cellStyle name="Currency 4 3 2" xfId="564" xr:uid="{00000000-0005-0000-0000-000076030000}"/>
    <cellStyle name="Currency 4 3 2 10" xfId="9528" xr:uid="{27C6D75F-52DE-487D-BC75-E0B3602422C3}"/>
    <cellStyle name="Currency 4 3 2 10 2" xfId="19908" xr:uid="{1B5D55DB-60E2-4650-A86B-78944CCAE8EB}"/>
    <cellStyle name="Currency 4 3 2 11" xfId="25157" xr:uid="{7ED0C198-C02C-4ECA-8665-A8C06E408FE9}"/>
    <cellStyle name="Currency 4 3 2 12" xfId="12527" xr:uid="{92334CDC-3C23-41BD-96F3-07E3CBAB7346}"/>
    <cellStyle name="Currency 4 3 2 2" xfId="565" xr:uid="{00000000-0005-0000-0000-000077030000}"/>
    <cellStyle name="Currency 4 3 2 2 10" xfId="13109" xr:uid="{D3D01A0B-D037-4579-A100-754466682299}"/>
    <cellStyle name="Currency 4 3 2 2 2" xfId="1886" xr:uid="{00000000-0005-0000-0000-000078030000}"/>
    <cellStyle name="Currency 4 3 2 2 2 2" xfId="3095" xr:uid="{00000000-0005-0000-0000-000095020000}"/>
    <cellStyle name="Currency 4 3 2 2 2 2 2" xfId="8175" xr:uid="{431901E0-513B-4CF2-8D5D-986A9E846F3A}"/>
    <cellStyle name="Currency 4 3 2 2 2 2 2 2" xfId="28844" xr:uid="{922F41E3-1DB6-434C-A0D9-A6FF7A394730}"/>
    <cellStyle name="Currency 4 3 2 2 2 2 2 3" xfId="26575" xr:uid="{664EEE51-80C3-4F52-8D6F-16F5EDD72CB5}"/>
    <cellStyle name="Currency 4 3 2 2 2 2 2 4" xfId="18555" xr:uid="{BF461208-CAF5-4577-A105-16DBE970C91D}"/>
    <cellStyle name="Currency 4 3 2 2 2 2 3" xfId="11008" xr:uid="{573BC5E8-3CBD-4FA2-B415-D13A00A46334}"/>
    <cellStyle name="Currency 4 3 2 2 2 2 3 2" xfId="21388" xr:uid="{355DB9A7-1995-4D56-813E-1DEF9DBC9DA3}"/>
    <cellStyle name="Currency 4 3 2 2 2 2 4" xfId="25335" xr:uid="{2B76BC04-7F80-4A50-A4AC-4067138F4F14}"/>
    <cellStyle name="Currency 4 3 2 2 2 2 5" xfId="15722" xr:uid="{7A68242E-E209-4C5B-A7EE-931705DD0DC6}"/>
    <cellStyle name="Currency 4 3 2 2 2 3" xfId="2051" xr:uid="{00000000-0005-0000-0000-000078030000}"/>
    <cellStyle name="Currency 4 3 2 2 2 4" xfId="5679" xr:uid="{61CE8434-0474-4A82-9F1F-8BA9FFBDF874}"/>
    <cellStyle name="Currency 4 3 2 2 2 4 2" xfId="29969" xr:uid="{A6E3D5D1-B127-4385-8A3C-57C615A4EC53}"/>
    <cellStyle name="Currency 4 3 2 2 2 5" xfId="25270" xr:uid="{33DFC427-3C70-4236-B0CE-940975B9A690}"/>
    <cellStyle name="Currency 4 3 2 2 2 6" xfId="13610" xr:uid="{967115A1-23CB-4789-979C-E6482BE18D03}"/>
    <cellStyle name="Currency 4 3 2 2 3" xfId="1887" xr:uid="{00000000-0005-0000-0000-000079030000}"/>
    <cellStyle name="Currency 4 3 2 2 3 2" xfId="4683" xr:uid="{D687D2B6-DA4A-4542-A697-38DDD98C7F33}"/>
    <cellStyle name="Currency 4 3 2 2 3 2 2" xfId="9418" xr:uid="{D7FB4EC8-26ED-4030-9003-C2309259B9E9}"/>
    <cellStyle name="Currency 4 3 2 2 3 2 2 2" xfId="19798" xr:uid="{8B040653-5A27-43E5-99DA-246719ED798D}"/>
    <cellStyle name="Currency 4 3 2 2 3 2 3" xfId="12251" xr:uid="{33F75AFC-4D16-4F09-B9C3-B835056393B0}"/>
    <cellStyle name="Currency 4 3 2 2 3 2 3 2" xfId="22631" xr:uid="{96ECDE40-5D39-4568-B7FC-3DA71F52A446}"/>
    <cellStyle name="Currency 4 3 2 2 3 2 4" xfId="26190" xr:uid="{8C2499C7-1BB1-4D22-A139-187B9857C1C6}"/>
    <cellStyle name="Currency 4 3 2 2 3 2 5" xfId="27316" xr:uid="{005548B2-6083-46C7-874E-DB5A032DBE42}"/>
    <cellStyle name="Currency 4 3 2 2 3 2 6" xfId="16965" xr:uid="{66D36A2C-378A-41BD-B227-E81F29D242ED}"/>
    <cellStyle name="Currency 4 3 2 2 3 3" xfId="23752" xr:uid="{CC39D2C1-EDB8-46AE-990C-9B1731256481}"/>
    <cellStyle name="Currency 4 3 2 2 3 3 2" xfId="29914" xr:uid="{B4D4653B-9700-4885-9B5D-00CF112D66D6}"/>
    <cellStyle name="Currency 4 3 2 2 3 4" xfId="30026" xr:uid="{BE5F880F-D1A7-43E6-9257-37876B1379C7}"/>
    <cellStyle name="Currency 4 3 2 2 4" xfId="1885" xr:uid="{00000000-0005-0000-0000-00007A030000}"/>
    <cellStyle name="Currency 4 3 2 2 4 2" xfId="26962" xr:uid="{DB772303-1715-451F-983D-FA4084595956}"/>
    <cellStyle name="Currency 4 3 2 2 4 3" xfId="26337" xr:uid="{B0BAF356-AC96-4D61-AF66-90BA33F5234A}"/>
    <cellStyle name="Currency 4 3 2 2 5" xfId="4275" xr:uid="{A7A2FC4F-1B1A-43AE-B621-BB9F2BE98CD3}"/>
    <cellStyle name="Currency 4 3 2 2 5 2" xfId="9047" xr:uid="{2F16989A-4C37-47DA-A55F-50A0BD59F9D8}"/>
    <cellStyle name="Currency 4 3 2 2 5 2 2" xfId="19427" xr:uid="{8689B158-0518-473E-BD0D-57F774152E57}"/>
    <cellStyle name="Currency 4 3 2 2 5 2 3" xfId="31051" xr:uid="{395ABA41-C54B-4D28-9E45-B54CD7F229E6}"/>
    <cellStyle name="Currency 4 3 2 2 5 2 4" xfId="30845" xr:uid="{34E27599-88F6-41D0-87AB-5DEC06A25F09}"/>
    <cellStyle name="Currency 4 3 2 2 5 3" xfId="11880" xr:uid="{E4603E20-55BE-4014-BABB-902A708700C4}"/>
    <cellStyle name="Currency 4 3 2 2 5 3 2" xfId="22260" xr:uid="{F991F5B0-BFFF-4E23-8F84-EB2D2F643857}"/>
    <cellStyle name="Currency 4 3 2 2 5 4" xfId="27637" xr:uid="{31792131-8CCE-4EE1-B222-AE2C8621D08A}"/>
    <cellStyle name="Currency 4 3 2 2 5 5" xfId="25999" xr:uid="{270E6B12-61FF-49F3-B084-548FD7B3F23B}"/>
    <cellStyle name="Currency 4 3 2 2 5 6" xfId="16594" xr:uid="{1926910E-F59C-4D08-B99B-D9ADC6666F7F}"/>
    <cellStyle name="Currency 4 3 2 2 6" xfId="4948" xr:uid="{65C9F64E-A345-4F6D-B067-E29F264CEBF1}"/>
    <cellStyle name="Currency 4 3 2 2 6 2" xfId="26270" xr:uid="{E4C9A842-FCE7-42FB-8EA1-B50F3956D4E8}"/>
    <cellStyle name="Currency 4 3 2 2 6 3" xfId="26018" xr:uid="{8942F952-991D-4545-B1C8-7054C9722F12}"/>
    <cellStyle name="Currency 4 3 2 2 6 4" xfId="14243" xr:uid="{6E39C487-927A-43EB-B196-1CFC238D7AB4}"/>
    <cellStyle name="Currency 4 3 2 2 7" xfId="6696" xr:uid="{1E6FCB53-9A9F-48E2-AE4D-948B598459AA}"/>
    <cellStyle name="Currency 4 3 2 2 7 2" xfId="17076" xr:uid="{6D6D364E-56A0-4083-97C6-B7ABE2445DE3}"/>
    <cellStyle name="Currency 4 3 2 2 8" xfId="9529" xr:uid="{8E041D61-AC19-44A3-9FCA-06C6CF48BC2D}"/>
    <cellStyle name="Currency 4 3 2 2 8 2" xfId="19909" xr:uid="{DA438EE4-CD2F-474E-8A82-E4887BC253B2}"/>
    <cellStyle name="Currency 4 3 2 2 9" xfId="22906" xr:uid="{9470BD46-6C7B-4129-9FE4-95AE546C6D94}"/>
    <cellStyle name="Currency 4 3 2 3" xfId="1888" xr:uid="{00000000-0005-0000-0000-00007B030000}"/>
    <cellStyle name="Currency 4 3 2 3 2" xfId="3096" xr:uid="{00000000-0005-0000-0000-000096020000}"/>
    <cellStyle name="Currency 4 3 2 3 2 2" xfId="8176" xr:uid="{5272ADC5-508E-411B-A874-76D8F5F024FC}"/>
    <cellStyle name="Currency 4 3 2 3 2 2 2" xfId="28845" xr:uid="{6C67E993-C03E-461A-93EC-806EE3E12229}"/>
    <cellStyle name="Currency 4 3 2 3 2 2 2 2" xfId="31235" xr:uid="{F67D50A3-C1A7-4415-BBD6-E83CA67CA0E1}"/>
    <cellStyle name="Currency 4 3 2 3 2 2 2 3" xfId="30847" xr:uid="{FCC25CCB-B954-4AC4-AED2-AF96C2ACAAD6}"/>
    <cellStyle name="Currency 4 3 2 3 2 2 3" xfId="28034" xr:uid="{C1BAA7E1-189B-4F7B-9825-9D14D5E6F70D}"/>
    <cellStyle name="Currency 4 3 2 3 2 2 4" xfId="18556" xr:uid="{7F99C888-7723-41E2-82D6-9C1AD52869EF}"/>
    <cellStyle name="Currency 4 3 2 3 2 3" xfId="11009" xr:uid="{52DCBDCA-C818-497D-9869-FA4E869D9771}"/>
    <cellStyle name="Currency 4 3 2 3 2 3 2" xfId="21389" xr:uid="{73E0972A-E446-4E7A-88F6-E7F33842FBBB}"/>
    <cellStyle name="Currency 4 3 2 3 2 4" xfId="25661" xr:uid="{73031C5A-7497-4E29-BDA7-0512A1953CC8}"/>
    <cellStyle name="Currency 4 3 2 3 2 5" xfId="15723" xr:uid="{9E20F832-96A2-4E8D-90E0-9A69DE3190FF}"/>
    <cellStyle name="Currency 4 3 2 3 3" xfId="3600" xr:uid="{00000000-0005-0000-0000-00007B030000}"/>
    <cellStyle name="Currency 4 3 2 3 4" xfId="4427" xr:uid="{6DDD7D65-28CE-4D3E-A44A-510FBD4F835A}"/>
    <cellStyle name="Currency 4 3 2 3 4 2" xfId="9199" xr:uid="{12518834-FEB3-4C1E-B124-6B3AE272E447}"/>
    <cellStyle name="Currency 4 3 2 3 4 2 2" xfId="19579" xr:uid="{3AEC82BC-741C-4963-A6A7-E69D788CF2B4}"/>
    <cellStyle name="Currency 4 3 2 3 4 2 3" xfId="31093" xr:uid="{5F90A487-DD6C-4B22-8CD2-6F6807FDE49D}"/>
    <cellStyle name="Currency 4 3 2 3 4 2 4" xfId="30846" xr:uid="{88CE84D6-B319-4B38-9C82-3871BE944E4C}"/>
    <cellStyle name="Currency 4 3 2 3 4 3" xfId="12032" xr:uid="{324E1B08-31D5-433A-B7EF-B14FB1EE9A77}"/>
    <cellStyle name="Currency 4 3 2 3 4 3 2" xfId="22412" xr:uid="{D2A73898-9C50-4702-A7E4-FDD42B4EFF43}"/>
    <cellStyle name="Currency 4 3 2 3 4 4" xfId="16746" xr:uid="{26A21FF5-F3E3-46B8-892F-02FEDF25E251}"/>
    <cellStyle name="Currency 4 3 2 3 5" xfId="5680" xr:uid="{B3D1B3D3-BD8D-4388-8905-3C78189C9462}"/>
    <cellStyle name="Currency 4 3 2 3 5 2" xfId="29692" xr:uid="{72B473B9-F902-428F-854C-CB54D507686F}"/>
    <cellStyle name="Currency 4 3 2 3 5 2 2" xfId="30989" xr:uid="{A7C94F98-A8FA-4C61-B245-EF8864580272}"/>
    <cellStyle name="Currency 4 3 2 3 6" xfId="23331" xr:uid="{A28249A9-1B42-46FA-8253-9E0649BE0E8D}"/>
    <cellStyle name="Currency 4 3 2 3 7" xfId="13611" xr:uid="{4366B9E4-935E-4BC4-A2FC-D62291D3DD33}"/>
    <cellStyle name="Currency 4 3 2 4" xfId="1889" xr:uid="{00000000-0005-0000-0000-00007C030000}"/>
    <cellStyle name="Currency 4 3 2 4 2" xfId="3094" xr:uid="{00000000-0005-0000-0000-000097020000}"/>
    <cellStyle name="Currency 4 3 2 4 2 2" xfId="8174" xr:uid="{2AA79186-35BF-4AB7-8615-D8FC3006284E}"/>
    <cellStyle name="Currency 4 3 2 4 2 2 2" xfId="28843" xr:uid="{0748F1C7-BF01-4D79-99D3-CC23532C7C08}"/>
    <cellStyle name="Currency 4 3 2 4 2 2 3" xfId="26369" xr:uid="{F5636C90-FA6E-4D36-A794-409EDA9FC76C}"/>
    <cellStyle name="Currency 4 3 2 4 2 2 4" xfId="18554" xr:uid="{E3F93777-0AA8-4E8E-9CB1-D33EEC051AFE}"/>
    <cellStyle name="Currency 4 3 2 4 2 3" xfId="11007" xr:uid="{8800727E-E687-49E5-8545-D324E313515D}"/>
    <cellStyle name="Currency 4 3 2 4 2 3 2" xfId="21387" xr:uid="{CCA90335-FFEC-42FA-BFFE-9F6E4BFCE406}"/>
    <cellStyle name="Currency 4 3 2 4 2 4" xfId="25749" xr:uid="{61F83009-EE7B-4FE2-B8A1-D1361417A92E}"/>
    <cellStyle name="Currency 4 3 2 4 2 5" xfId="15721" xr:uid="{6B04E6E0-2145-4AC9-8D43-6CEAA1964412}"/>
    <cellStyle name="Currency 4 3 2 4 3" xfId="3643" xr:uid="{00000000-0005-0000-0000-00007C030000}"/>
    <cellStyle name="Currency 4 3 2 4 4" xfId="5681" xr:uid="{C640D449-3274-4163-9177-C2B189F2C72C}"/>
    <cellStyle name="Currency 4 3 2 4 4 2" xfId="29968" xr:uid="{82E5840C-98F6-4266-BB3E-9495DB6AA215}"/>
    <cellStyle name="Currency 4 3 2 4 5" xfId="24438" xr:uid="{CBE45B56-A6D5-48B2-BEEC-1DBA16F13214}"/>
    <cellStyle name="Currency 4 3 2 4 6" xfId="13609" xr:uid="{503D5554-44FB-47EB-AA47-30AFC02FDB54}"/>
    <cellStyle name="Currency 4 3 2 5" xfId="1884" xr:uid="{00000000-0005-0000-0000-00007D030000}"/>
    <cellStyle name="Currency 4 3 2 5 2" xfId="2531" xr:uid="{00000000-0005-0000-0000-000098020000}"/>
    <cellStyle name="Currency 4 3 2 5 2 2" xfId="7656" xr:uid="{45782A99-C040-476D-8109-DAB93457B98C}"/>
    <cellStyle name="Currency 4 3 2 5 2 2 2" xfId="18036" xr:uid="{1BCC0329-9BBF-4386-9AAE-ED987479FE29}"/>
    <cellStyle name="Currency 4 3 2 5 2 3" xfId="10489" xr:uid="{011D311B-C356-48D3-8513-12AD3C693DF2}"/>
    <cellStyle name="Currency 4 3 2 5 2 3 2" xfId="20869" xr:uid="{BD679459-1A5C-4A83-B445-DDDE95068A0D}"/>
    <cellStyle name="Currency 4 3 2 5 2 4" xfId="26040" xr:uid="{CB20989F-4E56-4E42-BAD2-C3CE414364C8}"/>
    <cellStyle name="Currency 4 3 2 5 2 5" xfId="26488" xr:uid="{D744808E-988F-4667-8697-41C769EA1F94}"/>
    <cellStyle name="Currency 4 3 2 5 2 6" xfId="15203" xr:uid="{CAB2C7AB-E0FA-4038-A976-C4C0141F17C3}"/>
    <cellStyle name="Currency 4 3 2 5 3" xfId="3595" xr:uid="{00000000-0005-0000-0000-00007D030000}"/>
    <cellStyle name="Currency 4 3 2 5 4" xfId="5678" xr:uid="{9B281BAA-7273-431B-858A-DC8F830D672D}"/>
    <cellStyle name="Currency 4 3 2 5 4 2" xfId="29877" xr:uid="{A7BF50A6-9658-419F-8EF1-2A93352FCFF0}"/>
    <cellStyle name="Currency 4 3 2 5 5" xfId="25527" xr:uid="{A433C727-125E-4712-80D9-2249998B7C61}"/>
    <cellStyle name="Currency 4 3 2 5 6" xfId="12919" xr:uid="{72BAE5A0-0A62-461D-B319-92C955040D75}"/>
    <cellStyle name="Currency 4 3 2 6" xfId="2295" xr:uid="{00000000-0005-0000-0000-000093020000}"/>
    <cellStyle name="Currency 4 3 2 6 2" xfId="7422" xr:uid="{573730B2-6DF5-4968-8E53-BB584D4D9B5D}"/>
    <cellStyle name="Currency 4 3 2 6 2 2" xfId="17802" xr:uid="{7098C69E-C26E-4964-A488-545F50883304}"/>
    <cellStyle name="Currency 4 3 2 6 3" xfId="10255" xr:uid="{8DA82A10-A801-49D3-BCF1-829C12A7EDEF}"/>
    <cellStyle name="Currency 4 3 2 6 3 2" xfId="20635" xr:uid="{226D0063-D70E-4F9F-8CCA-5E9A3E3909BF}"/>
    <cellStyle name="Currency 4 3 2 6 4" xfId="24221" xr:uid="{1F2D0923-44FE-43C1-9D3A-DF58C45ECA3B}"/>
    <cellStyle name="Currency 4 3 2 6 5" xfId="28448" xr:uid="{35900C64-B02A-47CB-8F4F-F6318E6CBECD}"/>
    <cellStyle name="Currency 4 3 2 6 6" xfId="14969" xr:uid="{20358FD6-C655-4F25-AB71-B4D9B5677E40}"/>
    <cellStyle name="Currency 4 3 2 7" xfId="3830" xr:uid="{CC8AB601-20F8-46A1-99F0-FF82EF572E23}"/>
    <cellStyle name="Currency 4 3 2 7 2" xfId="8663" xr:uid="{B92CC1AF-3C75-469F-8E7A-C9B323D68897}"/>
    <cellStyle name="Currency 4 3 2 7 2 2" xfId="19043" xr:uid="{8CFA6148-FB25-419F-A120-58823471F241}"/>
    <cellStyle name="Currency 4 3 2 7 3" xfId="11496" xr:uid="{345BC201-8947-4FBD-A505-FEF6E28E0FEC}"/>
    <cellStyle name="Currency 4 3 2 7 3 2" xfId="21876" xr:uid="{814F75CD-0E58-42C0-8E63-2349D83BA6CB}"/>
    <cellStyle name="Currency 4 3 2 7 4" xfId="27430" xr:uid="{7847A7E7-6D3B-4782-93C0-383385C0D8C6}"/>
    <cellStyle name="Currency 4 3 2 7 5" xfId="28304" xr:uid="{1631A1B8-97AE-4868-9C2F-0408EF79A9F8}"/>
    <cellStyle name="Currency 4 3 2 7 6" xfId="16210" xr:uid="{4B7FC55B-1059-4DDE-BC2C-45759D2EE56F}"/>
    <cellStyle name="Currency 4 3 2 8" xfId="4947" xr:uid="{149C158A-2C1F-4B22-97C4-837DB49A74A5}"/>
    <cellStyle name="Currency 4 3 2 8 2" xfId="14242" xr:uid="{DF30DEBC-9468-405C-A55A-4779272FD582}"/>
    <cellStyle name="Currency 4 3 2 9" xfId="6695" xr:uid="{36C16F1A-DD89-4C2A-B4BB-531D28BE5BF9}"/>
    <cellStyle name="Currency 4 3 2 9 2" xfId="17075" xr:uid="{87BE574B-570A-471A-BCE6-4273FB47E94E}"/>
    <cellStyle name="Currency 4 3 3" xfId="566" xr:uid="{00000000-0005-0000-0000-00007E030000}"/>
    <cellStyle name="Currency 4 3 3 10" xfId="24259" xr:uid="{BBD9D141-9D54-4B0B-B012-1A12C50B7675}"/>
    <cellStyle name="Currency 4 3 3 11" xfId="12685" xr:uid="{D013353A-95BF-4B51-8603-30728729F02A}"/>
    <cellStyle name="Currency 4 3 3 2" xfId="1891" xr:uid="{00000000-0005-0000-0000-00007F030000}"/>
    <cellStyle name="Currency 4 3 3 2 2" xfId="3098" xr:uid="{00000000-0005-0000-0000-00009B020000}"/>
    <cellStyle name="Currency 4 3 3 2 2 2" xfId="6173" xr:uid="{245EEFC1-6B63-448A-97EC-91AE304FE9B6}"/>
    <cellStyle name="Currency 4 3 3 2 2 2 2" xfId="23166" xr:uid="{F17C049D-B39A-479C-878E-B4531B11AF40}"/>
    <cellStyle name="Currency 4 3 3 2 2 2 2 2" xfId="26358" xr:uid="{67DD8835-D50D-46F0-AFB8-584049758599}"/>
    <cellStyle name="Currency 4 3 3 2 2 2 2 3" xfId="31148" xr:uid="{0C03AF1E-A399-4040-90B7-A6DB64E525B5}"/>
    <cellStyle name="Currency 4 3 3 2 2 2 3" xfId="26943" xr:uid="{B29565CC-6216-4006-88B0-F2500B66673A}"/>
    <cellStyle name="Currency 4 3 3 2 2 2 4" xfId="15725" xr:uid="{0AD99BDE-7CDA-449F-805C-DB52653259F5}"/>
    <cellStyle name="Currency 4 3 3 2 2 3" xfId="8178" xr:uid="{23BEF528-081F-49B6-A416-3D3638EBE064}"/>
    <cellStyle name="Currency 4 3 3 2 2 3 2" xfId="28847" xr:uid="{42028672-A77A-429F-BD9C-D23E941022C8}"/>
    <cellStyle name="Currency 4 3 3 2 2 3 3" xfId="28048" xr:uid="{D72A9D18-7426-49D8-99A8-DC9811BD7C70}"/>
    <cellStyle name="Currency 4 3 3 2 2 3 4" xfId="18558" xr:uid="{53366010-FDCE-42DF-BEDC-19E65E079376}"/>
    <cellStyle name="Currency 4 3 3 2 2 4" xfId="11011" xr:uid="{D6215F48-4D36-4238-AACC-55FE6CB2BA47}"/>
    <cellStyle name="Currency 4 3 3 2 2 4 2" xfId="21391" xr:uid="{58CF0DD9-1988-4660-B353-8EEEB994E4B5}"/>
    <cellStyle name="Currency 4 3 3 2 2 5" xfId="25113" xr:uid="{8C8C27A2-B225-4307-8FAC-A39C3F654CA1}"/>
    <cellStyle name="Currency 4 3 3 2 2 6" xfId="13613" xr:uid="{74DC2818-4F22-4589-A48B-CC099277795E}"/>
    <cellStyle name="Currency 4 3 3 2 3" xfId="2695" xr:uid="{00000000-0005-0000-0000-00009A020000}"/>
    <cellStyle name="Currency 4 3 3 2 3 2" xfId="7819" xr:uid="{9D515FEF-8A85-47C8-8397-199D56B57A6B}"/>
    <cellStyle name="Currency 4 3 3 2 3 2 2" xfId="28040" xr:uid="{5BC7E876-1AC7-42F3-9B06-D43958D69461}"/>
    <cellStyle name="Currency 4 3 3 2 3 2 3" xfId="26325" xr:uid="{B0F2F618-7156-4AA4-9660-479C72FA1DB4}"/>
    <cellStyle name="Currency 4 3 3 2 3 2 4" xfId="18199" xr:uid="{A51AF457-E504-460D-A4C6-447A6BFFAA1E}"/>
    <cellStyle name="Currency 4 3 3 2 3 3" xfId="10652" xr:uid="{58092095-639B-4C55-8F73-07474A03EB78}"/>
    <cellStyle name="Currency 4 3 3 2 3 3 2" xfId="21032" xr:uid="{0A5B0C68-DC37-4547-8D6F-8FFC80CCAE6E}"/>
    <cellStyle name="Currency 4 3 3 2 3 4" xfId="22914" xr:uid="{2E94CA68-84F5-4371-997B-9A9E2FB2C410}"/>
    <cellStyle name="Currency 4 3 3 2 3 5" xfId="15366" xr:uid="{085F8945-E70C-4C5B-81B7-4BA41C04168F}"/>
    <cellStyle name="Currency 4 3 3 2 4" xfId="2062" xr:uid="{00000000-0005-0000-0000-00007F030000}"/>
    <cellStyle name="Currency 4 3 3 2 5" xfId="4276" xr:uid="{A9A18A0C-B394-4F5F-BF25-6004A0FCDDA6}"/>
    <cellStyle name="Currency 4 3 3 2 5 2" xfId="9048" xr:uid="{F2DEDE17-5381-434E-91FC-A24B5A2A9568}"/>
    <cellStyle name="Currency 4 3 3 2 5 2 2" xfId="19428" xr:uid="{5FE51EAB-0B6A-4106-9FF9-085D964A5C33}"/>
    <cellStyle name="Currency 4 3 3 2 5 2 3" xfId="31052" xr:uid="{0BFC20F7-3A11-46FD-A2F7-E61DF009DCA7}"/>
    <cellStyle name="Currency 4 3 3 2 5 2 4" xfId="30849" xr:uid="{9DD54116-BB81-4751-8D21-DAB26CEE32EB}"/>
    <cellStyle name="Currency 4 3 3 2 5 3" xfId="11881" xr:uid="{997E97EB-6E8E-4CCA-B091-B182EDB645CE}"/>
    <cellStyle name="Currency 4 3 3 2 5 3 2" xfId="22261" xr:uid="{D98C5CFD-729B-4D98-8BAC-917EF94E0A0D}"/>
    <cellStyle name="Currency 4 3 3 2 5 4" xfId="27051" xr:uid="{826E9520-A070-4296-B78E-3CD7B68F2EC7}"/>
    <cellStyle name="Currency 4 3 3 2 5 5" xfId="26066" xr:uid="{AC5B1DFC-E7DF-4333-923C-2D3E5D36A2FF}"/>
    <cellStyle name="Currency 4 3 3 2 5 6" xfId="16595" xr:uid="{2AEC2E42-3485-4143-A840-508CDFFB36DC}"/>
    <cellStyle name="Currency 4 3 3 2 6" xfId="5683" xr:uid="{972BBD7A-F399-4590-BF19-5F777C22464B}"/>
    <cellStyle name="Currency 4 3 3 2 6 2" xfId="29729" xr:uid="{D3EB36FD-8CEE-4738-97ED-A99FD52FAEF4}"/>
    <cellStyle name="Currency 4 3 3 2 6 2 2" xfId="30990" xr:uid="{DE4878C6-2BEC-46D2-8EF8-E46B9720E401}"/>
    <cellStyle name="Currency 4 3 3 2 7" xfId="23079" xr:uid="{FA5A0E59-A3DD-4FCF-886D-7BA328640A88}"/>
    <cellStyle name="Currency 4 3 3 2 8" xfId="13110" xr:uid="{961B7C68-AC7B-4528-AEBD-859B5922B658}"/>
    <cellStyle name="Currency 4 3 3 3" xfId="1892" xr:uid="{00000000-0005-0000-0000-000080030000}"/>
    <cellStyle name="Currency 4 3 3 3 2" xfId="3099" xr:uid="{00000000-0005-0000-0000-00009C020000}"/>
    <cellStyle name="Currency 4 3 3 3 2 2" xfId="8179" xr:uid="{5D357443-C1F7-4A1C-9A8B-79E5CA8A3AF0}"/>
    <cellStyle name="Currency 4 3 3 3 2 2 2" xfId="28848" xr:uid="{389F4B05-E69E-4B79-A5EB-FB4A2C3A844E}"/>
    <cellStyle name="Currency 4 3 3 3 2 2 3" xfId="27250" xr:uid="{BDBEEE43-9FEA-4186-8A77-5F7AE2D391F4}"/>
    <cellStyle name="Currency 4 3 3 3 2 2 4" xfId="18559" xr:uid="{3BF5F718-0A52-45F6-9084-5976DFC6A62C}"/>
    <cellStyle name="Currency 4 3 3 3 2 3" xfId="11012" xr:uid="{60E0BED4-FD2E-46DA-B474-4B3E367F65B5}"/>
    <cellStyle name="Currency 4 3 3 3 2 3 2" xfId="21392" xr:uid="{1525BF26-D227-414E-A4A0-2ED22683DAD2}"/>
    <cellStyle name="Currency 4 3 3 3 2 4" xfId="25186" xr:uid="{614AF8FC-B633-4E2A-995B-43A3D63DE41E}"/>
    <cellStyle name="Currency 4 3 3 3 2 5" xfId="15726" xr:uid="{9EF9895C-16FA-4D39-9EAF-B812BA93A86E}"/>
    <cellStyle name="Currency 4 3 3 3 3" xfId="3663" xr:uid="{00000000-0005-0000-0000-000080030000}"/>
    <cellStyle name="Currency 4 3 3 3 4" xfId="4428" xr:uid="{C8B4E7B0-83F8-4699-88CD-54B2D8F32DAD}"/>
    <cellStyle name="Currency 4 3 3 3 4 2" xfId="9200" xr:uid="{88F62EE2-8CDA-4E15-9F65-299F86D0604F}"/>
    <cellStyle name="Currency 4 3 3 3 4 2 2" xfId="19580" xr:uid="{CC824306-A436-4FA1-9C48-B30A2DE20F78}"/>
    <cellStyle name="Currency 4 3 3 3 4 2 3" xfId="31094" xr:uid="{292C4124-F0A2-4D10-B359-250B7466A5C3}"/>
    <cellStyle name="Currency 4 3 3 3 4 2 4" xfId="30850" xr:uid="{A251918D-5AFF-4910-8A3B-8CF0EE42D7C7}"/>
    <cellStyle name="Currency 4 3 3 3 4 3" xfId="12033" xr:uid="{EC78C1D7-62E6-412F-A837-6B3BC6F3BBEB}"/>
    <cellStyle name="Currency 4 3 3 3 4 3 2" xfId="22413" xr:uid="{2709CD85-FF35-4D8E-8CC3-10ECB200DCBC}"/>
    <cellStyle name="Currency 4 3 3 3 4 4" xfId="16747" xr:uid="{7F4B26FF-D4A7-46E9-93B3-18D5F33723A2}"/>
    <cellStyle name="Currency 4 3 3 3 5" xfId="5684" xr:uid="{39341862-0181-4C5E-949D-F89F697D04ED}"/>
    <cellStyle name="Currency 4 3 3 3 5 2" xfId="29708" xr:uid="{0A9E1880-5A33-4257-9F52-C4E2B68CBF61}"/>
    <cellStyle name="Currency 4 3 3 3 6" xfId="23131" xr:uid="{8F53FD9C-35CA-4984-B648-71AC776AAF06}"/>
    <cellStyle name="Currency 4 3 3 3 7" xfId="13614" xr:uid="{1797E221-8C55-4BBC-98CB-F63B9DF2C26F}"/>
    <cellStyle name="Currency 4 3 3 4" xfId="1890" xr:uid="{00000000-0005-0000-0000-000081030000}"/>
    <cellStyle name="Currency 4 3 3 4 2" xfId="3097" xr:uid="{00000000-0005-0000-0000-00009D020000}"/>
    <cellStyle name="Currency 4 3 3 4 2 2" xfId="8177" xr:uid="{75731091-C8C8-4086-9613-B0BFBF99BB4C}"/>
    <cellStyle name="Currency 4 3 3 4 2 2 2" xfId="28846" xr:uid="{A9B7BDBC-3237-4D16-8EB7-E59D345EA710}"/>
    <cellStyle name="Currency 4 3 3 4 2 2 3" xfId="27709" xr:uid="{34106B4D-48C0-422F-B2A2-4705F8BF2F97}"/>
    <cellStyle name="Currency 4 3 3 4 2 2 4" xfId="18557" xr:uid="{B9344271-A5BC-4D7F-9A60-06A53FC305C1}"/>
    <cellStyle name="Currency 4 3 3 4 2 3" xfId="11010" xr:uid="{FAB33934-4D9C-445B-8905-2DFCCCC46A85}"/>
    <cellStyle name="Currency 4 3 3 4 2 3 2" xfId="21390" xr:uid="{2DAF6D68-1EBA-4936-8DF6-49BE2A53F212}"/>
    <cellStyle name="Currency 4 3 3 4 2 4" xfId="25513" xr:uid="{0D7914E2-4B85-432C-BF3E-E82AADB1BCE8}"/>
    <cellStyle name="Currency 4 3 3 4 2 5" xfId="15724" xr:uid="{9B134EE1-DA6C-43CB-81DE-684E88B1AFB6}"/>
    <cellStyle name="Currency 4 3 3 4 3" xfId="3692" xr:uid="{00000000-0005-0000-0000-000081030000}"/>
    <cellStyle name="Currency 4 3 3 4 4" xfId="5682" xr:uid="{FFFF2C30-4094-4398-B9F9-3EFC21446922}"/>
    <cellStyle name="Currency 4 3 3 4 4 2" xfId="29970" xr:uid="{7281F1A7-5F24-44A1-A148-B239A0D0B065}"/>
    <cellStyle name="Currency 4 3 3 4 5" xfId="24878" xr:uid="{34060291-EB8B-4FDF-8F6B-C68A873BBE5A}"/>
    <cellStyle name="Currency 4 3 3 4 6" xfId="13612" xr:uid="{DBF80413-4B85-4FD0-8623-469CE5DB1163}"/>
    <cellStyle name="Currency 4 3 3 5" xfId="2634" xr:uid="{00000000-0005-0000-0000-00009E020000}"/>
    <cellStyle name="Currency 4 3 3 5 2" xfId="5896" xr:uid="{30465DA8-295D-4FD1-975C-B9501B7FDABB}"/>
    <cellStyle name="Currency 4 3 3 5 2 2" xfId="28539" xr:uid="{D45496F4-22F6-4EDB-8423-1E500DA34D54}"/>
    <cellStyle name="Currency 4 3 3 5 2 3" xfId="26513" xr:uid="{D37A4C49-08CB-4830-9C8E-9A3C743A1751}"/>
    <cellStyle name="Currency 4 3 3 5 2 4" xfId="15306" xr:uid="{03AF7162-17DC-47F8-BB8B-C360C6A5E3D7}"/>
    <cellStyle name="Currency 4 3 3 5 3" xfId="7759" xr:uid="{CD4E4338-ED5C-4DB3-B49F-56E7FE929F23}"/>
    <cellStyle name="Currency 4 3 3 5 3 2" xfId="18139" xr:uid="{BF2569F1-CDEE-4A66-94C7-73C62BD4EB5C}"/>
    <cellStyle name="Currency 4 3 3 5 4" xfId="10592" xr:uid="{EAB99A54-5986-4ED6-91B2-5BE26F1B2864}"/>
    <cellStyle name="Currency 4 3 3 5 4 2" xfId="20972" xr:uid="{A67839FB-8767-4BA5-A560-9AE78FC03245}"/>
    <cellStyle name="Currency 4 3 3 5 5" xfId="23408" xr:uid="{FE6B56DB-BA94-4381-A568-A113EC141101}"/>
    <cellStyle name="Currency 4 3 3 5 6" xfId="13022" xr:uid="{986DF7A8-CB28-4B4A-9794-FE267059F919}"/>
    <cellStyle name="Currency 4 3 3 6" xfId="4139" xr:uid="{6B123A2A-35D1-4A82-89EB-FD8F530B11B4}"/>
    <cellStyle name="Currency 4 3 3 6 2" xfId="8911" xr:uid="{2AA728DB-79E0-434A-A116-CC49DDAE427A}"/>
    <cellStyle name="Currency 4 3 3 6 2 2" xfId="19291" xr:uid="{BFFE1D5F-ECAF-4472-A238-DD25F93BE0A5}"/>
    <cellStyle name="Currency 4 3 3 6 2 3" xfId="31021" xr:uid="{E791E615-2623-44F5-A62F-E2834F94C37C}"/>
    <cellStyle name="Currency 4 3 3 6 2 4" xfId="30848" xr:uid="{B37A22F8-B1F5-4E35-B076-D364916926AD}"/>
    <cellStyle name="Currency 4 3 3 6 3" xfId="11744" xr:uid="{31C873FB-3A67-447A-916B-1B6FA9E3B8AA}"/>
    <cellStyle name="Currency 4 3 3 6 3 2" xfId="22124" xr:uid="{C2F14EF1-3B83-482B-AAA2-439783D70DF3}"/>
    <cellStyle name="Currency 4 3 3 6 4" xfId="24705" xr:uid="{4309507B-EF60-4074-9701-FB124E1202DD}"/>
    <cellStyle name="Currency 4 3 3 6 5" xfId="25998" xr:uid="{DA3EAE5A-1285-4AF0-93AA-0E5AC0CEA453}"/>
    <cellStyle name="Currency 4 3 3 6 6" xfId="16458" xr:uid="{5E5F0659-D264-4DC8-95F8-E400C140D3EA}"/>
    <cellStyle name="Currency 4 3 3 7" xfId="4949" xr:uid="{C4D5D6D7-A836-410F-A574-41204BD7140B}"/>
    <cellStyle name="Currency 4 3 3 7 2" xfId="27578" xr:uid="{6C095663-747A-4181-9A96-532C6BCFB1CC}"/>
    <cellStyle name="Currency 4 3 3 7 3" xfId="27143" xr:uid="{D5E4766A-3BE3-4BF4-B0B2-EB170B5B6CA6}"/>
    <cellStyle name="Currency 4 3 3 7 4" xfId="14244" xr:uid="{D0D72598-D96B-4636-B304-F39020885D2D}"/>
    <cellStyle name="Currency 4 3 3 8" xfId="6697" xr:uid="{977495BE-1DF0-4EDE-A4A1-41A24A5790A3}"/>
    <cellStyle name="Currency 4 3 3 8 2" xfId="17077" xr:uid="{F717E167-9746-4026-B445-1B738C09ECD1}"/>
    <cellStyle name="Currency 4 3 3 9" xfId="9530" xr:uid="{E4334F6A-5E5F-40A4-BA5C-9E120F5BA3A6}"/>
    <cellStyle name="Currency 4 3 3 9 2" xfId="19910" xr:uid="{5BB767F8-A693-49B8-8B5B-3E0A0EB5EF1E}"/>
    <cellStyle name="Currency 4 3 4" xfId="567" xr:uid="{00000000-0005-0000-0000-000082030000}"/>
    <cellStyle name="Currency 4 3 4 10" xfId="13108" xr:uid="{AE740A6D-D45A-41E1-8273-9F297354F55A}"/>
    <cellStyle name="Currency 4 3 4 2" xfId="1894" xr:uid="{00000000-0005-0000-0000-000083030000}"/>
    <cellStyle name="Currency 4 3 4 2 2" xfId="3100" xr:uid="{00000000-0005-0000-0000-0000A0020000}"/>
    <cellStyle name="Currency 4 3 4 2 2 2" xfId="8180" xr:uid="{8AE1DDD6-2F21-49C5-B8C6-F52A50611B85}"/>
    <cellStyle name="Currency 4 3 4 2 2 2 2" xfId="28849" xr:uid="{2AEB745B-9CFB-4146-9EB2-3C2423E878BB}"/>
    <cellStyle name="Currency 4 3 4 2 2 2 3" xfId="27435" xr:uid="{27C29BB6-0D2D-4B52-A89C-F7B556C93D73}"/>
    <cellStyle name="Currency 4 3 4 2 2 2 4" xfId="18560" xr:uid="{58809F57-2B38-4802-BF8E-4A86F6A2186C}"/>
    <cellStyle name="Currency 4 3 4 2 2 3" xfId="11013" xr:uid="{A3B24448-6335-4720-A2C9-621BDF34B786}"/>
    <cellStyle name="Currency 4 3 4 2 2 3 2" xfId="21393" xr:uid="{9C3A51D5-237D-4870-8D4C-49825FECA1E4}"/>
    <cellStyle name="Currency 4 3 4 2 2 4" xfId="23881" xr:uid="{51FD7B37-87BC-4AFC-ADD7-D314DF309365}"/>
    <cellStyle name="Currency 4 3 4 2 2 5" xfId="15727" xr:uid="{47C9BDD8-BA39-499A-9171-FE30EE837C58}"/>
    <cellStyle name="Currency 4 3 4 2 3" xfId="3628" xr:uid="{00000000-0005-0000-0000-000083030000}"/>
    <cellStyle name="Currency 4 3 4 2 4" xfId="5685" xr:uid="{61FA4F1F-147C-45F5-8CB7-1B0BF2586D1D}"/>
    <cellStyle name="Currency 4 3 4 2 4 2" xfId="29971" xr:uid="{504B7EA9-2541-4886-B966-3E2F7E9D8798}"/>
    <cellStyle name="Currency 4 3 4 2 5" xfId="23194" xr:uid="{56FD0A9D-05CC-4AFD-9BCB-9FAF22FC024B}"/>
    <cellStyle name="Currency 4 3 4 2 6" xfId="13615" xr:uid="{2BC2A876-45C4-4DD6-AFEF-F320778FC734}"/>
    <cellStyle name="Currency 4 3 4 3" xfId="1895" xr:uid="{00000000-0005-0000-0000-000084030000}"/>
    <cellStyle name="Currency 4 3 4 3 2" xfId="4673" xr:uid="{FC46B6DE-95DF-48B7-89E0-F85CC2E3B4FC}"/>
    <cellStyle name="Currency 4 3 4 3 2 2" xfId="9413" xr:uid="{C830E2BF-63CA-4B55-89D4-19C026E0371F}"/>
    <cellStyle name="Currency 4 3 4 3 2 2 2" xfId="19793" xr:uid="{BDFB18EF-1D44-4ADF-B996-56BA3193D84B}"/>
    <cellStyle name="Currency 4 3 4 3 2 3" xfId="12246" xr:uid="{05777228-4C2C-4BCB-84B0-0CA92B2C0925}"/>
    <cellStyle name="Currency 4 3 4 3 2 3 2" xfId="22626" xr:uid="{124C1774-841D-4E92-9868-6659CFDD3911}"/>
    <cellStyle name="Currency 4 3 4 3 2 4" xfId="27571" xr:uid="{2B944392-4C06-4870-9C5C-35925D1716EE}"/>
    <cellStyle name="Currency 4 3 4 3 2 5" xfId="27077" xr:uid="{BCD72EFD-AFA5-415B-B905-191A0B6B1AFD}"/>
    <cellStyle name="Currency 4 3 4 3 2 6" xfId="16960" xr:uid="{CB2F6201-3F3D-42C1-BE4E-85EB8E0C8C23}"/>
    <cellStyle name="Currency 4 3 4 3 3" xfId="24793" xr:uid="{704EF74D-05DA-4D4E-81E7-7F257B0BFD73}"/>
    <cellStyle name="Currency 4 3 4 3 3 2" xfId="29913" xr:uid="{52E0AAA9-AC47-4051-8A56-EA4E1FA813B4}"/>
    <cellStyle name="Currency 4 3 4 3 4" xfId="30025" xr:uid="{BDE30902-7BFB-4D12-BD65-976D37EB3886}"/>
    <cellStyle name="Currency 4 3 4 4" xfId="1893" xr:uid="{00000000-0005-0000-0000-000085030000}"/>
    <cellStyle name="Currency 4 3 4 5" xfId="4274" xr:uid="{F91ACA83-4F2D-4012-ADCB-25A69197F09D}"/>
    <cellStyle name="Currency 4 3 4 5 2" xfId="9046" xr:uid="{BAA519F8-BB36-43DB-BD39-CE9712C067E0}"/>
    <cellStyle name="Currency 4 3 4 5 2 2" xfId="19426" xr:uid="{65CE24DD-BF71-43F7-9085-07995EA112DC}"/>
    <cellStyle name="Currency 4 3 4 5 2 3" xfId="31050" xr:uid="{FB39CD15-218C-4493-A9AF-8E1F9FF5135F}"/>
    <cellStyle name="Currency 4 3 4 5 2 4" xfId="30851" xr:uid="{E1B2DA33-F3FC-4394-A0AA-285A315E6745}"/>
    <cellStyle name="Currency 4 3 4 5 3" xfId="11879" xr:uid="{1D267E38-EAEA-4AA5-99A3-A6D3F8F2F5ED}"/>
    <cellStyle name="Currency 4 3 4 5 3 2" xfId="22259" xr:uid="{EFC23FBC-FD34-4D6B-9C27-A797C61C3AF5}"/>
    <cellStyle name="Currency 4 3 4 5 4" xfId="27829" xr:uid="{7CEA81F8-915D-4A38-988A-7948ECEFB604}"/>
    <cellStyle name="Currency 4 3 4 5 5" xfId="28555" xr:uid="{E7734652-6C3F-4F0D-96AD-ABF938A9F511}"/>
    <cellStyle name="Currency 4 3 4 5 6" xfId="16593" xr:uid="{3B81F487-7C4D-4339-AEB5-257283E08EAA}"/>
    <cellStyle name="Currency 4 3 4 6" xfId="4950" xr:uid="{030DFC46-68C6-48EC-A562-735E9351B92C}"/>
    <cellStyle name="Currency 4 3 4 6 2" xfId="14245" xr:uid="{95223E6A-58A3-4A37-BE3B-B296D9027FD0}"/>
    <cellStyle name="Currency 4 3 4 7" xfId="6698" xr:uid="{9FEF5103-A120-4214-8154-D7122FB63341}"/>
    <cellStyle name="Currency 4 3 4 7 2" xfId="17078" xr:uid="{DC476D78-A6CD-4F39-B1BB-85870CB30E12}"/>
    <cellStyle name="Currency 4 3 4 8" xfId="9531" xr:uid="{6869894A-9083-4BBC-8B94-A2F55E090560}"/>
    <cellStyle name="Currency 4 3 4 8 2" xfId="19911" xr:uid="{BE929E4D-6764-43FE-A142-789698901C59}"/>
    <cellStyle name="Currency 4 3 4 9" xfId="24022" xr:uid="{6EA85735-1263-470C-9A08-C9A8953A5A63}"/>
    <cellStyle name="Currency 4 3 5" xfId="1896" xr:uid="{00000000-0005-0000-0000-000086030000}"/>
    <cellStyle name="Currency 4 3 5 2" xfId="3101" xr:uid="{00000000-0005-0000-0000-0000A1020000}"/>
    <cellStyle name="Currency 4 3 5 2 2" xfId="8181" xr:uid="{087061CE-0A29-40D7-AEC0-35E907205918}"/>
    <cellStyle name="Currency 4 3 5 2 2 2" xfId="28850" xr:uid="{0D1D4FAA-A692-4A2B-93B6-4B280AB9AECA}"/>
    <cellStyle name="Currency 4 3 5 2 2 2 2" xfId="31236" xr:uid="{543C203C-95B6-4864-94A6-8BD3E79DA64B}"/>
    <cellStyle name="Currency 4 3 5 2 2 2 3" xfId="30853" xr:uid="{0971C87F-E455-41E8-ABF8-2BC0027F690C}"/>
    <cellStyle name="Currency 4 3 5 2 2 3" xfId="27820" xr:uid="{22F52395-28E4-4932-93E2-115E61BE8B7B}"/>
    <cellStyle name="Currency 4 3 5 2 2 4" xfId="18561" xr:uid="{D722F38D-F55F-4E21-8EFC-D462EBFBA666}"/>
    <cellStyle name="Currency 4 3 5 2 3" xfId="11014" xr:uid="{D088AC67-98D9-4721-9256-0DAAD732BA06}"/>
    <cellStyle name="Currency 4 3 5 2 3 2" xfId="21394" xr:uid="{D435C61C-2FAF-4831-9980-AD606B14E2B8}"/>
    <cellStyle name="Currency 4 3 5 2 4" xfId="23575" xr:uid="{9C3BAC46-B5C7-4513-B6F2-CEA7C1979815}"/>
    <cellStyle name="Currency 4 3 5 2 5" xfId="15728" xr:uid="{72243DB0-BA44-4ECB-AD3D-E32CE0FDB110}"/>
    <cellStyle name="Currency 4 3 5 3" xfId="3560" xr:uid="{00000000-0005-0000-0000-000086030000}"/>
    <cellStyle name="Currency 4 3 5 4" xfId="4429" xr:uid="{B29F8216-9F8D-482A-828C-7107F57C7913}"/>
    <cellStyle name="Currency 4 3 5 4 2" xfId="9201" xr:uid="{0649228C-693A-4A74-97E4-B82EA40458D9}"/>
    <cellStyle name="Currency 4 3 5 4 2 2" xfId="19581" xr:uid="{61DA59B9-544E-4109-B3CB-8971F4F8CE50}"/>
    <cellStyle name="Currency 4 3 5 4 2 3" xfId="31095" xr:uid="{A8CD7337-3682-4CEA-AF65-6EE0FD3A735D}"/>
    <cellStyle name="Currency 4 3 5 4 2 4" xfId="30852" xr:uid="{A9A8128F-3665-438B-8D34-4F62BF436405}"/>
    <cellStyle name="Currency 4 3 5 4 3" xfId="12034" xr:uid="{D6195DAA-53EE-41FE-A33E-08B3D8B942F0}"/>
    <cellStyle name="Currency 4 3 5 4 3 2" xfId="22414" xr:uid="{2623672B-EB3B-4F7E-BCC4-1F8C278D1051}"/>
    <cellStyle name="Currency 4 3 5 4 4" xfId="16748" xr:uid="{22ED227D-3A11-4111-AACB-FF1E6F351120}"/>
    <cellStyle name="Currency 4 3 5 5" xfId="5686" xr:uid="{7E96A1D9-66E5-4FBA-9768-97165FB23BD1}"/>
    <cellStyle name="Currency 4 3 5 5 2" xfId="29687" xr:uid="{8351C799-133B-4166-88AA-AFA491555915}"/>
    <cellStyle name="Currency 4 3 5 5 2 2" xfId="30991" xr:uid="{8AE52235-88AA-4879-8CF8-35F89D2E8477}"/>
    <cellStyle name="Currency 4 3 5 6" xfId="25171" xr:uid="{5FAEF081-7E2E-41CB-99FB-6D5A7583AB2D}"/>
    <cellStyle name="Currency 4 3 5 7" xfId="13616" xr:uid="{4C3D984E-B103-40C6-8BE6-58158F3D54A0}"/>
    <cellStyle name="Currency 4 3 6" xfId="1897" xr:uid="{00000000-0005-0000-0000-000087030000}"/>
    <cellStyle name="Currency 4 3 6 2" xfId="2884" xr:uid="{00000000-0005-0000-0000-0000A2020000}"/>
    <cellStyle name="Currency 4 3 6 2 2" xfId="8001" xr:uid="{74124B81-524A-4799-99E9-7BD3E0A5D31B}"/>
    <cellStyle name="Currency 4 3 6 2 2 2" xfId="25837" xr:uid="{6795BBEC-4B08-418A-8583-1E6541133F36}"/>
    <cellStyle name="Currency 4 3 6 2 2 2 2" xfId="31167" xr:uid="{282841D4-51CD-48A0-8C75-7AB767A6AA5C}"/>
    <cellStyle name="Currency 4 3 6 2 2 2 3" xfId="30854" xr:uid="{6C61F38E-E05A-4904-B280-18DC8E4926BF}"/>
    <cellStyle name="Currency 4 3 6 2 2 3" xfId="28224" xr:uid="{6E514E81-DECF-4892-872D-B0168FF66791}"/>
    <cellStyle name="Currency 4 3 6 2 2 4" xfId="18381" xr:uid="{E5D29A37-B5CD-4DF4-AB5C-D1DFE2305AFA}"/>
    <cellStyle name="Currency 4 3 6 2 3" xfId="10834" xr:uid="{6C856AB7-B618-4128-83E5-3C8D49B3AE84}"/>
    <cellStyle name="Currency 4 3 6 2 3 2" xfId="21214" xr:uid="{026C891D-38F0-47C6-BE0E-A3DD0406CBA4}"/>
    <cellStyle name="Currency 4 3 6 2 4" xfId="22848" xr:uid="{F99703F3-B22F-4351-8728-4842B8BA4150}"/>
    <cellStyle name="Currency 4 3 6 2 5" xfId="15548" xr:uid="{9A548102-19BA-4234-B71F-35FD9771DD80}"/>
    <cellStyle name="Currency 4 3 6 3" xfId="3589" xr:uid="{00000000-0005-0000-0000-000087030000}"/>
    <cellStyle name="Currency 4 3 6 4" xfId="5687" xr:uid="{167B630D-F127-4469-8162-A32592159BAA}"/>
    <cellStyle name="Currency 4 3 6 4 2" xfId="29928" xr:uid="{61D729A3-778D-4A96-BFF7-41C4C5FAF594}"/>
    <cellStyle name="Currency 4 3 6 5" xfId="25218" xr:uid="{36C5E636-26E2-4622-AD43-BDBD8D288012}"/>
    <cellStyle name="Currency 4 3 6 6" xfId="13383" xr:uid="{BDCCAD98-CB43-420D-90F1-27CA2F3F0D19}"/>
    <cellStyle name="Currency 4 3 7" xfId="1883" xr:uid="{00000000-0005-0000-0000-000088030000}"/>
    <cellStyle name="Currency 4 3 7 2" xfId="2471" xr:uid="{00000000-0005-0000-0000-0000A3020000}"/>
    <cellStyle name="Currency 4 3 7 2 2" xfId="7596" xr:uid="{35277BF4-85D6-4DDF-A5A9-0BB656953092}"/>
    <cellStyle name="Currency 4 3 7 2 2 2" xfId="17976" xr:uid="{00B577A0-E585-4383-87BF-D644932D10CA}"/>
    <cellStyle name="Currency 4 3 7 2 3" xfId="10429" xr:uid="{1E7E954D-F4BC-4D52-B7A7-62A586FA092D}"/>
    <cellStyle name="Currency 4 3 7 2 3 2" xfId="20809" xr:uid="{FB59F1BA-6212-4581-8480-DB9AD295B4D3}"/>
    <cellStyle name="Currency 4 3 7 2 4" xfId="27165" xr:uid="{859CFEFB-53CA-4B7E-813F-16FD5EA8AB12}"/>
    <cellStyle name="Currency 4 3 7 2 5" xfId="28676" xr:uid="{C8E56A8A-E7D9-4A16-87B8-2F638FE792EF}"/>
    <cellStyle name="Currency 4 3 7 2 6" xfId="15143" xr:uid="{AE777392-77DF-479D-B976-9ABB8D658E94}"/>
    <cellStyle name="Currency 4 3 7 3" xfId="3702" xr:uid="{00000000-0005-0000-0000-000088030000}"/>
    <cellStyle name="Currency 4 3 7 4" xfId="5677" xr:uid="{E2521B25-7D48-4716-AE33-2479DAA07BA6}"/>
    <cellStyle name="Currency 4 3 7 4 2" xfId="29865" xr:uid="{ED283249-7832-40BF-813D-7A87C76D57BB}"/>
    <cellStyle name="Currency 4 3 7 5" xfId="25063" xr:uid="{0D87D897-DA24-4F46-95B8-8298DAF32F7B}"/>
    <cellStyle name="Currency 4 3 7 6" xfId="12859" xr:uid="{5247CC81-3C80-448B-A7A4-837570488085}"/>
    <cellStyle name="Currency 4 3 8" xfId="2225" xr:uid="{00000000-0005-0000-0000-000092020000}"/>
    <cellStyle name="Currency 4 3 8 2" xfId="7352" xr:uid="{B5806281-0079-4A9D-A756-81AD65AD44FE}"/>
    <cellStyle name="Currency 4 3 8 2 2" xfId="17732" xr:uid="{3C5FD1D2-517A-4B9F-B94B-117F3371827D}"/>
    <cellStyle name="Currency 4 3 8 2 2 2" xfId="31125" xr:uid="{D7F480B7-CB4C-485D-96A0-E1B2EBD6C500}"/>
    <cellStyle name="Currency 4 3 8 2 2 3" xfId="30855" xr:uid="{DC34D8E2-CC8E-42A4-BA04-DCD8DE3CEB56}"/>
    <cellStyle name="Currency 4 3 8 3" xfId="10185" xr:uid="{F031D557-6255-451B-80EA-F08A9F594EFC}"/>
    <cellStyle name="Currency 4 3 8 3 2" xfId="20565" xr:uid="{0B09AA96-5D23-49E3-925C-3F8A727C3400}"/>
    <cellStyle name="Currency 4 3 8 4" xfId="24620" xr:uid="{3DDFCC10-D393-43AB-94BC-22E785DA803E}"/>
    <cellStyle name="Currency 4 3 8 5" xfId="27280" xr:uid="{64CAF36B-F3AB-4AF9-8E1E-75348DF5CA28}"/>
    <cellStyle name="Currency 4 3 8 6" xfId="14899" xr:uid="{19ACD2B1-BC17-4050-8824-312BD00E30D6}"/>
    <cellStyle name="Currency 4 3 9" xfId="3884" xr:uid="{685CFCD8-CDB7-4015-8D35-50302F345A20}"/>
    <cellStyle name="Currency 4 3 9 2" xfId="8716" xr:uid="{8F84AFEA-39EF-46C8-8593-D237744CD0FC}"/>
    <cellStyle name="Currency 4 3 9 2 2" xfId="19096" xr:uid="{0C377D4E-80B1-4051-9438-5403749A64FE}"/>
    <cellStyle name="Currency 4 3 9 3" xfId="11549" xr:uid="{0BB00F3B-32C6-45D3-8764-2C694BF52872}"/>
    <cellStyle name="Currency 4 3 9 3 2" xfId="21929" xr:uid="{C3744CEE-0F3B-439F-AE70-7556DF7FA767}"/>
    <cellStyle name="Currency 4 3 9 4" xfId="27025" xr:uid="{7366C550-7A2A-46C4-B2C6-9FA891548DF0}"/>
    <cellStyle name="Currency 4 3 9 5" xfId="25933" xr:uid="{616CD1AB-1B85-44E7-9724-B42505400F6B}"/>
    <cellStyle name="Currency 4 3 9 6" xfId="16263" xr:uid="{EDA75DD9-58EA-492E-8249-0664B4196C9A}"/>
    <cellStyle name="Currency 4 4" xfId="568" xr:uid="{00000000-0005-0000-0000-000089030000}"/>
    <cellStyle name="Currency 4 4 10" xfId="6699" xr:uid="{404CEE2B-BD34-48EE-B90B-E3D8AC3D9FC6}"/>
    <cellStyle name="Currency 4 4 10 2" xfId="17079" xr:uid="{45E71150-9A8E-45BF-917B-DDE4AC91A546}"/>
    <cellStyle name="Currency 4 4 11" xfId="9532" xr:uid="{CBB5FE6E-E9CC-4D61-926F-9DED3D90AEED}"/>
    <cellStyle name="Currency 4 4 11 2" xfId="19912" xr:uid="{48800006-4CE4-48BA-A891-70824E9FF7EE}"/>
    <cellStyle name="Currency 4 4 12" xfId="25098" xr:uid="{77469EB1-1EFB-4C22-A1EE-BED7AA70A80D}"/>
    <cellStyle name="Currency 4 4 13" xfId="12437" xr:uid="{8CB51D5A-F1E7-4E3A-9646-89AA26D74E5B}"/>
    <cellStyle name="Currency 4 4 2" xfId="569" xr:uid="{00000000-0005-0000-0000-00008A030000}"/>
    <cellStyle name="Currency 4 4 2 10" xfId="9533" xr:uid="{BA4B807B-EBC4-4CE9-9480-9551FC4002E6}"/>
    <cellStyle name="Currency 4 4 2 10 2" xfId="19913" xr:uid="{2B0EBC39-CF5A-4313-97C3-FE1473BB0A80}"/>
    <cellStyle name="Currency 4 4 2 11" xfId="23203" xr:uid="{63598945-3864-4262-B140-8013553060D5}"/>
    <cellStyle name="Currency 4 4 2 12" xfId="12528" xr:uid="{5789DC16-1E00-4F5A-A367-B8B17870A40B}"/>
    <cellStyle name="Currency 4 4 2 2" xfId="570" xr:uid="{00000000-0005-0000-0000-00008B030000}"/>
    <cellStyle name="Currency 4 4 2 2 10" xfId="13112" xr:uid="{D6539105-A78B-4395-96BE-89FF952F2316}"/>
    <cellStyle name="Currency 4 4 2 2 2" xfId="1901" xr:uid="{00000000-0005-0000-0000-00008C030000}"/>
    <cellStyle name="Currency 4 4 2 2 2 2" xfId="3103" xr:uid="{00000000-0005-0000-0000-0000A7020000}"/>
    <cellStyle name="Currency 4 4 2 2 2 2 2" xfId="8183" xr:uid="{904F3012-57A0-4FAC-A0C4-16E2551489D6}"/>
    <cellStyle name="Currency 4 4 2 2 2 2 2 2" xfId="28852" xr:uid="{F9DF3389-46C0-4F6D-87EA-4F9FA8FDD3EC}"/>
    <cellStyle name="Currency 4 4 2 2 2 2 2 3" xfId="26209" xr:uid="{A847656F-3BE7-420F-8BB9-FE71ECFC7CB1}"/>
    <cellStyle name="Currency 4 4 2 2 2 2 2 4" xfId="18563" xr:uid="{F9C791EA-47C4-4D6F-84B3-278E92AA242F}"/>
    <cellStyle name="Currency 4 4 2 2 2 2 3" xfId="11016" xr:uid="{B479306D-E10B-45A5-9E29-8F290E3E7518}"/>
    <cellStyle name="Currency 4 4 2 2 2 2 3 2" xfId="21396" xr:uid="{7B3583D4-0490-439D-9C9D-67AB612751A6}"/>
    <cellStyle name="Currency 4 4 2 2 2 2 4" xfId="25770" xr:uid="{ADDBE3C1-5401-4A68-A34B-E3EEB1E9444B}"/>
    <cellStyle name="Currency 4 4 2 2 2 2 5" xfId="15730" xr:uid="{FC29D236-847B-4302-B653-8FA99C016C7C}"/>
    <cellStyle name="Currency 4 4 2 2 2 3" xfId="2060" xr:uid="{00000000-0005-0000-0000-00008C030000}"/>
    <cellStyle name="Currency 4 4 2 2 2 4" xfId="5689" xr:uid="{49DCF050-5439-44B0-B2A0-27FBC55DC5F2}"/>
    <cellStyle name="Currency 4 4 2 2 2 4 2" xfId="29973" xr:uid="{D1DCE2EF-CF6D-4E8A-B51C-2B950AC4303B}"/>
    <cellStyle name="Currency 4 4 2 2 2 5" xfId="25500" xr:uid="{6C76CE48-A73C-420F-850E-F2D87934E8E8}"/>
    <cellStyle name="Currency 4 4 2 2 2 6" xfId="13618" xr:uid="{B236BE07-737A-4F1E-AECD-C28CF3BB3BBF}"/>
    <cellStyle name="Currency 4 4 2 2 3" xfId="1902" xr:uid="{00000000-0005-0000-0000-00008D030000}"/>
    <cellStyle name="Currency 4 4 2 2 3 2" xfId="4638" xr:uid="{0C00C94B-26DF-4D56-86FA-2DE02AE2073A}"/>
    <cellStyle name="Currency 4 4 2 2 3 2 2" xfId="9401" xr:uid="{8FB0F8C5-0716-4305-9138-95591A01C0EC}"/>
    <cellStyle name="Currency 4 4 2 2 3 2 2 2" xfId="19781" xr:uid="{EA6C1482-82CF-48AC-AB9E-080BC2C233C5}"/>
    <cellStyle name="Currency 4 4 2 2 3 2 3" xfId="12234" xr:uid="{0EF530DB-0878-4B04-871E-A8959322BCC1}"/>
    <cellStyle name="Currency 4 4 2 2 3 2 3 2" xfId="22614" xr:uid="{1E50517A-98E6-403B-AAB3-C323593220CF}"/>
    <cellStyle name="Currency 4 4 2 2 3 2 4" xfId="28533" xr:uid="{C961A8A3-2CAC-486B-AA24-F13E980734BC}"/>
    <cellStyle name="Currency 4 4 2 2 3 2 5" xfId="27742" xr:uid="{BEA10562-25F9-4A67-ABCB-2331AD229B15}"/>
    <cellStyle name="Currency 4 4 2 2 3 2 6" xfId="16948" xr:uid="{1E765E18-2498-4D09-BA71-010723323D88}"/>
    <cellStyle name="Currency 4 4 2 2 3 3" xfId="25167" xr:uid="{6CF94AE3-F2BC-4D46-A438-01193BD28FD6}"/>
    <cellStyle name="Currency 4 4 2 2 3 3 2" xfId="29916" xr:uid="{4DEBB916-963E-4C15-96CA-2D790B655BDA}"/>
    <cellStyle name="Currency 4 4 2 2 3 4" xfId="30027" xr:uid="{C5F67086-089E-473F-A519-DBC59DD5DC2B}"/>
    <cellStyle name="Currency 4 4 2 2 4" xfId="1900" xr:uid="{00000000-0005-0000-0000-00008E030000}"/>
    <cellStyle name="Currency 4 4 2 2 4 2" xfId="26967" xr:uid="{7B61A0D3-E365-47E1-BF65-D22D21EAE7CE}"/>
    <cellStyle name="Currency 4 4 2 2 4 3" xfId="26338" xr:uid="{E01B3AF2-4017-4494-9A21-EB0A702E2343}"/>
    <cellStyle name="Currency 4 4 2 2 5" xfId="4277" xr:uid="{6DC5CC5C-81B1-41CA-AF6F-42D5C858E366}"/>
    <cellStyle name="Currency 4 4 2 2 5 2" xfId="9049" xr:uid="{872823FF-714C-4919-9973-525F488C0AD6}"/>
    <cellStyle name="Currency 4 4 2 2 5 2 2" xfId="19429" xr:uid="{DA923F79-00BA-43E4-88B8-1823DF5B7DDC}"/>
    <cellStyle name="Currency 4 4 2 2 5 2 3" xfId="31053" xr:uid="{67C2670F-6277-4849-9F51-8CFAF8E73D83}"/>
    <cellStyle name="Currency 4 4 2 2 5 2 4" xfId="30856" xr:uid="{971BAED6-D407-4FD7-A43D-F427F1A24A97}"/>
    <cellStyle name="Currency 4 4 2 2 5 3" xfId="11882" xr:uid="{4488F104-BB63-424A-B6A4-DF65B16FE62A}"/>
    <cellStyle name="Currency 4 4 2 2 5 3 2" xfId="22262" xr:uid="{335289AC-A5B9-4F76-87A6-C8B175484858}"/>
    <cellStyle name="Currency 4 4 2 2 5 4" xfId="28125" xr:uid="{13C84519-E98E-4148-B72C-47FE7DBA1F15}"/>
    <cellStyle name="Currency 4 4 2 2 5 5" xfId="27306" xr:uid="{B8E4A41B-B127-429B-98E1-6EF7377FA336}"/>
    <cellStyle name="Currency 4 4 2 2 5 6" xfId="16596" xr:uid="{67B8AC4C-076B-42B0-9A7C-6FC78E05BE64}"/>
    <cellStyle name="Currency 4 4 2 2 6" xfId="4953" xr:uid="{EAAD5C14-B388-4533-BDE9-BA38E3AF803A}"/>
    <cellStyle name="Currency 4 4 2 2 6 2" xfId="25889" xr:uid="{E49C18D3-FB38-469E-8EA2-39A1D214DC13}"/>
    <cellStyle name="Currency 4 4 2 2 6 3" xfId="28567" xr:uid="{2E1853E3-62B7-4CC5-B257-0D16C2DE95E9}"/>
    <cellStyle name="Currency 4 4 2 2 6 4" xfId="14248" xr:uid="{8F5DAE46-A7AD-4C60-AF86-494ADEBA80E8}"/>
    <cellStyle name="Currency 4 4 2 2 7" xfId="6701" xr:uid="{53544C6D-2AA2-4246-8F53-958AF5BCE891}"/>
    <cellStyle name="Currency 4 4 2 2 7 2" xfId="17081" xr:uid="{21941154-B79A-4F77-838D-8F5E673FC827}"/>
    <cellStyle name="Currency 4 4 2 2 8" xfId="9534" xr:uid="{1D27AFAA-4D01-4EE1-B2E9-62A529030E4B}"/>
    <cellStyle name="Currency 4 4 2 2 8 2" xfId="19914" xr:uid="{ED8FA4F6-2117-4996-B6FC-DDA7A2612F4F}"/>
    <cellStyle name="Currency 4 4 2 2 9" xfId="23043" xr:uid="{61B35C58-98F4-487B-AA0D-5B8797BD6998}"/>
    <cellStyle name="Currency 4 4 2 3" xfId="1903" xr:uid="{00000000-0005-0000-0000-00008F030000}"/>
    <cellStyle name="Currency 4 4 2 3 2" xfId="3104" xr:uid="{00000000-0005-0000-0000-0000A8020000}"/>
    <cellStyle name="Currency 4 4 2 3 2 2" xfId="8184" xr:uid="{3B528368-0FAA-46F3-A206-3A93A5B139D4}"/>
    <cellStyle name="Currency 4 4 2 3 2 2 2" xfId="28853" xr:uid="{A30D016A-33D0-433E-9A70-42BF902C9450}"/>
    <cellStyle name="Currency 4 4 2 3 2 2 2 2" xfId="31237" xr:uid="{E94BF9FB-9A35-482A-8B21-EE0A99A9AEF2}"/>
    <cellStyle name="Currency 4 4 2 3 2 2 2 3" xfId="30858" xr:uid="{84D2B151-C397-47FE-9C49-48B74BB9F4A9}"/>
    <cellStyle name="Currency 4 4 2 3 2 2 3" xfId="26573" xr:uid="{CAF3D6DB-8A27-4249-9DF8-58FA3009249E}"/>
    <cellStyle name="Currency 4 4 2 3 2 2 4" xfId="18564" xr:uid="{59533188-AAA2-4A27-84AC-9B729203AB49}"/>
    <cellStyle name="Currency 4 4 2 3 2 3" xfId="11017" xr:uid="{59A4FE0E-396F-4DB4-BED8-6EA8B4E36012}"/>
    <cellStyle name="Currency 4 4 2 3 2 3 2" xfId="21397" xr:uid="{3C3A709D-827E-4127-A388-92EE304839C4}"/>
    <cellStyle name="Currency 4 4 2 3 2 4" xfId="23262" xr:uid="{12A27AB1-F8A3-47B3-9C80-05B24D69BA66}"/>
    <cellStyle name="Currency 4 4 2 3 2 5" xfId="15731" xr:uid="{8E99F1F0-99DF-4F1D-BEBD-3FA027A3087B}"/>
    <cellStyle name="Currency 4 4 2 3 3" xfId="3693" xr:uid="{00000000-0005-0000-0000-00008F030000}"/>
    <cellStyle name="Currency 4 4 2 3 4" xfId="4430" xr:uid="{F8CB2A5C-4D26-4BAD-8830-9C4F07E2F2A3}"/>
    <cellStyle name="Currency 4 4 2 3 4 2" xfId="9202" xr:uid="{4DC3113D-FC04-454A-85D0-39366B9F0756}"/>
    <cellStyle name="Currency 4 4 2 3 4 2 2" xfId="19582" xr:uid="{A8304793-2B18-4B4C-9B60-EDFE5C9562EF}"/>
    <cellStyle name="Currency 4 4 2 3 4 2 3" xfId="31096" xr:uid="{DBDCC3BC-59A6-4FDF-8CB5-5162634392A0}"/>
    <cellStyle name="Currency 4 4 2 3 4 2 4" xfId="30857" xr:uid="{E266DC82-37B3-4A61-9149-D8B676B10235}"/>
    <cellStyle name="Currency 4 4 2 3 4 3" xfId="12035" xr:uid="{CC4055C3-9AB9-48BA-B8E9-6F062B9F8F27}"/>
    <cellStyle name="Currency 4 4 2 3 4 3 2" xfId="22415" xr:uid="{3A3D4CBD-6E01-4641-AD71-CF8A85125E52}"/>
    <cellStyle name="Currency 4 4 2 3 4 4" xfId="16749" xr:uid="{9F1DF4B1-6A9D-463B-89D0-8A2B6CDAB99D}"/>
    <cellStyle name="Currency 4 4 2 3 5" xfId="5690" xr:uid="{C340B98F-AC3B-46E2-A9ED-DC08D3F861F0}"/>
    <cellStyle name="Currency 4 4 2 3 5 2" xfId="29704" xr:uid="{3EFD9C23-21A4-42B7-958E-84631AA98301}"/>
    <cellStyle name="Currency 4 4 2 3 5 2 2" xfId="30992" xr:uid="{8BD50B0A-F77B-4D5C-9272-98C9DD72C43D}"/>
    <cellStyle name="Currency 4 4 2 3 6" xfId="23543" xr:uid="{46D9FF0A-A3C3-41E8-8AD7-2B3DFD6AED77}"/>
    <cellStyle name="Currency 4 4 2 3 7" xfId="13619" xr:uid="{542F7D67-A4C1-4700-BB7E-DADA16235EDD}"/>
    <cellStyle name="Currency 4 4 2 4" xfId="1904" xr:uid="{00000000-0005-0000-0000-000090030000}"/>
    <cellStyle name="Currency 4 4 2 4 2" xfId="3102" xr:uid="{00000000-0005-0000-0000-0000A9020000}"/>
    <cellStyle name="Currency 4 4 2 4 2 2" xfId="8182" xr:uid="{17B8D159-7256-494F-B250-69E5D9BAD987}"/>
    <cellStyle name="Currency 4 4 2 4 2 2 2" xfId="28851" xr:uid="{EC7EE37A-1F50-4984-B8F6-00D4FE7D8E0D}"/>
    <cellStyle name="Currency 4 4 2 4 2 2 3" xfId="28630" xr:uid="{C9A4E31C-CD58-49A0-9548-1EEEE3BD061D}"/>
    <cellStyle name="Currency 4 4 2 4 2 2 4" xfId="18562" xr:uid="{2FBDEEA3-5C6D-4F5E-AA43-C3D5A9AD4D5E}"/>
    <cellStyle name="Currency 4 4 2 4 2 3" xfId="11015" xr:uid="{5CA98DED-1729-4747-B387-2556E0E9DF5F}"/>
    <cellStyle name="Currency 4 4 2 4 2 3 2" xfId="21395" xr:uid="{64DE3F4C-3939-4F6B-80DF-1E2EF6213C4F}"/>
    <cellStyle name="Currency 4 4 2 4 2 4" xfId="23675" xr:uid="{66CB5B40-14CE-477C-AA1C-4296E2E86AD6}"/>
    <cellStyle name="Currency 4 4 2 4 2 5" xfId="15729" xr:uid="{04B5EFF6-90EA-46B9-8433-3DA27578DA20}"/>
    <cellStyle name="Currency 4 4 2 4 3" xfId="3558" xr:uid="{00000000-0005-0000-0000-000090030000}"/>
    <cellStyle name="Currency 4 4 2 4 4" xfId="5691" xr:uid="{5A4FEA78-B599-41CC-9868-BAC943503E9D}"/>
    <cellStyle name="Currency 4 4 2 4 4 2" xfId="29972" xr:uid="{B94433C2-4C03-4B4D-94A5-E917D4637908}"/>
    <cellStyle name="Currency 4 4 2 4 5" xfId="25242" xr:uid="{1189934D-B514-4902-8BD7-4DD15F495D81}"/>
    <cellStyle name="Currency 4 4 2 4 6" xfId="13617" xr:uid="{FA1F9B35-0FF6-4C7F-BD90-8D63413D74B5}"/>
    <cellStyle name="Currency 4 4 2 5" xfId="1899" xr:uid="{00000000-0005-0000-0000-000091030000}"/>
    <cellStyle name="Currency 4 4 2 5 2" xfId="2614" xr:uid="{00000000-0005-0000-0000-0000AA020000}"/>
    <cellStyle name="Currency 4 4 2 5 2 2" xfId="7739" xr:uid="{37D6E4AC-6E33-48CD-B4F6-0F2D4F7211EE}"/>
    <cellStyle name="Currency 4 4 2 5 2 2 2" xfId="18119" xr:uid="{D5A6CDF3-81CB-4326-A0F4-7C6106191F34}"/>
    <cellStyle name="Currency 4 4 2 5 2 3" xfId="10572" xr:uid="{360FB14A-F563-424E-8F6B-7C3C04B9D6BE}"/>
    <cellStyle name="Currency 4 4 2 5 2 3 2" xfId="20952" xr:uid="{D5B3335F-D1F0-43A7-8E43-044703D0FA0A}"/>
    <cellStyle name="Currency 4 4 2 5 2 4" xfId="28620" xr:uid="{809EF085-D442-48A5-8B95-365BB7689706}"/>
    <cellStyle name="Currency 4 4 2 5 2 5" xfId="28705" xr:uid="{2E3EEC90-EDBD-455D-B6D2-470488E51772}"/>
    <cellStyle name="Currency 4 4 2 5 2 6" xfId="15286" xr:uid="{69626681-85A9-4215-9E2D-76B0326E7A5E}"/>
    <cellStyle name="Currency 4 4 2 5 3" xfId="3662" xr:uid="{00000000-0005-0000-0000-000091030000}"/>
    <cellStyle name="Currency 4 4 2 5 4" xfId="5688" xr:uid="{9A95B928-1804-4328-A082-0B5689D37A2C}"/>
    <cellStyle name="Currency 4 4 2 5 4 2" xfId="29887" xr:uid="{1E337AB5-CDC0-4D6B-AC88-B5A57522C2AF}"/>
    <cellStyle name="Currency 4 4 2 5 5" xfId="24929" xr:uid="{8411776B-11BF-4BE8-ABFA-40E931CBA0E3}"/>
    <cellStyle name="Currency 4 4 2 5 6" xfId="13002" xr:uid="{3E4E4568-3942-4CB4-B949-E39BC913EBD6}"/>
    <cellStyle name="Currency 4 4 2 6" xfId="2296" xr:uid="{00000000-0005-0000-0000-0000A5020000}"/>
    <cellStyle name="Currency 4 4 2 6 2" xfId="7423" xr:uid="{E769182C-50E2-494B-B656-84B35C9E559F}"/>
    <cellStyle name="Currency 4 4 2 6 2 2" xfId="17803" xr:uid="{84CAB30E-1C3F-4459-AD27-1DC4F7CF4018}"/>
    <cellStyle name="Currency 4 4 2 6 3" xfId="10256" xr:uid="{EC05B593-AEE7-4DB6-BC0C-A9497656B60F}"/>
    <cellStyle name="Currency 4 4 2 6 3 2" xfId="20636" xr:uid="{83854D91-4B8B-4C36-82F1-7F454EDB584A}"/>
    <cellStyle name="Currency 4 4 2 6 4" xfId="24744" xr:uid="{C669A425-66C2-4ED1-A1DF-A830A5952BA5}"/>
    <cellStyle name="Currency 4 4 2 6 5" xfId="28464" xr:uid="{912F3BA5-9B24-44BA-8038-B34D4DF4ED18}"/>
    <cellStyle name="Currency 4 4 2 6 6" xfId="14970" xr:uid="{641CB3F8-BA3B-4F14-922D-071F117F0920}"/>
    <cellStyle name="Currency 4 4 2 7" xfId="3831" xr:uid="{3FE98610-9D18-4345-AD19-91A8C7D105E1}"/>
    <cellStyle name="Currency 4 4 2 7 2" xfId="8664" xr:uid="{5C5AC266-51EB-4694-89B0-52A9EFCE5390}"/>
    <cellStyle name="Currency 4 4 2 7 2 2" xfId="19044" xr:uid="{015B5D4E-6227-4C9C-ABC6-C1B4B6FAFFEA}"/>
    <cellStyle name="Currency 4 4 2 7 3" xfId="11497" xr:uid="{27C27FC8-0E34-4E18-A02C-78CA3130BED3}"/>
    <cellStyle name="Currency 4 4 2 7 3 2" xfId="21877" xr:uid="{1C3B1938-8D74-4943-B0AF-DC54C33600CD}"/>
    <cellStyle name="Currency 4 4 2 7 4" xfId="27628" xr:uid="{0462E136-9BD1-4F29-83FA-58F2DDCE40C6}"/>
    <cellStyle name="Currency 4 4 2 7 5" xfId="28514" xr:uid="{A60B902E-5467-4FE7-9F66-80C1EDACA61A}"/>
    <cellStyle name="Currency 4 4 2 7 6" xfId="16211" xr:uid="{34ED2F95-0A2F-4442-AB6C-F9A33800E411}"/>
    <cellStyle name="Currency 4 4 2 8" xfId="4952" xr:uid="{070C5DCD-F2E8-4339-A158-DD67509D6194}"/>
    <cellStyle name="Currency 4 4 2 8 2" xfId="14247" xr:uid="{18E2B826-99F8-4C7C-A55E-3ABFEFCC4102}"/>
    <cellStyle name="Currency 4 4 2 9" xfId="6700" xr:uid="{7D36F73A-72D9-4DA8-A62D-5C3412A1B7BA}"/>
    <cellStyle name="Currency 4 4 2 9 2" xfId="17080" xr:uid="{E341D44A-0501-45F4-9C3E-5483722A356E}"/>
    <cellStyle name="Currency 4 4 3" xfId="571" xr:uid="{00000000-0005-0000-0000-000092030000}"/>
    <cellStyle name="Currency 4 4 3 10" xfId="12686" xr:uid="{FEA75997-780D-472D-A3E4-56A6D8F8D8D1}"/>
    <cellStyle name="Currency 4 4 3 2" xfId="1906" xr:uid="{00000000-0005-0000-0000-000093030000}"/>
    <cellStyle name="Currency 4 4 3 2 2" xfId="3105" xr:uid="{00000000-0005-0000-0000-0000AC020000}"/>
    <cellStyle name="Currency 4 4 3 2 2 2" xfId="8185" xr:uid="{28A35267-3598-4547-B6FF-E3EA3107BCDF}"/>
    <cellStyle name="Currency 4 4 3 2 2 2 2" xfId="28854" xr:uid="{C67EC69A-2795-4635-AE3E-6A52A68182C3}"/>
    <cellStyle name="Currency 4 4 3 2 2 2 3" xfId="28468" xr:uid="{1D2F5812-0DA1-46AE-A5EC-23E1466B517C}"/>
    <cellStyle name="Currency 4 4 3 2 2 2 4" xfId="18565" xr:uid="{D286A884-068B-4F1B-B885-4ECF551E0351}"/>
    <cellStyle name="Currency 4 4 3 2 2 3" xfId="11018" xr:uid="{700160F2-40F2-48D5-9BE8-A4A1DCE89E6E}"/>
    <cellStyle name="Currency 4 4 3 2 2 3 2" xfId="21398" xr:uid="{32E4A722-FF26-4FBB-A586-1710AD22DEE3}"/>
    <cellStyle name="Currency 4 4 3 2 2 4" xfId="24462" xr:uid="{E2B1710F-D7E1-4F28-AC95-993566A223BF}"/>
    <cellStyle name="Currency 4 4 3 2 2 5" xfId="15732" xr:uid="{8A4C1AFD-8D7A-4968-B92C-20CA0B358FAF}"/>
    <cellStyle name="Currency 4 4 3 2 3" xfId="3555" xr:uid="{00000000-0005-0000-0000-000093030000}"/>
    <cellStyle name="Currency 4 4 3 2 4" xfId="5692" xr:uid="{AC107150-D7A8-43D6-A222-7FFF60EC771B}"/>
    <cellStyle name="Currency 4 4 3 2 4 2" xfId="29974" xr:uid="{C447A071-5548-47AC-88AC-3044929A90F6}"/>
    <cellStyle name="Currency 4 4 3 2 5" xfId="23789" xr:uid="{6D5A2966-DEC8-4195-9E57-33702C82F7AF}"/>
    <cellStyle name="Currency 4 4 3 2 6" xfId="13620" xr:uid="{41C66B63-F1BD-466A-91A3-EE4E189FBDC5}"/>
    <cellStyle name="Currency 4 4 3 3" xfId="1907" xr:uid="{00000000-0005-0000-0000-000094030000}"/>
    <cellStyle name="Currency 4 4 3 3 2" xfId="2696" xr:uid="{00000000-0005-0000-0000-0000AD020000}"/>
    <cellStyle name="Currency 4 4 3 3 2 2" xfId="7820" xr:uid="{F4A44545-97FC-4ABC-B0CA-0534910A0E56}"/>
    <cellStyle name="Currency 4 4 3 3 2 2 2" xfId="18200" xr:uid="{4FCEEDDB-95A9-49A5-A002-DB520D4E0F2F}"/>
    <cellStyle name="Currency 4 4 3 3 2 3" xfId="10653" xr:uid="{A00B99ED-6FFB-4878-96CC-4D02ACAF498A}"/>
    <cellStyle name="Currency 4 4 3 3 2 3 2" xfId="21033" xr:uid="{4899BC26-5703-4E8C-9F3A-C9D8141923CF}"/>
    <cellStyle name="Currency 4 4 3 3 2 4" xfId="15367" xr:uid="{B68A6950-1935-433C-9F30-5649A67CDB1F}"/>
    <cellStyle name="Currency 4 4 3 3 2 5" xfId="30453" xr:uid="{3220311B-FB69-4A21-9EA6-BA827237813C}"/>
    <cellStyle name="Currency 4 4 3 3 3" xfId="3585" xr:uid="{00000000-0005-0000-0000-000094030000}"/>
    <cellStyle name="Currency 4 4 3 3 4" xfId="5693" xr:uid="{193A20EF-0047-4A6C-B664-DEFD302C7B8D}"/>
    <cellStyle name="Currency 4 4 3 3 4 2" xfId="29915" xr:uid="{42A8928A-AD1B-4DB0-86BB-E8BF6D29469A}"/>
    <cellStyle name="Currency 4 4 3 3 5" xfId="22807" xr:uid="{D25D342D-75CA-4B2D-B80B-1365CC0697DE}"/>
    <cellStyle name="Currency 4 4 3 3 6" xfId="13111" xr:uid="{F258322D-6E49-4C94-BB42-D022721D18A1}"/>
    <cellStyle name="Currency 4 4 3 4" xfId="1905" xr:uid="{00000000-0005-0000-0000-000095030000}"/>
    <cellStyle name="Currency 4 4 3 4 2" xfId="3771" xr:uid="{07F20531-A377-448D-B2B8-5E0726E4CBB2}"/>
    <cellStyle name="Currency 4 4 3 4 2 2" xfId="8615" xr:uid="{76E14BB7-D181-41E8-B76A-F4E1F05ABA42}"/>
    <cellStyle name="Currency 4 4 3 4 2 2 2" xfId="18995" xr:uid="{E2D1C956-7BE2-4240-9848-9C0D30018986}"/>
    <cellStyle name="Currency 4 4 3 4 2 3" xfId="11448" xr:uid="{A905F953-8ED5-4CF9-95A4-615ED1708C5A}"/>
    <cellStyle name="Currency 4 4 3 4 2 3 2" xfId="21828" xr:uid="{802B883D-F7B5-4863-84E2-8110B3E7C1FB}"/>
    <cellStyle name="Currency 4 4 3 4 2 4" xfId="25973" xr:uid="{7B0FDD69-632A-4DC5-87F6-15114CCC50D2}"/>
    <cellStyle name="Currency 4 4 3 4 2 5" xfId="27420" xr:uid="{B0617012-55C5-4B9D-9146-D67D52658F3F}"/>
    <cellStyle name="Currency 4 4 3 4 2 6" xfId="16162" xr:uid="{575C6C11-3418-4007-9630-4BC7159E78AA}"/>
    <cellStyle name="Currency 4 4 3 4 3" xfId="22865" xr:uid="{1A29221E-C015-45FA-9134-C2C3C9F98B1E}"/>
    <cellStyle name="Currency 4 4 3 5" xfId="4140" xr:uid="{D4B1C4AC-16F6-4633-954B-0E0639E01914}"/>
    <cellStyle name="Currency 4 4 3 5 2" xfId="8912" xr:uid="{D7A5433B-2D57-4DA7-A6D4-3BD9D4C7D0DC}"/>
    <cellStyle name="Currency 4 4 3 5 2 2" xfId="29015" xr:uid="{EC1ADC02-8593-4A90-A032-DC0937DEC627}"/>
    <cellStyle name="Currency 4 4 3 5 2 3" xfId="26751" xr:uid="{551323B0-0D08-4463-B72F-EEF383D59218}"/>
    <cellStyle name="Currency 4 4 3 5 2 4" xfId="19292" xr:uid="{A9E9D21B-0A62-44F0-AB74-22AE5AD93639}"/>
    <cellStyle name="Currency 4 4 3 5 2 5" xfId="31022" xr:uid="{C772FF49-A530-4A0E-B7EF-F2DE775CB904}"/>
    <cellStyle name="Currency 4 4 3 5 3" xfId="11745" xr:uid="{7FB50B49-0896-451A-BBB1-938C24C33B3A}"/>
    <cellStyle name="Currency 4 4 3 5 3 2" xfId="22125" xr:uid="{AAA9B7F7-BD78-41D7-90CE-DE4F4B1FCF26}"/>
    <cellStyle name="Currency 4 4 3 5 4" xfId="25539" xr:uid="{5242B304-AD13-4A62-B493-DDBA6577F6BA}"/>
    <cellStyle name="Currency 4 4 3 5 5" xfId="16459" xr:uid="{D206A757-E919-4031-A5E0-10222AEA5ABD}"/>
    <cellStyle name="Currency 4 4 3 6" xfId="4954" xr:uid="{FA65F11D-481D-4170-8FA9-798AA2830B03}"/>
    <cellStyle name="Currency 4 4 3 6 2" xfId="27069" xr:uid="{BF1A825B-FB2D-457F-BB69-1A877B3C389E}"/>
    <cellStyle name="Currency 4 4 3 6 3" xfId="26851" xr:uid="{7A281B76-9630-499F-A6B8-7D065D0DF04C}"/>
    <cellStyle name="Currency 4 4 3 6 4" xfId="14249" xr:uid="{F93EA684-5F36-4F2A-9DA9-44F08D372E5C}"/>
    <cellStyle name="Currency 4 4 3 7" xfId="6702" xr:uid="{5212CBAC-1EE9-4989-8552-1BB543D5560E}"/>
    <cellStyle name="Currency 4 4 3 7 2" xfId="26032" xr:uid="{AE55EBFC-81F0-4FFF-A7C4-B51FE344C49E}"/>
    <cellStyle name="Currency 4 4 3 7 3" xfId="27024" xr:uid="{F22A5A6A-32A6-49E5-96B0-484D43E6094B}"/>
    <cellStyle name="Currency 4 4 3 7 4" xfId="17082" xr:uid="{4022AFF0-7B99-4C08-BBE1-DF9E77BD4DA2}"/>
    <cellStyle name="Currency 4 4 3 8" xfId="9535" xr:uid="{BC568C3D-AE73-4B82-BFB4-A38DC814868E}"/>
    <cellStyle name="Currency 4 4 3 8 2" xfId="19915" xr:uid="{F0944CF6-52BD-4779-B313-62D489AF6120}"/>
    <cellStyle name="Currency 4 4 3 9" xfId="25502" xr:uid="{F6E34D30-A59B-4D54-AD44-B7D52207DF03}"/>
    <cellStyle name="Currency 4 4 4" xfId="572" xr:uid="{00000000-0005-0000-0000-000096030000}"/>
    <cellStyle name="Currency 4 4 4 10" xfId="13621" xr:uid="{22A6E31E-BFED-4155-83F3-C6B38C339ED3}"/>
    <cellStyle name="Currency 4 4 4 2" xfId="1909" xr:uid="{00000000-0005-0000-0000-000097030000}"/>
    <cellStyle name="Currency 4 4 4 2 2" xfId="23515" xr:uid="{6C469949-B796-41B0-A72C-3324EE72B59F}"/>
    <cellStyle name="Currency 4 4 4 2 2 2" xfId="29796" xr:uid="{F7B71C15-7722-459E-8BE7-FADD50187F71}"/>
    <cellStyle name="Currency 4 4 4 2 2 2 2" xfId="30860" xr:uid="{9D9B1BB6-7F98-4579-9936-669B30E05F76}"/>
    <cellStyle name="Currency 4 4 4 2 3" xfId="23159" xr:uid="{84ACC6A3-99BA-4642-A269-125562AF4504}"/>
    <cellStyle name="Currency 4 4 4 2 4" xfId="30065" xr:uid="{1B217033-AB76-4D61-9FDE-F4F6F11BB015}"/>
    <cellStyle name="Currency 4 4 4 3" xfId="1910" xr:uid="{00000000-0005-0000-0000-000098030000}"/>
    <cellStyle name="Currency 4 4 4 4" xfId="1908" xr:uid="{00000000-0005-0000-0000-000099030000}"/>
    <cellStyle name="Currency 4 4 4 5" xfId="4431" xr:uid="{85B45310-3D57-4A81-877C-479B1DFC9977}"/>
    <cellStyle name="Currency 4 4 4 5 2" xfId="9203" xr:uid="{2BBECCD9-6495-43AF-86E0-81F64B2A7737}"/>
    <cellStyle name="Currency 4 4 4 5 2 2" xfId="19583" xr:uid="{23BF737A-2D23-4F63-9F38-0B7BFF6210B1}"/>
    <cellStyle name="Currency 4 4 4 5 2 3" xfId="31097" xr:uid="{922E07EA-F204-451A-9C0B-BC8E8926C35D}"/>
    <cellStyle name="Currency 4 4 4 5 2 4" xfId="30859" xr:uid="{301E1222-4E62-42A9-A362-C26BC40FFCB3}"/>
    <cellStyle name="Currency 4 4 4 5 3" xfId="12036" xr:uid="{2444FECE-BC68-423D-839C-5CE3B4F9BC1B}"/>
    <cellStyle name="Currency 4 4 4 5 3 2" xfId="22416" xr:uid="{58EF8FE6-53F6-4028-B2BB-75F236249CBD}"/>
    <cellStyle name="Currency 4 4 4 5 4" xfId="16750" xr:uid="{B558872C-317E-4B14-AB9F-874B55B2F5C5}"/>
    <cellStyle name="Currency 4 4 4 6" xfId="4955" xr:uid="{18ABB6A8-C403-456C-98F4-0EE04349E584}"/>
    <cellStyle name="Currency 4 4 4 6 2" xfId="14250" xr:uid="{58E46FBB-755C-4FB2-A35F-47E549F0BD49}"/>
    <cellStyle name="Currency 4 4 4 7" xfId="6703" xr:uid="{596064E9-A3D6-4168-8E40-533C5FE5261B}"/>
    <cellStyle name="Currency 4 4 4 7 2" xfId="17083" xr:uid="{4EDFE94E-D8DB-4C33-9E32-6E6954FC7DB2}"/>
    <cellStyle name="Currency 4 4 4 8" xfId="9536" xr:uid="{7E8CFD0C-E04E-4D79-A5B5-E36825FD963E}"/>
    <cellStyle name="Currency 4 4 4 8 2" xfId="19916" xr:uid="{D344D597-610C-4218-9B56-5A1108029B26}"/>
    <cellStyle name="Currency 4 4 4 9" xfId="22777" xr:uid="{273C5658-5482-4CBD-8210-7DC046A9AB81}"/>
    <cellStyle name="Currency 4 4 5" xfId="1911" xr:uid="{00000000-0005-0000-0000-00009A030000}"/>
    <cellStyle name="Currency 4 4 5 2" xfId="2885" xr:uid="{00000000-0005-0000-0000-0000AF020000}"/>
    <cellStyle name="Currency 4 4 5 2 2" xfId="8002" xr:uid="{E706C878-2C34-422A-A8A0-D864701A29BC}"/>
    <cellStyle name="Currency 4 4 5 2 2 2" xfId="26460" xr:uid="{8F6912E3-A45B-4771-8C84-42F8D99A8E39}"/>
    <cellStyle name="Currency 4 4 5 2 2 2 2" xfId="31178" xr:uid="{E6ECC9DB-DC28-467B-B7F1-CDE8E720F8D3}"/>
    <cellStyle name="Currency 4 4 5 2 2 2 3" xfId="30861" xr:uid="{8A1F00C7-AFCE-4683-94ED-A78DC54E07F5}"/>
    <cellStyle name="Currency 4 4 5 2 2 3" xfId="28364" xr:uid="{3E644810-A0E0-49AF-9121-6E0D617C9F9B}"/>
    <cellStyle name="Currency 4 4 5 2 2 4" xfId="18382" xr:uid="{48D5BEDA-330E-4BCC-B7F7-1F58EFDF3FAB}"/>
    <cellStyle name="Currency 4 4 5 2 3" xfId="10835" xr:uid="{8385A4A4-CAE6-464C-8D6D-09A97C966A1D}"/>
    <cellStyle name="Currency 4 4 5 2 3 2" xfId="21215" xr:uid="{2D781732-0962-4F77-983C-1CDD76FA6BB9}"/>
    <cellStyle name="Currency 4 4 5 2 4" xfId="25205" xr:uid="{4BA2EDA2-92EE-40D3-8CD0-5982FF26CE6C}"/>
    <cellStyle name="Currency 4 4 5 2 5" xfId="15549" xr:uid="{6D334121-FCC4-4222-AF17-882F68418372}"/>
    <cellStyle name="Currency 4 4 5 3" xfId="3561" xr:uid="{00000000-0005-0000-0000-00009A030000}"/>
    <cellStyle name="Currency 4 4 5 4" xfId="5694" xr:uid="{185473FA-8510-43D0-BF8C-2C41F88C632B}"/>
    <cellStyle name="Currency 4 4 5 4 2" xfId="29850" xr:uid="{53673545-98E4-4DAE-8363-8BC88BF5941E}"/>
    <cellStyle name="Currency 4 4 5 5" xfId="22973" xr:uid="{C3CB335E-5D79-45F9-AA49-2C67A54AC125}"/>
    <cellStyle name="Currency 4 4 5 6" xfId="13384" xr:uid="{E33E0FD3-8ACA-447C-B22D-09D67C881F8C}"/>
    <cellStyle name="Currency 4 4 6" xfId="1912" xr:uid="{00000000-0005-0000-0000-00009B030000}"/>
    <cellStyle name="Currency 4 4 6 2" xfId="2451" xr:uid="{00000000-0005-0000-0000-0000B0020000}"/>
    <cellStyle name="Currency 4 4 6 2 2" xfId="7576" xr:uid="{8C7E1CB5-24B2-4C06-B574-3CCF8E4D4FAF}"/>
    <cellStyle name="Currency 4 4 6 2 2 2" xfId="17956" xr:uid="{6A488EF1-40BC-410B-A9DD-E4DD703411B9}"/>
    <cellStyle name="Currency 4 4 6 2 3" xfId="10409" xr:uid="{2C895468-9D6B-45DE-9B6E-63DB10E7354C}"/>
    <cellStyle name="Currency 4 4 6 2 3 2" xfId="20789" xr:uid="{04CD12E1-4B0D-4532-9DDB-BE35C5B28512}"/>
    <cellStyle name="Currency 4 4 6 2 4" xfId="27417" xr:uid="{D1E79319-E313-4D2C-9D9E-08BDF44ED27D}"/>
    <cellStyle name="Currency 4 4 6 2 5" xfId="26269" xr:uid="{1AE1D3C1-28D4-4D37-86B0-3452ECD9B6AA}"/>
    <cellStyle name="Currency 4 4 6 2 6" xfId="15123" xr:uid="{C20D0B3A-B542-4016-967C-E7A10907E596}"/>
    <cellStyle name="Currency 4 4 6 3" xfId="3593" xr:uid="{00000000-0005-0000-0000-00009B030000}"/>
    <cellStyle name="Currency 4 4 6 4" xfId="5695" xr:uid="{2C0CC53D-152E-44E5-AED9-191AC3BD2EEB}"/>
    <cellStyle name="Currency 4 4 6 4 2" xfId="29861" xr:uid="{349FD21A-67D9-40B3-8E31-F2333293EFC2}"/>
    <cellStyle name="Currency 4 4 6 5" xfId="25351" xr:uid="{8FD0F9DD-B8DA-44AE-86E7-B484DD0FA26C}"/>
    <cellStyle name="Currency 4 4 6 6" xfId="12839" xr:uid="{AD2A135C-E052-4007-9C51-0C179C5E7320}"/>
    <cellStyle name="Currency 4 4 7" xfId="1898" xr:uid="{00000000-0005-0000-0000-00009C030000}"/>
    <cellStyle name="Currency 4 4 7 2" xfId="2205" xr:uid="{00000000-0005-0000-0000-0000A4020000}"/>
    <cellStyle name="Currency 4 4 7 2 2" xfId="7332" xr:uid="{62EF3B49-9C3F-4DB0-8470-22FF7A1A9DB0}"/>
    <cellStyle name="Currency 4 4 7 2 2 2" xfId="17712" xr:uid="{8274FE90-26AD-47D5-B025-2D6ABB711C56}"/>
    <cellStyle name="Currency 4 4 7 2 3" xfId="10165" xr:uid="{080EBF57-24D2-4B02-8980-3C5D00F55BB7}"/>
    <cellStyle name="Currency 4 4 7 2 3 2" xfId="20545" xr:uid="{0372398F-1696-4722-9F52-2C7BF476EABC}"/>
    <cellStyle name="Currency 4 4 7 2 4" xfId="27695" xr:uid="{260BCC71-9ADF-41F7-9F7F-8DDE0748C47A}"/>
    <cellStyle name="Currency 4 4 7 2 5" xfId="26533" xr:uid="{CD9566BE-C759-4FE2-8BFE-14AD9676A026}"/>
    <cellStyle name="Currency 4 4 7 2 6" xfId="14879" xr:uid="{70853DB0-5ABB-4046-A264-8072BB939B1E}"/>
    <cellStyle name="Currency 4 4 7 3" xfId="3551" xr:uid="{00000000-0005-0000-0000-00009C030000}"/>
    <cellStyle name="Currency 4 4 7 4" xfId="23997" xr:uid="{3627A03A-4482-445B-90C3-B16E8F917721}"/>
    <cellStyle name="Currency 4 4 8" xfId="3885" xr:uid="{8F492FEB-DD26-4D92-B639-56080C96DAD0}"/>
    <cellStyle name="Currency 4 4 8 2" xfId="8717" xr:uid="{DAD2360B-067F-4D07-A858-480B67333D2B}"/>
    <cellStyle name="Currency 4 4 8 2 2" xfId="19097" xr:uid="{C7898B95-E082-451B-B2EC-50C3150B9BA5}"/>
    <cellStyle name="Currency 4 4 8 3" xfId="11550" xr:uid="{5D0C0B8C-1995-4240-B3F9-561A2014C994}"/>
    <cellStyle name="Currency 4 4 8 3 2" xfId="21930" xr:uid="{EE1C25E8-167D-4C7C-B018-6839FBE69164}"/>
    <cellStyle name="Currency 4 4 8 4" xfId="26450" xr:uid="{82287D56-B02D-4F68-B9A6-64009DFF896E}"/>
    <cellStyle name="Currency 4 4 8 5" xfId="28738" xr:uid="{F831583E-FE89-4A56-8161-10A6D8C24FD3}"/>
    <cellStyle name="Currency 4 4 8 6" xfId="16264" xr:uid="{30ACCFBB-EB86-4E6F-8833-07FD0F8ACD5B}"/>
    <cellStyle name="Currency 4 4 9" xfId="4951" xr:uid="{CDC5A57C-39E3-4F44-8543-1AF3DDF56F13}"/>
    <cellStyle name="Currency 4 4 9 2" xfId="26487" xr:uid="{B2BCE877-50E5-41D9-B7EB-2E62128CFE4F}"/>
    <cellStyle name="Currency 4 4 9 3" xfId="28380" xr:uid="{B9AD3C45-5151-45F4-9C1E-9B37CB2D1074}"/>
    <cellStyle name="Currency 4 4 9 4" xfId="14246" xr:uid="{8E423349-87EE-42D6-AED9-9F1C41279132}"/>
    <cellStyle name="Currency 4 5" xfId="573" xr:uid="{00000000-0005-0000-0000-00009D030000}"/>
    <cellStyle name="Currency 4 5 10" xfId="6704" xr:uid="{96D8005A-5D5D-4F79-BBBF-7E5CB28B4B4F}"/>
    <cellStyle name="Currency 4 5 10 2" xfId="17084" xr:uid="{81F424D6-4264-4E30-BEB1-0817CD168E12}"/>
    <cellStyle name="Currency 4 5 11" xfId="9537" xr:uid="{3F991DD6-16B1-4177-928C-BAF66C83B4F2}"/>
    <cellStyle name="Currency 4 5 11 2" xfId="19917" xr:uid="{A7B41CDA-B897-4123-A170-00939D138172}"/>
    <cellStyle name="Currency 4 5 12" xfId="23113" xr:uid="{E500777F-BE40-4CCF-A9CD-C9040D92E351}"/>
    <cellStyle name="Currency 4 5 13" xfId="12529" xr:uid="{1D7A1179-43DD-4B78-BF9D-06270AD4081B}"/>
    <cellStyle name="Currency 4 5 2" xfId="574" xr:uid="{00000000-0005-0000-0000-00009E030000}"/>
    <cellStyle name="Currency 4 5 2 10" xfId="24626" xr:uid="{936AD911-D8C4-43A4-826C-E4A0CEE467A1}"/>
    <cellStyle name="Currency 4 5 2 11" xfId="12687" xr:uid="{3BE07639-9D6E-46C0-8899-0CFA846D1B4E}"/>
    <cellStyle name="Currency 4 5 2 2" xfId="575" xr:uid="{00000000-0005-0000-0000-00009F030000}"/>
    <cellStyle name="Currency 4 5 2 2 2" xfId="1916" xr:uid="{00000000-0005-0000-0000-0000A0030000}"/>
    <cellStyle name="Currency 4 5 2 2 2 2" xfId="25699" xr:uid="{4DA1172A-F308-41C1-8CF1-3AFF6E52A4D0}"/>
    <cellStyle name="Currency 4 5 2 2 2 2 2" xfId="29815" xr:uid="{54AEC88B-7641-4033-8E17-654214DB9AAB}"/>
    <cellStyle name="Currency 4 5 2 2 2 2 2 2" xfId="30863" xr:uid="{7381C2EE-3CA1-46AD-B6E8-34B86631DCC2}"/>
    <cellStyle name="Currency 4 5 2 2 2 3" xfId="25550" xr:uid="{28F1393C-3413-4434-818B-1BEA030FD1C4}"/>
    <cellStyle name="Currency 4 5 2 2 2 4" xfId="30066" xr:uid="{0B5255B4-B7A2-4EE0-89D0-EB53C585A7A2}"/>
    <cellStyle name="Currency 4 5 2 2 3" xfId="1917" xr:uid="{00000000-0005-0000-0000-0000A1030000}"/>
    <cellStyle name="Currency 4 5 2 2 3 2" xfId="28279" xr:uid="{50B40CE8-5CD9-417B-992B-76488973FBEE}"/>
    <cellStyle name="Currency 4 5 2 2 3 3" xfId="27749" xr:uid="{8C12FD05-3DB0-4D9C-B5B8-A93CD492E9A2}"/>
    <cellStyle name="Currency 4 5 2 2 4" xfId="1915" xr:uid="{00000000-0005-0000-0000-0000A2030000}"/>
    <cellStyle name="Currency 4 5 2 2 5" xfId="4958" xr:uid="{06F5503A-5501-48DF-AE79-3F46F4403A51}"/>
    <cellStyle name="Currency 4 5 2 2 5 2" xfId="28398" xr:uid="{6F744894-9EB6-451C-8783-B144588227CA}"/>
    <cellStyle name="Currency 4 5 2 2 5 2 2" xfId="31206" xr:uid="{D619C706-0816-463B-AC58-19A8A3D29D53}"/>
    <cellStyle name="Currency 4 5 2 2 5 2 3" xfId="30862" xr:uid="{B367D80E-8DFE-4B0E-B803-BCECA40AD35A}"/>
    <cellStyle name="Currency 4 5 2 2 5 3" xfId="26344" xr:uid="{DD6A66B5-B137-407F-9C2F-621CDB3F8CC8}"/>
    <cellStyle name="Currency 4 5 2 2 5 4" xfId="14253" xr:uid="{D83F280C-9B11-4050-AC8A-E67693348519}"/>
    <cellStyle name="Currency 4 5 2 2 6" xfId="6706" xr:uid="{EE93D6B9-B3EB-4524-A2EE-0312B0817817}"/>
    <cellStyle name="Currency 4 5 2 2 6 2" xfId="17086" xr:uid="{53293CAC-3243-4905-A96F-0BE3DAB1F405}"/>
    <cellStyle name="Currency 4 5 2 2 7" xfId="9539" xr:uid="{EBBCB11B-E385-46E9-9E80-D9F72677C98A}"/>
    <cellStyle name="Currency 4 5 2 2 7 2" xfId="19919" xr:uid="{F9E1AEC7-09F0-49FB-96CF-0604B4EEA2D1}"/>
    <cellStyle name="Currency 4 5 2 2 8" xfId="24941" xr:uid="{3AB8780B-A800-4DD5-8250-85632D3B4D59}"/>
    <cellStyle name="Currency 4 5 2 2 9" xfId="13622" xr:uid="{A648DF40-1D57-43EF-902C-77D60F3FB356}"/>
    <cellStyle name="Currency 4 5 2 3" xfId="1918" xr:uid="{00000000-0005-0000-0000-0000A3030000}"/>
    <cellStyle name="Currency 4 5 2 3 2" xfId="2697" xr:uid="{00000000-0005-0000-0000-0000B4020000}"/>
    <cellStyle name="Currency 4 5 2 3 2 2" xfId="7821" xr:uid="{67C18852-F72D-450B-B688-FF3BB6681BEB}"/>
    <cellStyle name="Currency 4 5 2 3 2 2 2" xfId="18201" xr:uid="{6B9144A4-11AF-4880-AF7A-EFF01DABC516}"/>
    <cellStyle name="Currency 4 5 2 3 2 3" xfId="10654" xr:uid="{DACA02BB-B318-4FFD-A752-9E48C2216722}"/>
    <cellStyle name="Currency 4 5 2 3 2 3 2" xfId="21034" xr:uid="{E723C75D-F9F7-4F0C-B47B-9E2213D69722}"/>
    <cellStyle name="Currency 4 5 2 3 2 4" xfId="15368" xr:uid="{B860F650-DF92-412F-A990-63AF6856B0E9}"/>
    <cellStyle name="Currency 4 5 2 3 2 5" xfId="30454" xr:uid="{355E64D1-2E56-48F9-84A3-D2E0274B7114}"/>
    <cellStyle name="Currency 4 5 2 3 3" xfId="3676" xr:uid="{00000000-0005-0000-0000-0000A3030000}"/>
    <cellStyle name="Currency 4 5 2 3 4" xfId="5696" xr:uid="{0CD193E0-BEC1-4BF2-9788-987F9986CB96}"/>
    <cellStyle name="Currency 4 5 2 3 4 2" xfId="29760" xr:uid="{99F86FCC-1A9F-4D57-BA3E-48351CE66BC9}"/>
    <cellStyle name="Currency 4 5 2 3 5" xfId="25188" xr:uid="{125BE751-1BD6-47F7-842E-CEBBAC01888C}"/>
    <cellStyle name="Currency 4 5 2 3 6" xfId="13113" xr:uid="{21994009-8AC5-412E-B726-0E1FDA509878}"/>
    <cellStyle name="Currency 4 5 2 4" xfId="1919" xr:uid="{00000000-0005-0000-0000-0000A4030000}"/>
    <cellStyle name="Currency 4 5 2 4 2" xfId="4632" xr:uid="{BA18F28B-B30E-475A-A9D3-122AB6CEE39E}"/>
    <cellStyle name="Currency 4 5 2 4 2 2" xfId="9399" xr:uid="{9A68ECEB-8860-4DAC-A876-F0FFE7E1EBBD}"/>
    <cellStyle name="Currency 4 5 2 4 2 2 2" xfId="19779" xr:uid="{3A8E03A7-588B-4FE6-96FE-51678034FA98}"/>
    <cellStyle name="Currency 4 5 2 4 2 2 3" xfId="31108" xr:uid="{49C92F80-9083-4A60-A898-B9E99DF67213}"/>
    <cellStyle name="Currency 4 5 2 4 2 2 4" xfId="30864" xr:uid="{6CEECFC6-3451-4ABE-A9DF-E8C6F4B15275}"/>
    <cellStyle name="Currency 4 5 2 4 2 3" xfId="12232" xr:uid="{8EC2CF1B-DDA4-40E6-82CF-831E173360E4}"/>
    <cellStyle name="Currency 4 5 2 4 2 3 2" xfId="22612" xr:uid="{6B75FAE7-0EB2-4AF6-90E3-7863B23C4EC5}"/>
    <cellStyle name="Currency 4 5 2 4 2 4" xfId="27724" xr:uid="{21ADC332-137F-4210-8E5E-06BFA4605AD4}"/>
    <cellStyle name="Currency 4 5 2 4 2 5" xfId="28415" xr:uid="{4D589DCE-7D71-4DC6-8C8F-0F643AD2B7CC}"/>
    <cellStyle name="Currency 4 5 2 4 2 6" xfId="16946" xr:uid="{735BD329-52F2-4E9F-8861-1305BAC1A1BF}"/>
    <cellStyle name="Currency 4 5 2 4 3" xfId="22666" xr:uid="{B1B04259-86DC-4B25-824F-1D24D88090AB}"/>
    <cellStyle name="Currency 4 5 2 4 3 2" xfId="29917" xr:uid="{5BBE9C94-0D99-4B58-8FC7-D89D9325D11D}"/>
    <cellStyle name="Currency 4 5 2 4 4" xfId="30028" xr:uid="{9967B865-BEDC-4A63-801B-5525C2EDC36C}"/>
    <cellStyle name="Currency 4 5 2 5" xfId="1914" xr:uid="{00000000-0005-0000-0000-0000A5030000}"/>
    <cellStyle name="Currency 4 5 2 5 2" xfId="24047" xr:uid="{0D05523D-B528-4033-A555-6E964F1AABAC}"/>
    <cellStyle name="Currency 4 5 2 5 3" xfId="25822" xr:uid="{F99162FC-7F1B-4FCA-89F8-447E787AAD95}"/>
    <cellStyle name="Currency 4 5 2 6" xfId="4141" xr:uid="{50D9385E-5919-4685-9204-577765CC4A3B}"/>
    <cellStyle name="Currency 4 5 2 6 2" xfId="8913" xr:uid="{AEBA6F39-5836-428B-9617-79274402EF9A}"/>
    <cellStyle name="Currency 4 5 2 6 2 2" xfId="19293" xr:uid="{2F0A757F-31C8-4EED-B23D-7F988BF96807}"/>
    <cellStyle name="Currency 4 5 2 6 3" xfId="11746" xr:uid="{E263A163-386C-412B-BA71-3CDC89A52DAA}"/>
    <cellStyle name="Currency 4 5 2 6 3 2" xfId="22126" xr:uid="{528AAB7A-FF20-4760-844E-90D0F881E7A4}"/>
    <cellStyle name="Currency 4 5 2 6 4" xfId="27903" xr:uid="{5DC743F1-2CEC-4105-92A1-374C9B082498}"/>
    <cellStyle name="Currency 4 5 2 6 5" xfId="27781" xr:uid="{6B6A6791-AA8B-4932-B61E-E7194F5E38FA}"/>
    <cellStyle name="Currency 4 5 2 6 6" xfId="16460" xr:uid="{EB6EFB00-28D2-4BD3-ADF9-75B56417D836}"/>
    <cellStyle name="Currency 4 5 2 7" xfId="4957" xr:uid="{FF155009-9AE8-472A-9786-1C5CC368329D}"/>
    <cellStyle name="Currency 4 5 2 7 2" xfId="27018" xr:uid="{1795F53F-CF1C-4045-9A4C-F0F3A2201498}"/>
    <cellStyle name="Currency 4 5 2 7 3" xfId="26116" xr:uid="{F40AD9EC-DE66-45CF-B0E2-400E0AE4591C}"/>
    <cellStyle name="Currency 4 5 2 7 4" xfId="14252" xr:uid="{50F566A2-5536-4CA9-B693-1925A58069AE}"/>
    <cellStyle name="Currency 4 5 2 8" xfId="6705" xr:uid="{1EDC8D52-5429-4EA0-BC30-B850169953D7}"/>
    <cellStyle name="Currency 4 5 2 8 2" xfId="17085" xr:uid="{18CDBB35-502C-46D6-A711-7757F3F93718}"/>
    <cellStyle name="Currency 4 5 2 9" xfId="9538" xr:uid="{2E013ABA-A669-4820-9CC5-6735C91F7EA0}"/>
    <cellStyle name="Currency 4 5 2 9 2" xfId="19918" xr:uid="{5FEF1FDC-1A94-4A05-910B-3E5D62136936}"/>
    <cellStyle name="Currency 4 5 3" xfId="576" xr:uid="{00000000-0005-0000-0000-0000A6030000}"/>
    <cellStyle name="Currency 4 5 3 10" xfId="13623" xr:uid="{334D3E92-60E7-42E3-8CC0-E74FC9A43C56}"/>
    <cellStyle name="Currency 4 5 3 2" xfId="1921" xr:uid="{00000000-0005-0000-0000-0000A7030000}"/>
    <cellStyle name="Currency 4 5 3 2 2" xfId="23944" xr:uid="{AAF0F971-3028-4122-875F-31812B9A5C10}"/>
    <cellStyle name="Currency 4 5 3 2 2 2" xfId="29818" xr:uid="{4B3D4FBF-846C-4EAB-8330-290E50CB5918}"/>
    <cellStyle name="Currency 4 5 3 2 2 2 2" xfId="30866" xr:uid="{56E3ECBD-CC6C-4809-A0CF-27A26DF84B37}"/>
    <cellStyle name="Currency 4 5 3 2 3" xfId="25620" xr:uid="{CE950C91-DA13-4A1B-A20A-059D6EE2D92A}"/>
    <cellStyle name="Currency 4 5 3 2 3 2" xfId="26037" xr:uid="{BE3BCC2F-6352-4B40-AC21-B009231F1344}"/>
    <cellStyle name="Currency 4 5 3 2 4" xfId="30067" xr:uid="{B604ADA6-9D95-4C24-AA2C-55BB6B9DA913}"/>
    <cellStyle name="Currency 4 5 3 3" xfId="1922" xr:uid="{00000000-0005-0000-0000-0000A8030000}"/>
    <cellStyle name="Currency 4 5 3 4" xfId="1920" xr:uid="{00000000-0005-0000-0000-0000A9030000}"/>
    <cellStyle name="Currency 4 5 3 4 2" xfId="22936" xr:uid="{71B5603C-6766-4D0C-B1CC-BB0C74847168}"/>
    <cellStyle name="Currency 4 5 3 4 3" xfId="23189" xr:uid="{1205E03B-BC6A-4DE9-88A4-2BEF1DEAC256}"/>
    <cellStyle name="Currency 4 5 3 5" xfId="4432" xr:uid="{3AA8AD3D-7C60-4403-BB09-DDF91B3CAE59}"/>
    <cellStyle name="Currency 4 5 3 5 2" xfId="9204" xr:uid="{A3A5C4BF-1097-4467-8467-E6868B8BA4F4}"/>
    <cellStyle name="Currency 4 5 3 5 2 2" xfId="19584" xr:uid="{49F42FB0-91CB-458C-A7D4-235AF0A55179}"/>
    <cellStyle name="Currency 4 5 3 5 2 3" xfId="31098" xr:uid="{33326015-762D-4E88-83D4-A64BE6A0CC24}"/>
    <cellStyle name="Currency 4 5 3 5 2 4" xfId="30865" xr:uid="{F643D74F-7AFF-4B03-A864-927FA527D96F}"/>
    <cellStyle name="Currency 4 5 3 5 3" xfId="12037" xr:uid="{E00CD68C-A290-4DB5-A1CF-3644D0747AC5}"/>
    <cellStyle name="Currency 4 5 3 5 3 2" xfId="22417" xr:uid="{E84E2549-6431-44F9-B607-FBBBD1DC9327}"/>
    <cellStyle name="Currency 4 5 3 5 4" xfId="28382" xr:uid="{0F213479-C7BF-460B-921C-9BF2F16D4990}"/>
    <cellStyle name="Currency 4 5 3 5 5" xfId="28282" xr:uid="{22548A9C-4DD8-41F0-A41C-723D58FD4503}"/>
    <cellStyle name="Currency 4 5 3 5 6" xfId="16751" xr:uid="{52FEF294-8412-4EB3-8765-5D8BDE2BE71D}"/>
    <cellStyle name="Currency 4 5 3 6" xfId="4959" xr:uid="{761BB72E-4A93-4F6D-952A-D789235B3BEF}"/>
    <cellStyle name="Currency 4 5 3 6 2" xfId="25857" xr:uid="{CC96E5FE-101D-49B5-AFF2-F0D67BAF3B1D}"/>
    <cellStyle name="Currency 4 5 3 6 3" xfId="25958" xr:uid="{2BE1B934-0731-458E-BBB0-C55DFA45F7BC}"/>
    <cellStyle name="Currency 4 5 3 6 4" xfId="14254" xr:uid="{8405B132-7A1C-4C01-9D7B-5EB24C9806D1}"/>
    <cellStyle name="Currency 4 5 3 7" xfId="6707" xr:uid="{E097C61D-B8A4-4BA3-A749-1FB076D1944C}"/>
    <cellStyle name="Currency 4 5 3 7 2" xfId="17087" xr:uid="{A011E640-EF48-4A1F-8560-DE3E220E899D}"/>
    <cellStyle name="Currency 4 5 3 8" xfId="9540" xr:uid="{AC37EC65-F8CF-42B4-8DC6-FADD287AB63E}"/>
    <cellStyle name="Currency 4 5 3 8 2" xfId="19920" xr:uid="{C869296A-CF30-471C-9C5F-F51BBB60F5C0}"/>
    <cellStyle name="Currency 4 5 3 9" xfId="23968" xr:uid="{F443B76C-96A1-45EC-9AFC-26C101FCEB45}"/>
    <cellStyle name="Currency 4 5 4" xfId="577" xr:uid="{00000000-0005-0000-0000-0000AA030000}"/>
    <cellStyle name="Currency 4 5 4 2" xfId="1924" xr:uid="{00000000-0005-0000-0000-0000AB030000}"/>
    <cellStyle name="Currency 4 5 4 2 2" xfId="24663" xr:uid="{263B1B22-114C-495E-9350-2ABE6490124D}"/>
    <cellStyle name="Currency 4 5 4 2 2 2" xfId="29802" xr:uid="{C804928D-1D33-4538-9314-49B044D66F42}"/>
    <cellStyle name="Currency 4 5 4 2 2 2 2" xfId="30868" xr:uid="{B0C9A63D-7494-4D52-8251-421A392B421C}"/>
    <cellStyle name="Currency 4 5 4 2 3" xfId="24067" xr:uid="{0D856946-7117-49EA-AC01-0064A38C42CE}"/>
    <cellStyle name="Currency 4 5 4 2 4" xfId="30044" xr:uid="{EEFDFB76-2D08-40FB-A6B7-3476F3E82C64}"/>
    <cellStyle name="Currency 4 5 4 3" xfId="1925" xr:uid="{00000000-0005-0000-0000-0000AC030000}"/>
    <cellStyle name="Currency 4 5 4 4" xfId="1923" xr:uid="{00000000-0005-0000-0000-0000AD030000}"/>
    <cellStyle name="Currency 4 5 4 5" xfId="4960" xr:uid="{87419F56-CBBC-4EC5-A5FA-A3AF979B0915}"/>
    <cellStyle name="Currency 4 5 4 5 2" xfId="14255" xr:uid="{8C5EB694-52CC-490F-B3E9-4913D21D4D43}"/>
    <cellStyle name="Currency 4 5 4 5 2 2" xfId="31119" xr:uid="{599ACB9C-A937-47CA-9D0F-C4AB326FB162}"/>
    <cellStyle name="Currency 4 5 4 5 2 3" xfId="30867" xr:uid="{E8603F16-F09A-4E09-9D28-44B44FEF8439}"/>
    <cellStyle name="Currency 4 5 4 6" xfId="6708" xr:uid="{1798A0C3-0F0E-4A89-8589-844DF65E9F42}"/>
    <cellStyle name="Currency 4 5 4 6 2" xfId="17088" xr:uid="{D3FD206B-DAD5-4DAA-A970-AB8DDC53341A}"/>
    <cellStyle name="Currency 4 5 4 7" xfId="9541" xr:uid="{34AC5E68-4DFB-4911-BF94-7C4459F2FB46}"/>
    <cellStyle name="Currency 4 5 4 7 2" xfId="19921" xr:uid="{1F244D45-9C5C-42D4-8B24-CE2D3F89822F}"/>
    <cellStyle name="Currency 4 5 4 8" xfId="22685" xr:uid="{4C3C79CF-25CE-4C16-9BB0-1769F28B1B20}"/>
    <cellStyle name="Currency 4 5 4 9" xfId="13385" xr:uid="{E635F5DB-2E3E-441B-8400-72BF51338561}"/>
    <cellStyle name="Currency 4 5 5" xfId="1926" xr:uid="{00000000-0005-0000-0000-0000AE030000}"/>
    <cellStyle name="Currency 4 5 5 2" xfId="2511" xr:uid="{00000000-0005-0000-0000-0000B7020000}"/>
    <cellStyle name="Currency 4 5 5 2 2" xfId="7636" xr:uid="{4D22E8A7-EB57-45C4-8DF7-78D97C020D56}"/>
    <cellStyle name="Currency 4 5 5 2 2 2" xfId="18016" xr:uid="{BA4C1423-C482-4431-9131-04E1CC4EBD81}"/>
    <cellStyle name="Currency 4 5 5 2 3" xfId="10469" xr:uid="{01F0FA39-D08C-48DA-938C-69F3BAC55A8E}"/>
    <cellStyle name="Currency 4 5 5 2 3 2" xfId="20849" xr:uid="{A02A1E62-6C59-45F9-97D0-856E7E73EC12}"/>
    <cellStyle name="Currency 4 5 5 2 4" xfId="15183" xr:uid="{96FC25C0-6B7E-46EA-8430-CD9F99FE003C}"/>
    <cellStyle name="Currency 4 5 5 2 5" xfId="30455" xr:uid="{D1D92241-B440-4161-9AD3-507B6B28F8E2}"/>
    <cellStyle name="Currency 4 5 5 3" xfId="3687" xr:uid="{00000000-0005-0000-0000-0000AE030000}"/>
    <cellStyle name="Currency 4 5 5 4" xfId="5697" xr:uid="{87D1524C-BFE7-422B-B989-9D522BADBCA1}"/>
    <cellStyle name="Currency 4 5 5 4 2" xfId="29851" xr:uid="{866D774B-6445-4880-8BA7-0099CB8DF3AA}"/>
    <cellStyle name="Currency 4 5 5 5" xfId="22725" xr:uid="{EF4411FA-DFA8-451D-B7E7-839389F36923}"/>
    <cellStyle name="Currency 4 5 5 6" xfId="12899" xr:uid="{C5E1F394-9FDA-44B8-BAB0-E2548220D597}"/>
    <cellStyle name="Currency 4 5 6" xfId="1927" xr:uid="{00000000-0005-0000-0000-0000AF030000}"/>
    <cellStyle name="Currency 4 5 6 2" xfId="2297" xr:uid="{00000000-0005-0000-0000-0000B1020000}"/>
    <cellStyle name="Currency 4 5 6 2 2" xfId="7424" xr:uid="{27282295-7FE3-42E8-957D-24B26439D840}"/>
    <cellStyle name="Currency 4 5 6 2 2 2" xfId="17804" xr:uid="{8C24B4EF-0358-4F54-A912-98B5E3379049}"/>
    <cellStyle name="Currency 4 5 6 2 3" xfId="10257" xr:uid="{FDFC2E07-E644-4F02-BCB8-66A9F1B8790E}"/>
    <cellStyle name="Currency 4 5 6 2 3 2" xfId="20637" xr:uid="{1A61F4DB-4348-4174-B239-F5DF689F2EE0}"/>
    <cellStyle name="Currency 4 5 6 2 4" xfId="27456" xr:uid="{B9F256C9-BCCC-4534-8886-D9B3C7D21615}"/>
    <cellStyle name="Currency 4 5 6 2 5" xfId="28511" xr:uid="{73746A97-BD3D-47E7-A938-B4DCC51B3BDF}"/>
    <cellStyle name="Currency 4 5 6 2 6" xfId="14971" xr:uid="{CAE99062-2993-4F26-AC84-E97E092E225E}"/>
    <cellStyle name="Currency 4 5 6 3" xfId="2050" xr:uid="{00000000-0005-0000-0000-0000AF030000}"/>
    <cellStyle name="Currency 4 5 6 4" xfId="24324" xr:uid="{E848D214-C233-4FDB-AA84-DF3F125B0AE0}"/>
    <cellStyle name="Currency 4 5 6 4 2" xfId="29873" xr:uid="{AB0F7101-5019-4E1F-BD3B-6E1E7DC5302C}"/>
    <cellStyle name="Currency 4 5 6 5" xfId="30003" xr:uid="{8A598608-F3B4-41BB-B471-9AEA4AC2105B}"/>
    <cellStyle name="Currency 4 5 7" xfId="1913" xr:uid="{00000000-0005-0000-0000-0000B0030000}"/>
    <cellStyle name="Currency 4 5 7 2" xfId="25775" xr:uid="{E7C99D6A-38BF-4E4B-8018-AFD0CBFA99FB}"/>
    <cellStyle name="Currency 4 5 7 3" xfId="24241" xr:uid="{76B8FB3E-46A1-4D15-A448-AE8DEDB8CB73}"/>
    <cellStyle name="Currency 4 5 8" xfId="3886" xr:uid="{BB75FD07-1C78-4151-9DF4-68E424D3C4F2}"/>
    <cellStyle name="Currency 4 5 8 2" xfId="8718" xr:uid="{DD397074-4919-4D6A-A38A-F372E30130F0}"/>
    <cellStyle name="Currency 4 5 8 2 2" xfId="19098" xr:uid="{DEB98FC7-18DE-4F8A-97A3-431584117BB8}"/>
    <cellStyle name="Currency 4 5 8 3" xfId="11551" xr:uid="{359770BD-143E-4F4F-AA98-5F7305CF618B}"/>
    <cellStyle name="Currency 4 5 8 3 2" xfId="21931" xr:uid="{E66B9320-DBDD-445D-8DE7-4A10CDECB151}"/>
    <cellStyle name="Currency 4 5 8 4" xfId="28027" xr:uid="{D526BE72-91DA-4754-AA1C-03DB8E0B0E8A}"/>
    <cellStyle name="Currency 4 5 8 5" xfId="27122" xr:uid="{497ECD56-B183-48DE-AA7E-44F24EB94C74}"/>
    <cellStyle name="Currency 4 5 8 6" xfId="16265" xr:uid="{F82953C5-58DF-4A68-B24B-5112198EFBCF}"/>
    <cellStyle name="Currency 4 5 9" xfId="4956" xr:uid="{2BF12BF6-A88D-4CD8-B463-BE6A723B4788}"/>
    <cellStyle name="Currency 4 5 9 2" xfId="28425" xr:uid="{CE4A9F61-2D6F-40AD-B611-F92BB82A6F93}"/>
    <cellStyle name="Currency 4 5 9 3" xfId="28542" xr:uid="{7D4837C6-7F11-49AB-8B5C-DA6D94A2B26B}"/>
    <cellStyle name="Currency 4 5 9 4" xfId="14251" xr:uid="{7B7D4E74-8C23-4621-9E92-669FBB089CC4}"/>
    <cellStyle name="Currency 4 6" xfId="578" xr:uid="{00000000-0005-0000-0000-0000B1030000}"/>
    <cellStyle name="Currency 4 6 10" xfId="6709" xr:uid="{B07F9FF6-3CB0-41E2-BE48-9F074A4EFF3F}"/>
    <cellStyle name="Currency 4 6 10 2" xfId="17089" xr:uid="{AE70F2C7-B997-463B-B121-3804A5096F80}"/>
    <cellStyle name="Currency 4 6 11" xfId="9542" xr:uid="{91979687-FDE0-42FF-AD58-6BBF9A4F60A5}"/>
    <cellStyle name="Currency 4 6 11 2" xfId="19922" xr:uid="{4896E6C4-B379-47ED-86FC-84F546494045}"/>
    <cellStyle name="Currency 4 6 12" xfId="24981" xr:uid="{7B097255-9119-4B78-A77F-24C10930B021}"/>
    <cellStyle name="Currency 4 6 13" xfId="12530" xr:uid="{B856397C-6609-41B2-9AE5-C15254210415}"/>
    <cellStyle name="Currency 4 6 2" xfId="579" xr:uid="{00000000-0005-0000-0000-0000B2030000}"/>
    <cellStyle name="Currency 4 6 2 10" xfId="23958" xr:uid="{1E0057A9-BBA2-4D46-B7EA-18EF09872F67}"/>
    <cellStyle name="Currency 4 6 2 11" xfId="12688" xr:uid="{6D82921E-0A4A-470C-944C-C94A67F7B50E}"/>
    <cellStyle name="Currency 4 6 2 2" xfId="580" xr:uid="{00000000-0005-0000-0000-0000B3030000}"/>
    <cellStyle name="Currency 4 6 2 2 2" xfId="1931" xr:uid="{00000000-0005-0000-0000-0000B4030000}"/>
    <cellStyle name="Currency 4 6 2 2 2 2" xfId="24066" xr:uid="{1A248772-3124-424D-BDF8-03CF48AD404B}"/>
    <cellStyle name="Currency 4 6 2 2 2 2 2" xfId="29801" xr:uid="{909C59C1-8B84-41E5-BC5D-A742D25F0966}"/>
    <cellStyle name="Currency 4 6 2 2 2 2 2 2" xfId="30870" xr:uid="{33A67EFD-F51B-4EDD-ACDC-7AA56856132E}"/>
    <cellStyle name="Currency 4 6 2 2 2 3" xfId="25071" xr:uid="{E0EA9661-5210-4CF1-B311-A122A5430DBF}"/>
    <cellStyle name="Currency 4 6 2 2 2 4" xfId="30068" xr:uid="{B544388C-494D-4615-984D-2FF79A0A057C}"/>
    <cellStyle name="Currency 4 6 2 2 3" xfId="1932" xr:uid="{00000000-0005-0000-0000-0000B5030000}"/>
    <cellStyle name="Currency 4 6 2 2 3 2" xfId="27019" xr:uid="{6D4BFB8F-F4E3-488F-AE7F-8B569DEE806B}"/>
    <cellStyle name="Currency 4 6 2 2 3 3" xfId="28381" xr:uid="{8E7070DA-EB58-4185-BD19-1566856F6854}"/>
    <cellStyle name="Currency 4 6 2 2 4" xfId="1930" xr:uid="{00000000-0005-0000-0000-0000B6030000}"/>
    <cellStyle name="Currency 4 6 2 2 5" xfId="4963" xr:uid="{2250466A-D110-4398-98F0-42A79CBF6180}"/>
    <cellStyle name="Currency 4 6 2 2 5 2" xfId="28537" xr:uid="{891F3589-F1CB-45CE-84A4-2A06312D3154}"/>
    <cellStyle name="Currency 4 6 2 2 5 2 2" xfId="31208" xr:uid="{0C5E9D99-D942-47ED-AA42-8E46FBC624DE}"/>
    <cellStyle name="Currency 4 6 2 2 5 2 3" xfId="30869" xr:uid="{AFFC98E0-9F11-4EDB-A318-463DF76AA7AC}"/>
    <cellStyle name="Currency 4 6 2 2 5 3" xfId="28572" xr:uid="{A706AA9B-20B4-41A2-8CB2-06ABDF2DCB6C}"/>
    <cellStyle name="Currency 4 6 2 2 5 4" xfId="14258" xr:uid="{D0255818-1554-4D74-96D0-52D65F034DCA}"/>
    <cellStyle name="Currency 4 6 2 2 6" xfId="6711" xr:uid="{45FD87FF-A2B1-4E29-9C9F-D546B2E334A5}"/>
    <cellStyle name="Currency 4 6 2 2 6 2" xfId="17091" xr:uid="{BA993446-4CF5-4070-9D3E-44C57E92FAF0}"/>
    <cellStyle name="Currency 4 6 2 2 7" xfId="9544" xr:uid="{1C96D7B5-F815-48C5-8BC9-BE47EAD44157}"/>
    <cellStyle name="Currency 4 6 2 2 7 2" xfId="19924" xr:uid="{4F90AFAC-EF2A-48EB-AE86-2E926B19D934}"/>
    <cellStyle name="Currency 4 6 2 2 8" xfId="23433" xr:uid="{BAE1E1BE-A151-440D-A3FD-1B74FF6E838B}"/>
    <cellStyle name="Currency 4 6 2 2 9" xfId="13624" xr:uid="{69D5B8D4-D772-40A6-A8B6-2592C5AE2DBC}"/>
    <cellStyle name="Currency 4 6 2 3" xfId="1933" xr:uid="{00000000-0005-0000-0000-0000B7030000}"/>
    <cellStyle name="Currency 4 6 2 3 2" xfId="2698" xr:uid="{00000000-0005-0000-0000-0000BB020000}"/>
    <cellStyle name="Currency 4 6 2 3 2 2" xfId="7822" xr:uid="{9141CB2B-C0D0-46F5-A473-8965105435F5}"/>
    <cellStyle name="Currency 4 6 2 3 2 2 2" xfId="18202" xr:uid="{58125A39-26CC-49B5-BB19-D1DF4CDA251E}"/>
    <cellStyle name="Currency 4 6 2 3 2 3" xfId="10655" xr:uid="{39219585-75A2-4539-B70E-18DB55ACB9D9}"/>
    <cellStyle name="Currency 4 6 2 3 2 3 2" xfId="21035" xr:uid="{3A80A820-F0DF-4A51-840B-F2D3EC169472}"/>
    <cellStyle name="Currency 4 6 2 3 2 4" xfId="15369" xr:uid="{03AA89C8-A028-4B49-8381-59A5B0E5E97C}"/>
    <cellStyle name="Currency 4 6 2 3 2 5" xfId="30456" xr:uid="{78266109-4A71-4784-91E5-B862DD85110C}"/>
    <cellStyle name="Currency 4 6 2 3 3" xfId="3636" xr:uid="{00000000-0005-0000-0000-0000B7030000}"/>
    <cellStyle name="Currency 4 6 2 3 4" xfId="5698" xr:uid="{B38A81BB-9A36-40AA-950D-281B6FFF8927}"/>
    <cellStyle name="Currency 4 6 2 3 4 2" xfId="29761" xr:uid="{67054A47-93D4-47AB-AD53-E56BF5421076}"/>
    <cellStyle name="Currency 4 6 2 3 5" xfId="22981" xr:uid="{B6E933DD-A71A-437B-AB0D-1555CA191641}"/>
    <cellStyle name="Currency 4 6 2 3 6" xfId="13114" xr:uid="{97F811E8-74C9-46E0-BE4A-E9879D19FAC3}"/>
    <cellStyle name="Currency 4 6 2 4" xfId="1934" xr:uid="{00000000-0005-0000-0000-0000B8030000}"/>
    <cellStyle name="Currency 4 6 2 4 2" xfId="3770" xr:uid="{711868DE-36E0-40D7-A79D-79449C7A383C}"/>
    <cellStyle name="Currency 4 6 2 4 2 2" xfId="8614" xr:uid="{F546AFF6-7058-4C82-90AC-4A81EC8083D9}"/>
    <cellStyle name="Currency 4 6 2 4 2 2 2" xfId="18994" xr:uid="{E88E79F6-1F23-4001-9309-BDEA1C2F6BF3}"/>
    <cellStyle name="Currency 4 6 2 4 2 2 3" xfId="31000" xr:uid="{50D06B9C-4AB5-43C5-B1A6-6C448FBE4A75}"/>
    <cellStyle name="Currency 4 6 2 4 2 2 4" xfId="30871" xr:uid="{04687B75-08B5-48CB-8CF3-ADAA48B62C27}"/>
    <cellStyle name="Currency 4 6 2 4 2 3" xfId="11447" xr:uid="{2DD8B225-19F8-4553-BC04-74AC6264B56E}"/>
    <cellStyle name="Currency 4 6 2 4 2 3 2" xfId="21827" xr:uid="{FC3F1D3B-7AA2-4711-B757-CB01029872EA}"/>
    <cellStyle name="Currency 4 6 2 4 2 4" xfId="28628" xr:uid="{D1889FEE-D5E8-4C56-976E-BB0BF757AFB4}"/>
    <cellStyle name="Currency 4 6 2 4 2 5" xfId="27300" xr:uid="{4CED908C-E0B3-49F6-AEE7-7441216FCEE4}"/>
    <cellStyle name="Currency 4 6 2 4 2 6" xfId="16161" xr:uid="{83C002B8-BD9C-4D22-8A9D-BA9F67B034FD}"/>
    <cellStyle name="Currency 4 6 2 4 3" xfId="25296" xr:uid="{F7CEB48C-B5A7-412F-9C5F-E2E4C2E67336}"/>
    <cellStyle name="Currency 4 6 2 4 3 2" xfId="29918" xr:uid="{5A87EBC1-D111-497B-B547-E9E6BC33C8DF}"/>
    <cellStyle name="Currency 4 6 2 4 4" xfId="30029" xr:uid="{8DDC0C0A-0576-413A-A87E-09C0201918F9}"/>
    <cellStyle name="Currency 4 6 2 5" xfId="1929" xr:uid="{00000000-0005-0000-0000-0000B9030000}"/>
    <cellStyle name="Currency 4 6 2 5 2" xfId="23050" xr:uid="{DEB66FCC-EAF6-49BE-BE1E-44208B92D060}"/>
    <cellStyle name="Currency 4 6 2 5 3" xfId="25805" xr:uid="{450EC3BB-E536-4A0F-ADBB-326E1FBE7306}"/>
    <cellStyle name="Currency 4 6 2 6" xfId="4142" xr:uid="{6809CE90-3BD2-4B14-B987-2478FE084EC5}"/>
    <cellStyle name="Currency 4 6 2 6 2" xfId="8914" xr:uid="{BF742BF3-4A54-4718-BBA4-B70ABFCB325F}"/>
    <cellStyle name="Currency 4 6 2 6 2 2" xfId="19294" xr:uid="{5AEACD83-2843-4E92-9040-B7E679159810}"/>
    <cellStyle name="Currency 4 6 2 6 3" xfId="11747" xr:uid="{A514B5F4-9004-4CED-84F6-59A48E97A795}"/>
    <cellStyle name="Currency 4 6 2 6 3 2" xfId="22127" xr:uid="{6ECBD18E-EA1B-4676-AF35-72C30BB44837}"/>
    <cellStyle name="Currency 4 6 2 6 4" xfId="26526" xr:uid="{AC3EA581-D422-4D75-92EF-30FFC4170AA4}"/>
    <cellStyle name="Currency 4 6 2 6 5" xfId="26882" xr:uid="{73973956-B136-4DDB-A0F9-8C9BC541783A}"/>
    <cellStyle name="Currency 4 6 2 6 6" xfId="16461" xr:uid="{2B2A8B2D-56B9-4B2F-ACC8-74592709D082}"/>
    <cellStyle name="Currency 4 6 2 7" xfId="4962" xr:uid="{DC1DDCAA-438F-4D69-A3BE-2C2B2BF09732}"/>
    <cellStyle name="Currency 4 6 2 7 2" xfId="27132" xr:uid="{6E317467-9D0D-42C3-9EA7-11486512D191}"/>
    <cellStyle name="Currency 4 6 2 7 3" xfId="26147" xr:uid="{D0347F24-C2A8-4668-BC74-81112063EE9F}"/>
    <cellStyle name="Currency 4 6 2 7 4" xfId="14257" xr:uid="{608F617D-8CC8-4305-BB38-54EA70AEDA53}"/>
    <cellStyle name="Currency 4 6 2 8" xfId="6710" xr:uid="{F62F604B-18CC-4DDC-B82F-9B55E4F25239}"/>
    <cellStyle name="Currency 4 6 2 8 2" xfId="17090" xr:uid="{C4A721BE-FE4D-496E-98CD-FD18782DD36D}"/>
    <cellStyle name="Currency 4 6 2 9" xfId="9543" xr:uid="{69CFD19C-2246-45B2-9FE6-6E2A756EAC3A}"/>
    <cellStyle name="Currency 4 6 2 9 2" xfId="19923" xr:uid="{DB01D7A8-7C61-4D43-9903-A09A922AE58A}"/>
    <cellStyle name="Currency 4 6 3" xfId="581" xr:uid="{00000000-0005-0000-0000-0000BA030000}"/>
    <cellStyle name="Currency 4 6 3 10" xfId="13625" xr:uid="{E2B005EC-0FC7-4563-9527-17FDC2EF4E14}"/>
    <cellStyle name="Currency 4 6 3 2" xfId="1936" xr:uid="{00000000-0005-0000-0000-0000BB030000}"/>
    <cellStyle name="Currency 4 6 3 2 2" xfId="24890" xr:uid="{C36765B5-20D3-4E36-850B-6ABAEC0FF880}"/>
    <cellStyle name="Currency 4 6 3 2 2 2" xfId="29793" xr:uid="{5BD17850-E81F-4D87-8CFA-6F1B58B55BE2}"/>
    <cellStyle name="Currency 4 6 3 2 2 2 2" xfId="30873" xr:uid="{4106EB6B-C055-4934-8903-1EC3CEE1C66A}"/>
    <cellStyle name="Currency 4 6 3 2 3" xfId="23227" xr:uid="{2C26A46C-6DAC-4B8D-A2CE-FB3895391873}"/>
    <cellStyle name="Currency 4 6 3 2 3 2" xfId="27864" xr:uid="{10E1699B-2241-47D5-9787-3D9730D666CE}"/>
    <cellStyle name="Currency 4 6 3 2 4" xfId="30069" xr:uid="{C6C642F4-8913-48F4-A9F0-7CC515AFA269}"/>
    <cellStyle name="Currency 4 6 3 3" xfId="1937" xr:uid="{00000000-0005-0000-0000-0000BC030000}"/>
    <cellStyle name="Currency 4 6 3 4" xfId="1935" xr:uid="{00000000-0005-0000-0000-0000BD030000}"/>
    <cellStyle name="Currency 4 6 3 4 2" xfId="27207" xr:uid="{76CF2D70-31C2-4FE1-8EE7-818EBE82C205}"/>
    <cellStyle name="Currency 4 6 3 4 3" xfId="28335" xr:uid="{32B145DB-C29E-4812-BF17-9D7B62B1F686}"/>
    <cellStyle name="Currency 4 6 3 5" xfId="4433" xr:uid="{8E2BD8CA-0D4D-4E62-BC0A-ED15E529F6CD}"/>
    <cellStyle name="Currency 4 6 3 5 2" xfId="9205" xr:uid="{0270927F-5680-4C53-B40F-53E15082B603}"/>
    <cellStyle name="Currency 4 6 3 5 2 2" xfId="19585" xr:uid="{0BB2AAF7-C416-498D-9B8B-9B560F3D4281}"/>
    <cellStyle name="Currency 4 6 3 5 2 3" xfId="31099" xr:uid="{61AF2E4D-FDA5-40C5-9E4A-57B74CB50473}"/>
    <cellStyle name="Currency 4 6 3 5 2 4" xfId="30872" xr:uid="{03009555-2AD8-4DBA-836C-59EF688A36D7}"/>
    <cellStyle name="Currency 4 6 3 5 3" xfId="12038" xr:uid="{AFFC388E-3DF7-4EFE-AAE8-CB07387570F2}"/>
    <cellStyle name="Currency 4 6 3 5 3 2" xfId="22418" xr:uid="{DE035A88-F17D-4998-A618-16A3E9A1EB7B}"/>
    <cellStyle name="Currency 4 6 3 5 4" xfId="28534" xr:uid="{6DF86680-28CD-4D06-9B04-0CF22F6BCB13}"/>
    <cellStyle name="Currency 4 6 3 5 5" xfId="27208" xr:uid="{6226D374-F607-49AC-91C2-FC30A724A561}"/>
    <cellStyle name="Currency 4 6 3 5 6" xfId="16752" xr:uid="{8022CEF5-0D2F-4278-A2EB-218C34FF6C4C}"/>
    <cellStyle name="Currency 4 6 3 6" xfId="4964" xr:uid="{4330E251-CD90-4B32-93FC-55EAA4CDFFD9}"/>
    <cellStyle name="Currency 4 6 3 6 2" xfId="28481" xr:uid="{215BA51B-A8B7-44C4-9585-F41E758D65E3}"/>
    <cellStyle name="Currency 4 6 3 6 3" xfId="28660" xr:uid="{9EB08D96-3FD3-47EA-B870-C504493DB19B}"/>
    <cellStyle name="Currency 4 6 3 6 4" xfId="14259" xr:uid="{60E90AF3-05F3-47F4-A189-98678D978807}"/>
    <cellStyle name="Currency 4 6 3 7" xfId="6712" xr:uid="{E7E018BF-333B-44B4-92CA-F7E2C56EB859}"/>
    <cellStyle name="Currency 4 6 3 7 2" xfId="17092" xr:uid="{D7F8E667-89B4-4688-B8FD-C186A76ABA1A}"/>
    <cellStyle name="Currency 4 6 3 8" xfId="9545" xr:uid="{5923932E-B7A2-4154-924A-867AD747AB75}"/>
    <cellStyle name="Currency 4 6 3 8 2" xfId="19925" xr:uid="{96D35695-3217-4658-B362-5229A795E688}"/>
    <cellStyle name="Currency 4 6 3 9" xfId="24329" xr:uid="{11F1C252-E24B-475A-A6CB-0594284AF6DE}"/>
    <cellStyle name="Currency 4 6 4" xfId="582" xr:uid="{00000000-0005-0000-0000-0000BE030000}"/>
    <cellStyle name="Currency 4 6 4 2" xfId="1939" xr:uid="{00000000-0005-0000-0000-0000BF030000}"/>
    <cellStyle name="Currency 4 6 4 2 2" xfId="24733" xr:uid="{F6B067B5-A3E8-44C1-A0BD-699CBD37ED89}"/>
    <cellStyle name="Currency 4 6 4 2 2 2" xfId="29805" xr:uid="{50A05FD2-552A-489D-921C-33EF4CB07C26}"/>
    <cellStyle name="Currency 4 6 4 2 2 2 2" xfId="30875" xr:uid="{20DD1A3A-4C66-426C-8AF0-5DD8ECADACD2}"/>
    <cellStyle name="Currency 4 6 4 2 3" xfId="22734" xr:uid="{49722CC7-D743-4F52-82C1-3F54B76E2373}"/>
    <cellStyle name="Currency 4 6 4 2 4" xfId="30045" xr:uid="{103C0001-4553-4204-B33E-FA357C6EA3AE}"/>
    <cellStyle name="Currency 4 6 4 3" xfId="1940" xr:uid="{00000000-0005-0000-0000-0000C0030000}"/>
    <cellStyle name="Currency 4 6 4 4" xfId="1938" xr:uid="{00000000-0005-0000-0000-0000C1030000}"/>
    <cellStyle name="Currency 4 6 4 5" xfId="4965" xr:uid="{E8104B68-60BF-44F6-A198-148619EA8402}"/>
    <cellStyle name="Currency 4 6 4 5 2" xfId="14260" xr:uid="{F993D79C-324D-4094-90E8-80912C5B10B5}"/>
    <cellStyle name="Currency 4 6 4 5 2 2" xfId="31120" xr:uid="{9BFE5A8D-C545-4F3A-8596-DCD99BE51191}"/>
    <cellStyle name="Currency 4 6 4 5 2 3" xfId="30874" xr:uid="{A064A3F5-5B54-4892-9309-AD84AB3D99CF}"/>
    <cellStyle name="Currency 4 6 4 6" xfId="6713" xr:uid="{B47C4504-D587-4D4B-A5E5-B5D92E7C2E97}"/>
    <cellStyle name="Currency 4 6 4 6 2" xfId="17093" xr:uid="{C233BEB7-DD31-4D3D-A7D9-62A75FCF85AD}"/>
    <cellStyle name="Currency 4 6 4 7" xfId="9546" xr:uid="{AB973561-B002-4343-AC5F-1462A0AC63B3}"/>
    <cellStyle name="Currency 4 6 4 7 2" xfId="19926" xr:uid="{F17DB19A-C246-4994-86EC-1CC8D02BB663}"/>
    <cellStyle name="Currency 4 6 4 8" xfId="24957" xr:uid="{F86C4079-2D3E-4067-BF88-768835AA9419}"/>
    <cellStyle name="Currency 4 6 4 9" xfId="13386" xr:uid="{FBE96D83-CC4B-4205-B350-C9D1F5359855}"/>
    <cellStyle name="Currency 4 6 5" xfId="1941" xr:uid="{00000000-0005-0000-0000-0000C2030000}"/>
    <cellStyle name="Currency 4 6 5 2" xfId="2574" xr:uid="{00000000-0005-0000-0000-0000BE020000}"/>
    <cellStyle name="Currency 4 6 5 2 2" xfId="7699" xr:uid="{F5D68F96-F0DA-4749-84B4-D6B389395435}"/>
    <cellStyle name="Currency 4 6 5 2 2 2" xfId="18079" xr:uid="{16F57B8C-289B-40FB-9E86-96BDD41AD2DE}"/>
    <cellStyle name="Currency 4 6 5 2 3" xfId="10532" xr:uid="{26C5C6E3-E275-4B47-AA68-731DCEF045DA}"/>
    <cellStyle name="Currency 4 6 5 2 3 2" xfId="20912" xr:uid="{343B79BB-FD30-4CBF-B8D2-4EADF47A6AD8}"/>
    <cellStyle name="Currency 4 6 5 2 4" xfId="15246" xr:uid="{60EFE88D-3491-47D8-A831-9D6B14B3372A}"/>
    <cellStyle name="Currency 4 6 5 2 5" xfId="30457" xr:uid="{E18A8C60-CC08-4E1E-A0CA-FB0ED894DFBA}"/>
    <cellStyle name="Currency 4 6 5 3" xfId="2085" xr:uid="{00000000-0005-0000-0000-0000C2030000}"/>
    <cellStyle name="Currency 4 6 5 4" xfId="5699" xr:uid="{7B617730-E9B4-416A-9358-07A6A410E9D6}"/>
    <cellStyle name="Currency 4 6 5 4 2" xfId="29852" xr:uid="{E0193312-E9E5-449A-AE34-3BA53CF5D6B0}"/>
    <cellStyle name="Currency 4 6 5 5" xfId="24700" xr:uid="{463D0040-66A8-4624-B6B9-13090BDD56A9}"/>
    <cellStyle name="Currency 4 6 5 6" xfId="12962" xr:uid="{BEAC7C64-E13E-4CCE-A360-392E2851F7F6}"/>
    <cellStyle name="Currency 4 6 6" xfId="1942" xr:uid="{00000000-0005-0000-0000-0000C3030000}"/>
    <cellStyle name="Currency 4 6 6 2" xfId="2298" xr:uid="{00000000-0005-0000-0000-0000B8020000}"/>
    <cellStyle name="Currency 4 6 6 2 2" xfId="7425" xr:uid="{3A032AAF-4944-4C9B-8E3F-725920A81EF8}"/>
    <cellStyle name="Currency 4 6 6 2 2 2" xfId="17805" xr:uid="{D7495DBE-760B-494D-B401-8FBC27B6F3E8}"/>
    <cellStyle name="Currency 4 6 6 2 3" xfId="10258" xr:uid="{4684E2E0-4CBE-4AA0-AC83-2A299CC44737}"/>
    <cellStyle name="Currency 4 6 6 2 3 2" xfId="20638" xr:uid="{B444816C-3FAE-4F49-BEE5-6B9562F8C546}"/>
    <cellStyle name="Currency 4 6 6 2 4" xfId="26427" xr:uid="{7CC14572-D99A-45ED-9A72-5F853AB95C6C}"/>
    <cellStyle name="Currency 4 6 6 2 5" xfId="27670" xr:uid="{50E25C06-2115-445B-B9B8-E34236366B27}"/>
    <cellStyle name="Currency 4 6 6 2 6" xfId="14972" xr:uid="{D3E9DC08-5AB2-4141-BCE7-79ABD7C17FC4}"/>
    <cellStyle name="Currency 4 6 6 3" xfId="3568" xr:uid="{00000000-0005-0000-0000-0000C3030000}"/>
    <cellStyle name="Currency 4 6 6 4" xfId="23615" xr:uid="{F73A3D5D-7C63-4474-93C8-2F8C85107F04}"/>
    <cellStyle name="Currency 4 6 6 4 2" xfId="29884" xr:uid="{99FEDB83-0EE7-41D5-884E-FFFD18F1BF1A}"/>
    <cellStyle name="Currency 4 6 6 5" xfId="30007" xr:uid="{1460142F-DF54-4A6F-A3ED-28B82CD6A1AD}"/>
    <cellStyle name="Currency 4 6 7" xfId="1928" xr:uid="{00000000-0005-0000-0000-0000C4030000}"/>
    <cellStyle name="Currency 4 6 7 2" xfId="28518" xr:uid="{2B3A5AD4-3B72-4F07-A3C7-D11D3D3B1C66}"/>
    <cellStyle name="Currency 4 6 7 3" xfId="27211" xr:uid="{5F1C9F25-9141-46C1-A1B3-03D885C2C8D1}"/>
    <cellStyle name="Currency 4 6 8" xfId="3887" xr:uid="{321DE718-E9DD-4CC6-9A43-BD6F7C64AB7F}"/>
    <cellStyle name="Currency 4 6 8 2" xfId="8719" xr:uid="{AD18585E-0449-46B3-922D-ACB393122CAA}"/>
    <cellStyle name="Currency 4 6 8 2 2" xfId="19099" xr:uid="{4D1C51FA-2DFF-4B0C-A693-C516D66EA62D}"/>
    <cellStyle name="Currency 4 6 8 3" xfId="11552" xr:uid="{1F5E6A13-92D4-46EC-9A46-2A9CB594B694}"/>
    <cellStyle name="Currency 4 6 8 3 2" xfId="21932" xr:uid="{A633267D-7F4D-48B2-A353-1F07ACD67AB0}"/>
    <cellStyle name="Currency 4 6 8 4" xfId="27778" xr:uid="{DA6FD5AD-9B55-4E2B-B7EA-D19834A23184}"/>
    <cellStyle name="Currency 4 6 8 5" xfId="28437" xr:uid="{BD2F0D9E-4719-4DF7-87A2-968EC5181914}"/>
    <cellStyle name="Currency 4 6 8 6" xfId="16266" xr:uid="{0A23D878-012A-4A19-A859-A12D6AEE8510}"/>
    <cellStyle name="Currency 4 6 9" xfId="4961" xr:uid="{DE7EAA6F-BFD6-4F03-B088-0A8D226152DC}"/>
    <cellStyle name="Currency 4 6 9 2" xfId="27119" xr:uid="{06CA89B7-6312-4E86-9D6C-FD22CC4C758E}"/>
    <cellStyle name="Currency 4 6 9 3" xfId="25949" xr:uid="{E0EC0313-2058-4B8D-B267-99353C57F5E2}"/>
    <cellStyle name="Currency 4 6 9 4" xfId="14256" xr:uid="{7833206C-B6D0-426E-BE34-4FCBBBB89811}"/>
    <cellStyle name="Currency 4 7" xfId="583" xr:uid="{00000000-0005-0000-0000-0000C5030000}"/>
    <cellStyle name="Currency 4 7 10" xfId="9547" xr:uid="{01959434-F34D-4B0B-8F37-8B08E578F8AF}"/>
    <cellStyle name="Currency 4 7 10 2" xfId="19927" xr:uid="{FA30C7BA-0903-4083-8A76-27524D961128}"/>
    <cellStyle name="Currency 4 7 11" xfId="24123" xr:uid="{3B9E7350-C702-438E-80B8-77257FFCE4AC}"/>
    <cellStyle name="Currency 4 7 12" xfId="12531" xr:uid="{D0B25670-A4FD-4425-B6FA-B3AA34ED777F}"/>
    <cellStyle name="Currency 4 7 2" xfId="584" xr:uid="{00000000-0005-0000-0000-0000C6030000}"/>
    <cellStyle name="Currency 4 7 2 2" xfId="1945" xr:uid="{00000000-0005-0000-0000-0000C7030000}"/>
    <cellStyle name="Currency 4 7 2 2 2" xfId="2886" xr:uid="{00000000-0005-0000-0000-0000C1020000}"/>
    <cellStyle name="Currency 4 7 2 2 2 2" xfId="8003" xr:uid="{6B603E88-43AA-46D0-B30C-7C5E2BA0DCA6}"/>
    <cellStyle name="Currency 4 7 2 2 2 2 2" xfId="18383" xr:uid="{3104BB23-EFDE-4A36-BB1E-E3882DCC46F1}"/>
    <cellStyle name="Currency 4 7 2 2 2 2 2 2" xfId="31139" xr:uid="{2D7C246A-68B7-4CFD-A4B1-20F461BF2A36}"/>
    <cellStyle name="Currency 4 7 2 2 2 2 2 3" xfId="30876" xr:uid="{58998F0B-85AE-486C-A382-95439DE4F342}"/>
    <cellStyle name="Currency 4 7 2 2 2 3" xfId="10836" xr:uid="{0B57C376-07B2-4A4E-8EC5-44E61586E5AF}"/>
    <cellStyle name="Currency 4 7 2 2 2 3 2" xfId="21216" xr:uid="{57CDE2AC-2F0C-4449-821A-49DD0ACB7F52}"/>
    <cellStyle name="Currency 4 7 2 2 2 4" xfId="27605" xr:uid="{B2E46E50-9B9F-44C6-AFD4-8A5B5F6A0169}"/>
    <cellStyle name="Currency 4 7 2 2 2 5" xfId="28028" xr:uid="{553B760F-710B-46B0-B275-FCB41B94D847}"/>
    <cellStyle name="Currency 4 7 2 2 2 6" xfId="15550" xr:uid="{9237B366-6A9D-4927-9B96-8F59977269B7}"/>
    <cellStyle name="Currency 4 7 2 2 3" xfId="3675" xr:uid="{00000000-0005-0000-0000-0000C7030000}"/>
    <cellStyle name="Currency 4 7 2 2 4" xfId="5700" xr:uid="{22D5A381-C581-4E10-97AC-9DBF758EBF8B}"/>
    <cellStyle name="Currency 4 7 2 2 4 2" xfId="29770" xr:uid="{0C7B32D4-BB29-4F76-8B8A-FD0BCD18A388}"/>
    <cellStyle name="Currency 4 7 2 2 5" xfId="23225" xr:uid="{AAE7014B-67D7-4C40-B0E9-01940099DFC8}"/>
    <cellStyle name="Currency 4 7 2 2 6" xfId="13387" xr:uid="{79982C24-3858-4D30-A106-E097CF27C8FA}"/>
    <cellStyle name="Currency 4 7 2 3" xfId="1946" xr:uid="{00000000-0005-0000-0000-0000C8030000}"/>
    <cellStyle name="Currency 4 7 2 3 2" xfId="22779" xr:uid="{C881F5B4-F3A9-4ED8-B9EF-E79DA3E8F815}"/>
    <cellStyle name="Currency 4 7 2 3 2 2" xfId="30877" xr:uid="{46A40648-E8C7-46BB-B02E-964BBBAC44C8}"/>
    <cellStyle name="Currency 4 7 2 3 2 3" xfId="30559" xr:uid="{7FB00D90-5EFF-407A-A2EE-BCB114692E06}"/>
    <cellStyle name="Currency 4 7 2 3 3" xfId="24175" xr:uid="{26544DD9-D091-4B2C-811F-DB5F89FFB9E2}"/>
    <cellStyle name="Currency 4 7 2 3 4" xfId="30046" xr:uid="{03F34DAA-9662-4CDA-B389-E9B2513FC7EF}"/>
    <cellStyle name="Currency 4 7 2 3 5" xfId="29666" xr:uid="{B1A5471A-E9DF-4A58-98F4-687E63BF72A9}"/>
    <cellStyle name="Currency 4 7 2 4" xfId="1944" xr:uid="{00000000-0005-0000-0000-0000C9030000}"/>
    <cellStyle name="Currency 4 7 2 4 2" xfId="27767" xr:uid="{35AA840F-E0D9-4801-A904-7666944D530D}"/>
    <cellStyle name="Currency 4 7 2 4 2 2" xfId="30878" xr:uid="{1515B294-8235-40E8-A6B4-154D4660E385}"/>
    <cellStyle name="Currency 4 7 2 4 2 3" xfId="30594" xr:uid="{1E8B89AC-8DA1-43FC-A4C2-8D0D6782A5B1}"/>
    <cellStyle name="Currency 4 7 2 4 3" xfId="27555" xr:uid="{309E2BD4-6415-423E-9A3A-269217115A99}"/>
    <cellStyle name="Currency 4 7 2 5" xfId="4967" xr:uid="{9BE4CE84-067E-4295-A27D-905C278DD623}"/>
    <cellStyle name="Currency 4 7 2 5 2" xfId="26373" xr:uid="{3D365F35-CF2A-4441-B8D2-A563921F7C70}"/>
    <cellStyle name="Currency 4 7 2 5 3" xfId="28209" xr:uid="{C26C9849-AAC5-4C2E-BD2A-17A120A28152}"/>
    <cellStyle name="Currency 4 7 2 5 4" xfId="14262" xr:uid="{15504211-C8FB-48E3-ABE1-52F60A82B2EA}"/>
    <cellStyle name="Currency 4 7 2 5 5" xfId="30616" xr:uid="{21AA2613-708A-4885-9EF8-F8F95C75AC44}"/>
    <cellStyle name="Currency 4 7 2 6" xfId="6715" xr:uid="{BEB38E83-4F2F-4E06-B525-7C7B913DDC00}"/>
    <cellStyle name="Currency 4 7 2 6 2" xfId="27672" xr:uid="{B3B20FE0-6D17-420D-A700-4AF685066E12}"/>
    <cellStyle name="Currency 4 7 2 6 3" xfId="27317" xr:uid="{783F09BB-E3D5-4BB4-AAF7-C9480B15745D}"/>
    <cellStyle name="Currency 4 7 2 6 4" xfId="17095" xr:uid="{86F38118-6FB7-423B-811B-008EFB0E9E1C}"/>
    <cellStyle name="Currency 4 7 2 7" xfId="9548" xr:uid="{873BF6CA-07A0-4CE0-A052-DE6BD5390744}"/>
    <cellStyle name="Currency 4 7 2 7 2" xfId="19928" xr:uid="{AB1AAE0F-D698-4FBA-AF06-EF0C6B5B4929}"/>
    <cellStyle name="Currency 4 7 2 8" xfId="22885" xr:uid="{EF53D26A-A562-47AF-9875-D9B1DACB83A1}"/>
    <cellStyle name="Currency 4 7 2 9" xfId="12689" xr:uid="{7A29D792-EFEE-4E6D-BDD9-6CAF58E6AD12}"/>
    <cellStyle name="Currency 4 7 3" xfId="585" xr:uid="{00000000-0005-0000-0000-0000CA030000}"/>
    <cellStyle name="Currency 4 7 3 2" xfId="1948" xr:uid="{00000000-0005-0000-0000-0000CB030000}"/>
    <cellStyle name="Currency 4 7 3 2 2" xfId="28433" xr:uid="{B4A62C14-DA6C-4FEF-A267-1F04A97C9276}"/>
    <cellStyle name="Currency 4 7 3 2 2 2" xfId="30880" xr:uid="{0702549B-AD85-4AE4-A433-868C879C86F7}"/>
    <cellStyle name="Currency 4 7 3 2 2 3" xfId="30607" xr:uid="{A38BBF4E-F180-48DE-B4A0-4A2613B2FFB9}"/>
    <cellStyle name="Currency 4 7 3 2 3" xfId="27994" xr:uid="{B87E3442-56D6-4DE3-9FCB-CCFCEF4BF84C}"/>
    <cellStyle name="Currency 4 7 3 3" xfId="1949" xr:uid="{00000000-0005-0000-0000-0000CC030000}"/>
    <cellStyle name="Currency 4 7 3 4" xfId="1947" xr:uid="{00000000-0005-0000-0000-0000CD030000}"/>
    <cellStyle name="Currency 4 7 3 5" xfId="4968" xr:uid="{AA653B47-EB77-473A-AE3F-55E72BE8DAE9}"/>
    <cellStyle name="Currency 4 7 3 5 2" xfId="26652" xr:uid="{F73D796E-D2FC-4D1D-804E-0483698AE38C}"/>
    <cellStyle name="Currency 4 7 3 5 2 2" xfId="31181" xr:uid="{60D792DD-C0A3-4059-B1B7-EE8D93B21A3E}"/>
    <cellStyle name="Currency 4 7 3 5 2 3" xfId="30879" xr:uid="{965771F9-B135-4B0F-888D-B2C2DB99A4E6}"/>
    <cellStyle name="Currency 4 7 3 5 3" xfId="27688" xr:uid="{3C6439A3-0637-4EC0-A383-FC5F4D8D1E46}"/>
    <cellStyle name="Currency 4 7 3 5 4" xfId="14263" xr:uid="{003F3429-F97A-40D6-994C-FCB7138F97CF}"/>
    <cellStyle name="Currency 4 7 3 6" xfId="6716" xr:uid="{19B11A2C-F7D2-418F-B52D-2DFDE34271BB}"/>
    <cellStyle name="Currency 4 7 3 6 2" xfId="17096" xr:uid="{62A2C9DA-8A04-4F2E-BAA4-FE6F50340982}"/>
    <cellStyle name="Currency 4 7 3 7" xfId="9549" xr:uid="{F966EB47-0C3E-4CAD-B1A0-0DDDE86F84C8}"/>
    <cellStyle name="Currency 4 7 3 7 2" xfId="19929" xr:uid="{CF16DF1A-19C2-439F-89B1-FE7280222081}"/>
    <cellStyle name="Currency 4 7 3 8" xfId="24320" xr:uid="{9F439C94-388B-49EA-AE61-E9EB10CD7F2D}"/>
    <cellStyle name="Currency 4 7 3 9" xfId="13115" xr:uid="{59F93EE0-36F1-41C3-BE48-868E13347F87}"/>
    <cellStyle name="Currency 4 7 4" xfId="1950" xr:uid="{00000000-0005-0000-0000-0000CE030000}"/>
    <cellStyle name="Currency 4 7 4 2" xfId="2299" xr:uid="{00000000-0005-0000-0000-0000BF020000}"/>
    <cellStyle name="Currency 4 7 4 2 2" xfId="7426" xr:uid="{E48ED43D-F5C3-466C-8932-8EA701B06B69}"/>
    <cellStyle name="Currency 4 7 4 2 2 2" xfId="17806" xr:uid="{021EBDA7-4A55-4B1A-8E08-9A45AC1DAE19}"/>
    <cellStyle name="Currency 4 7 4 2 2 2 2" xfId="31129" xr:uid="{5CB58FDC-842F-4366-B972-CDDC1BFA162B}"/>
    <cellStyle name="Currency 4 7 4 2 2 2 3" xfId="30881" xr:uid="{89EB998A-6F45-4617-8268-95C9947F0B85}"/>
    <cellStyle name="Currency 4 7 4 2 3" xfId="10259" xr:uid="{5F500F5C-9323-4E28-A82A-5EE59E6F1C0D}"/>
    <cellStyle name="Currency 4 7 4 2 3 2" xfId="20639" xr:uid="{7905FF4E-937E-4733-8C99-F1A3D0F00B32}"/>
    <cellStyle name="Currency 4 7 4 2 4" xfId="26106" xr:uid="{78E47DCE-5F4E-4AD3-BF2E-A24265D35436}"/>
    <cellStyle name="Currency 4 7 4 2 5" xfId="25920" xr:uid="{60C943FF-852C-4686-A2F2-471DCBB227B8}"/>
    <cellStyle name="Currency 4 7 4 2 6" xfId="14973" xr:uid="{2C1DD2A8-26E0-4FA0-850F-EB722BC0EC15}"/>
    <cellStyle name="Currency 4 7 4 3" xfId="3637" xr:uid="{00000000-0005-0000-0000-0000CE030000}"/>
    <cellStyle name="Currency 4 7 4 4" xfId="24132" xr:uid="{C3AEE799-7253-4F20-A455-E163AF421BCE}"/>
    <cellStyle name="Currency 4 7 4 4 2" xfId="29740" xr:uid="{424C1383-0C0A-4A87-94FC-0B530D5B9FC1}"/>
    <cellStyle name="Currency 4 7 4 5" xfId="29853" xr:uid="{83D46F38-F5C3-4492-BE02-3C9E29784F87}"/>
    <cellStyle name="Currency 4 7 4 6" xfId="29995" xr:uid="{D5B75D03-C87F-4FB3-9F1A-AC55BC0986B3}"/>
    <cellStyle name="Currency 4 7 5" xfId="1951" xr:uid="{00000000-0005-0000-0000-0000CF030000}"/>
    <cellStyle name="Currency 4 7 5 2" xfId="25268" xr:uid="{CDE00D5B-E828-41FA-A68A-9B3CE7066B15}"/>
    <cellStyle name="Currency 4 7 5 2 2" xfId="29733" xr:uid="{6772595D-F27B-4705-AC0E-A786A7A8AE55}"/>
    <cellStyle name="Currency 4 7 5 2 2 2" xfId="30882" xr:uid="{1E6F16AA-3248-4BCF-B673-DB6874B6D555}"/>
    <cellStyle name="Currency 4 7 5 3" xfId="25600" xr:uid="{6CD831BA-6D09-4C68-9F08-905171E640CA}"/>
    <cellStyle name="Currency 4 7 5 4" xfId="30030" xr:uid="{540ADC2A-6053-4F65-B211-C07661CCB067}"/>
    <cellStyle name="Currency 4 7 6" xfId="1943" xr:uid="{00000000-0005-0000-0000-0000D0030000}"/>
    <cellStyle name="Currency 4 7 6 2" xfId="26143" xr:uid="{D0C1945C-72AA-4573-AA8D-1633DBEA2CAD}"/>
    <cellStyle name="Currency 4 7 6 2 2" xfId="30883" xr:uid="{BD05442E-4299-43AF-92D8-BA01610430CE}"/>
    <cellStyle name="Currency 4 7 6 2 3" xfId="30593" xr:uid="{D3EEBA4A-4BA4-4D6E-A7B4-E64301858765}"/>
    <cellStyle name="Currency 4 7 6 3" xfId="26611" xr:uid="{80965D0B-9059-4A46-AB05-60F1B5BE61C6}"/>
    <cellStyle name="Currency 4 7 7" xfId="3888" xr:uid="{3CBD11E9-3EFC-4C96-87B7-EE0635EA82F6}"/>
    <cellStyle name="Currency 4 7 7 2" xfId="8720" xr:uid="{C09B8340-DE6C-4EA8-BFDB-E3BDAC3AEDB5}"/>
    <cellStyle name="Currency 4 7 7 2 2" xfId="28968" xr:uid="{DA69CAC2-1877-47CD-8950-A4DBE86E05FA}"/>
    <cellStyle name="Currency 4 7 7 2 3" xfId="26339" xr:uid="{3095DECA-ABD6-4A11-BFFB-415C87BB631B}"/>
    <cellStyle name="Currency 4 7 7 2 4" xfId="19100" xr:uid="{844FAEA3-8AE7-4FF2-9811-CD15EE833D2C}"/>
    <cellStyle name="Currency 4 7 7 3" xfId="11553" xr:uid="{520FC835-1AC3-4133-BB04-81EC5AF58F3A}"/>
    <cellStyle name="Currency 4 7 7 3 2" xfId="21933" xr:uid="{56B72C26-D985-4269-A376-6B44A11A5B02}"/>
    <cellStyle name="Currency 4 7 7 4" xfId="26171" xr:uid="{19CA4702-B36A-4E5B-BA4B-964627BCA4F1}"/>
    <cellStyle name="Currency 4 7 7 5" xfId="16267" xr:uid="{76069791-02B8-4769-971D-31681C043604}"/>
    <cellStyle name="Currency 4 7 8" xfId="4966" xr:uid="{E34E299F-AD46-449C-B1A5-51BB76C325C5}"/>
    <cellStyle name="Currency 4 7 8 2" xfId="26217" xr:uid="{110CC1CA-6673-4FEF-9546-96A44FD1D013}"/>
    <cellStyle name="Currency 4 7 8 3" xfId="26111" xr:uid="{13470DEA-F8EA-4EC0-8163-E6E509DC569E}"/>
    <cellStyle name="Currency 4 7 8 4" xfId="14261" xr:uid="{7183D54A-FE39-464F-AC51-ABB77E7320DC}"/>
    <cellStyle name="Currency 4 7 9" xfId="6714" xr:uid="{7A444773-9948-4586-8685-1453BE4EF030}"/>
    <cellStyle name="Currency 4 7 9 2" xfId="27941" xr:uid="{4F70E5F3-9058-4E7A-A4A6-D7B8B9CB4522}"/>
    <cellStyle name="Currency 4 7 9 3" xfId="25931" xr:uid="{E8AB6CF0-D2D9-41EE-B58D-ECFE27D21A7A}"/>
    <cellStyle name="Currency 4 7 9 4" xfId="17094" xr:uid="{EB6CB191-D83A-4A53-B2B2-AF23D0F26A38}"/>
    <cellStyle name="Currency 4 8" xfId="586" xr:uid="{00000000-0005-0000-0000-0000D1030000}"/>
    <cellStyle name="Currency 4 8 10" xfId="9550" xr:uid="{518031D6-4FCB-461D-A0DD-8E4DEA690AE2}"/>
    <cellStyle name="Currency 4 8 10 2" xfId="19930" xr:uid="{184D2E45-1BC4-44DB-8F5B-2B1B1E655BD7}"/>
    <cellStyle name="Currency 4 8 11" xfId="24278" xr:uid="{A45ACE86-53A0-47D8-AFEE-FA1132DBDB5D}"/>
    <cellStyle name="Currency 4 8 12" xfId="12532" xr:uid="{25638229-E1F6-4AC6-B86C-513FAE2764DF}"/>
    <cellStyle name="Currency 4 8 2" xfId="587" xr:uid="{00000000-0005-0000-0000-0000D2030000}"/>
    <cellStyle name="Currency 4 8 2 2" xfId="1954" xr:uid="{00000000-0005-0000-0000-0000D3030000}"/>
    <cellStyle name="Currency 4 8 2 2 2" xfId="2887" xr:uid="{00000000-0005-0000-0000-0000C5020000}"/>
    <cellStyle name="Currency 4 8 2 2 2 2" xfId="8004" xr:uid="{E548F0CD-450D-4E66-B747-E1F07B4CE89B}"/>
    <cellStyle name="Currency 4 8 2 2 2 2 2" xfId="18384" xr:uid="{AA0CD93F-8B9E-48DE-BC3E-C028EAF890B7}"/>
    <cellStyle name="Currency 4 8 2 2 2 2 2 2" xfId="31140" xr:uid="{AAC7DD63-F3B0-4EA7-A2AB-A56CAF05FE90}"/>
    <cellStyle name="Currency 4 8 2 2 2 2 2 3" xfId="30884" xr:uid="{27A2AC4E-6837-47B5-B15A-55F5344721D7}"/>
    <cellStyle name="Currency 4 8 2 2 2 3" xfId="10837" xr:uid="{FB0535CB-6403-4CD1-BBC9-99FE07A18266}"/>
    <cellStyle name="Currency 4 8 2 2 2 3 2" xfId="21217" xr:uid="{D31FD4FE-8859-499C-A08A-C800879E72ED}"/>
    <cellStyle name="Currency 4 8 2 2 2 4" xfId="27568" xr:uid="{5E9F9818-4E59-4FD4-AE8B-AAB6D387220B}"/>
    <cellStyle name="Currency 4 8 2 2 2 5" xfId="26664" xr:uid="{EED42D54-F4B2-462E-AAA6-BE60A2E7D909}"/>
    <cellStyle name="Currency 4 8 2 2 2 6" xfId="15551" xr:uid="{3D7AB569-1D06-4E43-90FC-96E2AEDF0612}"/>
    <cellStyle name="Currency 4 8 2 2 3" xfId="3564" xr:uid="{00000000-0005-0000-0000-0000D3030000}"/>
    <cellStyle name="Currency 4 8 2 2 4" xfId="5701" xr:uid="{887A2B17-B989-4808-B3BE-25836BED9DF9}"/>
    <cellStyle name="Currency 4 8 2 2 4 2" xfId="29771" xr:uid="{2A63CC11-416D-448A-B04D-B1999AFE4288}"/>
    <cellStyle name="Currency 4 8 2 2 5" xfId="24341" xr:uid="{538A3F27-62A4-40A7-AE9E-6B0991C0545A}"/>
    <cellStyle name="Currency 4 8 2 2 6" xfId="13388" xr:uid="{0891E334-E200-4194-AB74-154CC4C3C0A4}"/>
    <cellStyle name="Currency 4 8 2 3" xfId="1955" xr:uid="{00000000-0005-0000-0000-0000D4030000}"/>
    <cellStyle name="Currency 4 8 2 3 2" xfId="23760" xr:uid="{4167CAEE-D7F3-4B74-BE25-2A71A9085DE6}"/>
    <cellStyle name="Currency 4 8 2 3 2 2" xfId="30885" xr:uid="{757A3CB7-1C55-4D56-B945-482D3CE86FCE}"/>
    <cellStyle name="Currency 4 8 2 3 2 3" xfId="30560" xr:uid="{1C10DF34-CC59-4FAB-BE80-EACF5A93CA72}"/>
    <cellStyle name="Currency 4 8 2 3 3" xfId="23120" xr:uid="{1602DC18-E900-4AE9-A316-7D2565CB3207}"/>
    <cellStyle name="Currency 4 8 2 3 4" xfId="30047" xr:uid="{1CDABCE1-0483-422E-A6D0-DA2E0546B955}"/>
    <cellStyle name="Currency 4 8 2 3 5" xfId="29667" xr:uid="{791DC7EE-5FE3-4AE5-8D27-7C884F499AE2}"/>
    <cellStyle name="Currency 4 8 2 4" xfId="1953" xr:uid="{00000000-0005-0000-0000-0000D5030000}"/>
    <cellStyle name="Currency 4 8 2 4 2" xfId="28681" xr:uid="{83965D3F-0DFF-4118-9460-A46F81EC8DEC}"/>
    <cellStyle name="Currency 4 8 2 4 2 2" xfId="30886" xr:uid="{6A9CCD15-757E-42F7-A126-7DE3F6BF7048}"/>
    <cellStyle name="Currency 4 8 2 4 2 3" xfId="30596" xr:uid="{A308E91F-CE51-4207-A946-3A96D42EA8B7}"/>
    <cellStyle name="Currency 4 8 2 4 3" xfId="28188" xr:uid="{6E725EBC-1C03-473F-9833-307F8ED7DBCB}"/>
    <cellStyle name="Currency 4 8 2 5" xfId="4970" xr:uid="{FE49F526-4A03-4D67-942E-39B9CEE06BC7}"/>
    <cellStyle name="Currency 4 8 2 5 2" xfId="27186" xr:uid="{CCEF0CE8-ED12-41CC-A5DA-75CBBE495874}"/>
    <cellStyle name="Currency 4 8 2 5 3" xfId="25833" xr:uid="{1E7BBEEA-1730-44BA-8B2F-82CB56AA59C3}"/>
    <cellStyle name="Currency 4 8 2 5 4" xfId="14265" xr:uid="{5C96AFE2-855B-4472-BA64-DE3E33E7118E}"/>
    <cellStyle name="Currency 4 8 2 5 5" xfId="30639" xr:uid="{145C9633-4B64-48AF-8723-20B8C3906735}"/>
    <cellStyle name="Currency 4 8 2 6" xfId="6718" xr:uid="{3D58F211-A727-433E-A8B3-2D8FC8B20216}"/>
    <cellStyle name="Currency 4 8 2 6 2" xfId="28001" xr:uid="{D57B6D92-A933-4D4A-83E2-10FE3DE01E32}"/>
    <cellStyle name="Currency 4 8 2 6 3" xfId="26501" xr:uid="{A2D3AB61-87CE-41E9-8B2B-F2F8BFB69031}"/>
    <cellStyle name="Currency 4 8 2 6 4" xfId="17098" xr:uid="{0AA9968E-AC9E-442A-8CB7-C801B0D797A3}"/>
    <cellStyle name="Currency 4 8 2 7" xfId="9551" xr:uid="{8098CF5B-4973-49BE-8D14-5AB93CF6AA1E}"/>
    <cellStyle name="Currency 4 8 2 7 2" xfId="19931" xr:uid="{07DD1F18-8F7C-4C8C-AE04-17172020A973}"/>
    <cellStyle name="Currency 4 8 2 8" xfId="24219" xr:uid="{D229254F-E064-430C-BF8B-3F30208DFEBF}"/>
    <cellStyle name="Currency 4 8 2 9" xfId="12690" xr:uid="{C192F418-C48E-4364-A551-71DCACA3D032}"/>
    <cellStyle name="Currency 4 8 3" xfId="588" xr:uid="{00000000-0005-0000-0000-0000D6030000}"/>
    <cellStyle name="Currency 4 8 3 2" xfId="1957" xr:uid="{00000000-0005-0000-0000-0000D7030000}"/>
    <cellStyle name="Currency 4 8 3 2 2" xfId="28584" xr:uid="{7EA758D2-EF56-4EBA-A852-ECFF349D9C77}"/>
    <cellStyle name="Currency 4 8 3 2 2 2" xfId="30888" xr:uid="{6B43E411-504A-48A0-881D-A4CB093416FC}"/>
    <cellStyle name="Currency 4 8 3 2 2 3" xfId="30608" xr:uid="{E9C158B3-78D8-4AF3-8BD1-0F4A0B4EB020}"/>
    <cellStyle name="Currency 4 8 3 2 3" xfId="28377" xr:uid="{2BDE907B-0B78-4F02-BEEA-9C16113F20AA}"/>
    <cellStyle name="Currency 4 8 3 3" xfId="1958" xr:uid="{00000000-0005-0000-0000-0000D8030000}"/>
    <cellStyle name="Currency 4 8 3 4" xfId="1956" xr:uid="{00000000-0005-0000-0000-0000D9030000}"/>
    <cellStyle name="Currency 4 8 3 5" xfId="4971" xr:uid="{1B67C4BD-FEAB-4343-81B0-70E336F834C2}"/>
    <cellStyle name="Currency 4 8 3 5 2" xfId="27524" xr:uid="{933B019B-A4E7-43F1-BD1A-DA7B8BE0F85B}"/>
    <cellStyle name="Currency 4 8 3 5 2 2" xfId="31194" xr:uid="{1FA06368-9692-4F87-BA84-A8F7113127B3}"/>
    <cellStyle name="Currency 4 8 3 5 2 3" xfId="30887" xr:uid="{74CDC86A-7890-43A0-9099-81F98F0722EF}"/>
    <cellStyle name="Currency 4 8 3 5 3" xfId="26319" xr:uid="{FB2441D9-4696-44F3-B408-41CC938A49F8}"/>
    <cellStyle name="Currency 4 8 3 5 4" xfId="14266" xr:uid="{DE8D23D6-F8F1-4D45-8451-54228F7AAD04}"/>
    <cellStyle name="Currency 4 8 3 6" xfId="6719" xr:uid="{C23168E2-68BC-429D-9D04-F8821D43FD9B}"/>
    <cellStyle name="Currency 4 8 3 6 2" xfId="17099" xr:uid="{84173598-8D21-4CAF-A027-41BC34BC5835}"/>
    <cellStyle name="Currency 4 8 3 7" xfId="9552" xr:uid="{9FBCFA64-336F-422C-9C68-0F81301671C2}"/>
    <cellStyle name="Currency 4 8 3 7 2" xfId="19932" xr:uid="{CC8E98EB-A85B-4F27-BEB5-132F1C32EB97}"/>
    <cellStyle name="Currency 4 8 3 8" xfId="25286" xr:uid="{79F85939-2849-403A-99CB-8B646D555D1A}"/>
    <cellStyle name="Currency 4 8 3 9" xfId="13116" xr:uid="{8288B027-EE5F-4543-886C-BA48309EFD97}"/>
    <cellStyle name="Currency 4 8 4" xfId="1959" xr:uid="{00000000-0005-0000-0000-0000DA030000}"/>
    <cellStyle name="Currency 4 8 4 2" xfId="2300" xr:uid="{00000000-0005-0000-0000-0000C3020000}"/>
    <cellStyle name="Currency 4 8 4 2 2" xfId="7427" xr:uid="{AF1ECB60-ACC3-4E29-8CD9-99C548D0A883}"/>
    <cellStyle name="Currency 4 8 4 2 2 2" xfId="17807" xr:uid="{FC9917A7-7396-417E-BADB-979A351E7805}"/>
    <cellStyle name="Currency 4 8 4 2 2 2 2" xfId="31130" xr:uid="{1050FCCF-014F-4A61-8409-ABEAF81E4B6C}"/>
    <cellStyle name="Currency 4 8 4 2 2 2 3" xfId="30889" xr:uid="{FC86CB32-E70B-4812-90F6-F48A30AB6E2C}"/>
    <cellStyle name="Currency 4 8 4 2 3" xfId="10260" xr:uid="{9517CDA0-EE05-48CD-8A06-CA12BAA552D6}"/>
    <cellStyle name="Currency 4 8 4 2 3 2" xfId="20640" xr:uid="{101B4E7A-75C1-48B0-8903-922C92FA678A}"/>
    <cellStyle name="Currency 4 8 4 2 4" xfId="28397" xr:uid="{85CDAA97-1CAD-4B64-90D6-923E8F129023}"/>
    <cellStyle name="Currency 4 8 4 2 5" xfId="25950" xr:uid="{D643E276-0D8D-4A16-BA2F-D2D2976E80BC}"/>
    <cellStyle name="Currency 4 8 4 2 6" xfId="14974" xr:uid="{A33E5F38-7B4F-4342-831F-1643BCEDB035}"/>
    <cellStyle name="Currency 4 8 4 3" xfId="2089" xr:uid="{00000000-0005-0000-0000-0000DA030000}"/>
    <cellStyle name="Currency 4 8 4 4" xfId="25542" xr:uid="{6404CD47-CF8C-4F73-BCAE-891702C8F286}"/>
    <cellStyle name="Currency 4 8 4 4 2" xfId="29741" xr:uid="{95BBA192-E16E-479F-A9AC-4984C46E7EF3}"/>
    <cellStyle name="Currency 4 8 4 5" xfId="29854" xr:uid="{C8D3D891-209E-4B26-9316-25A831B4C4AB}"/>
    <cellStyle name="Currency 4 8 4 6" xfId="29996" xr:uid="{86931842-3154-47E1-A149-1B03081C7CA9}"/>
    <cellStyle name="Currency 4 8 5" xfId="1960" xr:uid="{00000000-0005-0000-0000-0000DB030000}"/>
    <cellStyle name="Currency 4 8 5 2" xfId="25623" xr:uid="{FDE13DD4-4BFE-4241-AF39-D2C68C9AD7B0}"/>
    <cellStyle name="Currency 4 8 5 2 2" xfId="29814" xr:uid="{51867E3E-322C-45C2-AAB5-A9260D89EAA5}"/>
    <cellStyle name="Currency 4 8 5 2 2 2" xfId="30890" xr:uid="{1A883A60-46C3-43A6-A992-715105DD7CC1}"/>
    <cellStyle name="Currency 4 8 5 3" xfId="23099" xr:uid="{7A60B91C-EC8E-45C0-8A86-C875998593D9}"/>
    <cellStyle name="Currency 4 8 5 4" xfId="30031" xr:uid="{A621AE50-9826-4A13-9FC9-FFD777B68BD3}"/>
    <cellStyle name="Currency 4 8 6" xfId="1952" xr:uid="{00000000-0005-0000-0000-0000DC030000}"/>
    <cellStyle name="Currency 4 8 6 2" xfId="25843" xr:uid="{F485F629-3DA4-44A2-B8A8-546D8AA4877F}"/>
    <cellStyle name="Currency 4 8 6 2 2" xfId="30891" xr:uid="{529C92E7-70BA-45B3-AD7F-442288B598B1}"/>
    <cellStyle name="Currency 4 8 6 2 3" xfId="30595" xr:uid="{C285BB10-709D-4317-88CD-0FA126CCFB66}"/>
    <cellStyle name="Currency 4 8 6 3" xfId="27931" xr:uid="{67E7D5C4-4291-414C-B668-C038AB5B4730}"/>
    <cellStyle name="Currency 4 8 7" xfId="3889" xr:uid="{75AA0707-E7A1-49F2-96B5-A9DDA61F2F28}"/>
    <cellStyle name="Currency 4 8 7 2" xfId="8721" xr:uid="{DAEA6783-1B67-4BC5-9B10-29C804B64F3F}"/>
    <cellStyle name="Currency 4 8 7 2 2" xfId="28969" xr:uid="{85DBFA5D-B137-4531-BDFE-283897605602}"/>
    <cellStyle name="Currency 4 8 7 2 3" xfId="28271" xr:uid="{AC920C50-ED0E-4719-96D3-5B5D50A74886}"/>
    <cellStyle name="Currency 4 8 7 2 4" xfId="19101" xr:uid="{5DA4536C-9937-4FA0-AD85-B74BF051B58E}"/>
    <cellStyle name="Currency 4 8 7 3" xfId="11554" xr:uid="{47C6DD1A-A8F8-40D0-8141-553D7D95F5FA}"/>
    <cellStyle name="Currency 4 8 7 3 2" xfId="21934" xr:uid="{6AE81B20-7D9E-4468-80C1-003CA6D3DF48}"/>
    <cellStyle name="Currency 4 8 7 4" xfId="26296" xr:uid="{F07E7FD3-1053-4F4D-BAED-6E1CAC6C222D}"/>
    <cellStyle name="Currency 4 8 7 5" xfId="16268" xr:uid="{18D8913E-BFAE-4FD9-B645-B3A6A40A1E7E}"/>
    <cellStyle name="Currency 4 8 8" xfId="4969" xr:uid="{9E8825FE-50AE-4262-80AB-C3CBD6D88B2F}"/>
    <cellStyle name="Currency 4 8 8 2" xfId="27768" xr:uid="{DF2BDCE6-4C51-452D-A0A5-87AAC2CC1C69}"/>
    <cellStyle name="Currency 4 8 8 3" xfId="26137" xr:uid="{AF02D72E-3ADE-4F23-ACEF-46F911C96B37}"/>
    <cellStyle name="Currency 4 8 8 4" xfId="14264" xr:uid="{56112834-C55F-41FB-A3AF-7D3A241E4254}"/>
    <cellStyle name="Currency 4 8 9" xfId="6717" xr:uid="{47385384-7DC7-43EA-9D98-865E182695F7}"/>
    <cellStyle name="Currency 4 8 9 2" xfId="26114" xr:uid="{7DA3908F-553E-45FE-8585-31B030A5F62A}"/>
    <cellStyle name="Currency 4 8 9 3" xfId="28033" xr:uid="{14C37885-BFB7-4575-B570-1CCC1080F5EA}"/>
    <cellStyle name="Currency 4 8 9 4" xfId="17097" xr:uid="{26C25D8C-F834-4199-A88F-910068EE38EC}"/>
    <cellStyle name="Currency 4 9" xfId="589" xr:uid="{00000000-0005-0000-0000-0000DD030000}"/>
    <cellStyle name="Currency 4 9 10" xfId="12524" xr:uid="{11D205F3-DE9A-4585-96C1-3790524650F3}"/>
    <cellStyle name="Currency 4 9 2" xfId="1962" xr:uid="{00000000-0005-0000-0000-0000DE030000}"/>
    <cellStyle name="Currency 4 9 2 2" xfId="3106" xr:uid="{00000000-0005-0000-0000-0000C8020000}"/>
    <cellStyle name="Currency 4 9 2 2 2" xfId="8186" xr:uid="{E0C42976-7985-468B-A550-00C105659867}"/>
    <cellStyle name="Currency 4 9 2 2 2 2" xfId="18566" xr:uid="{0DB0E157-2439-41AF-9E6E-4B439D093BCA}"/>
    <cellStyle name="Currency 4 9 2 2 2 2 2" xfId="31145" xr:uid="{ED8C307C-F610-47C6-A831-49895CEE396D}"/>
    <cellStyle name="Currency 4 9 2 2 2 2 3" xfId="30892" xr:uid="{33621EAE-9D95-48E9-891A-0F259B49272F}"/>
    <cellStyle name="Currency 4 9 2 2 3" xfId="11019" xr:uid="{D7DEB894-76C8-4B7B-B912-EBD1C82FE3F2}"/>
    <cellStyle name="Currency 4 9 2 2 3 2" xfId="21399" xr:uid="{8065ECFA-8095-493D-9111-5F5913647C23}"/>
    <cellStyle name="Currency 4 9 2 2 4" xfId="25612" xr:uid="{A7FF5CE1-F4BB-4703-8B1C-0C380512F35C}"/>
    <cellStyle name="Currency 4 9 2 2 4 2" xfId="30076" xr:uid="{A4FDCC8D-1AF2-4A28-BC45-E5AB8BDBB980}"/>
    <cellStyle name="Currency 4 9 2 2 5" xfId="27512" xr:uid="{C5753C4E-F4AE-4664-A289-C298AAB6A474}"/>
    <cellStyle name="Currency 4 9 2 2 6" xfId="15733" xr:uid="{12DC9B3A-26A7-4B40-A2C7-BD544A7C2F73}"/>
    <cellStyle name="Currency 4 9 2 3" xfId="3686" xr:uid="{00000000-0005-0000-0000-0000DE030000}"/>
    <cellStyle name="Currency 4 9 2 3 2" xfId="27014" xr:uid="{B8A8630C-F521-49C0-9A08-B8D1C46D1721}"/>
    <cellStyle name="Currency 4 9 2 3 3" xfId="28318" xr:uid="{DEC5B4E7-8E1A-47EA-AF52-8C7579DC672B}"/>
    <cellStyle name="Currency 4 9 2 4" xfId="5702" xr:uid="{B6CD54E5-5D90-49B7-A633-F341EAD9C0A5}"/>
    <cellStyle name="Currency 4 9 2 4 2" xfId="29783" xr:uid="{F000CD1D-B1BA-49CE-A26C-7AEFE89CA9A5}"/>
    <cellStyle name="Currency 4 9 2 5" xfId="24272" xr:uid="{85355DC1-7AA6-4677-8462-5632C34BF0BE}"/>
    <cellStyle name="Currency 4 9 2 5 2" xfId="26912" xr:uid="{E28A2460-A64C-4999-BF1B-1A22498ADAD4}"/>
    <cellStyle name="Currency 4 9 2 6" xfId="28083" xr:uid="{BBBB1EFF-5326-432C-BD02-5C918A2E7B14}"/>
    <cellStyle name="Currency 4 9 2 7" xfId="13626" xr:uid="{7EDD3587-7095-4A81-B74E-8090122F2B34}"/>
    <cellStyle name="Currency 4 9 3" xfId="1963" xr:uid="{00000000-0005-0000-0000-0000DF030000}"/>
    <cellStyle name="Currency 4 9 3 2" xfId="2690" xr:uid="{00000000-0005-0000-0000-0000C9020000}"/>
    <cellStyle name="Currency 4 9 3 2 2" xfId="7814" xr:uid="{499AF24C-55A5-43E5-8835-11CA6641B905}"/>
    <cellStyle name="Currency 4 9 3 2 2 2" xfId="18194" xr:uid="{9DAB7D1E-765A-44CC-B652-721FFFD8C93B}"/>
    <cellStyle name="Currency 4 9 3 2 3" xfId="10647" xr:uid="{28A4B673-4DE0-49FC-9A42-CFD31A36EA67}"/>
    <cellStyle name="Currency 4 9 3 2 3 2" xfId="21027" xr:uid="{8C89E73C-B22B-4568-BBBC-10F63CA44619}"/>
    <cellStyle name="Currency 4 9 3 2 4" xfId="15361" xr:uid="{1A747241-6007-4043-8042-4BD7A52ED86B}"/>
    <cellStyle name="Currency 4 9 3 2 5" xfId="30458" xr:uid="{E82066D7-0909-4523-8345-4B323B12606B}"/>
    <cellStyle name="Currency 4 9 3 3" xfId="3656" xr:uid="{00000000-0005-0000-0000-0000DF030000}"/>
    <cellStyle name="Currency 4 9 3 4" xfId="5703" xr:uid="{572965EA-1F6C-4640-9DDC-DE1E721E4148}"/>
    <cellStyle name="Currency 4 9 3 4 2" xfId="29758" xr:uid="{B6BCDE65-9BFA-44F5-9903-F31404CCA55C}"/>
    <cellStyle name="Currency 4 9 3 5" xfId="23304" xr:uid="{EC92654A-2F5D-49BE-A509-D34B0A753554}"/>
    <cellStyle name="Currency 4 9 3 6" xfId="13103" xr:uid="{47CEFBAA-F193-4528-BF13-F969C4A1BCEF}"/>
    <cellStyle name="Currency 4 9 4" xfId="1961" xr:uid="{00000000-0005-0000-0000-0000E0030000}"/>
    <cellStyle name="Currency 4 9 4 2" xfId="2292" xr:uid="{00000000-0005-0000-0000-0000C7020000}"/>
    <cellStyle name="Currency 4 9 4 2 2" xfId="7419" xr:uid="{7A09F447-6EA0-45DE-A9B3-A1537B9AA0F4}"/>
    <cellStyle name="Currency 4 9 4 2 2 2" xfId="17799" xr:uid="{010FA966-37C5-491A-82C2-DD3903AA0F71}"/>
    <cellStyle name="Currency 4 9 4 2 3" xfId="10252" xr:uid="{7380F39E-75E2-45CC-A417-0B9249EE1EC5}"/>
    <cellStyle name="Currency 4 9 4 2 3 2" xfId="20632" xr:uid="{46E0CA4A-9B8F-4B3A-AF50-0F606033AE0B}"/>
    <cellStyle name="Currency 4 9 4 2 4" xfId="26543" xr:uid="{9ADB49FD-3CB9-4CDC-8AAA-C677630C1A11}"/>
    <cellStyle name="Currency 4 9 4 2 5" xfId="28117" xr:uid="{0CD4B079-9BBC-47CC-94A8-0E21C37AAE90}"/>
    <cellStyle name="Currency 4 9 4 2 6" xfId="14966" xr:uid="{C3DDA060-F454-4492-AC0D-4E8A716A4AEF}"/>
    <cellStyle name="Currency 4 9 4 3" xfId="3645" xr:uid="{00000000-0005-0000-0000-0000E0030000}"/>
    <cellStyle name="Currency 4 9 4 4" xfId="23984" xr:uid="{D7ECF183-A9FB-4F7A-A59A-272E2F6F535B}"/>
    <cellStyle name="Currency 4 9 5" xfId="3827" xr:uid="{000ACA94-2153-4302-8B6A-722AE35328B8}"/>
    <cellStyle name="Currency 4 9 5 2" xfId="8660" xr:uid="{11C3A1BE-D6BB-4FEA-9A33-5739A5F19DCD}"/>
    <cellStyle name="Currency 4 9 5 2 2" xfId="28961" xr:uid="{E30A7CFA-2FBE-4A31-8130-E3872CD9262E}"/>
    <cellStyle name="Currency 4 9 5 2 3" xfId="27859" xr:uid="{750A93EA-6EC4-4482-8E09-BB7898C875FF}"/>
    <cellStyle name="Currency 4 9 5 2 4" xfId="19040" xr:uid="{A4156738-3B33-45C9-8F87-F92746E6BC31}"/>
    <cellStyle name="Currency 4 9 5 3" xfId="11493" xr:uid="{54DAEE57-6E01-4FD8-A9B2-EE7413C74CE5}"/>
    <cellStyle name="Currency 4 9 5 3 2" xfId="21873" xr:uid="{3975A300-1731-4B47-A5A3-B76F484A0F52}"/>
    <cellStyle name="Currency 4 9 5 4" xfId="25754" xr:uid="{250618F8-EF53-42EA-BF04-9BA8BA23A39C}"/>
    <cellStyle name="Currency 4 9 5 5" xfId="16207" xr:uid="{B2215B16-2AAC-4F29-86DA-A576F75C9006}"/>
    <cellStyle name="Currency 4 9 6" xfId="4972" xr:uid="{956C2F0C-4E4E-480B-96A2-4BBD31510532}"/>
    <cellStyle name="Currency 4 9 6 2" xfId="28186" xr:uid="{45A2E1B6-8B39-4378-BE7B-C76A7ABED3EE}"/>
    <cellStyle name="Currency 4 9 6 3" xfId="28730" xr:uid="{899332CF-46F8-49BA-8867-DB0F2C08DFEE}"/>
    <cellStyle name="Currency 4 9 6 4" xfId="14267" xr:uid="{CE595702-DCCF-41D9-BDC1-4D86F6395577}"/>
    <cellStyle name="Currency 4 9 7" xfId="6720" xr:uid="{E35CBB27-1B3C-4ACE-AD83-4A5591761FD0}"/>
    <cellStyle name="Currency 4 9 7 2" xfId="26025" xr:uid="{86AA3093-66DE-4256-A269-75B7758D8FC7}"/>
    <cellStyle name="Currency 4 9 7 3" xfId="26678" xr:uid="{606BAAFF-75AE-49D7-9979-D40C7276D32D}"/>
    <cellStyle name="Currency 4 9 7 4" xfId="17100" xr:uid="{29091485-7FBD-4321-846C-24EB68313981}"/>
    <cellStyle name="Currency 4 9 8" xfId="9553" xr:uid="{4A590147-89C2-47D7-838D-C3AB6BAC093D}"/>
    <cellStyle name="Currency 4 9 8 2" xfId="19933" xr:uid="{D10AACFD-BBEE-484B-B36A-84DE24B11EED}"/>
    <cellStyle name="Currency 4 9 9" xfId="24554" xr:uid="{498B69E5-0439-4408-87C4-7EF87E505B1E}"/>
    <cellStyle name="Currency 5" xfId="590" xr:uid="{00000000-0005-0000-0000-0000E1030000}"/>
    <cellStyle name="Currency 5 10" xfId="4973" xr:uid="{0127C852-060E-4046-8C0D-4B566FAC3A77}"/>
    <cellStyle name="Currency 5 10 2" xfId="26245" xr:uid="{C59BE194-529F-4702-B46B-7874E29DE31A}"/>
    <cellStyle name="Currency 5 10 3" xfId="26442" xr:uid="{ADFDD67C-45AA-450C-A480-B07F7596B9D6}"/>
    <cellStyle name="Currency 5 10 4" xfId="14268" xr:uid="{240572AE-B301-4AFC-8245-514967858343}"/>
    <cellStyle name="Currency 5 11" xfId="6721" xr:uid="{0A1A5FF7-B1C8-4455-BC0A-1A0494662DFA}"/>
    <cellStyle name="Currency 5 11 2" xfId="17101" xr:uid="{CE1C590A-1E08-492D-A5D4-C48EC666C3D4}"/>
    <cellStyle name="Currency 5 12" xfId="9554" xr:uid="{D0967022-4EB5-4BE0-9D2F-A8094341CF11}"/>
    <cellStyle name="Currency 5 12 2" xfId="19934" xr:uid="{BE20113A-F2EE-459C-BCE6-ECDBC109DA46}"/>
    <cellStyle name="Currency 5 13" xfId="23094" xr:uid="{F26D2CE7-28B3-4E2E-9C07-3001E7351776}"/>
    <cellStyle name="Currency 5 14" xfId="12407" xr:uid="{CF35860C-8F77-4620-8FAD-AD17DEF49300}"/>
    <cellStyle name="Currency 5 2" xfId="591" xr:uid="{00000000-0005-0000-0000-0000E2030000}"/>
    <cellStyle name="Currency 5 2 10" xfId="6722" xr:uid="{E241A098-71E3-45C7-B9E5-0F648599E5C0}"/>
    <cellStyle name="Currency 5 2 10 2" xfId="17102" xr:uid="{9DB1438C-B8F5-4138-997F-97D84CE6F65E}"/>
    <cellStyle name="Currency 5 2 11" xfId="9555" xr:uid="{380C6E5F-325D-453D-B49C-0AD68D0C9071}"/>
    <cellStyle name="Currency 5 2 11 2" xfId="19935" xr:uid="{8C168D19-AB32-4FC5-AE1E-523857214607}"/>
    <cellStyle name="Currency 5 2 12" xfId="22830" xr:uid="{CD754010-E9EC-4548-95AF-18F4EA7CC937}"/>
    <cellStyle name="Currency 5 2 13" xfId="12467" xr:uid="{96E8DC89-4338-4D2F-9FB1-91BCDCC04C70}"/>
    <cellStyle name="Currency 5 2 2" xfId="592" xr:uid="{00000000-0005-0000-0000-0000E3030000}"/>
    <cellStyle name="Currency 5 2 2 10" xfId="9556" xr:uid="{12517C23-DBF5-49AA-90FA-E749FF9B3FD9}"/>
    <cellStyle name="Currency 5 2 2 10 2" xfId="19936" xr:uid="{C8BE885C-3F64-4CD4-9BDA-5C4C40B1FE9E}"/>
    <cellStyle name="Currency 5 2 2 11" xfId="25375" xr:uid="{9F58AD45-78BC-432D-82CA-4ADD14D6E206}"/>
    <cellStyle name="Currency 5 2 2 12" xfId="12534" xr:uid="{E802454A-CA30-4ECF-9F44-10C3636636FD}"/>
    <cellStyle name="Currency 5 2 2 2" xfId="1967" xr:uid="{00000000-0005-0000-0000-0000E4030000}"/>
    <cellStyle name="Currency 5 2 2 2 2" xfId="3108" xr:uid="{00000000-0005-0000-0000-0000CE020000}"/>
    <cellStyle name="Currency 5 2 2 2 2 2" xfId="6174" xr:uid="{BE24A938-2881-4F5D-B62A-4F1162D03E33}"/>
    <cellStyle name="Currency 5 2 2 2 2 2 2" xfId="25853" xr:uid="{F20382A5-D65C-4100-B2A8-7EB455708DDE}"/>
    <cellStyle name="Currency 5 2 2 2 2 2 3" xfId="26681" xr:uid="{8EBAF09A-2434-47C3-B9AB-2BF0BE142A89}"/>
    <cellStyle name="Currency 5 2 2 2 2 2 4" xfId="15735" xr:uid="{71DF357E-08E2-481E-A961-D9A9A85D0FE6}"/>
    <cellStyle name="Currency 5 2 2 2 2 3" xfId="8188" xr:uid="{F888BC8D-2822-4D7A-8F80-B60D7A25CE3A}"/>
    <cellStyle name="Currency 5 2 2 2 2 3 2" xfId="18568" xr:uid="{691322DB-4935-4B9B-9354-691D3668F327}"/>
    <cellStyle name="Currency 5 2 2 2 2 4" xfId="11021" xr:uid="{59742B54-0DA4-486F-9740-1D38F5BE12FD}"/>
    <cellStyle name="Currency 5 2 2 2 2 4 2" xfId="21401" xr:uid="{F9F6A6C8-279B-4E64-9E63-3C8E184E9F76}"/>
    <cellStyle name="Currency 5 2 2 2 2 5" xfId="23951" xr:uid="{088AD340-C2CC-47BE-8891-D6CC3414FE2E}"/>
    <cellStyle name="Currency 5 2 2 2 2 6" xfId="27621" xr:uid="{3C20AB5A-5E9F-43FE-AFE1-016CD4FFEADD}"/>
    <cellStyle name="Currency 5 2 2 2 2 7" xfId="13628" xr:uid="{B10AB8D8-0FC4-4067-ACD0-E5B0002F9029}"/>
    <cellStyle name="Currency 5 2 2 2 3" xfId="2701" xr:uid="{00000000-0005-0000-0000-0000CD020000}"/>
    <cellStyle name="Currency 5 2 2 2 3 2" xfId="7825" xr:uid="{0FA2EE59-89F7-42BE-AFCA-13B241F95610}"/>
    <cellStyle name="Currency 5 2 2 2 3 2 2" xfId="28283" xr:uid="{C2137D5F-7224-4361-94BB-42021950E03A}"/>
    <cellStyle name="Currency 5 2 2 2 3 2 3" xfId="27887" xr:uid="{8B47DE6B-C0A3-4808-BD11-76C664370C32}"/>
    <cellStyle name="Currency 5 2 2 2 3 2 4" xfId="18205" xr:uid="{DE64AA34-7A3F-4BE8-AC87-76B82DFB15AA}"/>
    <cellStyle name="Currency 5 2 2 2 3 3" xfId="10658" xr:uid="{4D2AD998-5A82-41E0-A69E-3F76050FA43C}"/>
    <cellStyle name="Currency 5 2 2 2 3 3 2" xfId="21038" xr:uid="{BF6A1076-4AD6-4E1B-8DA6-B5CA46C39230}"/>
    <cellStyle name="Currency 5 2 2 2 3 4" xfId="23309" xr:uid="{799AABCF-471B-405C-90D8-CDB7F1658679}"/>
    <cellStyle name="Currency 5 2 2 2 3 5" xfId="15372" xr:uid="{7ACDB224-994C-428F-913A-C2A5B9336ACA}"/>
    <cellStyle name="Currency 5 2 2 2 4" xfId="2048" xr:uid="{00000000-0005-0000-0000-0000E4030000}"/>
    <cellStyle name="Currency 5 2 2 2 4 2" xfId="26835" xr:uid="{C64A4FF9-2FD0-4583-B837-5708E557185E}"/>
    <cellStyle name="Currency 5 2 2 2 4 3" xfId="28444" xr:uid="{70E40412-F726-4A29-B8F5-5630BE3A9276}"/>
    <cellStyle name="Currency 5 2 2 2 5" xfId="4278" xr:uid="{C3D7F732-DE5D-41EF-8592-DE3D2EBC22AC}"/>
    <cellStyle name="Currency 5 2 2 2 5 2" xfId="9050" xr:uid="{2D83AAB7-EE53-414D-B71E-98FD02A0314D}"/>
    <cellStyle name="Currency 5 2 2 2 5 2 2" xfId="19430" xr:uid="{3729AD62-DADD-410C-836C-C0173341262F}"/>
    <cellStyle name="Currency 5 2 2 2 5 2 3" xfId="31054" xr:uid="{65379D5D-A019-44C2-A4F5-8978204D96E1}"/>
    <cellStyle name="Currency 5 2 2 2 5 2 4" xfId="30893" xr:uid="{742D8526-B98A-43F7-82DB-E1B0DFFD6C96}"/>
    <cellStyle name="Currency 5 2 2 2 5 3" xfId="11883" xr:uid="{0FE592E7-404D-48FC-A7B7-7FDE44FBAA0E}"/>
    <cellStyle name="Currency 5 2 2 2 5 3 2" xfId="22263" xr:uid="{9B9EB93E-D50F-45EE-81A7-B342F4A32DB7}"/>
    <cellStyle name="Currency 5 2 2 2 5 4" xfId="26408" xr:uid="{B91ECD61-4C35-4E4A-8D9C-C36D8ADEC10B}"/>
    <cellStyle name="Currency 5 2 2 2 5 5" xfId="26849" xr:uid="{EE06C130-8C70-4964-9F7A-D8C37715BFD6}"/>
    <cellStyle name="Currency 5 2 2 2 5 6" xfId="16597" xr:uid="{4301A36F-BCF2-4881-9C48-F364E56E7571}"/>
    <cellStyle name="Currency 5 2 2 2 6" xfId="5706" xr:uid="{56AE04DD-2B1B-45C9-B774-49C5775046E0}"/>
    <cellStyle name="Currency 5 2 2 2 6 2" xfId="29730" xr:uid="{65C9FCB2-3DEC-4426-9C59-F87A66AA0CC0}"/>
    <cellStyle name="Currency 5 2 2 2 6 2 2" xfId="30993" xr:uid="{AFC39984-8795-40B8-B32F-0117AF697C54}"/>
    <cellStyle name="Currency 5 2 2 2 7" xfId="24566" xr:uid="{EC4152A8-D2AF-4A3A-9787-6E2DEE37E7D4}"/>
    <cellStyle name="Currency 5 2 2 2 8" xfId="13119" xr:uid="{E767FA5A-7327-467C-AF41-77D3C067A458}"/>
    <cellStyle name="Currency 5 2 2 3" xfId="1968" xr:uid="{00000000-0005-0000-0000-0000E5030000}"/>
    <cellStyle name="Currency 5 2 2 3 2" xfId="3109" xr:uid="{00000000-0005-0000-0000-0000CF020000}"/>
    <cellStyle name="Currency 5 2 2 3 2 2" xfId="8189" xr:uid="{13245339-F13E-40A8-839B-4D77E86C6D7A}"/>
    <cellStyle name="Currency 5 2 2 3 2 2 2" xfId="28856" xr:uid="{49F4AEF3-A94A-4BB7-93FF-EEDEC1683101}"/>
    <cellStyle name="Currency 5 2 2 3 2 2 2 2" xfId="31238" xr:uid="{87F82027-79CD-47F8-AA9B-02A445559384}"/>
    <cellStyle name="Currency 5 2 2 3 2 2 2 3" xfId="30895" xr:uid="{17A3B4CC-F29C-453C-BBA9-895349B92972}"/>
    <cellStyle name="Currency 5 2 2 3 2 2 3" xfId="26108" xr:uid="{565CDC13-D9D4-436A-BAA9-98069B5E57AD}"/>
    <cellStyle name="Currency 5 2 2 3 2 2 4" xfId="18569" xr:uid="{7A405561-471D-43CB-9F39-50752F34F453}"/>
    <cellStyle name="Currency 5 2 2 3 2 3" xfId="11022" xr:uid="{3F84DF8C-8F7C-4373-BE1E-22BAFE9DD44F}"/>
    <cellStyle name="Currency 5 2 2 3 2 3 2" xfId="21402" xr:uid="{9DFEDBB8-6F7C-4CBC-8F69-9531275ED852}"/>
    <cellStyle name="Currency 5 2 2 3 2 4" xfId="23584" xr:uid="{9906515C-0ACF-40FA-AA3D-B1FEC0FE45AD}"/>
    <cellStyle name="Currency 5 2 2 3 2 5" xfId="15736" xr:uid="{09C152D0-E30A-445F-806F-9A2FB440B1E9}"/>
    <cellStyle name="Currency 5 2 2 3 3" xfId="3549" xr:uid="{00000000-0005-0000-0000-0000E5030000}"/>
    <cellStyle name="Currency 5 2 2 3 4" xfId="4434" xr:uid="{32BAE54B-9351-4830-AA5E-63816AB07ED5}"/>
    <cellStyle name="Currency 5 2 2 3 4 2" xfId="9206" xr:uid="{87614C63-EABE-46FA-900D-6B5F9639F88D}"/>
    <cellStyle name="Currency 5 2 2 3 4 2 2" xfId="19586" xr:uid="{F36A6D76-44E8-433A-86D5-8EEC553E5D49}"/>
    <cellStyle name="Currency 5 2 2 3 4 2 3" xfId="31100" xr:uid="{448935C6-ECC2-4E7F-9166-42A235C27226}"/>
    <cellStyle name="Currency 5 2 2 3 4 2 4" xfId="30894" xr:uid="{C5657449-ECBB-4564-A545-23B9D035DF66}"/>
    <cellStyle name="Currency 5 2 2 3 4 3" xfId="12039" xr:uid="{E7C9D73E-8A42-41F0-8DDC-A7D39D80369F}"/>
    <cellStyle name="Currency 5 2 2 3 4 3 2" xfId="22419" xr:uid="{85B7CB9A-F6D9-4C07-9848-E505521E2E02}"/>
    <cellStyle name="Currency 5 2 2 3 4 4" xfId="16753" xr:uid="{55D64D6B-C1B4-467E-962E-74EF844202D6}"/>
    <cellStyle name="Currency 5 2 2 3 5" xfId="5707" xr:uid="{64BFFDB4-46D1-483C-8C4F-E280CB1ECB1C}"/>
    <cellStyle name="Currency 5 2 2 3 5 2" xfId="29712" xr:uid="{DD288719-AB35-4C89-88F1-540C0355360C}"/>
    <cellStyle name="Currency 5 2 2 3 5 2 2" xfId="30994" xr:uid="{2203EE67-0F45-4FCA-8501-AF4CCD1B0C73}"/>
    <cellStyle name="Currency 5 2 2 3 6" xfId="24899" xr:uid="{F8B21FAF-1CA2-4C0F-B3E2-9F62AED2DA5F}"/>
    <cellStyle name="Currency 5 2 2 3 7" xfId="13629" xr:uid="{006AB017-2D5D-4BEE-A7CB-912CA41008FB}"/>
    <cellStyle name="Currency 5 2 2 4" xfId="1966" xr:uid="{00000000-0005-0000-0000-0000E6030000}"/>
    <cellStyle name="Currency 5 2 2 4 2" xfId="3107" xr:uid="{00000000-0005-0000-0000-0000D0020000}"/>
    <cellStyle name="Currency 5 2 2 4 2 2" xfId="8187" xr:uid="{EC4D431F-F668-4FCE-815C-FD5EACEEDF85}"/>
    <cellStyle name="Currency 5 2 2 4 2 2 2" xfId="28855" xr:uid="{7C5B0695-8C13-41C0-ACF4-145D7F65FF93}"/>
    <cellStyle name="Currency 5 2 2 4 2 2 3" xfId="28615" xr:uid="{8D54ADB9-69AE-475B-AE53-5F93F4C469AC}"/>
    <cellStyle name="Currency 5 2 2 4 2 2 4" xfId="18567" xr:uid="{3CB38A1D-D5FD-45BB-979C-084854CB23D1}"/>
    <cellStyle name="Currency 5 2 2 4 2 3" xfId="11020" xr:uid="{1EDC9C14-BB5A-42E7-8C1B-2A6A66C32E66}"/>
    <cellStyle name="Currency 5 2 2 4 2 3 2" xfId="21400" xr:uid="{4B569564-AC9C-4E2F-A36D-AB280A0C0C45}"/>
    <cellStyle name="Currency 5 2 2 4 2 4" xfId="26803" xr:uid="{D3CBC96C-8DCC-4604-856F-C197D0CBC5C0}"/>
    <cellStyle name="Currency 5 2 2 4 2 5" xfId="15734" xr:uid="{EC11DDBB-96CA-4144-A30D-CF3021608613}"/>
    <cellStyle name="Currency 5 2 2 4 3" xfId="3681" xr:uid="{00000000-0005-0000-0000-0000E6030000}"/>
    <cellStyle name="Currency 5 2 2 4 4" xfId="5705" xr:uid="{F0F3577E-AEB9-46D9-839A-DC5FBFCEA274}"/>
    <cellStyle name="Currency 5 2 2 4 4 2" xfId="29975" xr:uid="{1A47C2B6-3535-4DAD-8D31-63333AA84210}"/>
    <cellStyle name="Currency 5 2 2 4 5" xfId="23000" xr:uid="{33E7FD05-6AC1-4553-A763-5F9ADDC95EFB}"/>
    <cellStyle name="Currency 5 2 2 4 6" xfId="13627" xr:uid="{A1CD338B-CC30-4727-B3F0-0E4E5CC6C8A2}"/>
    <cellStyle name="Currency 5 2 2 5" xfId="2643" xr:uid="{00000000-0005-0000-0000-0000D1020000}"/>
    <cellStyle name="Currency 5 2 2 5 2" xfId="5905" xr:uid="{01A77C53-D4B3-4B4A-A7AA-DA49AF807277}"/>
    <cellStyle name="Currency 5 2 2 5 2 2" xfId="28063" xr:uid="{8EF9D5B8-AD4E-41E9-A228-6AF16D4B036F}"/>
    <cellStyle name="Currency 5 2 2 5 2 2 2" xfId="31201" xr:uid="{E9A01D91-80DD-41A2-BDF4-F2C3BA223E61}"/>
    <cellStyle name="Currency 5 2 2 5 2 2 3" xfId="30896" xr:uid="{4927734C-1128-4F35-ADA5-EBE5F5527F8D}"/>
    <cellStyle name="Currency 5 2 2 5 2 3" xfId="28473" xr:uid="{82D05B3D-86D8-4506-AE14-DBD6FF00D9F8}"/>
    <cellStyle name="Currency 5 2 2 5 2 4" xfId="15315" xr:uid="{73BC589D-4447-4249-B1BB-4F0E836F79EB}"/>
    <cellStyle name="Currency 5 2 2 5 3" xfId="7768" xr:uid="{0BCD7F6B-EB32-4F4B-BE32-1005B1112FD0}"/>
    <cellStyle name="Currency 5 2 2 5 3 2" xfId="18148" xr:uid="{39F2C129-AC1D-49B2-8889-3EA2F448443B}"/>
    <cellStyle name="Currency 5 2 2 5 4" xfId="10601" xr:uid="{D3A2D10F-02C4-4FC8-8984-C693054A334C}"/>
    <cellStyle name="Currency 5 2 2 5 4 2" xfId="20981" xr:uid="{7E6ADA5D-3DC7-41ED-99C9-A4042922E532}"/>
    <cellStyle name="Currency 5 2 2 5 5" xfId="23545" xr:uid="{2A62B28A-3D7D-44E1-830E-A4B18F3C462C}"/>
    <cellStyle name="Currency 5 2 2 5 6" xfId="13032" xr:uid="{BC0D04A2-EDC2-44C0-8A7A-ECF31AD1A87E}"/>
    <cellStyle name="Currency 5 2 2 6" xfId="2302" xr:uid="{00000000-0005-0000-0000-0000CC020000}"/>
    <cellStyle name="Currency 5 2 2 6 2" xfId="7429" xr:uid="{33D726B9-173A-495B-A4BA-834CE620BF69}"/>
    <cellStyle name="Currency 5 2 2 6 2 2" xfId="17809" xr:uid="{856799D2-AB87-4DD2-9C94-BFDB3D72AE03}"/>
    <cellStyle name="Currency 5 2 2 6 3" xfId="10262" xr:uid="{A462F4E5-48AC-4A2C-992B-92C429FC328E}"/>
    <cellStyle name="Currency 5 2 2 6 3 2" xfId="20642" xr:uid="{5D9F252F-0DAB-4171-9706-3A1FB1F31BA3}"/>
    <cellStyle name="Currency 5 2 2 6 4" xfId="22672" xr:uid="{60C51A38-352A-40DD-A8EB-74F53D2FCD6C}"/>
    <cellStyle name="Currency 5 2 2 6 5" xfId="28365" xr:uid="{3779EA25-6211-41A3-BEC2-2229A6763BFA}"/>
    <cellStyle name="Currency 5 2 2 6 6" xfId="14976" xr:uid="{5552B899-4FCC-4E4B-BB6F-B5232499BD8E}"/>
    <cellStyle name="Currency 5 2 2 7" xfId="3833" xr:uid="{58CAFAE7-4ECC-4D05-802A-591E6F0FD407}"/>
    <cellStyle name="Currency 5 2 2 7 2" xfId="8666" xr:uid="{3E47732A-E67C-496E-A27B-A49411598E3D}"/>
    <cellStyle name="Currency 5 2 2 7 2 2" xfId="19046" xr:uid="{E366572E-1173-45A7-B79D-6E597AD48165}"/>
    <cellStyle name="Currency 5 2 2 7 3" xfId="11499" xr:uid="{5D129DB0-375F-4A95-A0F4-3754244C1E48}"/>
    <cellStyle name="Currency 5 2 2 7 3 2" xfId="21879" xr:uid="{172E324E-C1CA-4DC2-9EC6-D823E04B7C3C}"/>
    <cellStyle name="Currency 5 2 2 7 4" xfId="28165" xr:uid="{D0852ACE-D955-4A7A-B56D-9C118288E0DC}"/>
    <cellStyle name="Currency 5 2 2 7 5" xfId="26372" xr:uid="{40CB9855-3EF7-4ABB-B7BD-BE754A9C6D1E}"/>
    <cellStyle name="Currency 5 2 2 7 6" xfId="16213" xr:uid="{28EF5B7D-0FFC-4496-99BB-22D48954D381}"/>
    <cellStyle name="Currency 5 2 2 8" xfId="4975" xr:uid="{9D741363-ECFB-4E78-AFE7-4000DC29E105}"/>
    <cellStyle name="Currency 5 2 2 8 2" xfId="14270" xr:uid="{D1F2BAB2-2536-4CDA-B233-F70097286BE6}"/>
    <cellStyle name="Currency 5 2 2 9" xfId="6723" xr:uid="{D10E9798-92C9-4F75-AC71-6A5E424527EA}"/>
    <cellStyle name="Currency 5 2 2 9 2" xfId="17103" xr:uid="{1919B9F7-EDFA-44F2-944A-76EF107B027F}"/>
    <cellStyle name="Currency 5 2 3" xfId="593" xr:uid="{00000000-0005-0000-0000-0000E7030000}"/>
    <cellStyle name="Currency 5 2 3 10" xfId="12692" xr:uid="{49183BEA-A4DB-49F9-8A1B-1EAE12D1B3C9}"/>
    <cellStyle name="Currency 5 2 3 2" xfId="1970" xr:uid="{00000000-0005-0000-0000-0000E8030000}"/>
    <cellStyle name="Currency 5 2 3 2 2" xfId="3110" xr:uid="{00000000-0005-0000-0000-0000D3020000}"/>
    <cellStyle name="Currency 5 2 3 2 2 2" xfId="8190" xr:uid="{E868AF50-4A6D-44BC-83C9-209DB309BB0F}"/>
    <cellStyle name="Currency 5 2 3 2 2 2 2" xfId="28857" xr:uid="{3BF9C56A-BDC1-4F4D-A53B-A83632B095C2}"/>
    <cellStyle name="Currency 5 2 3 2 2 2 3" xfId="28156" xr:uid="{4F0EEC13-E5DE-4629-8270-13F61F99DAFD}"/>
    <cellStyle name="Currency 5 2 3 2 2 2 4" xfId="18570" xr:uid="{BA89C912-96B1-42CB-9CB7-76ECD2E69A53}"/>
    <cellStyle name="Currency 5 2 3 2 2 3" xfId="11023" xr:uid="{B32F4D25-280E-4123-BC8C-A882B4C247D2}"/>
    <cellStyle name="Currency 5 2 3 2 2 3 2" xfId="21403" xr:uid="{AB4B76B5-E409-402B-A20C-F8E07C5FC7A2}"/>
    <cellStyle name="Currency 5 2 3 2 2 4" xfId="24400" xr:uid="{19D40202-82EB-4A14-9C2F-762EB18BA50F}"/>
    <cellStyle name="Currency 5 2 3 2 2 5" xfId="15737" xr:uid="{B043A422-93FE-44A2-A3D7-AC99CBEFA6FB}"/>
    <cellStyle name="Currency 5 2 3 2 3" xfId="3665" xr:uid="{00000000-0005-0000-0000-0000E8030000}"/>
    <cellStyle name="Currency 5 2 3 2 4" xfId="5708" xr:uid="{5ED9074E-CFC1-4F0E-AAA7-8ED93D6F736E}"/>
    <cellStyle name="Currency 5 2 3 2 4 2" xfId="29976" xr:uid="{EA9668FA-7D48-4451-A463-CEDC38FAAA6D}"/>
    <cellStyle name="Currency 5 2 3 2 5" xfId="24148" xr:uid="{A436BADA-01CA-44B5-B13D-BF91D5BD6C72}"/>
    <cellStyle name="Currency 5 2 3 2 6" xfId="13630" xr:uid="{2A0D9A90-7C39-497B-99CC-B6BDC390AD1B}"/>
    <cellStyle name="Currency 5 2 3 3" xfId="1971" xr:uid="{00000000-0005-0000-0000-0000E9030000}"/>
    <cellStyle name="Currency 5 2 3 3 2" xfId="2700" xr:uid="{00000000-0005-0000-0000-0000D4020000}"/>
    <cellStyle name="Currency 5 2 3 3 2 2" xfId="7824" xr:uid="{D0CDFCE5-20BF-42ED-9EFB-FAB04946587F}"/>
    <cellStyle name="Currency 5 2 3 3 2 2 2" xfId="18204" xr:uid="{3BCED285-7CC5-4070-8A11-76E588F6BC4F}"/>
    <cellStyle name="Currency 5 2 3 3 2 3" xfId="10657" xr:uid="{33CCFA73-7431-4161-8256-7B377A9BDBFA}"/>
    <cellStyle name="Currency 5 2 3 3 2 3 2" xfId="21037" xr:uid="{9BC23E41-2CDA-49D1-80AC-DF071D9AEEBF}"/>
    <cellStyle name="Currency 5 2 3 3 2 4" xfId="15371" xr:uid="{0B0E1420-F3F3-4F8F-A6BE-B2272087307F}"/>
    <cellStyle name="Currency 5 2 3 3 2 5" xfId="30459" xr:uid="{DAB7CACA-8941-4CE4-B122-9A8774B9A021}"/>
    <cellStyle name="Currency 5 2 3 3 3" xfId="3579" xr:uid="{00000000-0005-0000-0000-0000E9030000}"/>
    <cellStyle name="Currency 5 2 3 3 4" xfId="5709" xr:uid="{59616245-D824-46F1-81B0-F7CE84542057}"/>
    <cellStyle name="Currency 5 2 3 3 4 2" xfId="29919" xr:uid="{9D672207-4D78-471A-8306-1D5902F0DCD8}"/>
    <cellStyle name="Currency 5 2 3 3 5" xfId="25057" xr:uid="{F07ECF11-1D7B-4D79-A0FD-D2F0BF3D7837}"/>
    <cellStyle name="Currency 5 2 3 3 6" xfId="13118" xr:uid="{FF00E2A5-B4FB-49BB-96AB-5F24D126800F}"/>
    <cellStyle name="Currency 5 2 3 4" xfId="1969" xr:uid="{00000000-0005-0000-0000-0000EA030000}"/>
    <cellStyle name="Currency 5 2 3 4 2" xfId="3775" xr:uid="{9AA53097-E567-4935-BA95-65CC50D0B73B}"/>
    <cellStyle name="Currency 5 2 3 4 2 2" xfId="8617" xr:uid="{CCB07CC6-C475-4E96-BCAA-C52F5825DCF7}"/>
    <cellStyle name="Currency 5 2 3 4 2 2 2" xfId="18997" xr:uid="{04CD8D01-CEF3-4C9C-9BD0-1F5042A669E1}"/>
    <cellStyle name="Currency 5 2 3 4 2 3" xfId="11450" xr:uid="{225A8900-8F68-4269-B454-4E2E9025351E}"/>
    <cellStyle name="Currency 5 2 3 4 2 3 2" xfId="21830" xr:uid="{C188CF2C-115D-430F-9000-0E4E6571A19D}"/>
    <cellStyle name="Currency 5 2 3 4 2 4" xfId="26215" xr:uid="{0570CA31-8D59-46B5-8184-FEF8F7383B00}"/>
    <cellStyle name="Currency 5 2 3 4 2 5" xfId="26375" xr:uid="{28A2C1DE-F28A-4A55-9019-D1FB2D6D72D0}"/>
    <cellStyle name="Currency 5 2 3 4 2 6" xfId="16164" xr:uid="{F5D30928-98B2-467C-B2BC-D2080B97E6F0}"/>
    <cellStyle name="Currency 5 2 3 4 3" xfId="23679" xr:uid="{D15642E2-80E6-4635-98B9-0DDE89D66073}"/>
    <cellStyle name="Currency 5 2 3 5" xfId="4144" xr:uid="{BBE70D2D-604E-48B2-9D68-4A06E241AAB5}"/>
    <cellStyle name="Currency 5 2 3 5 2" xfId="8916" xr:uid="{A3449125-85BB-4347-9B52-EF23126E01C2}"/>
    <cellStyle name="Currency 5 2 3 5 2 2" xfId="29017" xr:uid="{6EB8AFAA-0881-4674-A52E-7A008315E4E0}"/>
    <cellStyle name="Currency 5 2 3 5 2 3" xfId="27598" xr:uid="{6EAEA2C4-443D-4C95-8CB1-EB87AE134AB5}"/>
    <cellStyle name="Currency 5 2 3 5 2 4" xfId="19296" xr:uid="{3D378635-15D0-4947-BD6B-4C612F00492B}"/>
    <cellStyle name="Currency 5 2 3 5 2 5" xfId="31024" xr:uid="{0D38C156-3687-44A0-89ED-AC90BFF6346D}"/>
    <cellStyle name="Currency 5 2 3 5 3" xfId="11749" xr:uid="{10C9EC3E-9AE2-4D9B-8479-211D3D07ED47}"/>
    <cellStyle name="Currency 5 2 3 5 3 2" xfId="22129" xr:uid="{15C832C3-6FF0-4856-A177-D03E7D068492}"/>
    <cellStyle name="Currency 5 2 3 5 4" xfId="26968" xr:uid="{F0640651-E4BA-485E-91B0-95C69E14D0AE}"/>
    <cellStyle name="Currency 5 2 3 5 5" xfId="16463" xr:uid="{BF109E69-ADD6-4229-AE11-DEB910336621}"/>
    <cellStyle name="Currency 5 2 3 6" xfId="4976" xr:uid="{19071EE0-5BFD-4F9E-9132-C53B4E247934}"/>
    <cellStyle name="Currency 5 2 3 6 2" xfId="28609" xr:uid="{5CCE0AB4-0287-4537-BF16-6DCB69FE2869}"/>
    <cellStyle name="Currency 5 2 3 6 3" xfId="27545" xr:uid="{69E98944-73A7-42A3-85AF-E17CD6BE819A}"/>
    <cellStyle name="Currency 5 2 3 6 4" xfId="14271" xr:uid="{9F6DB649-75FE-4421-9D34-EF7190C56541}"/>
    <cellStyle name="Currency 5 2 3 7" xfId="6724" xr:uid="{159000B8-7CC5-4955-8443-5AF2213C3E1C}"/>
    <cellStyle name="Currency 5 2 3 7 2" xfId="27880" xr:uid="{F909FE96-1CC9-415B-BC21-01A6FFCF83BC}"/>
    <cellStyle name="Currency 5 2 3 7 3" xfId="25976" xr:uid="{94FF8E5B-AA91-4B15-97A2-1A1AE04C25C4}"/>
    <cellStyle name="Currency 5 2 3 7 4" xfId="17104" xr:uid="{1DC87CFE-6CBF-4909-AECA-D5D13067C0F9}"/>
    <cellStyle name="Currency 5 2 3 8" xfId="9557" xr:uid="{2E40F6E5-2FED-4555-BFC0-2C0C435350C4}"/>
    <cellStyle name="Currency 5 2 3 8 2" xfId="19937" xr:uid="{220242D1-ABC7-43E6-B0E8-FF42CA590FC7}"/>
    <cellStyle name="Currency 5 2 3 9" xfId="22665" xr:uid="{D9AD0612-914B-436B-8DAE-F1188956DD8B}"/>
    <cellStyle name="Currency 5 2 4" xfId="1972" xr:uid="{00000000-0005-0000-0000-0000EB030000}"/>
    <cellStyle name="Currency 5 2 4 2" xfId="3111" xr:uid="{00000000-0005-0000-0000-0000D5020000}"/>
    <cellStyle name="Currency 5 2 4 2 2" xfId="8191" xr:uid="{25AFDB09-23E2-482C-8E76-09BB28DEADCF}"/>
    <cellStyle name="Currency 5 2 4 2 2 2" xfId="28858" xr:uid="{06FCD6AD-893B-4A36-A0AD-D369F771C15A}"/>
    <cellStyle name="Currency 5 2 4 2 2 2 2" xfId="31239" xr:uid="{73676227-5E83-4702-8972-5E4E8CEB392D}"/>
    <cellStyle name="Currency 5 2 4 2 2 2 3" xfId="30898" xr:uid="{13AFE293-B1E9-4C3C-B65C-D9B74021402C}"/>
    <cellStyle name="Currency 5 2 4 2 2 3" xfId="26052" xr:uid="{4EF20C12-2878-49D2-8D87-1A4B0612BC68}"/>
    <cellStyle name="Currency 5 2 4 2 2 4" xfId="18571" xr:uid="{53A0814F-3C91-470B-9122-F71FDD3F23C7}"/>
    <cellStyle name="Currency 5 2 4 2 3" xfId="11024" xr:uid="{B5B91CCF-256F-4CE3-BF8B-CED889D41FC5}"/>
    <cellStyle name="Currency 5 2 4 2 3 2" xfId="21404" xr:uid="{0C977F6E-A74F-42C8-9858-D8827CB31566}"/>
    <cellStyle name="Currency 5 2 4 2 4" xfId="23957" xr:uid="{83B7EFE6-940B-4612-89E7-D38FCF8EE350}"/>
    <cellStyle name="Currency 5 2 4 2 5" xfId="15738" xr:uid="{E729032C-0C99-45F8-AE83-A66126EFFACB}"/>
    <cellStyle name="Currency 5 2 4 3" xfId="2049" xr:uid="{00000000-0005-0000-0000-0000EB030000}"/>
    <cellStyle name="Currency 5 2 4 4" xfId="4435" xr:uid="{EAF59091-946C-4F5C-9343-3EB106ED6014}"/>
    <cellStyle name="Currency 5 2 4 4 2" xfId="9207" xr:uid="{9DE673C5-9FAC-4C6B-A3AD-1258CD7F4F41}"/>
    <cellStyle name="Currency 5 2 4 4 2 2" xfId="19587" xr:uid="{7306ABE8-FFF7-463F-8A00-99CCC9E3B069}"/>
    <cellStyle name="Currency 5 2 4 4 2 3" xfId="31101" xr:uid="{04F8AB4D-3583-413E-A867-E9E1E954177D}"/>
    <cellStyle name="Currency 5 2 4 4 2 4" xfId="30897" xr:uid="{033065B8-3DEE-4E7E-9008-7D6E15491596}"/>
    <cellStyle name="Currency 5 2 4 4 3" xfId="12040" xr:uid="{84643D44-AB5A-4804-B4B3-D8D413675A2D}"/>
    <cellStyle name="Currency 5 2 4 4 3 2" xfId="22420" xr:uid="{BB6414FD-0893-461E-A134-D075A290A690}"/>
    <cellStyle name="Currency 5 2 4 4 4" xfId="28673" xr:uid="{D727F6B1-6619-4645-A993-510B5AE51350}"/>
    <cellStyle name="Currency 5 2 4 4 5" xfId="28190" xr:uid="{E3AEF5FB-7525-4F93-99F2-9954E237AACE}"/>
    <cellStyle name="Currency 5 2 4 4 6" xfId="16754" xr:uid="{3E4750C6-930A-4339-AE91-F90BECE985F2}"/>
    <cellStyle name="Currency 5 2 4 5" xfId="5710" xr:uid="{81CCBD4C-4647-4780-BDEB-D175A3F5ADBE}"/>
    <cellStyle name="Currency 5 2 4 5 2" xfId="29694" xr:uid="{5AD77B6F-1F47-49A8-8F2D-FBDD0BA971A3}"/>
    <cellStyle name="Currency 5 2 4 5 2 2" xfId="30995" xr:uid="{61B4BDAA-FE5F-4AB7-9E5D-32E54EF4F78A}"/>
    <cellStyle name="Currency 5 2 4 6" xfId="22716" xr:uid="{912E2D58-135C-466F-977B-D7FCE32E6FF0}"/>
    <cellStyle name="Currency 5 2 4 7" xfId="13631" xr:uid="{3CE5B02C-94B0-4AC5-8DF4-DCF0A61C21CA}"/>
    <cellStyle name="Currency 5 2 5" xfId="1973" xr:uid="{00000000-0005-0000-0000-0000EC030000}"/>
    <cellStyle name="Currency 5 2 5 2" xfId="2889" xr:uid="{00000000-0005-0000-0000-0000D6020000}"/>
    <cellStyle name="Currency 5 2 5 2 2" xfId="8006" xr:uid="{76E26953-D137-4A0D-A497-4B6AC98CE538}"/>
    <cellStyle name="Currency 5 2 5 2 2 2" xfId="28657" xr:uid="{63423EA7-9E9C-41A3-9548-819C174CD01F}"/>
    <cellStyle name="Currency 5 2 5 2 2 2 2" xfId="31212" xr:uid="{BF6DB955-8871-4EAF-9EB8-C68B85D30551}"/>
    <cellStyle name="Currency 5 2 5 2 2 2 3" xfId="30899" xr:uid="{C2C9D297-6FFA-48E8-8FCF-9BB4213F41C3}"/>
    <cellStyle name="Currency 5 2 5 2 2 3" xfId="26012" xr:uid="{37321E1F-694C-4E0C-9870-7424F46302A7}"/>
    <cellStyle name="Currency 5 2 5 2 2 4" xfId="18386" xr:uid="{7CFBABE8-19D0-41B9-A18C-0F534E5095CC}"/>
    <cellStyle name="Currency 5 2 5 2 3" xfId="10839" xr:uid="{B90DC41B-6A12-425B-AEEF-D5D78A8A4A53}"/>
    <cellStyle name="Currency 5 2 5 2 3 2" xfId="21219" xr:uid="{3D52AE92-5923-457B-9350-B22A4AE1191A}"/>
    <cellStyle name="Currency 5 2 5 2 4" xfId="25928" xr:uid="{DAB2A62E-EF04-4D21-ABCA-3D8381BF181C}"/>
    <cellStyle name="Currency 5 2 5 2 5" xfId="15553" xr:uid="{86AEB658-238E-45DA-8F63-23B312B7D1A9}"/>
    <cellStyle name="Currency 5 2 5 3" xfId="3608" xr:uid="{00000000-0005-0000-0000-0000EC030000}"/>
    <cellStyle name="Currency 5 2 5 4" xfId="5711" xr:uid="{34D882F9-3A98-4786-A61F-2BA19F885A26}"/>
    <cellStyle name="Currency 5 2 5 4 2" xfId="29929" xr:uid="{7102F65A-C7BE-4D84-A759-F42C9E8516B6}"/>
    <cellStyle name="Currency 5 2 5 5" xfId="23045" xr:uid="{C6FB78A3-7FB3-4C8B-AE13-0BA29A31CEF6}"/>
    <cellStyle name="Currency 5 2 5 6" xfId="13390" xr:uid="{23481EF7-DAB4-448F-896D-7EFA49323FD9}"/>
    <cellStyle name="Currency 5 2 6" xfId="1965" xr:uid="{00000000-0005-0000-0000-0000ED030000}"/>
    <cellStyle name="Currency 5 2 6 2" xfId="2541" xr:uid="{00000000-0005-0000-0000-0000D7020000}"/>
    <cellStyle name="Currency 5 2 6 2 2" xfId="7666" xr:uid="{74261CAA-4101-473F-B347-C83F8EAEB42F}"/>
    <cellStyle name="Currency 5 2 6 2 2 2" xfId="18046" xr:uid="{49FBE54B-FD8E-4F2D-838F-4B8FC9ADB860}"/>
    <cellStyle name="Currency 5 2 6 2 3" xfId="10499" xr:uid="{556E629B-FE91-426B-933D-E95FA4998D76}"/>
    <cellStyle name="Currency 5 2 6 2 3 2" xfId="20879" xr:uid="{E11A0ED8-348A-4DA6-9D90-EEF14F0BBC40}"/>
    <cellStyle name="Currency 5 2 6 2 4" xfId="26578" xr:uid="{C9B861A8-D8EB-43AD-B25A-681F5470E314}"/>
    <cellStyle name="Currency 5 2 6 2 5" xfId="25903" xr:uid="{66E2E6D2-0C15-4FBD-B3CD-FFBE6CC078CC}"/>
    <cellStyle name="Currency 5 2 6 2 6" xfId="15213" xr:uid="{2507063B-74EC-4F1F-AF09-CFD95B288AF3}"/>
    <cellStyle name="Currency 5 2 6 3" xfId="3594" xr:uid="{00000000-0005-0000-0000-0000ED030000}"/>
    <cellStyle name="Currency 5 2 6 4" xfId="5704" xr:uid="{6044BC41-93EB-4D46-8847-7E28FDC1C7F0}"/>
    <cellStyle name="Currency 5 2 6 4 2" xfId="29879" xr:uid="{C483D0FC-BB86-4D28-A080-8736F3CBDE28}"/>
    <cellStyle name="Currency 5 2 6 5" xfId="23121" xr:uid="{DFB24F9D-60E6-480E-886E-475EF7F1242B}"/>
    <cellStyle name="Currency 5 2 6 6" xfId="12929" xr:uid="{244FD039-EA37-4B72-A255-228CC58257FA}"/>
    <cellStyle name="Currency 5 2 7" xfId="2235" xr:uid="{00000000-0005-0000-0000-0000CB020000}"/>
    <cellStyle name="Currency 5 2 7 2" xfId="7362" xr:uid="{46D783E5-C67D-4AD0-83C0-CF4DD70F2D04}"/>
    <cellStyle name="Currency 5 2 7 2 2" xfId="26298" xr:uid="{0094EF5E-9118-446E-8932-915721C49C84}"/>
    <cellStyle name="Currency 5 2 7 2 2 2" xfId="31175" xr:uid="{0ABF76C8-146E-4EA9-9EF4-12330D97B2F4}"/>
    <cellStyle name="Currency 5 2 7 2 2 3" xfId="30900" xr:uid="{B13E3068-9BEB-46ED-BF85-C4985B631957}"/>
    <cellStyle name="Currency 5 2 7 2 3" xfId="26142" xr:uid="{8D63E90A-D234-400F-9E75-4182E9C21698}"/>
    <cellStyle name="Currency 5 2 7 2 4" xfId="17742" xr:uid="{F397A08D-393B-4E26-BD24-2E6F720FBD36}"/>
    <cellStyle name="Currency 5 2 7 3" xfId="10195" xr:uid="{E9F0637B-A05F-4E9D-8BA2-C2EBC2EFAA4D}"/>
    <cellStyle name="Currency 5 2 7 3 2" xfId="20575" xr:uid="{BC39AA1D-EDCB-4BA3-9D5E-5853FA61C57D}"/>
    <cellStyle name="Currency 5 2 7 4" xfId="25306" xr:uid="{35146824-73C6-468D-82D5-4BCD67342811}"/>
    <cellStyle name="Currency 5 2 7 5" xfId="14909" xr:uid="{7EB1EE87-E11D-47CB-A2B8-C4724D639E82}"/>
    <cellStyle name="Currency 5 2 8" xfId="3891" xr:uid="{F5558CD4-A4A2-4E3D-AB6A-144E8681197F}"/>
    <cellStyle name="Currency 5 2 8 2" xfId="8723" xr:uid="{2F1B63F7-D083-429E-B1CA-1A6BFE7DDEA4}"/>
    <cellStyle name="Currency 5 2 8 2 2" xfId="19103" xr:uid="{AA81A8B7-20C9-4F9B-90A1-BEB1376ACEFA}"/>
    <cellStyle name="Currency 5 2 8 3" xfId="11556" xr:uid="{75471A33-C8F0-40CF-B5BF-4A81D5F9A038}"/>
    <cellStyle name="Currency 5 2 8 3 2" xfId="21936" xr:uid="{1A25BBFC-EAD0-476B-B10E-5BE1DFD38444}"/>
    <cellStyle name="Currency 5 2 8 4" xfId="27961" xr:uid="{38D58FC1-9BAF-45DE-9227-885220FBB692}"/>
    <cellStyle name="Currency 5 2 8 5" xfId="28579" xr:uid="{145D1AFD-484B-4FDE-876F-13C665ED8789}"/>
    <cellStyle name="Currency 5 2 8 6" xfId="16270" xr:uid="{82A908FC-D9AF-4CB9-9FAE-0596054F1EA2}"/>
    <cellStyle name="Currency 5 2 9" xfId="4974" xr:uid="{83D789FE-00E7-4353-9F50-F27A53E5C0A6}"/>
    <cellStyle name="Currency 5 2 9 2" xfId="25929" xr:uid="{D31F2547-600E-4F5D-B779-A3F82E3BA780}"/>
    <cellStyle name="Currency 5 2 9 3" xfId="27071" xr:uid="{080F0B0A-5BC7-4901-AD69-507C20B1622B}"/>
    <cellStyle name="Currency 5 2 9 4" xfId="14269" xr:uid="{5C56210C-0634-43D4-9558-692036755A96}"/>
    <cellStyle name="Currency 5 3" xfId="594" xr:uid="{00000000-0005-0000-0000-0000EE030000}"/>
    <cellStyle name="Currency 5 3 10" xfId="9558" xr:uid="{2A505504-F946-417F-8A75-43BF4BB35F9D}"/>
    <cellStyle name="Currency 5 3 10 2" xfId="19938" xr:uid="{A7220A94-B2B4-4AE1-9570-D96C08F7CB0B}"/>
    <cellStyle name="Currency 5 3 11" xfId="23033" xr:uid="{526A7DBF-D3D2-442D-9A54-DD31D9FDF6E8}"/>
    <cellStyle name="Currency 5 3 12" xfId="12533" xr:uid="{20BE156C-F121-4FA0-B6FD-EE6E99003D67}"/>
    <cellStyle name="Currency 5 3 2" xfId="1975" xr:uid="{00000000-0005-0000-0000-0000EF030000}"/>
    <cellStyle name="Currency 5 3 2 2" xfId="3113" xr:uid="{00000000-0005-0000-0000-0000DA020000}"/>
    <cellStyle name="Currency 5 3 2 2 2" xfId="6175" xr:uid="{2A83A707-9693-4504-A63C-CB91999D274E}"/>
    <cellStyle name="Currency 5 3 2 2 2 2" xfId="24181" xr:uid="{957406F0-CF59-4D3C-9C8C-E18064A609A3}"/>
    <cellStyle name="Currency 5 3 2 2 2 2 2" xfId="28716" xr:uid="{30692465-3C1C-4D4C-BF5B-4B86D75AD3A7}"/>
    <cellStyle name="Currency 5 3 2 2 2 2 3" xfId="31151" xr:uid="{50F8AEFD-436B-4734-8134-882238514C1B}"/>
    <cellStyle name="Currency 5 3 2 2 2 3" xfId="28081" xr:uid="{44E0DBA9-7F9D-4F75-A250-7B439F25517A}"/>
    <cellStyle name="Currency 5 3 2 2 2 4" xfId="15740" xr:uid="{ECECBAE7-FE6A-418C-A364-9CC2967EB8CB}"/>
    <cellStyle name="Currency 5 3 2 2 3" xfId="8193" xr:uid="{B638F41F-98D3-49A1-A601-35D9335CCE81}"/>
    <cellStyle name="Currency 5 3 2 2 3 2" xfId="18573" xr:uid="{DCE59326-8858-4E51-A3B0-845F3FA7CFDF}"/>
    <cellStyle name="Currency 5 3 2 2 4" xfId="11026" xr:uid="{56957B04-499B-48B4-98D4-D7E7F4C67751}"/>
    <cellStyle name="Currency 5 3 2 2 4 2" xfId="21406" xr:uid="{8C77967D-6BBC-4B84-B128-12C314811052}"/>
    <cellStyle name="Currency 5 3 2 2 5" xfId="24904" xr:uid="{54FD32AF-935F-4AE0-935A-654E37BB2CEA}"/>
    <cellStyle name="Currency 5 3 2 2 5 2" xfId="30077" xr:uid="{F958E69A-68BF-4BA9-81F7-14578EED27A9}"/>
    <cellStyle name="Currency 5 3 2 2 6" xfId="26921" xr:uid="{AF32DBC3-ACF6-4745-AD7B-F110F70C1559}"/>
    <cellStyle name="Currency 5 3 2 2 7" xfId="13633" xr:uid="{76CCBC9C-1C00-49D1-B059-63613061B900}"/>
    <cellStyle name="Currency 5 3 2 3" xfId="2702" xr:uid="{00000000-0005-0000-0000-0000D9020000}"/>
    <cellStyle name="Currency 5 3 2 3 2" xfId="7826" xr:uid="{5C7BCAA3-9C9F-492F-8861-2AD267BF934E}"/>
    <cellStyle name="Currency 5 3 2 3 2 2" xfId="27068" xr:uid="{55EF035C-8796-42AA-B3B7-EB9756ADAED2}"/>
    <cellStyle name="Currency 5 3 2 3 2 3" xfId="27409" xr:uid="{24DD1B34-5BDA-469F-96C6-8E6E015D9E3F}"/>
    <cellStyle name="Currency 5 3 2 3 2 4" xfId="18206" xr:uid="{12DA4345-B994-4CCF-88F1-B9C2539AD072}"/>
    <cellStyle name="Currency 5 3 2 3 3" xfId="10659" xr:uid="{2C015DA8-CF23-4D00-8256-2EACF4E418A2}"/>
    <cellStyle name="Currency 5 3 2 3 3 2" xfId="21039" xr:uid="{70FD7D19-0E93-462C-9581-32C4AEB2F859}"/>
    <cellStyle name="Currency 5 3 2 3 4" xfId="24100" xr:uid="{FB9ECE9D-A2D2-4743-BCED-964CFCC7B75D}"/>
    <cellStyle name="Currency 5 3 2 3 5" xfId="15373" xr:uid="{9C8C138F-CE6E-4288-94A8-950FEF0B812D}"/>
    <cellStyle name="Currency 5 3 2 4" xfId="3700" xr:uid="{00000000-0005-0000-0000-0000EF030000}"/>
    <cellStyle name="Currency 5 3 2 4 2" xfId="26891" xr:uid="{C9DBE510-EFCE-4A0C-8EE8-48DD9ED241FF}"/>
    <cellStyle name="Currency 5 3 2 4 3" xfId="26497" xr:uid="{49081016-EABC-4DB1-B361-D6F414E29952}"/>
    <cellStyle name="Currency 5 3 2 5" xfId="4279" xr:uid="{313F8346-39CD-4124-8B3A-C4CAB3DD2ECA}"/>
    <cellStyle name="Currency 5 3 2 5 2" xfId="9051" xr:uid="{099BCFBD-F523-4301-A1A6-C0079B714369}"/>
    <cellStyle name="Currency 5 3 2 5 2 2" xfId="19431" xr:uid="{27CFA0D3-4438-46F6-878B-42D727E86880}"/>
    <cellStyle name="Currency 5 3 2 5 2 3" xfId="31055" xr:uid="{033E1420-9C77-473B-804F-C41CBED77E74}"/>
    <cellStyle name="Currency 5 3 2 5 2 4" xfId="30901" xr:uid="{13CA0AD7-30C4-4001-B64F-03E7560C4A03}"/>
    <cellStyle name="Currency 5 3 2 5 3" xfId="11884" xr:uid="{E5116A94-E160-444D-A2C3-020F35D29607}"/>
    <cellStyle name="Currency 5 3 2 5 3 2" xfId="22264" xr:uid="{D7658E5A-BB9F-4E05-855D-29A5263DD5F0}"/>
    <cellStyle name="Currency 5 3 2 5 4" xfId="26954" xr:uid="{95732337-E1E3-4AC6-B7DD-8469E5DEFCBB}"/>
    <cellStyle name="Currency 5 3 2 5 5" xfId="27489" xr:uid="{B5F126A9-6131-4F53-870D-FC414775705C}"/>
    <cellStyle name="Currency 5 3 2 5 6" xfId="16598" xr:uid="{CC305DE1-2E81-4E5A-9508-CAE9EA08AB9C}"/>
    <cellStyle name="Currency 5 3 2 6" xfId="5713" xr:uid="{2162A165-A601-451F-A59D-9BF2EFCF87E1}"/>
    <cellStyle name="Currency 5 3 2 6 2" xfId="29731" xr:uid="{7E661BEA-FF8D-4BD4-AFEB-927EC4D8CCA8}"/>
    <cellStyle name="Currency 5 3 2 6 2 2" xfId="30996" xr:uid="{6539BE70-08E3-4AA4-B58E-F300449EC90E}"/>
    <cellStyle name="Currency 5 3 2 7" xfId="22910" xr:uid="{2A10CFEC-0929-4835-ABE0-3A392EEEC7A6}"/>
    <cellStyle name="Currency 5 3 2 8" xfId="13120" xr:uid="{47A9C792-CC8F-4DF3-B7EE-6BD5C7B06878}"/>
    <cellStyle name="Currency 5 3 2 9" xfId="29997" xr:uid="{2C104A3A-A926-488C-8CAB-843E476B7B22}"/>
    <cellStyle name="Currency 5 3 3" xfId="1976" xr:uid="{00000000-0005-0000-0000-0000F0030000}"/>
    <cellStyle name="Currency 5 3 3 2" xfId="3114" xr:uid="{00000000-0005-0000-0000-0000DB020000}"/>
    <cellStyle name="Currency 5 3 3 2 2" xfId="8194" xr:uid="{86FFB7B9-2A55-4AB6-B2B2-D1802A59687B}"/>
    <cellStyle name="Currency 5 3 3 2 2 2" xfId="28860" xr:uid="{01C80663-FA5B-4EA7-9670-DC6D2E0C723D}"/>
    <cellStyle name="Currency 5 3 3 2 2 2 2" xfId="31240" xr:uid="{3C0EFCA0-5665-4D69-876A-58B83D160D6D}"/>
    <cellStyle name="Currency 5 3 3 2 2 2 3" xfId="30903" xr:uid="{DFA99822-3024-4E51-8F42-35A278ABE4E4}"/>
    <cellStyle name="Currency 5 3 3 2 2 3" xfId="26630" xr:uid="{685863A7-BFEF-415D-A2CE-7B02227AD743}"/>
    <cellStyle name="Currency 5 3 3 2 2 4" xfId="18574" xr:uid="{2B83C1F7-E7AD-42DC-AFA0-80882660E932}"/>
    <cellStyle name="Currency 5 3 3 2 3" xfId="11027" xr:uid="{D850F367-3396-4AD9-B76D-E56459C3DE3C}"/>
    <cellStyle name="Currency 5 3 3 2 3 2" xfId="21407" xr:uid="{C9751C7E-EED7-40B7-99CB-553163E6D914}"/>
    <cellStyle name="Currency 5 3 3 2 4" xfId="24126" xr:uid="{F1D85D90-2F0F-4588-A85A-C8D9E996F941}"/>
    <cellStyle name="Currency 5 3 3 2 5" xfId="15741" xr:uid="{0A1C1433-46CA-4D11-98FF-9932F571D779}"/>
    <cellStyle name="Currency 5 3 3 3" xfId="2087" xr:uid="{00000000-0005-0000-0000-0000F0030000}"/>
    <cellStyle name="Currency 5 3 3 4" xfId="4436" xr:uid="{20CFB897-666F-4149-87D6-72BD94186F0A}"/>
    <cellStyle name="Currency 5 3 3 4 2" xfId="9208" xr:uid="{FEBB92A8-84BF-498D-9CC9-F630B4376368}"/>
    <cellStyle name="Currency 5 3 3 4 2 2" xfId="19588" xr:uid="{62507DBF-4272-4F62-BCDC-95743CA0B033}"/>
    <cellStyle name="Currency 5 3 3 4 2 3" xfId="31102" xr:uid="{785265B5-1F83-4815-9163-77914337B262}"/>
    <cellStyle name="Currency 5 3 3 4 2 4" xfId="30902" xr:uid="{7FC14047-A419-4FF0-AC80-82C714D7AF82}"/>
    <cellStyle name="Currency 5 3 3 4 3" xfId="12041" xr:uid="{6051F4A6-5D37-4162-ADF9-79B7787E3719}"/>
    <cellStyle name="Currency 5 3 3 4 3 2" xfId="22421" xr:uid="{2436F9F3-320D-4752-9AF1-E43DC261CDA1}"/>
    <cellStyle name="Currency 5 3 3 4 4" xfId="16755" xr:uid="{6F6A6062-2CE2-4B46-864C-7998CC3BFE47}"/>
    <cellStyle name="Currency 5 3 3 5" xfId="5714" xr:uid="{B225AD9D-70E2-4841-A531-CDA142155BD0}"/>
    <cellStyle name="Currency 5 3 3 5 2" xfId="29698" xr:uid="{A379AF37-E0F1-412B-A298-3E3C42206E20}"/>
    <cellStyle name="Currency 5 3 3 5 2 2" xfId="30997" xr:uid="{1F76261D-623D-47D8-8A94-50739780B2FC}"/>
    <cellStyle name="Currency 5 3 3 6" xfId="23073" xr:uid="{F18CE366-3398-446C-8744-B602531D5D21}"/>
    <cellStyle name="Currency 5 3 3 7" xfId="13634" xr:uid="{DF8FB77F-CD78-4108-AC65-79380C8B667D}"/>
    <cellStyle name="Currency 5 3 4" xfId="1974" xr:uid="{00000000-0005-0000-0000-0000F1030000}"/>
    <cellStyle name="Currency 5 3 4 2" xfId="3112" xr:uid="{00000000-0005-0000-0000-0000DC020000}"/>
    <cellStyle name="Currency 5 3 4 2 2" xfId="8192" xr:uid="{12605518-45C2-4A5E-B142-B539828DFC7C}"/>
    <cellStyle name="Currency 5 3 4 2 2 2" xfId="28859" xr:uid="{F2C64340-B6DF-456D-A36F-9ED0B197E7CF}"/>
    <cellStyle name="Currency 5 3 4 2 2 3" xfId="28284" xr:uid="{50F5FF16-544C-433F-AD2A-CC87A8B1AA2D}"/>
    <cellStyle name="Currency 5 3 4 2 2 4" xfId="18572" xr:uid="{2A125001-18F0-499F-A790-154D829D4369}"/>
    <cellStyle name="Currency 5 3 4 2 3" xfId="11025" xr:uid="{EBBBB68E-B7A9-4727-B8A5-CA63FBCD5FE7}"/>
    <cellStyle name="Currency 5 3 4 2 3 2" xfId="21405" xr:uid="{E180010A-2FCD-46F1-BA44-5BA0B1F655D8}"/>
    <cellStyle name="Currency 5 3 4 2 4" xfId="22875" xr:uid="{F8FA9813-888C-472C-A853-49F365954C32}"/>
    <cellStyle name="Currency 5 3 4 2 5" xfId="15739" xr:uid="{7F15E761-E3B1-4282-80AD-D5D4A5947524}"/>
    <cellStyle name="Currency 5 3 4 3" xfId="3545" xr:uid="{00000000-0005-0000-0000-0000F1030000}"/>
    <cellStyle name="Currency 5 3 4 4" xfId="5712" xr:uid="{3EEC26B5-3962-41F9-B6A3-EC813AA1EBAC}"/>
    <cellStyle name="Currency 5 3 4 4 2" xfId="29977" xr:uid="{D1112619-8F7B-4CEF-915B-708D2443B095}"/>
    <cellStyle name="Currency 5 3 4 5" xfId="24982" xr:uid="{B04AF8FD-6114-4C71-A9D7-E976CE18350C}"/>
    <cellStyle name="Currency 5 3 4 6" xfId="13632" xr:uid="{1BA1C8B1-6A6F-459D-B36D-75354FAD0DB3}"/>
    <cellStyle name="Currency 5 3 5" xfId="2584" xr:uid="{00000000-0005-0000-0000-0000DD020000}"/>
    <cellStyle name="Currency 5 3 5 2" xfId="5849" xr:uid="{3F6A570E-8A5C-4C20-A93D-0E180E864A90}"/>
    <cellStyle name="Currency 5 3 5 2 2" xfId="26969" xr:uid="{D1EBB5CD-FC7A-4F10-B519-46CA29184018}"/>
    <cellStyle name="Currency 5 3 5 2 2 2" xfId="31187" xr:uid="{C9C22307-3BA8-47BE-87A8-DE51ADDD98DB}"/>
    <cellStyle name="Currency 5 3 5 2 2 3" xfId="30904" xr:uid="{D3CCDC70-5088-44B7-86FC-33B08181C61A}"/>
    <cellStyle name="Currency 5 3 5 2 3" xfId="27436" xr:uid="{A30D7B8C-6247-4972-9E66-87FE75BA273A}"/>
    <cellStyle name="Currency 5 3 5 2 4" xfId="15256" xr:uid="{5A8FF11C-9103-4B97-B92A-D4028022214B}"/>
    <cellStyle name="Currency 5 3 5 3" xfId="7709" xr:uid="{9460C487-FB9F-432D-B8BA-58C64B66EF9C}"/>
    <cellStyle name="Currency 5 3 5 3 2" xfId="18089" xr:uid="{F4EF039A-E7C5-446C-85C1-54823D809576}"/>
    <cellStyle name="Currency 5 3 5 4" xfId="10542" xr:uid="{76470AA5-DD44-48EC-BF0C-40932FC056F6}"/>
    <cellStyle name="Currency 5 3 5 4 2" xfId="20922" xr:uid="{3D8BF286-0DD9-4AB7-85AA-76A759003684}"/>
    <cellStyle name="Currency 5 3 5 5" xfId="22929" xr:uid="{EB799ACC-0960-4BBD-AFBD-116C4BD090D4}"/>
    <cellStyle name="Currency 5 3 5 6" xfId="12972" xr:uid="{15AE4B7D-C61A-47C5-9B30-FD9BCA05DBB6}"/>
    <cellStyle name="Currency 5 3 6" xfId="2301" xr:uid="{00000000-0005-0000-0000-0000D8020000}"/>
    <cellStyle name="Currency 5 3 6 2" xfId="7428" xr:uid="{37D454D2-98EC-4ECA-875B-525C939A12B9}"/>
    <cellStyle name="Currency 5 3 6 2 2" xfId="17808" xr:uid="{FD2A3EEF-D7B3-4708-9FF7-7DBA0EEEC3A6}"/>
    <cellStyle name="Currency 5 3 6 3" xfId="10261" xr:uid="{66DE0595-77D0-44E2-BBAB-22A938590D29}"/>
    <cellStyle name="Currency 5 3 6 3 2" xfId="20641" xr:uid="{5A5654FD-D243-4742-BB0B-511AAA74AA3D}"/>
    <cellStyle name="Currency 5 3 6 4" xfId="24668" xr:uid="{953EE173-511B-4B9D-A92A-2D18C7063975}"/>
    <cellStyle name="Currency 5 3 6 5" xfId="28653" xr:uid="{8A1E049F-A38F-4793-A084-89101582F1E5}"/>
    <cellStyle name="Currency 5 3 6 6" xfId="14975" xr:uid="{A75CB0B2-BEB0-40BE-BC81-57A1FBA3825F}"/>
    <cellStyle name="Currency 5 3 7" xfId="3832" xr:uid="{4F7D27AA-E36A-485B-B1CA-FAD81716445B}"/>
    <cellStyle name="Currency 5 3 7 2" xfId="8665" xr:uid="{CA439490-CAC7-4667-8AAC-FC5DAB444913}"/>
    <cellStyle name="Currency 5 3 7 2 2" xfId="19045" xr:uid="{CA2B8348-30AA-4FB0-AE43-CECC40FCD663}"/>
    <cellStyle name="Currency 5 3 7 3" xfId="11498" xr:uid="{B425CEAF-FDE3-4E01-8713-78F3DCD91BC4}"/>
    <cellStyle name="Currency 5 3 7 3 2" xfId="21878" xr:uid="{D7EFDDC8-32C9-4BC3-A30B-61BCCA7B0596}"/>
    <cellStyle name="Currency 5 3 7 4" xfId="26162" xr:uid="{02640B68-3BEC-48B3-AC71-22D042167650}"/>
    <cellStyle name="Currency 5 3 7 5" xfId="25943" xr:uid="{B7C5EF07-BCE7-453B-898D-822557617857}"/>
    <cellStyle name="Currency 5 3 7 6" xfId="16212" xr:uid="{E8BDBC14-C79C-495C-87FC-BF87E75E23FC}"/>
    <cellStyle name="Currency 5 3 8" xfId="4977" xr:uid="{72549817-FBAA-4BE4-BCFB-74426F487CE8}"/>
    <cellStyle name="Currency 5 3 8 2" xfId="14272" xr:uid="{84018680-E061-4D9B-B808-5B964A2F0278}"/>
    <cellStyle name="Currency 5 3 9" xfId="6725" xr:uid="{7F742B85-07C3-4481-90BB-0054BDEEFD95}"/>
    <cellStyle name="Currency 5 3 9 2" xfId="17105" xr:uid="{86DC57A8-873C-436C-A7EF-6D6D1E4794F1}"/>
    <cellStyle name="Currency 5 4" xfId="595" xr:uid="{00000000-0005-0000-0000-0000F2030000}"/>
    <cellStyle name="Currency 5 4 10" xfId="12691" xr:uid="{91FE20A7-7F48-4F48-AD49-63CAB8CF3EEC}"/>
    <cellStyle name="Currency 5 4 2" xfId="1978" xr:uid="{00000000-0005-0000-0000-0000F3030000}"/>
    <cellStyle name="Currency 5 4 2 2" xfId="3115" xr:uid="{00000000-0005-0000-0000-0000DF020000}"/>
    <cellStyle name="Currency 5 4 2 2 2" xfId="8195" xr:uid="{608C7477-457B-446D-B4DA-1DE51946CB0C}"/>
    <cellStyle name="Currency 5 4 2 2 2 2" xfId="28861" xr:uid="{E574C560-A659-49CE-8A64-D1A07C293872}"/>
    <cellStyle name="Currency 5 4 2 2 2 3" xfId="27737" xr:uid="{A8559155-7CA4-4F41-9566-ACCBE439BD16}"/>
    <cellStyle name="Currency 5 4 2 2 2 4" xfId="18575" xr:uid="{326B5A18-FE67-48F1-857D-9002C90345F5}"/>
    <cellStyle name="Currency 5 4 2 2 3" xfId="11028" xr:uid="{92F448A3-E2F1-491A-BEB4-F0D29626B307}"/>
    <cellStyle name="Currency 5 4 2 2 3 2" xfId="21408" xr:uid="{8E9DA054-293F-4B35-9F07-D93D74CA882A}"/>
    <cellStyle name="Currency 5 4 2 2 4" xfId="23747" xr:uid="{0CC4DA2D-40A8-4977-A8A0-7877AAC19348}"/>
    <cellStyle name="Currency 5 4 2 2 5" xfId="15742" xr:uid="{A7D646FF-DCED-4ADD-A46C-B4FB30D778F5}"/>
    <cellStyle name="Currency 5 4 2 3" xfId="3642" xr:uid="{00000000-0005-0000-0000-0000F3030000}"/>
    <cellStyle name="Currency 5 4 2 4" xfId="5715" xr:uid="{671213EE-3688-4CDB-B942-51A717C3AE88}"/>
    <cellStyle name="Currency 5 4 2 4 2" xfId="29784" xr:uid="{19716B96-BD5D-41F7-9047-88F0E9D8F84C}"/>
    <cellStyle name="Currency 5 4 2 5" xfId="22823" xr:uid="{93D8A375-BAFB-437F-86FC-856A9BB2B527}"/>
    <cellStyle name="Currency 5 4 2 6" xfId="13635" xr:uid="{59CC9632-D058-4580-807A-C5EA2077C297}"/>
    <cellStyle name="Currency 5 4 3" xfId="1979" xr:uid="{00000000-0005-0000-0000-0000F4030000}"/>
    <cellStyle name="Currency 5 4 3 2" xfId="2699" xr:uid="{00000000-0005-0000-0000-0000E0020000}"/>
    <cellStyle name="Currency 5 4 3 2 2" xfId="7823" xr:uid="{9341D43D-1C0E-42BD-9D8B-CA18E72E65F2}"/>
    <cellStyle name="Currency 5 4 3 2 2 2" xfId="18203" xr:uid="{EB82C059-FCC5-413A-933D-7D4E33815D96}"/>
    <cellStyle name="Currency 5 4 3 2 3" xfId="10656" xr:uid="{B84212C0-4E2C-4BC6-AF4A-87BB56C1A2BC}"/>
    <cellStyle name="Currency 5 4 3 2 3 2" xfId="21036" xr:uid="{0E5706C4-251B-4ACD-847A-54DAED91BE3A}"/>
    <cellStyle name="Currency 5 4 3 2 4" xfId="15370" xr:uid="{1DDD8357-BD14-4A90-A5B6-F047397DF222}"/>
    <cellStyle name="Currency 5 4 3 2 5" xfId="30460" xr:uid="{C4BF89D7-9F8D-4225-9959-7ECED6738608}"/>
    <cellStyle name="Currency 5 4 3 3" xfId="2076" xr:uid="{00000000-0005-0000-0000-0000F4030000}"/>
    <cellStyle name="Currency 5 4 3 4" xfId="5716" xr:uid="{C626BE1A-2589-41B4-9BF0-6DAE18296A2F}"/>
    <cellStyle name="Currency 5 4 3 4 2" xfId="29762" xr:uid="{0D89A086-9FE6-4E3D-B526-1494DED2FF2F}"/>
    <cellStyle name="Currency 5 4 3 5" xfId="24141" xr:uid="{A701F4B5-A178-4B62-9F6D-3F10986EB839}"/>
    <cellStyle name="Currency 5 4 3 6" xfId="13117" xr:uid="{016BC64A-2097-4BBD-A94A-7AB945153B0D}"/>
    <cellStyle name="Currency 5 4 4" xfId="1977" xr:uid="{00000000-0005-0000-0000-0000F5030000}"/>
    <cellStyle name="Currency 5 4 4 2" xfId="4687" xr:uid="{4A9AF939-667D-426D-BF72-468498A1B299}"/>
    <cellStyle name="Currency 5 4 4 2 2" xfId="9419" xr:uid="{DCC31A4E-62FC-4BBF-B111-099F2404D1D3}"/>
    <cellStyle name="Currency 5 4 4 2 2 2" xfId="19799" xr:uid="{1A9D43C8-75CA-4A65-86DA-6C19B5A8B3C2}"/>
    <cellStyle name="Currency 5 4 4 2 3" xfId="12252" xr:uid="{A6A378A7-7F53-4A49-B81B-6D854337725F}"/>
    <cellStyle name="Currency 5 4 4 2 3 2" xfId="22632" xr:uid="{036EA76D-6C2F-4A47-BAFD-8A3C8A6EB59F}"/>
    <cellStyle name="Currency 5 4 4 2 4" xfId="26957" xr:uid="{A643EE9A-7110-41F1-BE5E-9E5F937DAD2E}"/>
    <cellStyle name="Currency 5 4 4 2 5" xfId="27890" xr:uid="{B1C1B6A2-8145-467F-BFC5-731084B68B53}"/>
    <cellStyle name="Currency 5 4 4 2 6" xfId="16966" xr:uid="{FAF55C85-0749-4872-95DC-8EF33A3C598C}"/>
    <cellStyle name="Currency 5 4 4 3" xfId="25438" xr:uid="{CA55A9C6-C83B-4E04-9403-84DCF3766DC3}"/>
    <cellStyle name="Currency 5 4 5" xfId="4143" xr:uid="{4351797D-9F35-45B9-A501-D6C8B37865AB}"/>
    <cellStyle name="Currency 5 4 5 2" xfId="8915" xr:uid="{58F36EE9-2E46-479C-9774-5A44F1F69E95}"/>
    <cellStyle name="Currency 5 4 5 2 2" xfId="29016" xr:uid="{2A89CA53-4B3E-48BB-BFC5-A31C57775E4F}"/>
    <cellStyle name="Currency 5 4 5 2 3" xfId="27421" xr:uid="{9F5A11DB-F689-4946-97CF-E74A490888DF}"/>
    <cellStyle name="Currency 5 4 5 2 4" xfId="19295" xr:uid="{8310129C-6CF4-4DC5-AFA2-A7C7B72CA879}"/>
    <cellStyle name="Currency 5 4 5 2 5" xfId="31023" xr:uid="{FA1B9D74-2E46-4D44-8B9F-96DCD9E4367B}"/>
    <cellStyle name="Currency 5 4 5 3" xfId="11748" xr:uid="{EA5370BB-422B-45AF-91B1-117312D9EF82}"/>
    <cellStyle name="Currency 5 4 5 3 2" xfId="22128" xr:uid="{4FB895CC-5250-42D6-B349-900B7EC8493D}"/>
    <cellStyle name="Currency 5 4 5 4" xfId="25808" xr:uid="{1B0D57D7-4222-41ED-906A-604F94DFF6BF}"/>
    <cellStyle name="Currency 5 4 5 5" xfId="16462" xr:uid="{89F97546-8E0D-4D87-BD1D-2D9C95D03802}"/>
    <cellStyle name="Currency 5 4 6" xfId="4978" xr:uid="{05AA86AA-B956-4C7D-A85F-E71ECC7E3D77}"/>
    <cellStyle name="Currency 5 4 6 2" xfId="27407" xr:uid="{1D6F3CF0-6FC0-4471-864E-B6327B69F8F3}"/>
    <cellStyle name="Currency 5 4 6 3" xfId="28475" xr:uid="{7FB88171-DFFE-466B-8BFD-5009AC714BDE}"/>
    <cellStyle name="Currency 5 4 6 4" xfId="14273" xr:uid="{7F2B38FB-4F6E-42CE-8FAB-D074634CBA5E}"/>
    <cellStyle name="Currency 5 4 7" xfId="6726" xr:uid="{F09D6F83-2D9D-49C9-A0DD-63FB6631CDAF}"/>
    <cellStyle name="Currency 5 4 7 2" xfId="27471" xr:uid="{3E163E22-5C8D-462B-A9C0-375C535D2B24}"/>
    <cellStyle name="Currency 5 4 7 3" xfId="26590" xr:uid="{FFE8322E-E7E0-4E1B-94B0-854A7D0E1DC2}"/>
    <cellStyle name="Currency 5 4 7 4" xfId="17106" xr:uid="{3FDF2449-9107-48F9-AB7E-CCFE792520C0}"/>
    <cellStyle name="Currency 5 4 8" xfId="9559" xr:uid="{FFB26C31-5CDB-487B-B8B5-EA32DD2E44C9}"/>
    <cellStyle name="Currency 5 4 8 2" xfId="19939" xr:uid="{5F7B9E25-5849-4F68-B7D7-0E93C280E9FF}"/>
    <cellStyle name="Currency 5 4 9" xfId="24092" xr:uid="{0C8BFE14-6BAD-41F0-B421-3FE0ED6862E4}"/>
    <cellStyle name="Currency 5 5" xfId="596" xr:uid="{00000000-0005-0000-0000-0000F6030000}"/>
    <cellStyle name="Currency 5 5 10" xfId="13636" xr:uid="{C24FF668-0F55-4C40-B058-589BF35CA821}"/>
    <cellStyle name="Currency 5 5 2" xfId="1981" xr:uid="{00000000-0005-0000-0000-0000F7030000}"/>
    <cellStyle name="Currency 5 5 2 2" xfId="25669" xr:uid="{790EC5A2-5E7E-41A1-9E04-568B7350D030}"/>
    <cellStyle name="Currency 5 5 2 2 2" xfId="29792" xr:uid="{1F4A1241-11FA-4754-B428-B23B31049367}"/>
    <cellStyle name="Currency 5 5 2 2 2 2" xfId="30906" xr:uid="{80A3C272-8E3F-47B7-88D9-24B437AF7685}"/>
    <cellStyle name="Currency 5 5 2 3" xfId="23372" xr:uid="{B1715BAC-BC59-417D-8714-CAE2DF61EF57}"/>
    <cellStyle name="Currency 5 5 2 4" xfId="30070" xr:uid="{71DD050B-1240-4EA7-9026-B2947CE56546}"/>
    <cellStyle name="Currency 5 5 3" xfId="1982" xr:uid="{00000000-0005-0000-0000-0000F8030000}"/>
    <cellStyle name="Currency 5 5 4" xfId="1980" xr:uid="{00000000-0005-0000-0000-0000F9030000}"/>
    <cellStyle name="Currency 5 5 5" xfId="4437" xr:uid="{DAAD0B37-ADB8-4F3A-B982-31942735FAA9}"/>
    <cellStyle name="Currency 5 5 5 2" xfId="9209" xr:uid="{9F8D59D1-09B3-40C2-8B8B-F268F51DD1BB}"/>
    <cellStyle name="Currency 5 5 5 2 2" xfId="19589" xr:uid="{E3D20698-26E1-4A07-B56F-F00E9B23B379}"/>
    <cellStyle name="Currency 5 5 5 2 3" xfId="31103" xr:uid="{B937916B-8AE6-4502-9C61-03713E9CBD21}"/>
    <cellStyle name="Currency 5 5 5 2 4" xfId="30905" xr:uid="{4ACA4BB3-F1EB-41B8-9D97-8BA7228130D4}"/>
    <cellStyle name="Currency 5 5 5 3" xfId="12042" xr:uid="{F5B7CD9A-2460-4120-9BDA-946B16A1F489}"/>
    <cellStyle name="Currency 5 5 5 3 2" xfId="22422" xr:uid="{49C8612A-B147-4726-9FC5-A28CE79D1144}"/>
    <cellStyle name="Currency 5 5 5 4" xfId="16756" xr:uid="{04719F41-4A62-4119-84DB-2843D9CB414A}"/>
    <cellStyle name="Currency 5 5 6" xfId="4979" xr:uid="{1AAFD49D-1AC0-435F-A1BE-BB2B4E0816E8}"/>
    <cellStyle name="Currency 5 5 6 2" xfId="14274" xr:uid="{1DB61BD0-C769-437A-BCF9-6F8208D65BA2}"/>
    <cellStyle name="Currency 5 5 7" xfId="6727" xr:uid="{76D83108-19A4-4119-B570-B4BB73744FC8}"/>
    <cellStyle name="Currency 5 5 7 2" xfId="17107" xr:uid="{3F366261-FB4D-4435-85E6-7F4A971C6329}"/>
    <cellStyle name="Currency 5 5 8" xfId="9560" xr:uid="{EE655E4D-0198-4FDF-B8D8-1829D78D95FE}"/>
    <cellStyle name="Currency 5 5 8 2" xfId="19940" xr:uid="{88DD83A9-4B72-41FF-83A9-1B6BD2B45F06}"/>
    <cellStyle name="Currency 5 5 9" xfId="24978" xr:uid="{8A0125E3-2A7B-4AD7-91C0-3A287C64D067}"/>
    <cellStyle name="Currency 5 6" xfId="1983" xr:uid="{00000000-0005-0000-0000-0000FA030000}"/>
    <cellStyle name="Currency 5 6 2" xfId="2888" xr:uid="{00000000-0005-0000-0000-0000E2020000}"/>
    <cellStyle name="Currency 5 6 2 2" xfId="8005" xr:uid="{2E193E91-A01E-474F-B187-BDECE44FC3CE}"/>
    <cellStyle name="Currency 5 6 2 2 2" xfId="28211" xr:uid="{14B6FC4E-13C6-486E-BD2F-5876CC7E56F9}"/>
    <cellStyle name="Currency 5 6 2 2 2 2" xfId="31203" xr:uid="{ABAD1DC5-D818-4810-B437-4255C3E9C2B6}"/>
    <cellStyle name="Currency 5 6 2 2 2 3" xfId="30907" xr:uid="{8826BB34-1D56-4F2D-8AA5-9443D9B05EC7}"/>
    <cellStyle name="Currency 5 6 2 2 3" xfId="25937" xr:uid="{7B1B73F0-B870-470B-B1FF-EC0D27148914}"/>
    <cellStyle name="Currency 5 6 2 2 4" xfId="18385" xr:uid="{76291567-BE7E-43A2-82AA-B861F2BCB18B}"/>
    <cellStyle name="Currency 5 6 2 3" xfId="10838" xr:uid="{8F3BAA17-2897-4FC4-B162-B95A2EF15202}"/>
    <cellStyle name="Currency 5 6 2 3 2" xfId="21218" xr:uid="{59BCAAB1-0305-4051-9B80-D7CB1593BCE7}"/>
    <cellStyle name="Currency 5 6 2 4" xfId="24078" xr:uid="{F76CEBF8-4834-40F1-A0A9-6F44D2561F5C}"/>
    <cellStyle name="Currency 5 6 2 5" xfId="15552" xr:uid="{42E59D82-A4BB-4E12-8D3B-A7ADF868AE10}"/>
    <cellStyle name="Currency 5 6 3" xfId="3691" xr:uid="{00000000-0005-0000-0000-0000FA030000}"/>
    <cellStyle name="Currency 5 6 4" xfId="5717" xr:uid="{44AFBA4B-F3DA-45E7-8031-F5B823D74560}"/>
    <cellStyle name="Currency 5 6 4 2" xfId="29772" xr:uid="{05354970-BE85-4C7B-82A1-A927A75CB5E7}"/>
    <cellStyle name="Currency 5 6 5" xfId="24383" xr:uid="{CEE84C07-4DD9-4E37-9909-5EA26BFF24D9}"/>
    <cellStyle name="Currency 5 6 6" xfId="13389" xr:uid="{FE2E4751-23A1-443E-A06D-B4B73D4BD3D1}"/>
    <cellStyle name="Currency 5 7" xfId="1984" xr:uid="{00000000-0005-0000-0000-0000FB030000}"/>
    <cellStyle name="Currency 5 7 2" xfId="2481" xr:uid="{00000000-0005-0000-0000-0000E3020000}"/>
    <cellStyle name="Currency 5 7 2 2" xfId="7606" xr:uid="{81B6ED4A-CE42-4A61-BC5D-69B84F9C950A}"/>
    <cellStyle name="Currency 5 7 2 2 2" xfId="17986" xr:uid="{EC1E4757-EBAC-4784-BD20-FAE4953C5107}"/>
    <cellStyle name="Currency 5 7 2 3" xfId="10439" xr:uid="{D96C0D71-7FB5-47A8-A8D2-DFF0C562FC28}"/>
    <cellStyle name="Currency 5 7 2 3 2" xfId="20819" xr:uid="{5704FB28-4B0F-4916-BAB8-DD4E455FE1C1}"/>
    <cellStyle name="Currency 5 7 2 4" xfId="28061" xr:uid="{176DABD7-062A-41D4-A3E9-5125FE11A5A2}"/>
    <cellStyle name="Currency 5 7 2 5" xfId="28112" xr:uid="{089B1CD4-9833-4307-A3A8-197B98A42D20}"/>
    <cellStyle name="Currency 5 7 2 6" xfId="15153" xr:uid="{E7288997-845B-4A37-A39E-CB8CA64486CE}"/>
    <cellStyle name="Currency 5 7 3" xfId="3647" xr:uid="{00000000-0005-0000-0000-0000FB030000}"/>
    <cellStyle name="Currency 5 7 4" xfId="5718" xr:uid="{D5A2B45C-A8A1-436C-867B-5602BB3F9600}"/>
    <cellStyle name="Currency 5 7 4 2" xfId="29867" xr:uid="{78EF0E7C-CE30-48B2-8566-392947B9B818}"/>
    <cellStyle name="Currency 5 7 5" xfId="25198" xr:uid="{F805B778-1D64-4E1D-8196-D016BB112E02}"/>
    <cellStyle name="Currency 5 7 6" xfId="12869" xr:uid="{0768B0B1-F2DF-46EA-BF3F-F005417F30AF}"/>
    <cellStyle name="Currency 5 8" xfId="1964" xr:uid="{00000000-0005-0000-0000-0000FC030000}"/>
    <cellStyle name="Currency 5 8 2" xfId="2175" xr:uid="{00000000-0005-0000-0000-0000CA020000}"/>
    <cellStyle name="Currency 5 8 2 2" xfId="7302" xr:uid="{2BA16162-0B6E-4C20-8A60-28E540FB236F}"/>
    <cellStyle name="Currency 5 8 2 2 2" xfId="17682" xr:uid="{2CEA732B-993F-4E49-B872-4050164EE667}"/>
    <cellStyle name="Currency 5 8 2 3" xfId="10135" xr:uid="{66F8AB2E-3877-4275-A413-CAAED56745D9}"/>
    <cellStyle name="Currency 5 8 2 3 2" xfId="20515" xr:uid="{F81159EA-7D78-4921-A44E-95C8EE2125C2}"/>
    <cellStyle name="Currency 5 8 2 4" xfId="26738" xr:uid="{6FD107C8-114F-437F-825E-FA84EED388ED}"/>
    <cellStyle name="Currency 5 8 2 5" xfId="26490" xr:uid="{D98CFA33-C3DA-4AA7-9704-EC68A6C02AD1}"/>
    <cellStyle name="Currency 5 8 2 6" xfId="14849" xr:uid="{E36A90A7-BB3D-4AB2-AD35-1E4820D63B8B}"/>
    <cellStyle name="Currency 5 8 3" xfId="3699" xr:uid="{00000000-0005-0000-0000-0000FC030000}"/>
    <cellStyle name="Currency 5 8 4" xfId="23106" xr:uid="{CBC88581-24CC-458C-88B9-2467C62CDA1B}"/>
    <cellStyle name="Currency 5 9" xfId="3890" xr:uid="{089FD322-7546-4AC5-8174-2B983C2A3FFE}"/>
    <cellStyle name="Currency 5 9 2" xfId="8722" xr:uid="{46C8EBAA-AF0F-49E2-B11D-4F23B851DDE3}"/>
    <cellStyle name="Currency 5 9 2 2" xfId="19102" xr:uid="{3CB0A62C-3199-451E-93BA-2F628417CE2F}"/>
    <cellStyle name="Currency 5 9 3" xfId="11555" xr:uid="{412B073C-4D5A-4365-8D2A-427813A664D6}"/>
    <cellStyle name="Currency 5 9 3 2" xfId="21935" xr:uid="{380DAE2D-2C25-449B-A3D6-DCB50C838165}"/>
    <cellStyle name="Currency 5 9 4" xfId="26139" xr:uid="{369AE772-9A07-4F68-A207-2E6415819356}"/>
    <cellStyle name="Currency 5 9 5" xfId="25849" xr:uid="{EBFBB05E-9A8E-4913-AC3E-CC6EB926AF5B}"/>
    <cellStyle name="Currency 5 9 6" xfId="16269" xr:uid="{0C6BF226-38BF-43C2-AEDA-7E1BF8DDD751}"/>
    <cellStyle name="Currency 6" xfId="597" xr:uid="{00000000-0005-0000-0000-0000FD030000}"/>
    <cellStyle name="Currency 6 10" xfId="9561" xr:uid="{1EA0F611-3155-48A5-8C31-EEC6CE029B84}"/>
    <cellStyle name="Currency 6 10 2" xfId="19941" xr:uid="{14666BCF-C789-4475-BFDE-8152F12E9745}"/>
    <cellStyle name="Currency 6 11" xfId="23619" xr:uid="{7664BDC0-6195-4172-9E81-37B7AE460F56}"/>
    <cellStyle name="Currency 6 12" xfId="12492" xr:uid="{D12D9897-9D11-4078-925E-AEBA1F89B9F2}"/>
    <cellStyle name="Currency 6 2" xfId="1986" xr:uid="{00000000-0005-0000-0000-0000FE030000}"/>
    <cellStyle name="Currency 6 2 2" xfId="3117" xr:uid="{00000000-0005-0000-0000-0000E6020000}"/>
    <cellStyle name="Currency 6 2 2 2" xfId="6176" xr:uid="{41933847-B37D-4CF3-B1C3-C2A3F0023F76}"/>
    <cellStyle name="Currency 6 2 2 2 2" xfId="25464" xr:uid="{C5B4FCA3-71BB-46EB-B165-796FF42A1962}"/>
    <cellStyle name="Currency 6 2 2 2 2 2" xfId="26042" xr:uid="{49327C3C-5CC5-4E00-A2C7-077FC4F6646A}"/>
    <cellStyle name="Currency 6 2 2 2 2 3" xfId="31160" xr:uid="{7174CBCE-36C5-49A4-8A6A-16D407A6799D}"/>
    <cellStyle name="Currency 6 2 2 2 3" xfId="27794" xr:uid="{F7BA3B34-2026-45D8-BC9D-A78B757B57CC}"/>
    <cellStyle name="Currency 6 2 2 2 4" xfId="15744" xr:uid="{96897134-F6B2-40EC-9D96-14782BAB8DB0}"/>
    <cellStyle name="Currency 6 2 2 3" xfId="8197" xr:uid="{935FC321-B1BF-4E0C-9691-C96009EC3645}"/>
    <cellStyle name="Currency 6 2 2 3 2" xfId="18577" xr:uid="{41DDD923-352C-4561-812D-9F1C77F6D68A}"/>
    <cellStyle name="Currency 6 2 2 4" xfId="11030" xr:uid="{12F3EE4D-909E-4E6C-BAB4-2A665E6B37D7}"/>
    <cellStyle name="Currency 6 2 2 4 2" xfId="21410" xr:uid="{B12CEDAB-C56F-4467-9B7D-62209E82D808}"/>
    <cellStyle name="Currency 6 2 2 5" xfId="24481" xr:uid="{B9ABA610-844E-4614-BED9-97A27F232E46}"/>
    <cellStyle name="Currency 6 2 2 5 2" xfId="30090" xr:uid="{0BC24850-1976-4B8D-9771-DD8AE4D32C86}"/>
    <cellStyle name="Currency 6 2 2 6" xfId="28368" xr:uid="{EBCA16AE-96D4-488D-A986-859CC7AA8139}"/>
    <cellStyle name="Currency 6 2 2 7" xfId="13638" xr:uid="{C0201F41-C9BE-43C8-A20F-53347090CEC1}"/>
    <cellStyle name="Currency 6 2 3" xfId="2703" xr:uid="{00000000-0005-0000-0000-0000E5020000}"/>
    <cellStyle name="Currency 6 2 3 2" xfId="7827" xr:uid="{F41249D0-7A9D-49D8-B97E-C71575881320}"/>
    <cellStyle name="Currency 6 2 3 2 2" xfId="27037" xr:uid="{C6DBE360-F8D9-4524-8089-2596FC9BD3A5}"/>
    <cellStyle name="Currency 6 2 3 2 3" xfId="28227" xr:uid="{D945A51B-627C-432C-82FB-D3AEB4B6BA7C}"/>
    <cellStyle name="Currency 6 2 3 2 4" xfId="18207" xr:uid="{E8D108F8-6C70-4CA6-BB20-483DC8D21A83}"/>
    <cellStyle name="Currency 6 2 3 3" xfId="10660" xr:uid="{EA5F64A1-BB6C-4133-87BA-209B1E04BE7A}"/>
    <cellStyle name="Currency 6 2 3 3 2" xfId="21040" xr:uid="{2209A6D1-CB4E-49BC-BE78-A9256B537895}"/>
    <cellStyle name="Currency 6 2 3 4" xfId="24805" xr:uid="{90B1C746-CEC8-4244-AC5B-0741602C24AB}"/>
    <cellStyle name="Currency 6 2 3 5" xfId="15374" xr:uid="{932ADFCE-F4FC-461A-828F-1AE3D6AE8352}"/>
    <cellStyle name="Currency 6 2 4" xfId="3655" xr:uid="{00000000-0005-0000-0000-0000FE030000}"/>
    <cellStyle name="Currency 6 2 4 2" xfId="28454" xr:uid="{63F8D999-7F7B-4DAE-890C-454CEE7A69B1}"/>
    <cellStyle name="Currency 6 2 4 3" xfId="25894" xr:uid="{7C3EFCC2-60A4-44AB-9B00-3C8AEB3CC08F}"/>
    <cellStyle name="Currency 6 2 5" xfId="4280" xr:uid="{0A54B1B6-D5EC-4B60-8488-8E844F69E768}"/>
    <cellStyle name="Currency 6 2 5 2" xfId="9052" xr:uid="{96D08450-67FA-427F-A700-EE2FA7C1E6D0}"/>
    <cellStyle name="Currency 6 2 5 2 2" xfId="19432" xr:uid="{8B446E14-3E80-406E-AB72-E793AB585FB6}"/>
    <cellStyle name="Currency 6 2 5 2 3" xfId="31056" xr:uid="{5A5FF8E9-866E-408A-B46E-C2931AFFF820}"/>
    <cellStyle name="Currency 6 2 5 2 4" xfId="30909" xr:uid="{BE2DD6EC-46BA-44B9-B70A-5F3A211DC23A}"/>
    <cellStyle name="Currency 6 2 5 3" xfId="11885" xr:uid="{6FED515D-769D-402D-BE61-E7E5C151CA14}"/>
    <cellStyle name="Currency 6 2 5 3 2" xfId="22265" xr:uid="{77DDBDA7-10D1-494E-853A-E3E54A80E644}"/>
    <cellStyle name="Currency 6 2 5 4" xfId="26219" xr:uid="{F88209D4-2611-4A4D-80C0-183001678291}"/>
    <cellStyle name="Currency 6 2 5 5" xfId="27666" xr:uid="{EDFDCC1C-357B-436A-9571-FC29BC349F21}"/>
    <cellStyle name="Currency 6 2 5 6" xfId="16599" xr:uid="{689D998D-21E7-44E1-B5E5-EEF577F2B970}"/>
    <cellStyle name="Currency 6 2 6" xfId="5720" xr:uid="{211A447E-EC8D-47DF-A862-D72C839427FA}"/>
    <cellStyle name="Currency 6 2 6 2" xfId="29732" xr:uid="{CA4427FA-A10B-4481-823D-5EF31B041201}"/>
    <cellStyle name="Currency 6 2 6 2 2" xfId="30998" xr:uid="{EF69C268-86AE-4EDB-AC7E-3233C401BC61}"/>
    <cellStyle name="Currency 6 2 7" xfId="24758" xr:uid="{E9123834-46AB-4CF8-ABC6-146C5D9A9E59}"/>
    <cellStyle name="Currency 6 2 8" xfId="13121" xr:uid="{AF98AD0D-47DC-446A-B679-F04EDFEFA06F}"/>
    <cellStyle name="Currency 6 2 9" xfId="29998" xr:uid="{9296D3E2-4786-402C-9F10-BE45CC94E49E}"/>
    <cellStyle name="Currency 6 3" xfId="1987" xr:uid="{00000000-0005-0000-0000-0000FF030000}"/>
    <cellStyle name="Currency 6 3 2" xfId="3118" xr:uid="{00000000-0005-0000-0000-0000E7020000}"/>
    <cellStyle name="Currency 6 3 2 2" xfId="8198" xr:uid="{A42269E5-EF6D-4546-883F-087D96D68D71}"/>
    <cellStyle name="Currency 6 3 2 2 2" xfId="28863" xr:uid="{D8DF697A-1BCE-42F1-B1E7-69818B45F003}"/>
    <cellStyle name="Currency 6 3 2 2 3" xfId="27523" xr:uid="{01BC7D5D-223E-4CAC-ACAC-DEE3D97D95FD}"/>
    <cellStyle name="Currency 6 3 2 2 4" xfId="18578" xr:uid="{BAFB95C7-D894-4254-9F23-CC8D8627E608}"/>
    <cellStyle name="Currency 6 3 2 3" xfId="11031" xr:uid="{DB002C45-3523-403B-92E9-95BAF0B84C52}"/>
    <cellStyle name="Currency 6 3 2 3 2" xfId="21411" xr:uid="{97F49ADB-395D-4F19-8B4A-AA2DD331D327}"/>
    <cellStyle name="Currency 6 3 2 4" xfId="23412" xr:uid="{331CA974-3839-4E27-88BD-C4F3536B56DC}"/>
    <cellStyle name="Currency 6 3 2 5" xfId="15745" xr:uid="{3D44AFBD-6996-4D3D-9D97-27BC1D839A73}"/>
    <cellStyle name="Currency 6 3 3" xfId="3548" xr:uid="{00000000-0005-0000-0000-0000FF030000}"/>
    <cellStyle name="Currency 6 3 4" xfId="4438" xr:uid="{ED58BECA-A716-49F3-8373-3BDA6CD396BE}"/>
    <cellStyle name="Currency 6 3 4 2" xfId="9210" xr:uid="{F7AB1362-96BC-4846-AC98-58AA61C4ADF0}"/>
    <cellStyle name="Currency 6 3 4 2 2" xfId="19590" xr:uid="{2416904C-F46A-405C-9FE3-E739BF625B09}"/>
    <cellStyle name="Currency 6 3 4 2 3" xfId="31104" xr:uid="{7343AD9B-9F62-4FE0-BEFA-F619984343F2}"/>
    <cellStyle name="Currency 6 3 4 2 4" xfId="30910" xr:uid="{B5D80BAF-81AD-475A-AFB2-441CB8F3FF0E}"/>
    <cellStyle name="Currency 6 3 4 3" xfId="12043" xr:uid="{808FC44F-BE7D-400B-865D-37EAC5AE0468}"/>
    <cellStyle name="Currency 6 3 4 3 2" xfId="22423" xr:uid="{63D3AC90-D885-4124-992E-75268A560771}"/>
    <cellStyle name="Currency 6 3 4 4" xfId="16757" xr:uid="{D834180F-68F2-40D5-B9E3-BE0B0228C591}"/>
    <cellStyle name="Currency 6 3 5" xfId="5721" xr:uid="{216E36E5-E6BE-4018-A098-F238F6D5197E}"/>
    <cellStyle name="Currency 6 3 5 2" xfId="29716" xr:uid="{00913BD0-ABC3-4764-9C14-4A1079851A3F}"/>
    <cellStyle name="Currency 6 3 6" xfId="23593" xr:uid="{816385BB-9A36-41AC-AB41-223E5D48DAF7}"/>
    <cellStyle name="Currency 6 3 7" xfId="13639" xr:uid="{F82B903B-0C41-4CDC-8103-12D78468FD01}"/>
    <cellStyle name="Currency 6 4" xfId="1985" xr:uid="{00000000-0005-0000-0000-000000040000}"/>
    <cellStyle name="Currency 6 4 2" xfId="3116" xr:uid="{00000000-0005-0000-0000-0000E8020000}"/>
    <cellStyle name="Currency 6 4 2 2" xfId="8196" xr:uid="{9CBED767-ABC8-441E-B684-E9B5EBA52657}"/>
    <cellStyle name="Currency 6 4 2 2 2" xfId="28862" xr:uid="{7C250B5E-154C-4DE5-A0CC-D6485A63AF0C}"/>
    <cellStyle name="Currency 6 4 2 2 3" xfId="27793" xr:uid="{167F707A-BFA8-4003-BC7C-34480F30AF81}"/>
    <cellStyle name="Currency 6 4 2 2 4" xfId="18576" xr:uid="{9E96AF3C-CC09-4EC3-A506-996BCEF3600D}"/>
    <cellStyle name="Currency 6 4 2 3" xfId="11029" xr:uid="{E127B122-23EA-477E-A860-ECEA5366CDB4}"/>
    <cellStyle name="Currency 6 4 2 3 2" xfId="21409" xr:uid="{132D29D2-3492-42D0-A488-324147D9FCA5}"/>
    <cellStyle name="Currency 6 4 2 4" xfId="25757" xr:uid="{765C5510-ED98-4DB0-9C6E-A26BCE9DF2E0}"/>
    <cellStyle name="Currency 6 4 2 5" xfId="15743" xr:uid="{48F901EA-C6B5-43C6-9851-A3444CE29B6A}"/>
    <cellStyle name="Currency 6 4 3" xfId="3553" xr:uid="{00000000-0005-0000-0000-000000040000}"/>
    <cellStyle name="Currency 6 4 4" xfId="5719" xr:uid="{11FA6911-EB75-43D7-84D4-A0499B2EEBBB}"/>
    <cellStyle name="Currency 6 4 4 2" xfId="29978" xr:uid="{AF218B08-8952-477D-9428-2F58BAAF89AB}"/>
    <cellStyle name="Currency 6 4 5" xfId="24860" xr:uid="{5F7FD4A1-DB18-425B-B6D1-66A6965E70C1}"/>
    <cellStyle name="Currency 6 4 6" xfId="13637" xr:uid="{6DF1BF81-40CD-468A-B241-4518F1185C6D}"/>
    <cellStyle name="Currency 6 5" xfId="2655" xr:uid="{00000000-0005-0000-0000-0000E9020000}"/>
    <cellStyle name="Currency 6 5 2" xfId="5915" xr:uid="{884454CE-9BB5-4952-A318-76C10FC2969B}"/>
    <cellStyle name="Currency 6 5 2 2" xfId="27783" xr:uid="{4FDB38CB-03AA-42FF-B207-98D7582340D6}"/>
    <cellStyle name="Currency 6 5 2 3" xfId="28532" xr:uid="{A6A2558C-E1CD-4C2B-9176-8E13D2286CC5}"/>
    <cellStyle name="Currency 6 5 2 4" xfId="15327" xr:uid="{D9FDA700-08F4-4C71-93E9-9407BC6B886E}"/>
    <cellStyle name="Currency 6 5 3" xfId="7780" xr:uid="{F2FAB7B5-F236-4DC4-B28B-3A6854E4B875}"/>
    <cellStyle name="Currency 6 5 3 2" xfId="18160" xr:uid="{0C874C31-2A39-405A-A16A-A06F88C1AC35}"/>
    <cellStyle name="Currency 6 5 4" xfId="10613" xr:uid="{CB2DA553-5D06-48A8-AB3B-AACFD3650070}"/>
    <cellStyle name="Currency 6 5 4 2" xfId="20993" xr:uid="{1403120B-21CB-46E2-9B76-9DD978DC38D4}"/>
    <cellStyle name="Currency 6 5 5" xfId="24613" xr:uid="{67F13161-25AE-4408-95FE-08905A1D8AA1}"/>
    <cellStyle name="Currency 6 5 6" xfId="13057" xr:uid="{E9754CFD-B7FF-45FA-A0ED-3474F3A0F8F5}"/>
    <cellStyle name="Currency 6 6" xfId="2260" xr:uid="{00000000-0005-0000-0000-0000E4020000}"/>
    <cellStyle name="Currency 6 6 2" xfId="7387" xr:uid="{7C3D1EAE-4B6B-474E-9444-4BA9474956D4}"/>
    <cellStyle name="Currency 6 6 2 2" xfId="17767" xr:uid="{7157F5A0-44A1-4505-AA98-97C60BBF8A9B}"/>
    <cellStyle name="Currency 6 6 3" xfId="10220" xr:uid="{2FF151E0-A286-4D71-B98D-0244C7A48819}"/>
    <cellStyle name="Currency 6 6 3 2" xfId="20600" xr:uid="{B845B794-5689-492F-9725-A7C4850136EE}"/>
    <cellStyle name="Currency 6 6 4" xfId="24753" xr:uid="{ECD448A1-191F-40A2-AC56-85EC7F255739}"/>
    <cellStyle name="Currency 6 6 5" xfId="27107" xr:uid="{E7222C6F-38D4-4265-BAD5-F6A728370D82}"/>
    <cellStyle name="Currency 6 6 6" xfId="14934" xr:uid="{9160889B-8DC8-4D98-822E-48072C4B21D1}"/>
    <cellStyle name="Currency 6 7" xfId="3879" xr:uid="{360D4F66-F527-41D6-8F24-FCC5A5565C18}"/>
    <cellStyle name="Currency 6 7 2" xfId="8711" xr:uid="{17793515-7535-4B1E-AA90-9C7F622372E0}"/>
    <cellStyle name="Currency 6 7 2 2" xfId="19091" xr:uid="{04A3C4D1-648D-45E3-9B5E-0D47174CAAE3}"/>
    <cellStyle name="Currency 6 7 2 3" xfId="31005" xr:uid="{975FE8FC-D74B-4BAB-BB02-E6313F0E9F56}"/>
    <cellStyle name="Currency 6 7 2 4" xfId="30908" xr:uid="{8B99E9DC-DF10-4D98-B2A7-FC4E44B23349}"/>
    <cellStyle name="Currency 6 7 3" xfId="11544" xr:uid="{8A54C42F-7E13-48C8-80EA-59EB08013AEF}"/>
    <cellStyle name="Currency 6 7 3 2" xfId="21924" xr:uid="{7BBA711C-00CF-466C-9E78-9C3F01AD11AB}"/>
    <cellStyle name="Currency 6 7 4" xfId="26483" xr:uid="{E34036AA-DC09-4709-8C5E-380A56D25544}"/>
    <cellStyle name="Currency 6 7 5" xfId="27947" xr:uid="{467C4526-CA73-4ED5-8981-41B423076598}"/>
    <cellStyle name="Currency 6 7 6" xfId="16258" xr:uid="{7BC8DB39-A4BD-44E8-BB49-CB6E0CA6B3C2}"/>
    <cellStyle name="Currency 6 8" xfId="4980" xr:uid="{B78EC983-8FF8-45D6-A2BE-5944B0A2127E}"/>
    <cellStyle name="Currency 6 8 2" xfId="14275" xr:uid="{457A1028-6AA1-48DA-861B-93D3474006AF}"/>
    <cellStyle name="Currency 6 9" xfId="6728" xr:uid="{FEDA079E-B119-4EF6-B8D5-5B72B9E2447A}"/>
    <cellStyle name="Currency 6 9 2" xfId="17108" xr:uid="{C5054BCD-63D8-4D93-8946-F8D687080C64}"/>
    <cellStyle name="Currency 7" xfId="2689" xr:uid="{00000000-0005-0000-0000-0000EA020000}"/>
    <cellStyle name="Currency 7 2" xfId="3119" xr:uid="{00000000-0005-0000-0000-0000EB020000}"/>
    <cellStyle name="Currency 7 2 2" xfId="6177" xr:uid="{D9E1B83A-3F24-471B-9EDA-B54E6533FE98}"/>
    <cellStyle name="Currency 7 2 2 2" xfId="24685" xr:uid="{CEFCDACB-282E-4FF9-BC48-3099B0FC7EE8}"/>
    <cellStyle name="Currency 7 2 2 2 2" xfId="26465" xr:uid="{A5B4D759-8536-4897-8E66-68106CAB1926}"/>
    <cellStyle name="Currency 7 2 2 2 3" xfId="31155" xr:uid="{A4B65126-91AD-4731-B18E-C941117B3CBF}"/>
    <cellStyle name="Currency 7 2 2 3" xfId="27289" xr:uid="{AB679207-A083-4BDA-AAF7-C356897E6C22}"/>
    <cellStyle name="Currency 7 2 2 4" xfId="15746" xr:uid="{D39065B7-B32F-45CB-83B8-87230959F43A}"/>
    <cellStyle name="Currency 7 2 3" xfId="8199" xr:uid="{3C3DEA77-9252-4CA8-95EE-509344333E7F}"/>
    <cellStyle name="Currency 7 2 3 2" xfId="28864" xr:uid="{68F4C44D-B657-416C-80FC-5D2B8078A738}"/>
    <cellStyle name="Currency 7 2 3 3" xfId="25956" xr:uid="{764CC72C-A203-49F1-83F5-21D1E1AC9C73}"/>
    <cellStyle name="Currency 7 2 3 4" xfId="18579" xr:uid="{46A679A2-A92A-43BF-8655-ACEB4DC7A7E3}"/>
    <cellStyle name="Currency 7 2 4" xfId="11032" xr:uid="{CE58C3F8-7D55-4BB5-BCAF-F941D45451FF}"/>
    <cellStyle name="Currency 7 2 4 2" xfId="21412" xr:uid="{3C7DC662-43E0-46B4-AC8B-4A2C14775DCF}"/>
    <cellStyle name="Currency 7 2 5" xfId="24754" xr:uid="{1744AF6C-B642-4038-B9F9-51CE37983E0F}"/>
    <cellStyle name="Currency 7 2 6" xfId="13640" xr:uid="{C64D0CCC-D5E4-4BBA-8D76-FCFD2937BB16}"/>
    <cellStyle name="Currency 7 2 6 2" xfId="30084" xr:uid="{A2DDCFAE-5DAF-42B0-8BC1-D233D3247146}"/>
    <cellStyle name="Currency 7 3" xfId="4271" xr:uid="{5108D09C-1E19-45C4-93DC-64048A56B178}"/>
    <cellStyle name="Currency 7 3 2" xfId="9043" xr:uid="{8F7597DB-637C-46B3-83BD-6588FA3E34D5}"/>
    <cellStyle name="Currency 7 3 2 2" xfId="29095" xr:uid="{06FC2BF0-EBD5-4CEB-9242-29A9386AB13C}"/>
    <cellStyle name="Currency 7 3 2 3" xfId="28687" xr:uid="{A3FB48B2-3692-4591-8E9F-3E16484E5530}"/>
    <cellStyle name="Currency 7 3 2 4" xfId="19423" xr:uid="{8B236A8B-DEBD-4E86-A4CE-0E6F116B28C3}"/>
    <cellStyle name="Currency 7 3 2 5" xfId="31047" xr:uid="{FF6DB03D-F4BC-4037-887B-3140CF3B8F7C}"/>
    <cellStyle name="Currency 7 3 3" xfId="11876" xr:uid="{C614D5A7-091C-4DD5-BA80-8AEEF15D9816}"/>
    <cellStyle name="Currency 7 3 3 2" xfId="22256" xr:uid="{945F5127-9043-4071-B578-DE8BFB6A1213}"/>
    <cellStyle name="Currency 7 3 4" xfId="24603" xr:uid="{3F6D4EEB-B317-43CE-93BF-EB575C97ED08}"/>
    <cellStyle name="Currency 7 3 5" xfId="16590" xr:uid="{C10B803F-9C27-4444-8090-74F8AD11404E}"/>
    <cellStyle name="Currency 7 4" xfId="5922" xr:uid="{888BDFFC-D2BF-45F4-A2B0-4399EE5C49DE}"/>
    <cellStyle name="Currency 7 4 2" xfId="25904" xr:uid="{3BF6F9AB-DC2E-447F-A41D-2567B62C22C6}"/>
    <cellStyle name="Currency 7 4 3" xfId="28062" xr:uid="{AA463E49-7A22-4909-979B-7CAF52DEDD91}"/>
    <cellStyle name="Currency 7 4 4" xfId="15360" xr:uid="{F3E089C9-EB82-4D8E-A808-DBDDFDF0CBC6}"/>
    <cellStyle name="Currency 7 5" xfId="7813" xr:uid="{6050E524-E0E1-4F67-919D-9C66FA0948FE}"/>
    <cellStyle name="Currency 7 5 2" xfId="28084" xr:uid="{A188E16C-5F3D-4633-9AD1-4AE3F6637154}"/>
    <cellStyle name="Currency 7 5 3" xfId="27117" xr:uid="{9FBEB50B-1AEB-4BCF-8344-A76646EF3686}"/>
    <cellStyle name="Currency 7 5 4" xfId="18193" xr:uid="{C204D0C8-FB98-404D-9491-702EDA690BB0}"/>
    <cellStyle name="Currency 7 6" xfId="10646" xr:uid="{6C513F88-72EA-4351-861A-D129ADD4254E}"/>
    <cellStyle name="Currency 7 6 2" xfId="21026" xr:uid="{FEDA0071-305A-4ED3-9BCA-BD38BD64DF1D}"/>
    <cellStyle name="Currency 7 7" xfId="23842" xr:uid="{18EA0297-8161-4A87-A071-53E82500C750}"/>
    <cellStyle name="Currency 7 8" xfId="24056" xr:uid="{D9559532-AA1D-410A-986C-78FAAC4D8BA3}"/>
    <cellStyle name="Currency 7 8 2" xfId="29985" xr:uid="{38CCC4F8-3A05-4E8F-A88E-F9A4A5382814}"/>
    <cellStyle name="Currency 7 9" xfId="13102" xr:uid="{30FB82D5-F473-4E05-BB1D-109AEF4101FC}"/>
    <cellStyle name="Currency 8" xfId="4935" xr:uid="{F197CEBD-2C5D-4CBF-9D96-43D31DB105BC}"/>
    <cellStyle name="Currency 8 2" xfId="25602" xr:uid="{0A3EC9D9-FE1A-46FC-829B-E8E11294A4C2}"/>
    <cellStyle name="Currency 8 3" xfId="14227" xr:uid="{12253B7A-9A70-4C29-8C8E-F200B7DAA98B}"/>
    <cellStyle name="Currency 8 4" xfId="30930" xr:uid="{D45966F1-6C24-42C2-8D71-F9FB2965BA9E}"/>
    <cellStyle name="Currency 9" xfId="6680" xr:uid="{92AD7E56-FF09-4440-B173-1094A71FB0D3}"/>
    <cellStyle name="Currency 9 2" xfId="17060" xr:uid="{0C41D9B8-0642-4B4B-B1BC-B3A2DB898A07}"/>
    <cellStyle name="Emphasis 1" xfId="598" xr:uid="{00000000-0005-0000-0000-000001040000}"/>
    <cellStyle name="Emphasis 2" xfId="599" xr:uid="{00000000-0005-0000-0000-000002040000}"/>
    <cellStyle name="Emphasis 3" xfId="600" xr:uid="{00000000-0005-0000-0000-000003040000}"/>
    <cellStyle name="Explanatory Text" xfId="29486" builtinId="53" customBuiltin="1"/>
    <cellStyle name="Explanatory Text 2" xfId="29553" xr:uid="{B4576BC8-55D4-46C7-856A-8A52C91891FA}"/>
    <cellStyle name="FundHeaderRowCol.*" xfId="12314" xr:uid="{30107591-BA76-4D19-A887-3FEAE1650577}"/>
    <cellStyle name="FundHeaderRowCol.1" xfId="12315" xr:uid="{00EFF92D-2F4D-4486-B652-96404B414C85}"/>
    <cellStyle name="FundHeaderRowCol.2" xfId="12316" xr:uid="{69018372-DFBE-43C7-B42A-CF4B4A9EA553}"/>
    <cellStyle name="FundSectionHeaderRowDescCol" xfId="12317" xr:uid="{8BD053DD-2230-48D8-AC57-44B3DE83240D}"/>
    <cellStyle name="FundSectionHeaderRowJERefCol" xfId="12318" xr:uid="{8CE873D4-FF14-4149-A394-6FF189B8DF37}"/>
    <cellStyle name="FundSectionHeaderRowNameCol" xfId="12319" xr:uid="{AF61B6DD-8826-4CF0-90CF-282A2B921CC6}"/>
    <cellStyle name="Good" xfId="4831" builtinId="26" customBuiltin="1"/>
    <cellStyle name="Good 2" xfId="601" xr:uid="{00000000-0005-0000-0000-000004040000}"/>
    <cellStyle name="Good 3" xfId="602" xr:uid="{00000000-0005-0000-0000-000005040000}"/>
    <cellStyle name="Good 4" xfId="29554" xr:uid="{73D04EFA-6288-4DE1-AC60-080AD9DDB73A}"/>
    <cellStyle name="GroupSectionHeaderRowBalance" xfId="12320" xr:uid="{DA166E2E-B504-4B9A-8852-CD4BEAFC2AAE}"/>
    <cellStyle name="GroupSectionHeaderRowDescCol" xfId="12321" xr:uid="{09A65350-37C6-483C-9076-B9B9EE9DB424}"/>
    <cellStyle name="GroupSectionHeaderRowNameCol" xfId="12322" xr:uid="{48CEC677-4043-42C1-A934-4F76033302EF}"/>
    <cellStyle name="GroupSelectionHeaderRowJERefCol" xfId="12323" xr:uid="{94232F09-04F3-4E6D-B7DB-04F59E9CD5DE}"/>
    <cellStyle name="Heading 1" xfId="4827" builtinId="16" customBuiltin="1"/>
    <cellStyle name="Heading 1 2" xfId="603" xr:uid="{00000000-0005-0000-0000-000006040000}"/>
    <cellStyle name="Heading 1 3" xfId="604" xr:uid="{00000000-0005-0000-0000-000007040000}"/>
    <cellStyle name="Heading 1 4" xfId="29555" xr:uid="{CA4BF050-0BB8-4C07-AB32-EEDEC7DE8D02}"/>
    <cellStyle name="Heading 2" xfId="4828" builtinId="17" customBuiltin="1"/>
    <cellStyle name="Heading 2 2" xfId="605" xr:uid="{00000000-0005-0000-0000-000008040000}"/>
    <cellStyle name="Heading 2 3" xfId="606" xr:uid="{00000000-0005-0000-0000-000009040000}"/>
    <cellStyle name="Heading 2 4" xfId="29556" xr:uid="{C46319D0-77EB-4CD4-930D-A0782678B5C8}"/>
    <cellStyle name="Heading 3" xfId="4829" builtinId="18" customBuiltin="1"/>
    <cellStyle name="Heading 3 2" xfId="607" xr:uid="{00000000-0005-0000-0000-00000A040000}"/>
    <cellStyle name="Heading 3 2 2" xfId="29557" xr:uid="{34280CFD-9731-497F-BC7D-6606D1BE1D50}"/>
    <cellStyle name="Heading 3 3" xfId="608" xr:uid="{00000000-0005-0000-0000-00000B040000}"/>
    <cellStyle name="Heading 3 3 2" xfId="29558" xr:uid="{7F9170D1-699D-48ED-ACD3-2207BA3A3A38}"/>
    <cellStyle name="Heading 3 4" xfId="29559" xr:uid="{32EE2CF5-75CA-4329-B9DB-F327B55E31FB}"/>
    <cellStyle name="Heading 4" xfId="4830" builtinId="19" customBuiltin="1"/>
    <cellStyle name="Heading 4 2" xfId="609" xr:uid="{00000000-0005-0000-0000-00000C040000}"/>
    <cellStyle name="Heading 4 3" xfId="610" xr:uid="{00000000-0005-0000-0000-00000D040000}"/>
    <cellStyle name="Heading 4 4" xfId="29560" xr:uid="{26CF4506-3C0C-4149-82F5-67DE7222738E}"/>
    <cellStyle name="Hyperlink" xfId="611" builtinId="8"/>
    <cellStyle name="Hyperlink 2" xfId="612" xr:uid="{00000000-0005-0000-0000-00000F040000}"/>
    <cellStyle name="Hyperlink 2 2" xfId="29596" xr:uid="{AFC0C00D-F11C-4445-A195-9C58C7F6F9AF}"/>
    <cellStyle name="Hyperlink 3" xfId="613" xr:uid="{00000000-0005-0000-0000-000010040000}"/>
    <cellStyle name="Hyperlink 4" xfId="614" xr:uid="{00000000-0005-0000-0000-000011040000}"/>
    <cellStyle name="Hyperlink 5" xfId="29597" xr:uid="{53BF9B33-031B-4A47-A462-794552C5F5C4}"/>
    <cellStyle name="Input" xfId="4833" builtinId="20" customBuiltin="1"/>
    <cellStyle name="Input 2" xfId="615" xr:uid="{00000000-0005-0000-0000-000012040000}"/>
    <cellStyle name="Input 3" xfId="616" xr:uid="{00000000-0005-0000-0000-000013040000}"/>
    <cellStyle name="Input 4" xfId="29561" xr:uid="{C0B9884E-84BA-41A6-ADBA-85A7A4A4B29C}"/>
    <cellStyle name="JEDescriptionRowNameCol" xfId="12324" xr:uid="{D7AC7BB0-9688-456A-B8D3-FA09DD0137F5}"/>
    <cellStyle name="JEDetailRowCreditCol" xfId="12325" xr:uid="{2B66B052-A8A2-4315-8820-BA95C9FC0D86}"/>
    <cellStyle name="JEDetailRowDebitCol" xfId="12326" xr:uid="{BA43A963-4B13-4778-AB36-88E6086C035F}"/>
    <cellStyle name="JEDetailRowDescCol" xfId="12327" xr:uid="{866EA52A-1467-4A66-8C56-CBBB989288FF}"/>
    <cellStyle name="JEDetailRowNameCol" xfId="12328" xr:uid="{D5EDB40B-5B17-40F4-BA94-A5C2FF9895DF}"/>
    <cellStyle name="JEDetailRowWPRefCol" xfId="12329" xr:uid="{388908A3-E726-44B7-A73F-A3C06954DF15}"/>
    <cellStyle name="JEIdentityRowDescCol" xfId="12330" xr:uid="{825B0865-A30D-4C62-8B41-AA14FFCCB4D4}"/>
    <cellStyle name="JEIdentityRowNameCol" xfId="12331" xr:uid="{A0A88C57-EFB6-4680-B416-FABA545BB0F9}"/>
    <cellStyle name="JEIdentityRowWPRefCol" xfId="12332" xr:uid="{AA8FCA78-A35F-435A-9773-AE7D5DFEB05A}"/>
    <cellStyle name="JETotalRowCreditCol" xfId="12333" xr:uid="{CBC2F19F-9212-4A47-B1E9-F8CBBFEB30BF}"/>
    <cellStyle name="JETotalRowDebitCol" xfId="12334" xr:uid="{86004B0D-F111-43BD-91D6-74F17F1148B0}"/>
    <cellStyle name="JETotalRowDescCol" xfId="12335" xr:uid="{E60B60DE-39B9-4650-86A4-D2C09E6902FC}"/>
    <cellStyle name="JETotalRowNameCol" xfId="12336" xr:uid="{054CE1E2-C09D-4C50-B388-27AA302258ED}"/>
    <cellStyle name="JETotalRowWPRefCol" xfId="12337" xr:uid="{61C2FCFF-EC42-4DF3-8C13-5AD2D79709C0}"/>
    <cellStyle name="JETypeDescriptionRowDescCol" xfId="12338" xr:uid="{8065F69E-3861-45A6-A349-5CFDE18A5F97}"/>
    <cellStyle name="JETypeDescriptionRowNameCol" xfId="12339" xr:uid="{52E08EE2-90C8-4506-BF47-147EE565D429}"/>
    <cellStyle name="Linked Cell" xfId="4836" builtinId="24" customBuiltin="1"/>
    <cellStyle name="Linked Cell 2" xfId="617" xr:uid="{00000000-0005-0000-0000-000014040000}"/>
    <cellStyle name="Linked Cell 3" xfId="618" xr:uid="{00000000-0005-0000-0000-000015040000}"/>
    <cellStyle name="Linked Cell 4" xfId="29562" xr:uid="{8B4B6641-0453-4E55-B892-08C524C0A5B2}"/>
    <cellStyle name="NetIncomeLossRowBalance" xfId="12340" xr:uid="{1433FCB7-B0C9-4DF0-B9B6-271B460A2FE0}"/>
    <cellStyle name="NetIncomeLossRowDescCol" xfId="12341" xr:uid="{597C11A1-FC41-41D2-B06D-C46DAEDC1B38}"/>
    <cellStyle name="NetIncomeLossRowJERefCol" xfId="12342" xr:uid="{63E13319-5232-4EEA-94AD-7E617E4FE709}"/>
    <cellStyle name="NetIncomeLossRowNameCol" xfId="12343" xr:uid="{FBC05D99-2A3C-4D44-8907-1C72E5EF1406}"/>
    <cellStyle name="NetIncomeLossRowVarPectCol" xfId="12344" xr:uid="{34E3AE3A-34B2-4329-B9E3-10C568F30822}"/>
    <cellStyle name="NetIncomeLossRowWPRefCol" xfId="12345" xr:uid="{0373C2AB-7463-4889-B6F1-C9B138613C3F}"/>
    <cellStyle name="Neutral 2" xfId="619" xr:uid="{00000000-0005-0000-0000-000016040000}"/>
    <cellStyle name="Neutral 3" xfId="620" xr:uid="{00000000-0005-0000-0000-000017040000}"/>
    <cellStyle name="Neutral 4" xfId="12254" xr:uid="{C7790D3F-7D01-4B5C-A199-EBC5EBD75914}"/>
    <cellStyle name="Neutral 4 2" xfId="29563" xr:uid="{428E148C-FAA0-4622-BE5C-127270522EA8}"/>
    <cellStyle name="Normal" xfId="0" builtinId="0"/>
    <cellStyle name="Normal 10" xfId="621" xr:uid="{00000000-0005-0000-0000-000019040000}"/>
    <cellStyle name="Normal 10 10" xfId="622" xr:uid="{00000000-0005-0000-0000-00001A040000}"/>
    <cellStyle name="Normal 10 10 2" xfId="3120" xr:uid="{00000000-0005-0000-0000-000005030000}"/>
    <cellStyle name="Normal 10 10 2 2" xfId="6178" xr:uid="{A48A6148-8147-4125-A12B-D8297B0DC6CE}"/>
    <cellStyle name="Normal 10 10 2 2 2" xfId="25732" xr:uid="{B93DA6C7-7B79-4108-B9B5-B8A81754163B}"/>
    <cellStyle name="Normal 10 10 2 2 3" xfId="26658" xr:uid="{3251EC09-E98D-432F-9FC1-719234C11B5F}"/>
    <cellStyle name="Normal 10 10 2 2 4" xfId="15747" xr:uid="{2CD1E5DE-C9FF-4874-8003-89ED02E976BC}"/>
    <cellStyle name="Normal 10 10 2 3" xfId="8200" xr:uid="{1E044D6B-77A0-49E0-8B6C-5F8F91E4792D}"/>
    <cellStyle name="Normal 10 10 2 3 2" xfId="28865" xr:uid="{F1BD571F-1560-49E1-8425-9B4799EE4C95}"/>
    <cellStyle name="Normal 10 10 2 3 3" xfId="18580" xr:uid="{C1410412-EC63-425F-8309-06C9FBE86E43}"/>
    <cellStyle name="Normal 10 10 2 4" xfId="11033" xr:uid="{5BA87819-5ABC-4ED4-AEBE-8E4FF6B09B7D}"/>
    <cellStyle name="Normal 10 10 2 4 2" xfId="21413" xr:uid="{1F718540-6159-4DED-BADE-5D719579F358}"/>
    <cellStyle name="Normal 10 10 2 5" xfId="23359" xr:uid="{A2F437CA-096E-4AD7-ABF2-8FC71022E231}"/>
    <cellStyle name="Normal 10 10 2 6" xfId="13641" xr:uid="{A8B787A3-15CD-49C8-88EB-15F04FD33F37}"/>
    <cellStyle name="Normal 10 10 3" xfId="2859" xr:uid="{00000000-0005-0000-0000-000006030000}"/>
    <cellStyle name="Normal 10 10 3 2" xfId="6072" xr:uid="{04870463-D7A8-44C0-B512-4B2CCF31F619}"/>
    <cellStyle name="Normal 10 10 3 2 2" xfId="28552" xr:uid="{0AD1D515-099A-47C0-BF64-E4C2E245900B}"/>
    <cellStyle name="Normal 10 10 3 2 3" xfId="15528" xr:uid="{C4E869DD-5012-4D41-AFFC-13C01508893B}"/>
    <cellStyle name="Normal 10 10 3 3" xfId="7981" xr:uid="{03B7D17F-8189-4ACE-923B-BDA665E25C79}"/>
    <cellStyle name="Normal 10 10 3 3 2" xfId="18361" xr:uid="{9C417B3D-0AD0-4992-A722-66D546994356}"/>
    <cellStyle name="Normal 10 10 3 4" xfId="10814" xr:uid="{3689B4B7-D4D3-4C10-9185-0F3DB2326800}"/>
    <cellStyle name="Normal 10 10 3 4 2" xfId="21194" xr:uid="{19B5D9BC-9C95-4340-ADA3-A7B5FA429E57}"/>
    <cellStyle name="Normal 10 10 3 5" xfId="25371" xr:uid="{2F619995-6181-409A-ADB1-EC322F973720}"/>
    <cellStyle name="Normal 10 10 3 6" xfId="13348" xr:uid="{586F1DD7-06A8-47EA-861F-D9CA85A788C6}"/>
    <cellStyle name="Normal 10 10 4" xfId="4145" xr:uid="{E80EB3A7-2CB6-4571-B043-917518450B51}"/>
    <cellStyle name="Normal 10 10 4 2" xfId="8917" xr:uid="{6EF97CAD-3298-4E65-98A6-6064F4C57182}"/>
    <cellStyle name="Normal 10 10 4 2 2" xfId="29018" xr:uid="{417C58D3-9799-4D46-9F6E-85B0D5026EAA}"/>
    <cellStyle name="Normal 10 10 4 2 3" xfId="19297" xr:uid="{0F9E426B-F47A-45A8-908C-E03D1FBEF688}"/>
    <cellStyle name="Normal 10 10 4 3" xfId="11750" xr:uid="{FD8848E4-23E2-4675-A872-E92E6F18DEB4}"/>
    <cellStyle name="Normal 10 10 4 3 2" xfId="22130" xr:uid="{50D26883-7F62-478C-AC5A-4239A024C1CD}"/>
    <cellStyle name="Normal 10 10 4 4" xfId="26285" xr:uid="{09455926-8F40-4E56-AA80-029CE8CB3D13}"/>
    <cellStyle name="Normal 10 10 4 5" xfId="16464" xr:uid="{A1987070-EC4A-44EF-A443-F203EA91973B}"/>
    <cellStyle name="Normal 10 10 5" xfId="4982" xr:uid="{E753EFC7-DAAA-43D3-B599-9A8598387912}"/>
    <cellStyle name="Normal 10 10 5 2" xfId="27336" xr:uid="{00F6F234-CF51-4305-9F2C-ADABAAABFC62}"/>
    <cellStyle name="Normal 10 10 5 3" xfId="14277" xr:uid="{45C443CD-DFC3-4F30-AF6B-047E441B48B0}"/>
    <cellStyle name="Normal 10 10 6" xfId="6730" xr:uid="{F769CB9A-5118-40B8-BFE1-BA45F45B3866}"/>
    <cellStyle name="Normal 10 10 6 2" xfId="17110" xr:uid="{96160406-AA55-4F3A-89A2-A36B462387BC}"/>
    <cellStyle name="Normal 10 10 7" xfId="9563" xr:uid="{8CE60302-7137-4977-ACE2-0CB0D21166D4}"/>
    <cellStyle name="Normal 10 10 7 2" xfId="19943" xr:uid="{BD059445-37A6-42A9-BBB6-2958E62DD1D8}"/>
    <cellStyle name="Normal 10 10 8" xfId="22899" xr:uid="{E2F28D9D-80D1-4AA1-950E-7F88298C357A}"/>
    <cellStyle name="Normal 10 10 9" xfId="12693" xr:uid="{BF623A86-DEA6-43D7-A8DF-075214355472}"/>
    <cellStyle name="Normal 10 11" xfId="623" xr:uid="{00000000-0005-0000-0000-00001B040000}"/>
    <cellStyle name="Normal 10 11 2" xfId="4983" xr:uid="{4A05A02C-96FD-4D1C-B9EA-2D237A2C3E1A}"/>
    <cellStyle name="Normal 10 11 2 2" xfId="24792" xr:uid="{80136C4F-516F-4571-8124-CA54C4A0D6E6}"/>
    <cellStyle name="Normal 10 11 2 3" xfId="27940" xr:uid="{6CA6B494-D6D1-42DD-8636-F29BE1730242}"/>
    <cellStyle name="Normal 10 11 2 4" xfId="14278" xr:uid="{7EA7914E-1DFE-465B-A512-FB4CB6AD8339}"/>
    <cellStyle name="Normal 10 11 3" xfId="6731" xr:uid="{972F9648-428D-46F0-ADB4-CF0E092FA608}"/>
    <cellStyle name="Normal 10 11 3 2" xfId="26905" xr:uid="{06042D5C-60F2-4660-9E2E-27D032A92803}"/>
    <cellStyle name="Normal 10 11 3 3" xfId="17111" xr:uid="{60BFD8D1-729B-455C-805A-FC03EBE5BF80}"/>
    <cellStyle name="Normal 10 11 4" xfId="9564" xr:uid="{EF0D317D-E54A-4A22-A8F7-62430034A042}"/>
    <cellStyle name="Normal 10 11 4 2" xfId="19944" xr:uid="{6040C0D3-6DF1-43CD-A964-89078F3349CF}"/>
    <cellStyle name="Normal 10 11 5" xfId="24545" xr:uid="{A8967592-2218-41C3-B75C-802374552DA4}"/>
    <cellStyle name="Normal 10 11 6" xfId="13391" xr:uid="{EAA21CE2-9C63-4B7D-A2A9-38AA0689EBAD}"/>
    <cellStyle name="Normal 10 11 7" xfId="31254" xr:uid="{28E00C5A-101C-4D57-87F3-FFA1BE1BED88}"/>
    <cellStyle name="Normal 10 12" xfId="624" xr:uid="{00000000-0005-0000-0000-00001C040000}"/>
    <cellStyle name="Normal 10 12 2" xfId="4984" xr:uid="{81C5B629-06FA-4C73-953D-3DE3B667ECA5}"/>
    <cellStyle name="Normal 10 12 2 2" xfId="28684" xr:uid="{70D88F76-2598-4C16-8EE5-C3E673473E1F}"/>
    <cellStyle name="Normal 10 12 2 3" xfId="14279" xr:uid="{89C68C09-9400-4D3A-AAB7-DA5D79F33409}"/>
    <cellStyle name="Normal 10 12 3" xfId="6732" xr:uid="{57ACEA7E-EF16-4D67-A33B-4FF3DC7A1D93}"/>
    <cellStyle name="Normal 10 12 3 2" xfId="17112" xr:uid="{D1ABC6DD-7170-43EB-B1CB-741E1C0DD98A}"/>
    <cellStyle name="Normal 10 12 4" xfId="9565" xr:uid="{87002A86-8D06-487A-AC53-CE9ED5BA9106}"/>
    <cellStyle name="Normal 10 12 4 2" xfId="19945" xr:uid="{BFDDF5AC-6A3D-4842-8E39-CF390305EE0E}"/>
    <cellStyle name="Normal 10 12 5" xfId="25344" xr:uid="{79FBB3CA-C3EC-4A74-86B1-41F1BED65901}"/>
    <cellStyle name="Normal 10 12 6" xfId="12830" xr:uid="{7D54B555-AEC5-4C97-9972-9E98BAF09667}"/>
    <cellStyle name="Normal 10 13" xfId="2173" xr:uid="{00000000-0005-0000-0000-000003030000}"/>
    <cellStyle name="Normal 10 13 2" xfId="7300" xr:uid="{7471D1E5-75EE-4ED7-BD7F-6DF83D0E9EB3}"/>
    <cellStyle name="Normal 10 13 2 2" xfId="26230" xr:uid="{FE4CFAEE-5A24-4CA5-9A6F-D15D149AEF8B}"/>
    <cellStyle name="Normal 10 13 2 3" xfId="17680" xr:uid="{C8E76887-BB42-4116-AB46-494CEC4EA311}"/>
    <cellStyle name="Normal 10 13 3" xfId="10133" xr:uid="{8CC65BA9-FB64-4FED-8E5E-40F54B9077A2}"/>
    <cellStyle name="Normal 10 13 3 2" xfId="20513" xr:uid="{DB027F51-F73F-4F34-AED5-42AF3848CBC3}"/>
    <cellStyle name="Normal 10 13 4" xfId="24627" xr:uid="{BA4460E7-40E0-4E0D-AA35-A58B189F0726}"/>
    <cellStyle name="Normal 10 13 5" xfId="14847" xr:uid="{37C09BCD-6E46-4E63-AABA-545A983990B3}"/>
    <cellStyle name="Normal 10 14" xfId="3904" xr:uid="{7725DFF7-5497-4F7F-AD85-E7F55E85149E}"/>
    <cellStyle name="Normal 10 14 2" xfId="8736" xr:uid="{D3261DEB-D026-4F7B-8A63-7BD33965FEFC}"/>
    <cellStyle name="Normal 10 14 2 2" xfId="19116" xr:uid="{380C6917-A8A9-4DB7-9E0B-B3881FEAE402}"/>
    <cellStyle name="Normal 10 14 3" xfId="11569" xr:uid="{301B0EC4-1920-4FE8-9DAB-CDC888ED9AD6}"/>
    <cellStyle name="Normal 10 14 3 2" xfId="21949" xr:uid="{8007155B-0D73-4E13-85BF-1868E391322A}"/>
    <cellStyle name="Normal 10 14 4" xfId="24489" xr:uid="{DD5DDC51-8259-4362-8BB5-3571609555BA}"/>
    <cellStyle name="Normal 10 14 5" xfId="16283" xr:uid="{5334FDBE-99E4-43B0-9536-0E4983E9CFFC}"/>
    <cellStyle name="Normal 10 15" xfId="4981" xr:uid="{7CC6FFB8-54FD-4DB8-994D-5373C639D597}"/>
    <cellStyle name="Normal 10 15 2" xfId="14276" xr:uid="{9D18A003-1AFB-4E00-826E-418CD25DC677}"/>
    <cellStyle name="Normal 10 16" xfId="6729" xr:uid="{9F24BD89-D286-4571-8C43-0DA4709BB7A6}"/>
    <cellStyle name="Normal 10 16 2" xfId="17109" xr:uid="{4D7CE34E-C0EB-4B47-B925-99E2328FCD47}"/>
    <cellStyle name="Normal 10 17" xfId="9562" xr:uid="{1F5857E8-0180-43B6-A67A-D8A50D53EE2D}"/>
    <cellStyle name="Normal 10 17 2" xfId="19942" xr:uid="{28EA8336-B58D-4001-97E1-1918AD18C978}"/>
    <cellStyle name="Normal 10 18" xfId="22965" xr:uid="{742F234D-82A3-42A6-B583-194E4A5AFD22}"/>
    <cellStyle name="Normal 10 19" xfId="12405" xr:uid="{F5251D3C-5E86-4A72-9FC4-354A3A96E2D8}"/>
    <cellStyle name="Normal 10 2" xfId="625" xr:uid="{00000000-0005-0000-0000-00001D040000}"/>
    <cellStyle name="Normal 10 2 10" xfId="4985" xr:uid="{AF9C9F13-AE12-416F-AE40-EC642CC2467C}"/>
    <cellStyle name="Normal 10 2 10 2" xfId="14280" xr:uid="{854A259B-B3C1-41B4-AF59-D6117453A646}"/>
    <cellStyle name="Normal 10 2 11" xfId="6733" xr:uid="{F38BD8C0-9421-42A1-8328-B5BC33C98FA2}"/>
    <cellStyle name="Normal 10 2 11 2" xfId="17113" xr:uid="{8E9DC401-4643-4F67-B21F-7F04CAF49562}"/>
    <cellStyle name="Normal 10 2 12" xfId="9566" xr:uid="{54731853-DF17-4F3C-8343-C979F78B6C83}"/>
    <cellStyle name="Normal 10 2 12 2" xfId="19946" xr:uid="{40651727-1308-4000-9898-92BFF5BA47AB}"/>
    <cellStyle name="Normal 10 2 13" xfId="22653" xr:uid="{7651A22B-3469-4C2B-915E-B0399D89FE02}"/>
    <cellStyle name="Normal 10 2 14" xfId="12428" xr:uid="{0FAB5A96-8730-4777-B641-7813F9F03870}"/>
    <cellStyle name="Normal 10 2 2" xfId="626" xr:uid="{00000000-0005-0000-0000-00001E040000}"/>
    <cellStyle name="Normal 10 2 2 10" xfId="6734" xr:uid="{5DEEFE5E-DCB4-4FB8-B9D0-9F375FA6CE18}"/>
    <cellStyle name="Normal 10 2 2 10 2" xfId="17114" xr:uid="{6B3362CF-1EAE-44AD-8E7C-6F8884070197}"/>
    <cellStyle name="Normal 10 2 2 11" xfId="9567" xr:uid="{C5321B08-B5F0-4349-9FC9-DE9D93B783A2}"/>
    <cellStyle name="Normal 10 2 2 11 2" xfId="19947" xr:uid="{BD78E8AA-A088-4DFF-8DB9-13392B6FBD50}"/>
    <cellStyle name="Normal 10 2 2 12" xfId="23869" xr:uid="{D7019344-E4F0-4EAD-A39E-0177C41E3B6B}"/>
    <cellStyle name="Normal 10 2 2 13" xfId="12488" xr:uid="{C372DA4C-48CA-4BB5-B2ED-2CF5B05C7D9B}"/>
    <cellStyle name="Normal 10 2 2 2" xfId="627" xr:uid="{00000000-0005-0000-0000-00001F040000}"/>
    <cellStyle name="Normal 10 2 2 2 10" xfId="13053" xr:uid="{D22D6458-D1DC-4AF5-8DFD-A093A36FDE01}"/>
    <cellStyle name="Normal 10 2 2 2 2" xfId="628" xr:uid="{00000000-0005-0000-0000-000020040000}"/>
    <cellStyle name="Normal 10 2 2 2 2 2" xfId="3123" xr:uid="{00000000-0005-0000-0000-00000D030000}"/>
    <cellStyle name="Normal 10 2 2 2 2 2 2" xfId="6181" xr:uid="{8892C1C8-BA0C-49CC-998F-780716EF93FA}"/>
    <cellStyle name="Normal 10 2 2 2 2 2 2 2" xfId="23345" xr:uid="{7DD4C7C2-B7B8-4A07-A0CB-863E7FD205F2}"/>
    <cellStyle name="Normal 10 2 2 2 2 2 2 3" xfId="15750" xr:uid="{04E6806C-7482-4417-8D92-21640E43690F}"/>
    <cellStyle name="Normal 10 2 2 2 2 2 3" xfId="8203" xr:uid="{CE95F44B-0481-40F9-81DF-031D79118290}"/>
    <cellStyle name="Normal 10 2 2 2 2 2 3 2" xfId="18583" xr:uid="{FB00175E-8C54-4F49-A0C0-F63484131B1D}"/>
    <cellStyle name="Normal 10 2 2 2 2 2 4" xfId="11036" xr:uid="{174873F6-C547-4786-A0B5-95F1612AD408}"/>
    <cellStyle name="Normal 10 2 2 2 2 2 4 2" xfId="21416" xr:uid="{BC9E8C52-4E9E-4F82-BC19-DEE42A19635E}"/>
    <cellStyle name="Normal 10 2 2 2 2 2 5" xfId="24510" xr:uid="{BD0491B1-769E-4376-BB95-956B81D9FAFD}"/>
    <cellStyle name="Normal 10 2 2 2 2 2 6" xfId="13644" xr:uid="{901212EF-41CF-4F24-8CB8-0D1DDE0AC254}"/>
    <cellStyle name="Normal 10 2 2 2 2 3" xfId="4282" xr:uid="{ACAE5F72-B919-4576-BC83-C3FD833AB1D4}"/>
    <cellStyle name="Normal 10 2 2 2 2 3 2" xfId="9054" xr:uid="{3AAA8962-D937-47D1-9A1D-B77E1ED0C51B}"/>
    <cellStyle name="Normal 10 2 2 2 2 3 2 2" xfId="29097" xr:uid="{979D5129-1C24-480B-A486-28EFA77CBE6D}"/>
    <cellStyle name="Normal 10 2 2 2 2 3 2 3" xfId="19434" xr:uid="{8602EA7C-0304-44EA-9F5F-2C6CBBB27DCE}"/>
    <cellStyle name="Normal 10 2 2 2 2 3 3" xfId="11887" xr:uid="{5FD814A5-9474-41D9-B7E0-A872F7B57471}"/>
    <cellStyle name="Normal 10 2 2 2 2 3 3 2" xfId="22267" xr:uid="{62E22EB4-6F34-4C11-A610-E66C71AAB67C}"/>
    <cellStyle name="Normal 10 2 2 2 2 3 4" xfId="24520" xr:uid="{C870E03D-2651-4024-82C9-F9C038A7E458}"/>
    <cellStyle name="Normal 10 2 2 2 2 3 5" xfId="16601" xr:uid="{D410EB35-9C13-475F-B509-4399F7E15C5F}"/>
    <cellStyle name="Normal 10 2 2 2 2 4" xfId="4988" xr:uid="{33657853-CCCE-4302-B0EA-6563BF685939}"/>
    <cellStyle name="Normal 10 2 2 2 2 4 2" xfId="26222" xr:uid="{E63D3BC4-CAE8-4CA8-B9EF-663319E45499}"/>
    <cellStyle name="Normal 10 2 2 2 2 4 3" xfId="14283" xr:uid="{2E27CB9C-65EF-432E-BC69-EC5871C28694}"/>
    <cellStyle name="Normal 10 2 2 2 2 5" xfId="6736" xr:uid="{18B0B3AE-F00C-44A4-A0BB-D96BC596D169}"/>
    <cellStyle name="Normal 10 2 2 2 2 5 2" xfId="17116" xr:uid="{43ED36AD-FE12-4253-9FDB-568A257CFF1C}"/>
    <cellStyle name="Normal 10 2 2 2 2 6" xfId="9569" xr:uid="{D6EF9651-6789-4D71-98F0-25F6733E9671}"/>
    <cellStyle name="Normal 10 2 2 2 2 6 2" xfId="19949" xr:uid="{215801CB-DDFC-4481-A3A3-2CEE6AD78369}"/>
    <cellStyle name="Normal 10 2 2 2 2 7" xfId="24124" xr:uid="{B5C766AC-D80E-4C99-BD59-6B9CA2AA78CC}"/>
    <cellStyle name="Normal 10 2 2 2 2 8" xfId="13125" xr:uid="{529951AB-5337-4B58-AF34-28E627BFA22D}"/>
    <cellStyle name="Normal 10 2 2 2 3" xfId="3124" xr:uid="{00000000-0005-0000-0000-00000E030000}"/>
    <cellStyle name="Normal 10 2 2 2 3 2" xfId="4439" xr:uid="{E2AA89EB-C97D-45BE-B966-48B716394DC9}"/>
    <cellStyle name="Normal 10 2 2 2 3 2 2" xfId="9211" xr:uid="{A3B3B5A1-450A-4876-9D75-2993D84F44F3}"/>
    <cellStyle name="Normal 10 2 2 2 3 2 2 2" xfId="19591" xr:uid="{618354FD-25C4-458F-BFA6-C1EDB634E19D}"/>
    <cellStyle name="Normal 10 2 2 2 3 2 3" xfId="12044" xr:uid="{D5657C4F-0073-4FED-BB23-E2D66386C214}"/>
    <cellStyle name="Normal 10 2 2 2 3 2 3 2" xfId="22424" xr:uid="{15DFA9D5-A74F-4957-834C-89B1892B51BE}"/>
    <cellStyle name="Normal 10 2 2 2 3 2 4" xfId="27378" xr:uid="{2C986A78-EA2D-4068-986C-4E50A0F9FB45}"/>
    <cellStyle name="Normal 10 2 2 2 3 2 5" xfId="16758" xr:uid="{5ED5E4E4-5416-4C27-92D6-B47855558055}"/>
    <cellStyle name="Normal 10 2 2 2 3 3" xfId="6182" xr:uid="{4E29BB3B-DC72-4DB0-B11F-BE88024F461F}"/>
    <cellStyle name="Normal 10 2 2 2 3 3 2" xfId="15751" xr:uid="{EB54DE73-99AA-4D15-B8EB-3C02BD029B8A}"/>
    <cellStyle name="Normal 10 2 2 2 3 4" xfId="8204" xr:uid="{024080C8-FA45-445F-A9C2-075CF8735947}"/>
    <cellStyle name="Normal 10 2 2 2 3 4 2" xfId="18584" xr:uid="{CFD5300B-1A3A-4915-A199-BFB4713B9D53}"/>
    <cellStyle name="Normal 10 2 2 2 3 5" xfId="11037" xr:uid="{15B46448-C47E-4D53-8BA5-BAB75DA022BA}"/>
    <cellStyle name="Normal 10 2 2 2 3 5 2" xfId="21417" xr:uid="{46A57970-6CE9-4A9D-99DC-DA644B6031D5}"/>
    <cellStyle name="Normal 10 2 2 2 3 6" xfId="25016" xr:uid="{6BD65E36-2C60-492E-BF6B-E21F3E861AC8}"/>
    <cellStyle name="Normal 10 2 2 2 3 7" xfId="13645" xr:uid="{FC53FECB-58BA-4718-8075-86664A1E6322}"/>
    <cellStyle name="Normal 10 2 2 2 4" xfId="3122" xr:uid="{00000000-0005-0000-0000-00000F030000}"/>
    <cellStyle name="Normal 10 2 2 2 4 2" xfId="6180" xr:uid="{D9AC5840-A868-42B7-9B07-5467B903D80D}"/>
    <cellStyle name="Normal 10 2 2 2 4 2 2" xfId="27787" xr:uid="{6564ECEB-9CA3-4A47-94F0-5EC4020FDC7A}"/>
    <cellStyle name="Normal 10 2 2 2 4 2 3" xfId="15749" xr:uid="{4D09A5EA-43A7-4061-94DA-4B6895A7D0CB}"/>
    <cellStyle name="Normal 10 2 2 2 4 3" xfId="8202" xr:uid="{D06D1FBF-1680-4C3E-9F8A-32347ED393AD}"/>
    <cellStyle name="Normal 10 2 2 2 4 3 2" xfId="18582" xr:uid="{86D4CCAD-D172-455E-81A3-1B1576D47BE7}"/>
    <cellStyle name="Normal 10 2 2 2 4 4" xfId="11035" xr:uid="{47AAC3C3-12E0-4688-8845-ED89CF201C9A}"/>
    <cellStyle name="Normal 10 2 2 2 4 4 2" xfId="21415" xr:uid="{599659D8-BCA0-4A15-BD36-14286147DB92}"/>
    <cellStyle name="Normal 10 2 2 2 4 5" xfId="25232" xr:uid="{1467B399-15F1-469F-89D4-8D378EDA1FA0}"/>
    <cellStyle name="Normal 10 2 2 2 4 6" xfId="13643" xr:uid="{BDB8401F-D8F7-4119-B70B-3F723D886614}"/>
    <cellStyle name="Normal 10 2 2 2 5" xfId="4250" xr:uid="{94DF746F-DA76-404E-A5D8-2B1EE8D78DA3}"/>
    <cellStyle name="Normal 10 2 2 2 5 2" xfId="9022" xr:uid="{51F0B0BE-85FE-4E4E-B024-52D05B01FDCD}"/>
    <cellStyle name="Normal 10 2 2 2 5 2 2" xfId="29093" xr:uid="{73998EA0-D064-4F29-A126-C4B7190220D2}"/>
    <cellStyle name="Normal 10 2 2 2 5 2 3" xfId="19402" xr:uid="{D71AF534-1369-4686-BCE9-85026FB57262}"/>
    <cellStyle name="Normal 10 2 2 2 5 3" xfId="11855" xr:uid="{FE6B161D-014D-401F-8215-1201007CF6F0}"/>
    <cellStyle name="Normal 10 2 2 2 5 3 2" xfId="22235" xr:uid="{69257FAD-A830-4407-BCFF-14E744BD8843}"/>
    <cellStyle name="Normal 10 2 2 2 5 4" xfId="24848" xr:uid="{BF300921-F94D-44A8-A812-EA36D6C647C1}"/>
    <cellStyle name="Normal 10 2 2 2 5 5" xfId="16569" xr:uid="{F2AE2A62-5EF8-4BFC-A25A-0A40AF8873BD}"/>
    <cellStyle name="Normal 10 2 2 2 6" xfId="4987" xr:uid="{6DEC9617-4757-4E64-BC38-968162AA2B65}"/>
    <cellStyle name="Normal 10 2 2 2 6 2" xfId="27152" xr:uid="{EA5B05D8-4061-4FF1-9F63-73DCD8376713}"/>
    <cellStyle name="Normal 10 2 2 2 6 3" xfId="14282" xr:uid="{E995415C-5015-4182-B255-64042699E0EA}"/>
    <cellStyle name="Normal 10 2 2 2 7" xfId="6735" xr:uid="{2237665E-E1E3-429A-B237-ABFA50A6625D}"/>
    <cellStyle name="Normal 10 2 2 2 7 2" xfId="17115" xr:uid="{814AB8BE-BD1F-4884-809F-2EB47B6090D0}"/>
    <cellStyle name="Normal 10 2 2 2 8" xfId="9568" xr:uid="{DB6FA345-7CDC-4D88-9112-5692E390DAA1}"/>
    <cellStyle name="Normal 10 2 2 2 8 2" xfId="19948" xr:uid="{9A481BF5-C7A2-4A10-BABA-A2E3BC565592}"/>
    <cellStyle name="Normal 10 2 2 2 9" xfId="23956" xr:uid="{BA52BDE3-7C7F-4D71-B637-52CBEA0DC3C0}"/>
    <cellStyle name="Normal 10 2 2 3" xfId="2706" xr:uid="{00000000-0005-0000-0000-000010030000}"/>
    <cellStyle name="Normal 10 2 2 3 2" xfId="3125" xr:uid="{00000000-0005-0000-0000-000011030000}"/>
    <cellStyle name="Normal 10 2 2 3 2 2" xfId="6183" xr:uid="{48C97DF0-1B66-4E10-823D-2ACA6DD41F45}"/>
    <cellStyle name="Normal 10 2 2 3 2 2 2" xfId="26484" xr:uid="{13AF5A21-8AB7-489C-8F85-C901E665D8C3}"/>
    <cellStyle name="Normal 10 2 2 3 2 2 3" xfId="15752" xr:uid="{4F3E3C81-A716-4B7A-B445-DA0536082110}"/>
    <cellStyle name="Normal 10 2 2 3 2 3" xfId="8205" xr:uid="{679CFA99-C008-41F0-B3C2-7EFA4FE36039}"/>
    <cellStyle name="Normal 10 2 2 3 2 3 2" xfId="18585" xr:uid="{97598FA3-C428-4140-AB50-8DCC1F0285F1}"/>
    <cellStyle name="Normal 10 2 2 3 2 4" xfId="11038" xr:uid="{30298B94-DD4A-4294-9F1A-80A691CD9A12}"/>
    <cellStyle name="Normal 10 2 2 3 2 4 2" xfId="21418" xr:uid="{D3554601-3873-4F72-B7E5-991D36B2D377}"/>
    <cellStyle name="Normal 10 2 2 3 2 5" xfId="25076" xr:uid="{DE176F45-4FA0-4E85-A104-C6FF0B1E6858}"/>
    <cellStyle name="Normal 10 2 2 3 2 6" xfId="13646" xr:uid="{16879DED-629F-4609-BF09-A8A776EE44C9}"/>
    <cellStyle name="Normal 10 2 2 3 3" xfId="4281" xr:uid="{1FAC44FA-4E51-4628-9445-2D7F98E054FF}"/>
    <cellStyle name="Normal 10 2 2 3 3 2" xfId="9053" xr:uid="{9D2B4F89-3C6D-45B9-8FC0-CFBC91013C54}"/>
    <cellStyle name="Normal 10 2 2 3 3 2 2" xfId="29096" xr:uid="{31B8CD6C-56D8-4712-AD9D-5A096EDB8514}"/>
    <cellStyle name="Normal 10 2 2 3 3 2 3" xfId="19433" xr:uid="{1DB8198A-E086-435C-92A5-D58553A06934}"/>
    <cellStyle name="Normal 10 2 2 3 3 3" xfId="11886" xr:uid="{1F979839-73B0-43B0-8E2C-F9D05D14CE39}"/>
    <cellStyle name="Normal 10 2 2 3 3 3 2" xfId="22266" xr:uid="{7189CD82-BC97-4C66-B6C8-20310049DF0B}"/>
    <cellStyle name="Normal 10 2 2 3 3 4" xfId="22911" xr:uid="{29581224-7E1A-4F3D-8D71-43A05C9C3CF3}"/>
    <cellStyle name="Normal 10 2 2 3 3 5" xfId="16600" xr:uid="{8C62D345-4F4D-478F-9D49-90B9453F88AE}"/>
    <cellStyle name="Normal 10 2 2 3 4" xfId="5924" xr:uid="{87D7F008-1DE4-4403-922B-D43A674A8AF2}"/>
    <cellStyle name="Normal 10 2 2 3 4 2" xfId="28201" xr:uid="{216470CD-747B-4C14-BE39-4CD59150A29E}"/>
    <cellStyle name="Normal 10 2 2 3 4 3" xfId="15377" xr:uid="{6ECE865A-6850-41C4-B5FB-9021FDD1F7F1}"/>
    <cellStyle name="Normal 10 2 2 3 5" xfId="7830" xr:uid="{B72C48AE-99C2-4CF0-8F6E-9DCCFB35ECE3}"/>
    <cellStyle name="Normal 10 2 2 3 5 2" xfId="18210" xr:uid="{78E51D10-62FB-47C7-8EEF-7DBD6583F8BC}"/>
    <cellStyle name="Normal 10 2 2 3 6" xfId="10663" xr:uid="{C9754DF2-04FB-4E00-96FF-A8F0C6CA43F7}"/>
    <cellStyle name="Normal 10 2 2 3 6 2" xfId="21043" xr:uid="{38B2FB28-ED29-4378-A066-79B7D0569704}"/>
    <cellStyle name="Normal 10 2 2 3 7" xfId="25119" xr:uid="{1FB94C85-7A95-4041-A50D-4E4803B1F68D}"/>
    <cellStyle name="Normal 10 2 2 3 8" xfId="13124" xr:uid="{810DCD6C-AD33-40D9-96A4-AEDFAE5EB9D5}"/>
    <cellStyle name="Normal 10 2 2 4" xfId="3126" xr:uid="{00000000-0005-0000-0000-000012030000}"/>
    <cellStyle name="Normal 10 2 2 4 2" xfId="4440" xr:uid="{6A906AE3-F548-4ECA-BD57-FC395690FEB4}"/>
    <cellStyle name="Normal 10 2 2 4 2 2" xfId="9212" xr:uid="{7E3EDC44-BAC1-489F-BB1B-4FE1DAA125F6}"/>
    <cellStyle name="Normal 10 2 2 4 2 2 2" xfId="19592" xr:uid="{EE763FE1-8B4F-4ED7-8C96-891A9D75D388}"/>
    <cellStyle name="Normal 10 2 2 4 2 3" xfId="12045" xr:uid="{67E1344F-0FB7-4417-A708-415AF897B88A}"/>
    <cellStyle name="Normal 10 2 2 4 2 3 2" xfId="22425" xr:uid="{14DC1667-F57E-4E9E-A7B5-C34D3228285B}"/>
    <cellStyle name="Normal 10 2 2 4 2 4" xfId="28311" xr:uid="{6BAEB0CE-AD41-4B42-A657-24E562108FAE}"/>
    <cellStyle name="Normal 10 2 2 4 2 5" xfId="16759" xr:uid="{4B9A97F8-D356-4D13-89D2-1EBC3BFF3B45}"/>
    <cellStyle name="Normal 10 2 2 4 3" xfId="6184" xr:uid="{19FFAA4F-CA95-48BE-8A08-FDBB7385607E}"/>
    <cellStyle name="Normal 10 2 2 4 3 2" xfId="15753" xr:uid="{36457E7F-C528-4151-997A-D93BE52C0390}"/>
    <cellStyle name="Normal 10 2 2 4 4" xfId="8206" xr:uid="{062830E6-052A-4E08-8036-A8A8E008D303}"/>
    <cellStyle name="Normal 10 2 2 4 4 2" xfId="18586" xr:uid="{274EC4F0-70C6-4FE1-9118-7B00898CED38}"/>
    <cellStyle name="Normal 10 2 2 4 5" xfId="11039" xr:uid="{2235F72D-D9D8-451D-A44F-6D478CBDF570}"/>
    <cellStyle name="Normal 10 2 2 4 5 2" xfId="21419" xr:uid="{3E96E501-BEDA-4F0D-9220-39A1146CF4C8}"/>
    <cellStyle name="Normal 10 2 2 4 6" xfId="25455" xr:uid="{A2FF38E6-342E-457A-A41E-F5A0C44280FB}"/>
    <cellStyle name="Normal 10 2 2 4 7" xfId="13647" xr:uid="{90C28F50-ECB7-4081-8BEE-F5EB3141D9C0}"/>
    <cellStyle name="Normal 10 2 2 5" xfId="3121" xr:uid="{00000000-0005-0000-0000-000013030000}"/>
    <cellStyle name="Normal 10 2 2 5 2" xfId="6179" xr:uid="{AAE91224-3FEA-4689-A1E2-BFE40525C04F}"/>
    <cellStyle name="Normal 10 2 2 5 2 2" xfId="26988" xr:uid="{65C35670-8E2B-47FB-B53E-DCCC7AAE461E}"/>
    <cellStyle name="Normal 10 2 2 5 2 3" xfId="15748" xr:uid="{9B8C1A40-5D77-4300-BF2C-8D0ECB82559B}"/>
    <cellStyle name="Normal 10 2 2 5 3" xfId="8201" xr:uid="{B2634CB7-F7A0-4518-BE1A-015DA6363A14}"/>
    <cellStyle name="Normal 10 2 2 5 3 2" xfId="18581" xr:uid="{7267FF51-299B-4E4E-80F9-90C0C9B72B63}"/>
    <cellStyle name="Normal 10 2 2 5 4" xfId="11034" xr:uid="{E3CDB59C-41AB-43F2-85A3-03249FD04521}"/>
    <cellStyle name="Normal 10 2 2 5 4 2" xfId="21414" xr:uid="{758D40D6-153A-4892-BC0F-E00FA5E16AB2}"/>
    <cellStyle name="Normal 10 2 2 5 5" xfId="24600" xr:uid="{BC000EEA-3EE4-42FF-A305-B87A508F8440}"/>
    <cellStyle name="Normal 10 2 2 5 6" xfId="13642" xr:uid="{428F0E52-915D-48E4-8517-0440EBB4D1A1}"/>
    <cellStyle name="Normal 10 2 2 6" xfId="2562" xr:uid="{00000000-0005-0000-0000-000014030000}"/>
    <cellStyle name="Normal 10 2 2 6 2" xfId="5832" xr:uid="{C2B45855-423A-47FB-9D6B-CB7368A13FAB}"/>
    <cellStyle name="Normal 10 2 2 6 2 2" xfId="27722" xr:uid="{B8E57B14-3087-4FD8-A70F-558C6E2EFEEF}"/>
    <cellStyle name="Normal 10 2 2 6 2 3" xfId="15234" xr:uid="{1BA6B575-E010-4591-AF3E-E793868702D3}"/>
    <cellStyle name="Normal 10 2 2 6 3" xfId="7687" xr:uid="{13D7AF40-FEAB-4878-BA8F-FA0C3D7D1285}"/>
    <cellStyle name="Normal 10 2 2 6 3 2" xfId="18067" xr:uid="{2C2250EA-CDE2-4AD7-B12C-9C5FF7FE71DA}"/>
    <cellStyle name="Normal 10 2 2 6 4" xfId="10520" xr:uid="{1E2817E8-F6C1-422A-AFF1-B08F6C4EC9EB}"/>
    <cellStyle name="Normal 10 2 2 6 4 2" xfId="20900" xr:uid="{649F1F4D-1B63-4577-AC77-F280D4AD418F}"/>
    <cellStyle name="Normal 10 2 2 6 5" xfId="23236" xr:uid="{A9A7B9A4-10FD-49F2-9A94-1BE00B532B9A}"/>
    <cellStyle name="Normal 10 2 2 6 6" xfId="12950" xr:uid="{8F8890C7-BEA1-4B46-92AD-CFB11FD11F2D}"/>
    <cellStyle name="Normal 10 2 2 7" xfId="2256" xr:uid="{00000000-0005-0000-0000-00000A030000}"/>
    <cellStyle name="Normal 10 2 2 7 2" xfId="7383" xr:uid="{BD878DF1-E595-4B3A-B030-1A4B86DE4C21}"/>
    <cellStyle name="Normal 10 2 2 7 2 2" xfId="17763" xr:uid="{96FB03A1-1F58-4F36-A6A6-BC99F5CC940D}"/>
    <cellStyle name="Normal 10 2 2 7 3" xfId="10216" xr:uid="{7BF5D359-D939-4B06-906E-7B39368A0073}"/>
    <cellStyle name="Normal 10 2 2 7 3 2" xfId="20596" xr:uid="{45D50ACB-C477-45EC-831A-F6720E857490}"/>
    <cellStyle name="Normal 10 2 2 7 4" xfId="25308" xr:uid="{B0BFD245-6F57-4792-B8AD-25314C9A3201}"/>
    <cellStyle name="Normal 10 2 2 7 5" xfId="14930" xr:uid="{9E1162FB-4068-4B26-9EE1-0DC7552744FA}"/>
    <cellStyle name="Normal 10 2 2 8" xfId="3806" xr:uid="{DE5EA038-3A02-4C47-8DE6-3A1441EDFAFA}"/>
    <cellStyle name="Normal 10 2 2 8 2" xfId="8642" xr:uid="{D2E15AB2-9668-4E5F-A639-514A11FF50D6}"/>
    <cellStyle name="Normal 10 2 2 8 2 2" xfId="19022" xr:uid="{3480B3A6-F662-4937-99DC-49EAFB9EA7A0}"/>
    <cellStyle name="Normal 10 2 2 8 3" xfId="11475" xr:uid="{A75F9D08-7B58-4EAA-A634-12F25C9A3922}"/>
    <cellStyle name="Normal 10 2 2 8 3 2" xfId="21855" xr:uid="{944B4970-0F84-4A3B-980A-849E2953B158}"/>
    <cellStyle name="Normal 10 2 2 8 4" xfId="16189" xr:uid="{BA2B70A8-69BA-4C67-B45B-50196AACCD26}"/>
    <cellStyle name="Normal 10 2 2 9" xfId="4986" xr:uid="{86C9F154-476B-4468-9FC4-5F160EBE9B49}"/>
    <cellStyle name="Normal 10 2 2 9 2" xfId="14281" xr:uid="{E3E2A61B-9D40-43EB-9D48-D96BFD3B58D0}"/>
    <cellStyle name="Normal 10 2 3" xfId="629" xr:uid="{00000000-0005-0000-0000-000021040000}"/>
    <cellStyle name="Normal 10 2 3 10" xfId="9570" xr:uid="{2C97D25C-BB1A-476C-B040-C7129D7C78F8}"/>
    <cellStyle name="Normal 10 2 3 10 2" xfId="19950" xr:uid="{C26B30B1-CA24-4063-9990-E82CA8D30A9E}"/>
    <cellStyle name="Normal 10 2 3 11" xfId="23694" xr:uid="{F46EF993-5487-4161-8132-6E4469E10AEF}"/>
    <cellStyle name="Normal 10 2 3 12" xfId="12536" xr:uid="{30ABFEF1-F302-48E8-80C8-FD85B566AB15}"/>
    <cellStyle name="Normal 10 2 3 2" xfId="2707" xr:uid="{00000000-0005-0000-0000-000016030000}"/>
    <cellStyle name="Normal 10 2 3 2 2" xfId="3128" xr:uid="{00000000-0005-0000-0000-000017030000}"/>
    <cellStyle name="Normal 10 2 3 2 2 2" xfId="6186" xr:uid="{F21BBDC9-8812-4296-AE4A-F43642B538F5}"/>
    <cellStyle name="Normal 10 2 3 2 2 2 2" xfId="26667" xr:uid="{D968F027-8C5A-4D5B-B2BC-79932E896B70}"/>
    <cellStyle name="Normal 10 2 3 2 2 2 3" xfId="15755" xr:uid="{2C3E5444-0944-4235-BBC7-58B631C232E9}"/>
    <cellStyle name="Normal 10 2 3 2 2 3" xfId="8208" xr:uid="{748CFDF7-39AA-4B48-846D-DFD53DCCDE46}"/>
    <cellStyle name="Normal 10 2 3 2 2 3 2" xfId="18588" xr:uid="{45C7548F-ABE9-4FD8-83DB-E4116F5BE0B7}"/>
    <cellStyle name="Normal 10 2 3 2 2 4" xfId="11041" xr:uid="{4B9FDFC5-57BF-47DF-8AEB-61C1EC11D3B0}"/>
    <cellStyle name="Normal 10 2 3 2 2 4 2" xfId="21421" xr:uid="{E77E9332-7AC6-44BC-80D8-AEA8D4B6FAC2}"/>
    <cellStyle name="Normal 10 2 3 2 2 5" xfId="23465" xr:uid="{DFBE45BE-79EF-49C6-BDC8-FF482BE25A0D}"/>
    <cellStyle name="Normal 10 2 3 2 2 6" xfId="13649" xr:uid="{50B21915-FBD1-44FF-955B-D305CBBC1A89}"/>
    <cellStyle name="Normal 10 2 3 2 3" xfId="4283" xr:uid="{2B94F73E-A71F-4B45-AB1A-F96E9B6FFBF5}"/>
    <cellStyle name="Normal 10 2 3 2 3 2" xfId="9055" xr:uid="{9FD5F957-C578-4F01-9FC1-69B359F5BAA4}"/>
    <cellStyle name="Normal 10 2 3 2 3 2 2" xfId="29098" xr:uid="{11FBA423-68F9-439E-B708-B9AF85FDFE2B}"/>
    <cellStyle name="Normal 10 2 3 2 3 2 3" xfId="19435" xr:uid="{4415A3C6-10BF-4B36-BC90-6F409E7AFDE1}"/>
    <cellStyle name="Normal 10 2 3 2 3 3" xfId="11888" xr:uid="{73E975D7-4723-457E-9759-1D54AC5E7481}"/>
    <cellStyle name="Normal 10 2 3 2 3 3 2" xfId="22268" xr:uid="{23334B30-CD1E-46BA-AA8F-928E8AA57B4B}"/>
    <cellStyle name="Normal 10 2 3 2 3 4" xfId="24451" xr:uid="{5EB69AA1-13EC-42BD-8FFE-6B2134503511}"/>
    <cellStyle name="Normal 10 2 3 2 3 5" xfId="16602" xr:uid="{A384552F-2090-445E-BAE5-6698F6D122C7}"/>
    <cellStyle name="Normal 10 2 3 2 4" xfId="5925" xr:uid="{CDA1F97D-60A1-407B-B633-AC0832D801F2}"/>
    <cellStyle name="Normal 10 2 3 2 4 2" xfId="28677" xr:uid="{A36775EF-6401-4226-A35F-5E9C74DF1AE6}"/>
    <cellStyle name="Normal 10 2 3 2 4 3" xfId="15378" xr:uid="{68E1D7BA-AD29-4DAD-950B-38FC6C839C0D}"/>
    <cellStyle name="Normal 10 2 3 2 5" xfId="7831" xr:uid="{85DC09AA-F078-4D23-AA13-CB516827E64E}"/>
    <cellStyle name="Normal 10 2 3 2 5 2" xfId="18211" xr:uid="{8981F427-A24D-4F3E-B774-84932F365DD4}"/>
    <cellStyle name="Normal 10 2 3 2 6" xfId="10664" xr:uid="{76110124-625D-47D4-AF91-BED10133DE30}"/>
    <cellStyle name="Normal 10 2 3 2 6 2" xfId="21044" xr:uid="{BE01F4B8-1875-492C-A5AD-83F27D3906D7}"/>
    <cellStyle name="Normal 10 2 3 2 7" xfId="24964" xr:uid="{A0FFC7DF-C238-474F-B0A2-5445E1885BE2}"/>
    <cellStyle name="Normal 10 2 3 2 8" xfId="13126" xr:uid="{50D78E67-3B19-4C22-AEF5-DF8C50160B8B}"/>
    <cellStyle name="Normal 10 2 3 3" xfId="3129" xr:uid="{00000000-0005-0000-0000-000018030000}"/>
    <cellStyle name="Normal 10 2 3 3 2" xfId="4441" xr:uid="{395FBBAC-4EB4-44DD-8BC8-3E17ADF9C3C0}"/>
    <cellStyle name="Normal 10 2 3 3 2 2" xfId="9213" xr:uid="{4044E785-F68D-497F-9D5B-50D7712F8C51}"/>
    <cellStyle name="Normal 10 2 3 3 2 2 2" xfId="29206" xr:uid="{F50990A4-77BD-4A19-9863-0010F3A43A57}"/>
    <cellStyle name="Normal 10 2 3 3 2 2 3" xfId="19593" xr:uid="{00874A4E-4DC7-4779-B725-0D034CD349DA}"/>
    <cellStyle name="Normal 10 2 3 3 2 3" xfId="12046" xr:uid="{651E0D9F-48E2-4C7E-B5CF-4E86AAEBDD58}"/>
    <cellStyle name="Normal 10 2 3 3 2 3 2" xfId="22426" xr:uid="{48A2501C-7E6B-4B28-BE41-C2D0983E25E3}"/>
    <cellStyle name="Normal 10 2 3 3 2 4" xfId="25827" xr:uid="{577FDCE4-8711-41C9-988F-AA44708C4806}"/>
    <cellStyle name="Normal 10 2 3 3 2 5" xfId="16760" xr:uid="{F5EB9542-0769-4B8A-91A4-7565AA0988C4}"/>
    <cellStyle name="Normal 10 2 3 3 3" xfId="6187" xr:uid="{ADCA5275-39F2-482D-8C01-D8EBC900C88A}"/>
    <cellStyle name="Normal 10 2 3 3 3 2" xfId="26224" xr:uid="{20EDA385-3F6C-463F-B9BB-E0DE71B26C1E}"/>
    <cellStyle name="Normal 10 2 3 3 3 3" xfId="15756" xr:uid="{EFE888DE-88DF-48D1-8F6B-2E83EDEA6128}"/>
    <cellStyle name="Normal 10 2 3 3 4" xfId="8209" xr:uid="{F0E2F6A5-BD42-4693-8AD0-A0C2526BA6B5}"/>
    <cellStyle name="Normal 10 2 3 3 4 2" xfId="18589" xr:uid="{D9C95B31-CCAA-4855-A2DF-2B2A41476B74}"/>
    <cellStyle name="Normal 10 2 3 3 5" xfId="11042" xr:uid="{12E48EE7-DB63-4777-854C-58E263EEB5CB}"/>
    <cellStyle name="Normal 10 2 3 3 5 2" xfId="21422" xr:uid="{9BE837BB-437F-4A9C-8324-8CA1E2D2D28C}"/>
    <cellStyle name="Normal 10 2 3 3 6" xfId="23788" xr:uid="{40569D23-61AB-45F8-AA45-BF39002CE525}"/>
    <cellStyle name="Normal 10 2 3 3 7" xfId="13650" xr:uid="{559FA790-3884-4188-B322-850E090BEBA9}"/>
    <cellStyle name="Normal 10 2 3 4" xfId="3127" xr:uid="{00000000-0005-0000-0000-000019030000}"/>
    <cellStyle name="Normal 10 2 3 4 2" xfId="6185" xr:uid="{6F80E080-F8C7-483A-84F6-435A6A402000}"/>
    <cellStyle name="Normal 10 2 3 4 2 2" xfId="28015" xr:uid="{CFCDEAE0-D338-4091-AC15-668D3B295B8B}"/>
    <cellStyle name="Normal 10 2 3 4 2 3" xfId="15754" xr:uid="{960A2809-F7FF-48CB-B2EB-DB8E348B18EC}"/>
    <cellStyle name="Normal 10 2 3 4 3" xfId="8207" xr:uid="{302DF909-5642-4A8D-88D7-5BFCE03896E9}"/>
    <cellStyle name="Normal 10 2 3 4 3 2" xfId="18587" xr:uid="{AB93101C-88F5-4130-A19E-5E38DF614E7E}"/>
    <cellStyle name="Normal 10 2 3 4 4" xfId="11040" xr:uid="{0B293727-8820-41D2-A0EB-ED5FCBF3C6B4}"/>
    <cellStyle name="Normal 10 2 3 4 4 2" xfId="21420" xr:uid="{98F15AD6-31E3-4DB6-85DB-7BFEF91DDA77}"/>
    <cellStyle name="Normal 10 2 3 4 5" xfId="23742" xr:uid="{4DEFB253-2EDE-47A7-8D1D-E3D674008FF9}"/>
    <cellStyle name="Normal 10 2 3 4 6" xfId="13648" xr:uid="{AFDB53F8-9F26-4C3F-BA97-172B32C285DF}"/>
    <cellStyle name="Normal 10 2 3 5" xfId="2605" xr:uid="{00000000-0005-0000-0000-00001A030000}"/>
    <cellStyle name="Normal 10 2 3 5 2" xfId="5870" xr:uid="{1F649C14-9E5E-422A-970C-FA8E95C730BA}"/>
    <cellStyle name="Normal 10 2 3 5 2 2" xfId="28060" xr:uid="{9C373D47-6388-4819-BB1F-656D0917F65C}"/>
    <cellStyle name="Normal 10 2 3 5 2 3" xfId="15277" xr:uid="{891E1580-5625-4160-8DB8-13978498474D}"/>
    <cellStyle name="Normal 10 2 3 5 3" xfId="7730" xr:uid="{A4A6A792-4386-4B80-9437-B711498C0164}"/>
    <cellStyle name="Normal 10 2 3 5 3 2" xfId="18110" xr:uid="{FCDC4A15-63D9-48D4-B37F-F0FF50324AE8}"/>
    <cellStyle name="Normal 10 2 3 5 4" xfId="10563" xr:uid="{DC0E6A81-5298-47EC-95E1-D37895DB0800}"/>
    <cellStyle name="Normal 10 2 3 5 4 2" xfId="20943" xr:uid="{C5FF6D72-279D-449B-A4B1-66785E62441F}"/>
    <cellStyle name="Normal 10 2 3 5 5" xfId="23814" xr:uid="{3974C175-0484-428C-819E-385B5B192098}"/>
    <cellStyle name="Normal 10 2 3 5 6" xfId="12993" xr:uid="{B567E562-90E7-4D8E-AAA7-875E9F4F5717}"/>
    <cellStyle name="Normal 10 2 3 6" xfId="2304" xr:uid="{00000000-0005-0000-0000-000015030000}"/>
    <cellStyle name="Normal 10 2 3 6 2" xfId="7431" xr:uid="{F65338EF-E7C1-4C21-ADD6-C3AE8BACAA87}"/>
    <cellStyle name="Normal 10 2 3 6 2 2" xfId="17811" xr:uid="{FAAE8B82-D8D7-4E2D-9117-A7D262707BC4}"/>
    <cellStyle name="Normal 10 2 3 6 3" xfId="10264" xr:uid="{92434D7F-4325-4704-BC8A-75EEF454854D}"/>
    <cellStyle name="Normal 10 2 3 6 3 2" xfId="20644" xr:uid="{6F76CD2A-A882-4BE1-9036-58E856D0DF41}"/>
    <cellStyle name="Normal 10 2 3 6 4" xfId="24568" xr:uid="{F399ECA1-22BC-4C28-BAC2-CEF11C98ECB3}"/>
    <cellStyle name="Normal 10 2 3 6 5" xfId="14978" xr:uid="{830DE2F1-D4F3-45C3-9DBE-14ADA1AAA0A6}"/>
    <cellStyle name="Normal 10 2 3 7" xfId="3835" xr:uid="{8B8290D7-AE8C-4937-9A4F-00917BF737BC}"/>
    <cellStyle name="Normal 10 2 3 7 2" xfId="8668" xr:uid="{EA0FCEC4-836D-4690-A6E7-8DC48BC34E27}"/>
    <cellStyle name="Normal 10 2 3 7 2 2" xfId="19048" xr:uid="{EF39DD86-7CBF-44F7-A0CA-DADF53320C47}"/>
    <cellStyle name="Normal 10 2 3 7 3" xfId="11501" xr:uid="{E7C24303-4015-422A-8765-8C895ECC8561}"/>
    <cellStyle name="Normal 10 2 3 7 3 2" xfId="21881" xr:uid="{9D168038-5E4A-4E92-B20D-4299A65F34C0}"/>
    <cellStyle name="Normal 10 2 3 7 4" xfId="16215" xr:uid="{88B26A2A-744C-4C28-A600-D8665AC5EC8A}"/>
    <cellStyle name="Normal 10 2 3 8" xfId="4989" xr:uid="{ED7C97D3-0FB5-4457-A673-C604FF5B7447}"/>
    <cellStyle name="Normal 10 2 3 8 2" xfId="14284" xr:uid="{91F9CF94-E671-4888-B146-8AAE97D323D1}"/>
    <cellStyle name="Normal 10 2 3 9" xfId="6737" xr:uid="{49615C31-75D1-4474-9BA1-F20597FA187A}"/>
    <cellStyle name="Normal 10 2 3 9 2" xfId="17117" xr:uid="{12A1D631-F493-4267-A179-AE8F3EBBF983}"/>
    <cellStyle name="Normal 10 2 4" xfId="630" xr:uid="{00000000-0005-0000-0000-000022040000}"/>
    <cellStyle name="Normal 10 2 4 2" xfId="3130" xr:uid="{00000000-0005-0000-0000-00001C030000}"/>
    <cellStyle name="Normal 10 2 4 2 2" xfId="6188" xr:uid="{CD81C353-7344-4C59-8828-166DB4D348FE}"/>
    <cellStyle name="Normal 10 2 4 2 2 2" xfId="28346" xr:uid="{761D17AF-64FC-417E-82CE-5B8063632213}"/>
    <cellStyle name="Normal 10 2 4 2 2 3" xfId="15757" xr:uid="{3302B5E1-2623-4BDC-99AF-F55B35D19A11}"/>
    <cellStyle name="Normal 10 2 4 2 3" xfId="8210" xr:uid="{15B50D38-A3A0-4A3A-B597-1BDBAC43A9B1}"/>
    <cellStyle name="Normal 10 2 4 2 3 2" xfId="18590" xr:uid="{9CB06398-FD5C-46CA-819B-B9D9A4A38E1D}"/>
    <cellStyle name="Normal 10 2 4 2 4" xfId="11043" xr:uid="{18D219A1-E916-4473-A30E-0EE6E957F7FC}"/>
    <cellStyle name="Normal 10 2 4 2 4 2" xfId="21423" xr:uid="{F6950B87-B095-4A92-9CDB-E62C0DF212BF}"/>
    <cellStyle name="Normal 10 2 4 2 5" xfId="24517" xr:uid="{FA73F80A-DCD5-4B61-8B84-C4D4B7693C92}"/>
    <cellStyle name="Normal 10 2 4 2 6" xfId="13651" xr:uid="{F767D00E-752E-4CFE-92E0-30323D098EBD}"/>
    <cellStyle name="Normal 10 2 4 3" xfId="2705" xr:uid="{00000000-0005-0000-0000-00001D030000}"/>
    <cellStyle name="Normal 10 2 4 3 2" xfId="5923" xr:uid="{0CCC0FB0-A059-4BCB-8DA1-770EA4429DFA}"/>
    <cellStyle name="Normal 10 2 4 3 2 2" xfId="26616" xr:uid="{802FFC82-4CAD-45AB-877A-9FA01D5FD3BF}"/>
    <cellStyle name="Normal 10 2 4 3 2 3" xfId="15376" xr:uid="{E2F920D3-F6FB-4E7E-9047-6D662B6AB81B}"/>
    <cellStyle name="Normal 10 2 4 3 3" xfId="7829" xr:uid="{74B90E5E-ED06-4B53-9B1F-8F05E7797B5F}"/>
    <cellStyle name="Normal 10 2 4 3 3 2" xfId="18209" xr:uid="{349E2243-017D-4FE5-BD7D-A90B7A3AB615}"/>
    <cellStyle name="Normal 10 2 4 3 4" xfId="10662" xr:uid="{C824EB2A-2B0A-4B36-A699-DDBAA50CF09F}"/>
    <cellStyle name="Normal 10 2 4 3 4 2" xfId="21042" xr:uid="{405BC94C-5055-4760-A913-4B930CAB0E7E}"/>
    <cellStyle name="Normal 10 2 4 3 5" xfId="24198" xr:uid="{73BF47DB-4558-46E0-9682-515D48F68056}"/>
    <cellStyle name="Normal 10 2 4 3 6" xfId="13123" xr:uid="{0F44A364-78A2-4162-90F3-50FE8FA80242}"/>
    <cellStyle name="Normal 10 2 4 4" xfId="4146" xr:uid="{F5B8E602-5C20-4A6E-97E5-C382727F07E8}"/>
    <cellStyle name="Normal 10 2 4 4 2" xfId="8918" xr:uid="{964DB0DE-F5F5-4ABA-BCC8-41DD10D7565A}"/>
    <cellStyle name="Normal 10 2 4 4 2 2" xfId="19298" xr:uid="{C47C3A9A-B917-4B8F-902B-F0A583A5B4EA}"/>
    <cellStyle name="Normal 10 2 4 4 3" xfId="11751" xr:uid="{7ED79008-29F0-476F-8C01-46DE75F05338}"/>
    <cellStyle name="Normal 10 2 4 4 3 2" xfId="22131" xr:uid="{BC7CF7BB-416D-4990-9C30-F72688ECBA70}"/>
    <cellStyle name="Normal 10 2 4 4 4" xfId="22946" xr:uid="{A370B6D4-A1E7-4B01-949F-2BE08000CCBB}"/>
    <cellStyle name="Normal 10 2 4 4 5" xfId="16465" xr:uid="{71362419-E58F-4356-B691-ED3DEF516EA1}"/>
    <cellStyle name="Normal 10 2 4 5" xfId="4990" xr:uid="{3620BA03-891B-4B6C-B831-2F7A09D9D59D}"/>
    <cellStyle name="Normal 10 2 4 5 2" xfId="14285" xr:uid="{13F992D6-3CE3-4B6A-882E-DC9C16A5E430}"/>
    <cellStyle name="Normal 10 2 4 6" xfId="6738" xr:uid="{11EE109C-25B0-4477-B953-6C38A2D79450}"/>
    <cellStyle name="Normal 10 2 4 6 2" xfId="17118" xr:uid="{1ABB1FCB-A73C-47FD-A1F2-908B22603DF6}"/>
    <cellStyle name="Normal 10 2 4 7" xfId="9571" xr:uid="{035FBA25-20E3-48E3-A528-D611C212017A}"/>
    <cellStyle name="Normal 10 2 4 7 2" xfId="19951" xr:uid="{F1863EE5-2F73-4F0D-865C-DE77E05A4C14}"/>
    <cellStyle name="Normal 10 2 4 8" xfId="25200" xr:uid="{FA6DC77F-6C8F-4F7B-A62E-33AABEEFCA03}"/>
    <cellStyle name="Normal 10 2 4 9" xfId="12694" xr:uid="{ECC619C5-78D3-4209-B844-DE894BEC0E7E}"/>
    <cellStyle name="Normal 10 2 5" xfId="3131" xr:uid="{00000000-0005-0000-0000-00001E030000}"/>
    <cellStyle name="Normal 10 2 5 2" xfId="4442" xr:uid="{9E338F2E-BE96-4E83-90F2-E16A4690B5A9}"/>
    <cellStyle name="Normal 10 2 5 2 2" xfId="9214" xr:uid="{BA65854E-AF92-4803-80F5-7C22DCC8293B}"/>
    <cellStyle name="Normal 10 2 5 2 2 2" xfId="29207" xr:uid="{6314A263-83F1-4B28-ABCE-765CABFD8127}"/>
    <cellStyle name="Normal 10 2 5 2 2 3" xfId="19594" xr:uid="{370D15FE-C276-4A45-83E6-DF6F800B0860}"/>
    <cellStyle name="Normal 10 2 5 2 3" xfId="12047" xr:uid="{496D436E-B032-4A07-B26D-488CDFFEC77E}"/>
    <cellStyle name="Normal 10 2 5 2 3 2" xfId="22427" xr:uid="{766BF66E-6196-4E68-9B7C-FF0C469F7940}"/>
    <cellStyle name="Normal 10 2 5 2 4" xfId="25622" xr:uid="{157B87D2-C5CA-4D5E-B2DA-1D3FC9672306}"/>
    <cellStyle name="Normal 10 2 5 2 5" xfId="16761" xr:uid="{7082362A-ECD0-4F4B-848B-5CCF414252C3}"/>
    <cellStyle name="Normal 10 2 5 3" xfId="6189" xr:uid="{BD1BFEE4-9F62-4A48-BD95-D53BC4D82615}"/>
    <cellStyle name="Normal 10 2 5 3 2" xfId="28203" xr:uid="{3A30FCB9-803E-4EC5-9919-163306731BC1}"/>
    <cellStyle name="Normal 10 2 5 3 3" xfId="15758" xr:uid="{3F571267-5D40-4D73-81AC-EC846B65A91F}"/>
    <cellStyle name="Normal 10 2 5 4" xfId="8211" xr:uid="{DD3F144C-0B72-4220-AF0F-6C8AF931DF96}"/>
    <cellStyle name="Normal 10 2 5 4 2" xfId="18591" xr:uid="{D44E319F-2FC8-4885-8CA0-4D3D7071A191}"/>
    <cellStyle name="Normal 10 2 5 5" xfId="11044" xr:uid="{4C93613D-EEC5-4473-A995-AFA6F2F8F050}"/>
    <cellStyle name="Normal 10 2 5 5 2" xfId="21424" xr:uid="{63931744-0C21-4ECC-BD7A-9138DB1EEDD1}"/>
    <cellStyle name="Normal 10 2 5 6" xfId="24523" xr:uid="{9F740B7E-7987-49C4-82C9-35191C4BEAEE}"/>
    <cellStyle name="Normal 10 2 5 7" xfId="13652" xr:uid="{5417E4E0-F7F8-4917-9C5E-6C988C3578DF}"/>
    <cellStyle name="Normal 10 2 6" xfId="2890" xr:uid="{00000000-0005-0000-0000-00001F030000}"/>
    <cellStyle name="Normal 10 2 6 2" xfId="6076" xr:uid="{B8B7211B-FFDA-4B81-A375-DD45B1DD517E}"/>
    <cellStyle name="Normal 10 2 6 2 2" xfId="27184" xr:uid="{76D46EE7-A365-41C6-8123-6B42149712D0}"/>
    <cellStyle name="Normal 10 2 6 2 3" xfId="15554" xr:uid="{0796DDD0-7B21-41F0-BCC5-C48576AB08EE}"/>
    <cellStyle name="Normal 10 2 6 3" xfId="8007" xr:uid="{0CA1C121-A45E-4913-9CCA-CBBAA3AE18EB}"/>
    <cellStyle name="Normal 10 2 6 3 2" xfId="18387" xr:uid="{93B5654E-534E-47BD-BD90-C53F0B89EC8A}"/>
    <cellStyle name="Normal 10 2 6 4" xfId="10840" xr:uid="{E7171419-1314-4CBA-B06A-C3721FCD9CA9}"/>
    <cellStyle name="Normal 10 2 6 4 2" xfId="21220" xr:uid="{C8AF0209-EC6E-43EB-9357-A1E5EC0623EF}"/>
    <cellStyle name="Normal 10 2 6 5" xfId="24836" xr:uid="{2AA68A3A-DCAE-496A-82A2-4D3838D9ABF1}"/>
    <cellStyle name="Normal 10 2 6 6" xfId="13392" xr:uid="{14C536AA-DB87-428A-B8DD-54EAB2B90CD1}"/>
    <cellStyle name="Normal 10 2 7" xfId="2502" xr:uid="{00000000-0005-0000-0000-000020030000}"/>
    <cellStyle name="Normal 10 2 7 2" xfId="5783" xr:uid="{D0B4CEE4-5864-4622-B725-5D5D21567676}"/>
    <cellStyle name="Normal 10 2 7 2 2" xfId="27113" xr:uid="{978E091B-8C60-428F-8E28-08D94C396028}"/>
    <cellStyle name="Normal 10 2 7 2 3" xfId="15174" xr:uid="{CE2A363D-DDDE-4623-A501-AAAF537750CD}"/>
    <cellStyle name="Normal 10 2 7 3" xfId="7627" xr:uid="{7A984B8F-FF27-492E-BA0E-F5C3E75B7C54}"/>
    <cellStyle name="Normal 10 2 7 3 2" xfId="18007" xr:uid="{45DE27C2-5F10-4CA5-BF51-54192B24021B}"/>
    <cellStyle name="Normal 10 2 7 4" xfId="10460" xr:uid="{5B46C42E-A9F8-44A4-B466-83BEF0D6B08F}"/>
    <cellStyle name="Normal 10 2 7 4 2" xfId="20840" xr:uid="{A911A6C3-C177-4436-98E2-79D9650DA797}"/>
    <cellStyle name="Normal 10 2 7 5" xfId="22949" xr:uid="{EF1259EB-84F5-4CD6-8766-0001F2586003}"/>
    <cellStyle name="Normal 10 2 7 6" xfId="12890" xr:uid="{62449018-77E9-4C59-A406-BD186A7876FD}"/>
    <cellStyle name="Normal 10 2 8" xfId="2196" xr:uid="{00000000-0005-0000-0000-000009030000}"/>
    <cellStyle name="Normal 10 2 8 2" xfId="7323" xr:uid="{CD3D437D-65A4-45F7-BD24-8B506936D243}"/>
    <cellStyle name="Normal 10 2 8 2 2" xfId="17703" xr:uid="{459D8D6A-E723-445E-8E7D-E58CC4E9DB9E}"/>
    <cellStyle name="Normal 10 2 8 3" xfId="10156" xr:uid="{A4E6239E-293D-43CF-BAE1-920FC2436C0D}"/>
    <cellStyle name="Normal 10 2 8 3 2" xfId="20536" xr:uid="{58CF501C-C41C-4CE0-9DC0-D9DF3C98CCAA}"/>
    <cellStyle name="Normal 10 2 8 4" xfId="23947" xr:uid="{B16A613C-DC7C-4BAB-9CE5-D2D4386F503D}"/>
    <cellStyle name="Normal 10 2 8 5" xfId="14870" xr:uid="{D2AC8B86-F8E4-403F-B63E-A61C29DDF6FC}"/>
    <cellStyle name="Normal 10 2 9" xfId="3905" xr:uid="{8D267ABA-D2E7-4AB9-85B6-698D2920A9CF}"/>
    <cellStyle name="Normal 10 2 9 2" xfId="8737" xr:uid="{AF649095-E975-4879-A024-D9E79D05AA14}"/>
    <cellStyle name="Normal 10 2 9 2 2" xfId="19117" xr:uid="{3191403E-2306-45DA-906D-6C9E51CA3AEA}"/>
    <cellStyle name="Normal 10 2 9 3" xfId="11570" xr:uid="{D853CF8D-5370-4F11-A2CD-EB1C71549CBB}"/>
    <cellStyle name="Normal 10 2 9 3 2" xfId="21950" xr:uid="{967439E1-E452-43A8-80DA-4BBE4EACCEE0}"/>
    <cellStyle name="Normal 10 2 9 4" xfId="16284" xr:uid="{D850474B-04FD-41D5-9E02-5BDAD9D1B3B8}"/>
    <cellStyle name="Normal 10 3" xfId="631" xr:uid="{00000000-0005-0000-0000-000023040000}"/>
    <cellStyle name="Normal 10 3 10" xfId="4991" xr:uid="{B971CAB3-4E5E-42A8-8E41-7E9B5496E5A2}"/>
    <cellStyle name="Normal 10 3 10 2" xfId="14286" xr:uid="{1D1E5673-3166-446E-874B-A45C646CA6F2}"/>
    <cellStyle name="Normal 10 3 11" xfId="6739" xr:uid="{2ED9A2C1-5D97-491C-ACA5-960CC9F31B2C}"/>
    <cellStyle name="Normal 10 3 11 2" xfId="17119" xr:uid="{0911746F-79BE-42B5-8D11-8F7DD6FFFB9D}"/>
    <cellStyle name="Normal 10 3 12" xfId="9572" xr:uid="{255DC69B-92E1-4FEB-9EFA-4F0D81443FB9}"/>
    <cellStyle name="Normal 10 3 12 2" xfId="19952" xr:uid="{7DB05A14-DDDF-42E0-BCD6-AF6AB9D9B9C4}"/>
    <cellStyle name="Normal 10 3 13" xfId="23887" xr:uid="{6272B891-EDDC-4148-A2A1-936240A89EBA}"/>
    <cellStyle name="Normal 10 3 14" xfId="12465" xr:uid="{359FC0B9-F250-4559-B02E-40DB23ABD1A8}"/>
    <cellStyle name="Normal 10 3 2" xfId="632" xr:uid="{00000000-0005-0000-0000-000024040000}"/>
    <cellStyle name="Normal 10 3 2 10" xfId="9573" xr:uid="{51C02921-58A3-463A-B4FC-F82EDF76A44E}"/>
    <cellStyle name="Normal 10 3 2 10 2" xfId="19953" xr:uid="{928C13C0-E605-4FA9-8E38-6C8897FF5498}"/>
    <cellStyle name="Normal 10 3 2 11" xfId="23013" xr:uid="{1AEADB29-65B1-4D02-9750-E5CD446409E6}"/>
    <cellStyle name="Normal 10 3 2 12" xfId="12537" xr:uid="{E0A41ED9-2C13-409B-93F2-56564369BD81}"/>
    <cellStyle name="Normal 10 3 2 2" xfId="633" xr:uid="{00000000-0005-0000-0000-000025040000}"/>
    <cellStyle name="Normal 10 3 2 2 2" xfId="3133" xr:uid="{00000000-0005-0000-0000-000024030000}"/>
    <cellStyle name="Normal 10 3 2 2 2 2" xfId="6191" xr:uid="{818E3871-8BBD-49A5-8F2F-3AA2809212CC}"/>
    <cellStyle name="Normal 10 3 2 2 2 2 2" xfId="26169" xr:uid="{EA40498E-9AB9-4A85-918E-BFACEC00A1BF}"/>
    <cellStyle name="Normal 10 3 2 2 2 2 3" xfId="25886" xr:uid="{53D87904-1416-4640-96E8-2900CC5A05C6}"/>
    <cellStyle name="Normal 10 3 2 2 2 2 4" xfId="15760" xr:uid="{528ECC10-08C3-4C6E-BA5F-675B8F05A6D1}"/>
    <cellStyle name="Normal 10 3 2 2 2 3" xfId="8213" xr:uid="{C721729A-2337-4936-B79F-891C05B4A559}"/>
    <cellStyle name="Normal 10 3 2 2 2 3 2" xfId="28866" xr:uid="{B96E90F2-99D0-4B90-805E-5BE51C97634A}"/>
    <cellStyle name="Normal 10 3 2 2 2 3 3" xfId="18593" xr:uid="{87839693-9F0F-49A5-850D-92BA297E6CB6}"/>
    <cellStyle name="Normal 10 3 2 2 2 4" xfId="11046" xr:uid="{BF195E82-5187-4D41-BD8C-60ED6733DFB5}"/>
    <cellStyle name="Normal 10 3 2 2 2 4 2" xfId="21426" xr:uid="{040CE62B-8DD3-48FD-885B-700066E6B86B}"/>
    <cellStyle name="Normal 10 3 2 2 2 5" xfId="22878" xr:uid="{BBA932E6-1E09-4080-98F2-0F79EA82D601}"/>
    <cellStyle name="Normal 10 3 2 2 2 6" xfId="13654" xr:uid="{5DADBDA1-26F8-4BD9-873A-036A9D4F8118}"/>
    <cellStyle name="Normal 10 3 2 2 3" xfId="4285" xr:uid="{A53AD929-881D-4AA3-8224-140DAE4C1638}"/>
    <cellStyle name="Normal 10 3 2 2 3 2" xfId="9057" xr:uid="{8C75F184-FFC8-4F9E-AACF-5A5E3057638C}"/>
    <cellStyle name="Normal 10 3 2 2 3 2 2" xfId="29100" xr:uid="{3FA52B86-173F-47DB-A46D-08887A85E943}"/>
    <cellStyle name="Normal 10 3 2 2 3 2 3" xfId="19437" xr:uid="{CF9251E8-D165-4028-9B55-9DFABB159669}"/>
    <cellStyle name="Normal 10 3 2 2 3 3" xfId="11890" xr:uid="{7B657372-A9AB-4CC8-A4F1-DA61F6B8BD3E}"/>
    <cellStyle name="Normal 10 3 2 2 3 3 2" xfId="22270" xr:uid="{7A27E98F-A5A0-4A1D-9085-C99D62911EC4}"/>
    <cellStyle name="Normal 10 3 2 2 3 4" xfId="24765" xr:uid="{B0263DA0-4320-4DB7-B5C5-010F7FD3EAA0}"/>
    <cellStyle name="Normal 10 3 2 2 3 5" xfId="16604" xr:uid="{DCC0A920-4C3C-4AB7-BF06-0525ABDD4CEB}"/>
    <cellStyle name="Normal 10 3 2 2 4" xfId="4993" xr:uid="{8FBD8140-B9BC-491C-8D7F-C7C1AAC31563}"/>
    <cellStyle name="Normal 10 3 2 2 4 2" xfId="26246" xr:uid="{5A9FC39D-CFFE-4712-BA37-6A6B52AF9965}"/>
    <cellStyle name="Normal 10 3 2 2 4 3" xfId="14288" xr:uid="{07170A62-D7A3-4CF8-AF7A-00C71D5117E1}"/>
    <cellStyle name="Normal 10 3 2 2 5" xfId="6741" xr:uid="{F488103A-1068-48DE-89EF-889B889BB68C}"/>
    <cellStyle name="Normal 10 3 2 2 5 2" xfId="17121" xr:uid="{723E325F-12B8-4F4B-BDC3-0F57FCB0A260}"/>
    <cellStyle name="Normal 10 3 2 2 6" xfId="9574" xr:uid="{6ED5D63F-9B82-414B-88E6-E4DB8CB3E9EB}"/>
    <cellStyle name="Normal 10 3 2 2 6 2" xfId="19954" xr:uid="{8BE44BC7-DC90-4F84-B987-DC25E2CE5C9D}"/>
    <cellStyle name="Normal 10 3 2 2 7" xfId="25181" xr:uid="{2F7CE6EA-3726-424C-8D77-756D4623EE51}"/>
    <cellStyle name="Normal 10 3 2 2 8" xfId="13128" xr:uid="{B9446284-ECCF-4080-BA5F-5D5B591A76AD}"/>
    <cellStyle name="Normal 10 3 2 3" xfId="3134" xr:uid="{00000000-0005-0000-0000-000025030000}"/>
    <cellStyle name="Normal 10 3 2 3 2" xfId="4443" xr:uid="{AB4DC996-997D-43F3-A978-07BE861BA132}"/>
    <cellStyle name="Normal 10 3 2 3 2 2" xfId="9215" xr:uid="{A96D1B7B-5F8C-4D05-9DC8-DE3645EF2A3D}"/>
    <cellStyle name="Normal 10 3 2 3 2 2 2" xfId="29208" xr:uid="{843C4DA1-F182-487D-80F5-0E6BE11C9AF5}"/>
    <cellStyle name="Normal 10 3 2 3 2 2 3" xfId="19595" xr:uid="{2E2CD963-89F6-41AE-88AD-9526C805221B}"/>
    <cellStyle name="Normal 10 3 2 3 2 3" xfId="12048" xr:uid="{3E76F8F7-3EC2-480D-BE7A-4019B720399F}"/>
    <cellStyle name="Normal 10 3 2 3 2 3 2" xfId="22428" xr:uid="{C1D9A5B9-0886-4A15-B4AC-905F0C43B983}"/>
    <cellStyle name="Normal 10 3 2 3 2 4" xfId="24900" xr:uid="{EF39CD07-3306-40C4-AC6B-FFC0565E7D10}"/>
    <cellStyle name="Normal 10 3 2 3 2 5" xfId="16762" xr:uid="{78EC5100-9684-4998-9F40-39204151AC55}"/>
    <cellStyle name="Normal 10 3 2 3 3" xfId="6192" xr:uid="{4FA7B985-F3FD-4BB1-BE6E-726FBE11C1C7}"/>
    <cellStyle name="Normal 10 3 2 3 3 2" xfId="28119" xr:uid="{CEA23EA0-2236-4A39-8BAD-FB0EC0DB315A}"/>
    <cellStyle name="Normal 10 3 2 3 3 3" xfId="15761" xr:uid="{9144E66A-91B6-4E51-ACAA-56ACDAF6CBAE}"/>
    <cellStyle name="Normal 10 3 2 3 4" xfId="8214" xr:uid="{0277978F-4825-43B0-B34A-710A6A851632}"/>
    <cellStyle name="Normal 10 3 2 3 4 2" xfId="18594" xr:uid="{72752379-22DD-4D52-BF80-11B385A74B1D}"/>
    <cellStyle name="Normal 10 3 2 3 5" xfId="11047" xr:uid="{1C342EAE-3E22-40BE-A5C7-8125513E85B4}"/>
    <cellStyle name="Normal 10 3 2 3 5 2" xfId="21427" xr:uid="{3BCAC77F-4504-4411-91D6-CDBAD0294ACA}"/>
    <cellStyle name="Normal 10 3 2 3 6" xfId="25054" xr:uid="{B1DA9158-FF4F-43E3-81BC-72A67E9F1FCA}"/>
    <cellStyle name="Normal 10 3 2 3 7" xfId="13655" xr:uid="{5F15AA7E-F44B-4554-B334-229175320190}"/>
    <cellStyle name="Normal 10 3 2 4" xfId="3132" xr:uid="{00000000-0005-0000-0000-000026030000}"/>
    <cellStyle name="Normal 10 3 2 4 2" xfId="6190" xr:uid="{B077E13E-CA6B-45D4-9087-D61876575884}"/>
    <cellStyle name="Normal 10 3 2 4 2 2" xfId="26602" xr:uid="{92FF2D64-E0F2-4AAB-81C6-B9C1DA63E523}"/>
    <cellStyle name="Normal 10 3 2 4 2 3" xfId="15759" xr:uid="{4B82FBAC-F2C9-4089-824F-815BB8080F6F}"/>
    <cellStyle name="Normal 10 3 2 4 3" xfId="8212" xr:uid="{B2BFB5DC-6009-4CCA-94A5-544F7797A084}"/>
    <cellStyle name="Normal 10 3 2 4 3 2" xfId="18592" xr:uid="{7E9BCD89-84C1-498B-B93E-51EAF88235C7}"/>
    <cellStyle name="Normal 10 3 2 4 4" xfId="11045" xr:uid="{E028B317-F9CA-4C90-B28A-1E0061DE4622}"/>
    <cellStyle name="Normal 10 3 2 4 4 2" xfId="21425" xr:uid="{66936DCA-6B75-429F-9723-956BD3D56201}"/>
    <cellStyle name="Normal 10 3 2 4 5" xfId="23280" xr:uid="{A2698027-CC44-496E-A047-99571E1CFE91}"/>
    <cellStyle name="Normal 10 3 2 4 6" xfId="13653" xr:uid="{B746249F-45B3-4BC8-9F06-58E0393BEAB6}"/>
    <cellStyle name="Normal 10 3 2 5" xfId="2539" xr:uid="{00000000-0005-0000-0000-000027030000}"/>
    <cellStyle name="Normal 10 3 2 5 2" xfId="5813" xr:uid="{3AFAD17B-9CB7-4043-92C4-690A02D02BCC}"/>
    <cellStyle name="Normal 10 3 2 5 2 2" xfId="28504" xr:uid="{EBF5EBE1-ED80-4526-AEB5-FBEF36F58529}"/>
    <cellStyle name="Normal 10 3 2 5 2 3" xfId="15211" xr:uid="{6989A562-4251-4F9F-8419-A33C25A59A25}"/>
    <cellStyle name="Normal 10 3 2 5 3" xfId="7664" xr:uid="{1831CD6D-9BE7-41B6-B199-6DCD146669B3}"/>
    <cellStyle name="Normal 10 3 2 5 3 2" xfId="18044" xr:uid="{BD83013A-EEF5-42AE-A6F5-16BD16D55753}"/>
    <cellStyle name="Normal 10 3 2 5 4" xfId="10497" xr:uid="{012ED8AA-B686-49AB-AFE6-52E2F18ECBDD}"/>
    <cellStyle name="Normal 10 3 2 5 4 2" xfId="20877" xr:uid="{DDCB5631-F786-43E1-AFAE-8891BC06A146}"/>
    <cellStyle name="Normal 10 3 2 5 5" xfId="24094" xr:uid="{81847829-8D06-4E14-B304-A1014F7064EF}"/>
    <cellStyle name="Normal 10 3 2 5 6" xfId="12927" xr:uid="{DF20E022-3898-4380-82B3-AC87090882AC}"/>
    <cellStyle name="Normal 10 3 2 6" xfId="2305" xr:uid="{00000000-0005-0000-0000-000022030000}"/>
    <cellStyle name="Normal 10 3 2 6 2" xfId="7432" xr:uid="{EAE563C9-0ED2-48F8-9124-2A92354E338C}"/>
    <cellStyle name="Normal 10 3 2 6 2 2" xfId="17812" xr:uid="{9E740C62-6C9B-4F4E-930E-6A6A3F2F3603}"/>
    <cellStyle name="Normal 10 3 2 6 3" xfId="10265" xr:uid="{49165BC3-52B0-4C24-A6C9-50659493E6C0}"/>
    <cellStyle name="Normal 10 3 2 6 3 2" xfId="20645" xr:uid="{9F65774C-CA03-4F18-9D11-43914841E605}"/>
    <cellStyle name="Normal 10 3 2 6 4" xfId="24223" xr:uid="{932920D9-C582-48DA-A395-DE5A8D4E9988}"/>
    <cellStyle name="Normal 10 3 2 6 5" xfId="14979" xr:uid="{58451BA6-A69A-4535-AEA4-F75B5AF1C6C4}"/>
    <cellStyle name="Normal 10 3 2 7" xfId="3836" xr:uid="{5DE2482C-58BB-48C3-BFAB-C7FEF5582713}"/>
    <cellStyle name="Normal 10 3 2 7 2" xfId="8669" xr:uid="{8DB17317-09E6-4641-BC0A-ED4C68F648C6}"/>
    <cellStyle name="Normal 10 3 2 7 2 2" xfId="19049" xr:uid="{353414D2-5965-4C88-9155-5637FB721339}"/>
    <cellStyle name="Normal 10 3 2 7 3" xfId="11502" xr:uid="{A50C2AEA-0E22-4976-9959-F2741F1D478D}"/>
    <cellStyle name="Normal 10 3 2 7 3 2" xfId="21882" xr:uid="{6537CBDA-0B47-4A02-9559-AE5B06F9477F}"/>
    <cellStyle name="Normal 10 3 2 7 4" xfId="16216" xr:uid="{D36FE6EB-A15E-44F2-8054-6C2B99B90891}"/>
    <cellStyle name="Normal 10 3 2 8" xfId="4992" xr:uid="{AABF2103-4513-4583-A363-6F64B000444F}"/>
    <cellStyle name="Normal 10 3 2 8 2" xfId="14287" xr:uid="{7022F2AB-98F8-4CC8-95C8-F55383562AED}"/>
    <cellStyle name="Normal 10 3 2 9" xfId="6740" xr:uid="{1FB954EC-E729-41E3-BF60-916B01A6773C}"/>
    <cellStyle name="Normal 10 3 2 9 2" xfId="17120" xr:uid="{066F68D1-A22B-4004-9509-9E7EFB117A42}"/>
    <cellStyle name="Normal 10 3 3" xfId="634" xr:uid="{00000000-0005-0000-0000-000026040000}"/>
    <cellStyle name="Normal 10 3 3 10" xfId="24635" xr:uid="{FC8A1D8D-9502-4418-BE56-E62F82A545E2}"/>
    <cellStyle name="Normal 10 3 3 11" xfId="12695" xr:uid="{107F9FA7-0259-4E3D-8341-5FD559C59C48}"/>
    <cellStyle name="Normal 10 3 3 2" xfId="2708" xr:uid="{00000000-0005-0000-0000-000029030000}"/>
    <cellStyle name="Normal 10 3 3 2 2" xfId="3136" xr:uid="{00000000-0005-0000-0000-00002A030000}"/>
    <cellStyle name="Normal 10 3 3 2 2 2" xfId="6194" xr:uid="{CD6BC6DD-65A0-4460-A783-00734090C10A}"/>
    <cellStyle name="Normal 10 3 3 2 2 2 2" xfId="27548" xr:uid="{F6E9DF03-CA51-4FF2-BF49-97DE818A30D7}"/>
    <cellStyle name="Normal 10 3 3 2 2 2 3" xfId="15763" xr:uid="{0C0BC6BF-440D-42B6-9B31-E981D40669B5}"/>
    <cellStyle name="Normal 10 3 3 2 2 3" xfId="8216" xr:uid="{E70CDCB3-2C59-4855-AC91-BC2EE6F71F41}"/>
    <cellStyle name="Normal 10 3 3 2 2 3 2" xfId="18596" xr:uid="{B6009367-2002-477F-ADA8-D12A52FB6F22}"/>
    <cellStyle name="Normal 10 3 3 2 2 4" xfId="11049" xr:uid="{511DD6FF-718F-40CE-8B3D-66AD6CA908FC}"/>
    <cellStyle name="Normal 10 3 3 2 2 4 2" xfId="21429" xr:uid="{2E00B27A-A42E-4F8B-B13D-BBB37244772E}"/>
    <cellStyle name="Normal 10 3 3 2 2 5" xfId="25087" xr:uid="{6363B84C-CDDF-4381-9906-941F5A74FE90}"/>
    <cellStyle name="Normal 10 3 3 2 2 6" xfId="13657" xr:uid="{F1911E96-22FE-4804-BF2B-2DC39E7E8FCF}"/>
    <cellStyle name="Normal 10 3 3 2 3" xfId="4286" xr:uid="{1084E21D-2F01-48DF-8530-0DD6342FD1D6}"/>
    <cellStyle name="Normal 10 3 3 2 3 2" xfId="9058" xr:uid="{3A87375D-5DC6-42E2-ACD4-630770DB3433}"/>
    <cellStyle name="Normal 10 3 3 2 3 2 2" xfId="29101" xr:uid="{8FB4BF09-347C-4E03-9A17-26F38F50AD2F}"/>
    <cellStyle name="Normal 10 3 3 2 3 2 3" xfId="19438" xr:uid="{F2F6F10E-DE6A-4D03-A63B-95C80F4D8ECB}"/>
    <cellStyle name="Normal 10 3 3 2 3 3" xfId="11891" xr:uid="{B5FEBB2C-18BD-4B11-9079-92D4D09B2BB6}"/>
    <cellStyle name="Normal 10 3 3 2 3 3 2" xfId="22271" xr:uid="{192847B9-433A-4DBD-8D2A-7ECB95F601F6}"/>
    <cellStyle name="Normal 10 3 3 2 3 4" xfId="24209" xr:uid="{CE8311F5-474D-495D-8F29-9C610027580A}"/>
    <cellStyle name="Normal 10 3 3 2 3 5" xfId="16605" xr:uid="{AA0CBE19-0038-472F-BE01-2DE5D8879BD4}"/>
    <cellStyle name="Normal 10 3 3 2 4" xfId="5926" xr:uid="{49AE9B8B-60D5-412E-A13F-852B75B379C2}"/>
    <cellStyle name="Normal 10 3 3 2 4 2" xfId="28293" xr:uid="{F2CB1B38-AB99-424C-B821-A6989D844967}"/>
    <cellStyle name="Normal 10 3 3 2 4 3" xfId="15379" xr:uid="{8864088A-97F7-4F3D-A94D-BC5AD6843D58}"/>
    <cellStyle name="Normal 10 3 3 2 5" xfId="7832" xr:uid="{AC1960BB-B33A-452C-9BAB-4826B5F1C111}"/>
    <cellStyle name="Normal 10 3 3 2 5 2" xfId="18212" xr:uid="{9738F909-F88A-4DA2-9ADF-3E9855FAB67C}"/>
    <cellStyle name="Normal 10 3 3 2 6" xfId="10665" xr:uid="{1713B0A9-4DFC-43D7-B3CB-4E5CCC9FB9E3}"/>
    <cellStyle name="Normal 10 3 3 2 6 2" xfId="21045" xr:uid="{67AD1D3A-BC95-4F8F-9E67-E20FAC2AEDBB}"/>
    <cellStyle name="Normal 10 3 3 2 7" xfId="24701" xr:uid="{579A7D72-7FBB-4A0B-8AC2-8B77510F8FBA}"/>
    <cellStyle name="Normal 10 3 3 2 8" xfId="13129" xr:uid="{6FCAC9DB-4A81-42EC-A4AF-158C0FC5212E}"/>
    <cellStyle name="Normal 10 3 3 3" xfId="3137" xr:uid="{00000000-0005-0000-0000-00002B030000}"/>
    <cellStyle name="Normal 10 3 3 3 2" xfId="4444" xr:uid="{F11CDAB9-888A-47CC-A013-7F0EA6C8B225}"/>
    <cellStyle name="Normal 10 3 3 3 2 2" xfId="9216" xr:uid="{7538ED8B-886C-49A0-B978-7D4B6B68CB80}"/>
    <cellStyle name="Normal 10 3 3 3 2 2 2" xfId="29209" xr:uid="{64ED5053-508E-494D-8FC0-805F9147E2BE}"/>
    <cellStyle name="Normal 10 3 3 3 2 2 3" xfId="19596" xr:uid="{76FD16F7-01B8-4248-A574-98D03BECB22C}"/>
    <cellStyle name="Normal 10 3 3 3 2 3" xfId="12049" xr:uid="{D05F6A24-CCAD-4391-AE37-AE46768AE2AA}"/>
    <cellStyle name="Normal 10 3 3 3 2 3 2" xfId="22429" xr:uid="{9CB67378-A7E5-4DFF-8039-EA53630F68B4}"/>
    <cellStyle name="Normal 10 3 3 3 2 4" xfId="25688" xr:uid="{59D31921-BD7B-410B-995B-A240C490AAC4}"/>
    <cellStyle name="Normal 10 3 3 3 2 5" xfId="16763" xr:uid="{41C32BF1-2AEF-4FCB-B0FB-832D71E9265B}"/>
    <cellStyle name="Normal 10 3 3 3 3" xfId="6195" xr:uid="{38472D4B-C516-4A45-A07C-56DE8DF449E4}"/>
    <cellStyle name="Normal 10 3 3 3 3 2" xfId="26855" xr:uid="{D4921790-E0C7-425A-8388-42044F8799DA}"/>
    <cellStyle name="Normal 10 3 3 3 3 3" xfId="15764" xr:uid="{80E669C7-FC3B-4E63-B72A-C7C6CC2DDC7B}"/>
    <cellStyle name="Normal 10 3 3 3 4" xfId="8217" xr:uid="{0736BEBB-3583-4FED-9AE4-002B3151CD49}"/>
    <cellStyle name="Normal 10 3 3 3 4 2" xfId="18597" xr:uid="{E149C1C9-FD91-4C75-B8C4-600B9FBC45EB}"/>
    <cellStyle name="Normal 10 3 3 3 5" xfId="11050" xr:uid="{2990E9DE-F821-4438-BA00-5B96F3E4EC3D}"/>
    <cellStyle name="Normal 10 3 3 3 5 2" xfId="21430" xr:uid="{CDD16F88-02D7-4B9A-B06B-6A19C7C01B37}"/>
    <cellStyle name="Normal 10 3 3 3 6" xfId="23028" xr:uid="{0EF7FB8A-31D6-40C1-8A48-66E85E1AE895}"/>
    <cellStyle name="Normal 10 3 3 3 7" xfId="13658" xr:uid="{5D07802A-295C-40F9-9CCC-ED8C4ABAD191}"/>
    <cellStyle name="Normal 10 3 3 4" xfId="3135" xr:uid="{00000000-0005-0000-0000-00002C030000}"/>
    <cellStyle name="Normal 10 3 3 4 2" xfId="6193" xr:uid="{CC2E32D4-5362-4611-AF3F-C0F3B40A61C9}"/>
    <cellStyle name="Normal 10 3 3 4 2 2" xfId="27850" xr:uid="{E7631E61-E7EB-487E-AFA4-2FDCD2DEF47E}"/>
    <cellStyle name="Normal 10 3 3 4 2 3" xfId="15762" xr:uid="{2BF59D66-C81C-499C-A46A-B1E17B24526C}"/>
    <cellStyle name="Normal 10 3 3 4 3" xfId="8215" xr:uid="{4B1740DF-DA70-4371-8F14-AB8C840FB985}"/>
    <cellStyle name="Normal 10 3 3 4 3 2" xfId="18595" xr:uid="{A18AFC81-B1D5-4A27-9E55-AA891CB5A47D}"/>
    <cellStyle name="Normal 10 3 3 4 4" xfId="11048" xr:uid="{A00259E1-939B-4EE5-B516-39DDAEFB0C33}"/>
    <cellStyle name="Normal 10 3 3 4 4 2" xfId="21428" xr:uid="{82B9EB5A-BF13-4A91-B6C3-D4633F88A1BF}"/>
    <cellStyle name="Normal 10 3 3 4 5" xfId="23475" xr:uid="{88365AA0-F73F-4C93-85F9-8056223A3BB7}"/>
    <cellStyle name="Normal 10 3 3 4 6" xfId="13656" xr:uid="{7AC675F4-EDE3-49BF-9A92-3810128595BF}"/>
    <cellStyle name="Normal 10 3 3 5" xfId="2641" xr:uid="{00000000-0005-0000-0000-00002D030000}"/>
    <cellStyle name="Normal 10 3 3 5 2" xfId="5903" xr:uid="{7317C662-3FFA-44C0-8540-BB269EC96C05}"/>
    <cellStyle name="Normal 10 3 3 5 2 2" xfId="28030" xr:uid="{4CBB18E1-F517-4DFF-847C-0B3F7CD6D389}"/>
    <cellStyle name="Normal 10 3 3 5 2 3" xfId="15313" xr:uid="{D2D60040-57CB-48AC-A06D-BA5300FEA18D}"/>
    <cellStyle name="Normal 10 3 3 5 3" xfId="7766" xr:uid="{65C29C45-4F49-4B4C-ACD4-B306EBC5733B}"/>
    <cellStyle name="Normal 10 3 3 5 3 2" xfId="18146" xr:uid="{1EE2A97B-CBB0-483E-BFD9-E0EBA9854283}"/>
    <cellStyle name="Normal 10 3 3 5 4" xfId="10599" xr:uid="{538FCF69-8E10-4AE3-BF4A-413C4FDB95A5}"/>
    <cellStyle name="Normal 10 3 3 5 4 2" xfId="20979" xr:uid="{CA4C8EE0-D68A-423B-AF9F-FEB3A83A347E}"/>
    <cellStyle name="Normal 10 3 3 5 5" xfId="24263" xr:uid="{9EE9879A-47D9-4A6A-B4AB-0EA40920AE79}"/>
    <cellStyle name="Normal 10 3 3 5 6" xfId="13030" xr:uid="{B3FC1032-6990-49BF-84CD-EA042BF26A29}"/>
    <cellStyle name="Normal 10 3 3 6" xfId="4147" xr:uid="{720A314B-D736-4B55-91D2-0A9538020FD9}"/>
    <cellStyle name="Normal 10 3 3 6 2" xfId="8919" xr:uid="{146BDAE5-801A-4480-9109-EF36CF3B3DAA}"/>
    <cellStyle name="Normal 10 3 3 6 2 2" xfId="19299" xr:uid="{F8E6BE30-8223-49EA-B7BC-C94DE5882EE1}"/>
    <cellStyle name="Normal 10 3 3 6 3" xfId="11752" xr:uid="{A25CFEF2-6593-4B5E-BD21-853D15FEBE47}"/>
    <cellStyle name="Normal 10 3 3 6 3 2" xfId="22132" xr:uid="{E2B4B273-0C6E-46FC-9E81-7BEC7BDA1D81}"/>
    <cellStyle name="Normal 10 3 3 6 4" xfId="24871" xr:uid="{6DEEF9DD-47F9-4373-AAF8-CDDE7FDB613C}"/>
    <cellStyle name="Normal 10 3 3 6 5" xfId="16466" xr:uid="{6F742FA1-D46B-4D41-83A7-CE84B26DD2D2}"/>
    <cellStyle name="Normal 10 3 3 7" xfId="4994" xr:uid="{76F195E5-F9BA-4629-A81C-7B3E73E89933}"/>
    <cellStyle name="Normal 10 3 3 7 2" xfId="14289" xr:uid="{793A3B51-E81A-4FCA-A6B8-8CAA78409040}"/>
    <cellStyle name="Normal 10 3 3 8" xfId="6742" xr:uid="{BB120FCB-8F6F-4A47-B67F-5468A5DC608A}"/>
    <cellStyle name="Normal 10 3 3 8 2" xfId="17122" xr:uid="{85583FF8-70AD-437B-93D6-4F13048E3AF1}"/>
    <cellStyle name="Normal 10 3 3 9" xfId="9575" xr:uid="{41F6E2E7-A077-43F8-9D5A-AD836BAB6389}"/>
    <cellStyle name="Normal 10 3 3 9 2" xfId="19955" xr:uid="{114E6468-8F35-48AA-8672-BACA8957B9DF}"/>
    <cellStyle name="Normal 10 3 4" xfId="635" xr:uid="{00000000-0005-0000-0000-000027040000}"/>
    <cellStyle name="Normal 10 3 4 2" xfId="3138" xr:uid="{00000000-0005-0000-0000-00002F030000}"/>
    <cellStyle name="Normal 10 3 4 2 2" xfId="6196" xr:uid="{EC9CB456-353B-44ED-8A95-68E8A608ACEA}"/>
    <cellStyle name="Normal 10 3 4 2 2 2" xfId="26079" xr:uid="{75B4E989-52C1-44C7-8D64-9F4442940882}"/>
    <cellStyle name="Normal 10 3 4 2 2 3" xfId="15765" xr:uid="{89FB9AF6-D2C0-4323-B17D-0D9743F23090}"/>
    <cellStyle name="Normal 10 3 4 2 3" xfId="8218" xr:uid="{D9E85761-58C7-4D3B-A2E5-044FD81D648F}"/>
    <cellStyle name="Normal 10 3 4 2 3 2" xfId="18598" xr:uid="{3AD4567C-F8F1-4839-95DF-E6D1F272F4E9}"/>
    <cellStyle name="Normal 10 3 4 2 4" xfId="11051" xr:uid="{D5C8DE77-E2A0-4247-806C-9D1FB1DA9EF6}"/>
    <cellStyle name="Normal 10 3 4 2 4 2" xfId="21431" xr:uid="{77712E07-E454-4FD2-841B-CDCBB182B862}"/>
    <cellStyle name="Normal 10 3 4 2 5" xfId="23008" xr:uid="{BDA9C7EB-35AD-4DBD-98B6-607A7BF34470}"/>
    <cellStyle name="Normal 10 3 4 2 6" xfId="13659" xr:uid="{C702F0AE-C2AB-4C81-997D-9B38F9C4558A}"/>
    <cellStyle name="Normal 10 3 4 3" xfId="4284" xr:uid="{727D90BB-C968-4920-862C-C2445E4027CE}"/>
    <cellStyle name="Normal 10 3 4 3 2" xfId="9056" xr:uid="{863D40C7-53A3-4DDB-B49D-A4C79F4AD3D9}"/>
    <cellStyle name="Normal 10 3 4 3 2 2" xfId="29099" xr:uid="{64B61225-A459-4345-8D2E-74E1F3B1BE4D}"/>
    <cellStyle name="Normal 10 3 4 3 2 3" xfId="19436" xr:uid="{4EC32CE8-1524-4A45-B50A-B559E9C19604}"/>
    <cellStyle name="Normal 10 3 4 3 3" xfId="11889" xr:uid="{84BC5F95-4EFD-4694-AFF7-81748F31181C}"/>
    <cellStyle name="Normal 10 3 4 3 3 2" xfId="22269" xr:uid="{E621FF38-7BB4-4CAD-B98F-3ED2F043755D}"/>
    <cellStyle name="Normal 10 3 4 3 4" xfId="24841" xr:uid="{874E08A6-1CA2-4DFD-BF71-3686E26141B8}"/>
    <cellStyle name="Normal 10 3 4 3 5" xfId="16603" xr:uid="{F19BB2E2-EA6D-4675-BBF3-E9766FA2DA92}"/>
    <cellStyle name="Normal 10 3 4 4" xfId="4995" xr:uid="{B3771ED7-7A4F-40E1-87A2-DD284B4D1FB0}"/>
    <cellStyle name="Normal 10 3 4 4 2" xfId="27711" xr:uid="{80240733-1F28-42D8-B52E-02AE0A900E69}"/>
    <cellStyle name="Normal 10 3 4 4 3" xfId="14290" xr:uid="{BC0FB313-E332-491A-A5A7-6B4708A96082}"/>
    <cellStyle name="Normal 10 3 4 5" xfId="6743" xr:uid="{B3EB4B11-BE2B-43D1-B380-671FAA13BD8B}"/>
    <cellStyle name="Normal 10 3 4 5 2" xfId="17123" xr:uid="{5F8A9B4C-9FF1-4D8C-9496-FB59C5921250}"/>
    <cellStyle name="Normal 10 3 4 6" xfId="9576" xr:uid="{6E895E4C-005B-4662-9C39-27B82A4CC90B}"/>
    <cellStyle name="Normal 10 3 4 6 2" xfId="19956" xr:uid="{6EC62299-454E-4B07-ACE0-9500222FE647}"/>
    <cellStyle name="Normal 10 3 4 7" xfId="25261" xr:uid="{9EC4ACD6-11A5-4535-A452-6040A01BCAA4}"/>
    <cellStyle name="Normal 10 3 4 8" xfId="13127" xr:uid="{5F516308-ACFA-4B49-ACB9-72422E653091}"/>
    <cellStyle name="Normal 10 3 5" xfId="3139" xr:uid="{00000000-0005-0000-0000-000030030000}"/>
    <cellStyle name="Normal 10 3 5 2" xfId="4445" xr:uid="{62BD4B13-781A-4338-ADA1-0DC58DB46F2D}"/>
    <cellStyle name="Normal 10 3 5 2 2" xfId="9217" xr:uid="{D51671E0-8C4B-44E4-868D-63BEE2417B69}"/>
    <cellStyle name="Normal 10 3 5 2 2 2" xfId="29210" xr:uid="{6B1E295B-F988-45A4-BC42-71E89C2D3DF1}"/>
    <cellStyle name="Normal 10 3 5 2 2 3" xfId="19597" xr:uid="{023E5AED-B5A8-49BA-8431-DBEBB38239BE}"/>
    <cellStyle name="Normal 10 3 5 2 3" xfId="12050" xr:uid="{909C78E4-B07A-4982-B196-49877638CD02}"/>
    <cellStyle name="Normal 10 3 5 2 3 2" xfId="22430" xr:uid="{A6376CE5-989F-4195-817F-5BEAB3B9170C}"/>
    <cellStyle name="Normal 10 3 5 2 4" xfId="22917" xr:uid="{77B4ADC0-A2C8-40E6-9F1C-F642C569F62A}"/>
    <cellStyle name="Normal 10 3 5 2 5" xfId="16764" xr:uid="{9C623E23-6903-4F72-9EE1-85955EAC33BA}"/>
    <cellStyle name="Normal 10 3 5 3" xfId="6197" xr:uid="{CE4477DA-1B11-4CBA-AD1A-7D1380E3DD0C}"/>
    <cellStyle name="Normal 10 3 5 3 2" xfId="28359" xr:uid="{609100A2-1C49-43BA-AFFB-B525D809C074}"/>
    <cellStyle name="Normal 10 3 5 3 3" xfId="15766" xr:uid="{E3A4951F-3AAB-42EB-8126-F57A869F346F}"/>
    <cellStyle name="Normal 10 3 5 4" xfId="8219" xr:uid="{310D63A0-24A3-4583-9A58-6F43F74A70F5}"/>
    <cellStyle name="Normal 10 3 5 4 2" xfId="18599" xr:uid="{473F5B53-4F3E-4867-A798-E2C5F0893558}"/>
    <cellStyle name="Normal 10 3 5 5" xfId="11052" xr:uid="{7D0B090E-B73A-4CEB-B990-6AEF5FBDED22}"/>
    <cellStyle name="Normal 10 3 5 5 2" xfId="21432" xr:uid="{1679AD0C-73AF-4ABB-A95F-69279A289615}"/>
    <cellStyle name="Normal 10 3 5 6" xfId="23809" xr:uid="{D907B0AC-9064-445B-82B3-C52D4CD7D1A4}"/>
    <cellStyle name="Normal 10 3 5 7" xfId="13660" xr:uid="{0BFE96D1-7E73-457E-8B74-D53EC3A2F9E0}"/>
    <cellStyle name="Normal 10 3 6" xfId="2891" xr:uid="{00000000-0005-0000-0000-000031030000}"/>
    <cellStyle name="Normal 10 3 6 2" xfId="6077" xr:uid="{63A2D3D4-354F-449C-B873-B13D65947A08}"/>
    <cellStyle name="Normal 10 3 6 2 2" xfId="25916" xr:uid="{7DE0E2F3-70A6-43B5-93B0-198AD3C5775D}"/>
    <cellStyle name="Normal 10 3 6 2 3" xfId="15555" xr:uid="{C889F172-5532-4A43-BB5E-6EFA80DE8FAA}"/>
    <cellStyle name="Normal 10 3 6 3" xfId="8008" xr:uid="{AD5B01FF-F810-4694-8B59-D841ABAC3A1D}"/>
    <cellStyle name="Normal 10 3 6 3 2" xfId="18388" xr:uid="{58414A3F-B83C-40A9-87CD-F6D074149D43}"/>
    <cellStyle name="Normal 10 3 6 4" xfId="10841" xr:uid="{68254EF4-AEDE-4D34-B040-74F5D68FD5F5}"/>
    <cellStyle name="Normal 10 3 6 4 2" xfId="21221" xr:uid="{3271912B-DD9A-4C23-A609-AD4A7076B685}"/>
    <cellStyle name="Normal 10 3 6 5" xfId="24750" xr:uid="{AD44433C-85A8-4C20-9673-689AB694C163}"/>
    <cellStyle name="Normal 10 3 6 6" xfId="13393" xr:uid="{94555134-64E5-494E-AB15-1E9A2FAA925D}"/>
    <cellStyle name="Normal 10 3 7" xfId="2479" xr:uid="{00000000-0005-0000-0000-000032030000}"/>
    <cellStyle name="Normal 10 3 7 2" xfId="5767" xr:uid="{35DABF79-AA0F-4397-B432-85D30F5B920E}"/>
    <cellStyle name="Normal 10 3 7 2 2" xfId="26005" xr:uid="{FBC0DBAE-8A1D-42BA-BF39-C45491425BDB}"/>
    <cellStyle name="Normal 10 3 7 2 3" xfId="15151" xr:uid="{46D098F0-24F6-4176-88F8-57985AC6B38B}"/>
    <cellStyle name="Normal 10 3 7 3" xfId="7604" xr:uid="{FA9123AC-D647-47A4-9914-D64BDD0110B6}"/>
    <cellStyle name="Normal 10 3 7 3 2" xfId="17984" xr:uid="{38861170-D29E-45DC-8318-4891B525C210}"/>
    <cellStyle name="Normal 10 3 7 4" xfId="10437" xr:uid="{DC90A635-41B1-4961-ACC7-F29EBD1693E0}"/>
    <cellStyle name="Normal 10 3 7 4 2" xfId="20817" xr:uid="{AC535C21-3E7B-4184-A68E-5617BE88C281}"/>
    <cellStyle name="Normal 10 3 7 5" xfId="25491" xr:uid="{C7698235-9481-465F-B45D-D05D6DF59E2A}"/>
    <cellStyle name="Normal 10 3 7 6" xfId="12867" xr:uid="{DA3547F9-157C-4BFC-B3B8-8754CCE8ABEC}"/>
    <cellStyle name="Normal 10 3 8" xfId="2233" xr:uid="{00000000-0005-0000-0000-000021030000}"/>
    <cellStyle name="Normal 10 3 8 2" xfId="7360" xr:uid="{72DDA263-81F6-43F0-8CA4-35ED37362871}"/>
    <cellStyle name="Normal 10 3 8 2 2" xfId="17740" xr:uid="{D0A43869-7421-42CA-AF8E-1A675A7319A5}"/>
    <cellStyle name="Normal 10 3 8 3" xfId="10193" xr:uid="{249BBC59-308D-4AB7-994C-5BA0CB273377}"/>
    <cellStyle name="Normal 10 3 8 3 2" xfId="20573" xr:uid="{B2AE14CA-27EC-4C5A-96EC-CF5A0B662E47}"/>
    <cellStyle name="Normal 10 3 8 4" xfId="23521" xr:uid="{DDCD5947-88AE-4CE7-AD1A-EE9946108DAD}"/>
    <cellStyle name="Normal 10 3 8 5" xfId="14907" xr:uid="{02D250B9-C265-425D-9921-FF6CCCAE255F}"/>
    <cellStyle name="Normal 10 3 9" xfId="3906" xr:uid="{DFAFEC0D-1123-40C7-8396-37B72A42A4E3}"/>
    <cellStyle name="Normal 10 3 9 2" xfId="8738" xr:uid="{0F6D0A89-C57D-4D60-909D-6327E96986AB}"/>
    <cellStyle name="Normal 10 3 9 2 2" xfId="19118" xr:uid="{F5AC2B97-3B86-43D1-AC13-952EA5581640}"/>
    <cellStyle name="Normal 10 3 9 3" xfId="11571" xr:uid="{A4405A67-BCE0-4793-905D-62F3F5DB56A9}"/>
    <cellStyle name="Normal 10 3 9 3 2" xfId="21951" xr:uid="{C3E35E6D-E8DA-48DB-A53C-AD965A433A5D}"/>
    <cellStyle name="Normal 10 3 9 4" xfId="16285" xr:uid="{7A4E722F-1587-42FD-B760-787107CE8583}"/>
    <cellStyle name="Normal 10 4" xfId="636" xr:uid="{00000000-0005-0000-0000-000028040000}"/>
    <cellStyle name="Normal 10 4 10" xfId="6744" xr:uid="{5920DC48-8D65-4018-A698-5A50362A0AE9}"/>
    <cellStyle name="Normal 10 4 10 2" xfId="17124" xr:uid="{44F67FD2-AE53-45BF-A513-ADCA8928DB4C}"/>
    <cellStyle name="Normal 10 4 11" xfId="9577" xr:uid="{B50B7FAB-23C0-4688-A51D-D6CD38E5B80C}"/>
    <cellStyle name="Normal 10 4 11 2" xfId="19957" xr:uid="{125C44FF-B7ED-432F-81AE-C213AA8C7EA1}"/>
    <cellStyle name="Normal 10 4 12" xfId="24682" xr:uid="{07D436A0-15B4-481A-8FE0-DDD06F0E7513}"/>
    <cellStyle name="Normal 10 4 13" xfId="12445" xr:uid="{9AC2E468-90FE-4AEA-8091-0C552D6D5FFB}"/>
    <cellStyle name="Normal 10 4 2" xfId="637" xr:uid="{00000000-0005-0000-0000-000029040000}"/>
    <cellStyle name="Normal 10 4 2 10" xfId="9578" xr:uid="{D4EA277E-FCC7-408B-9F3A-15E2DCB74069}"/>
    <cellStyle name="Normal 10 4 2 10 2" xfId="19958" xr:uid="{D6C62D71-8F1E-42A7-908F-5455BBDA1460}"/>
    <cellStyle name="Normal 10 4 2 11" xfId="25128" xr:uid="{BBCCF5EB-D03B-4D18-8B03-4B5ACA3F8E52}"/>
    <cellStyle name="Normal 10 4 2 12" xfId="12538" xr:uid="{67D8D94B-B82C-4209-95DD-0E71EBF554E7}"/>
    <cellStyle name="Normal 10 4 2 2" xfId="638" xr:uid="{00000000-0005-0000-0000-00002A040000}"/>
    <cellStyle name="Normal 10 4 2 2 2" xfId="3141" xr:uid="{00000000-0005-0000-0000-000036030000}"/>
    <cellStyle name="Normal 10 4 2 2 2 2" xfId="6199" xr:uid="{06F2B0D2-BE3F-4D5B-AE7B-D9F8BAA9692B}"/>
    <cellStyle name="Normal 10 4 2 2 2 2 2" xfId="26132" xr:uid="{EFF958C4-7ABB-4414-90EB-6A9CA6062F73}"/>
    <cellStyle name="Normal 10 4 2 2 2 2 3" xfId="28300" xr:uid="{E8C8467E-3FA8-4BAD-BD59-FD8074EF5103}"/>
    <cellStyle name="Normal 10 4 2 2 2 2 4" xfId="15768" xr:uid="{82792F97-AF95-4AE6-AA11-BB1C251B447A}"/>
    <cellStyle name="Normal 10 4 2 2 2 3" xfId="8221" xr:uid="{E8796C8C-6CB8-435E-9FAA-835CE642407F}"/>
    <cellStyle name="Normal 10 4 2 2 2 3 2" xfId="28867" xr:uid="{5C8AB1BF-315E-4194-950D-C7136336B9A1}"/>
    <cellStyle name="Normal 10 4 2 2 2 3 3" xfId="18601" xr:uid="{151C9F4C-E7BF-4FEC-B6A0-55545E0CB77B}"/>
    <cellStyle name="Normal 10 4 2 2 2 4" xfId="11054" xr:uid="{311656CA-3B45-45CB-A8D1-CA97EE9093C5}"/>
    <cellStyle name="Normal 10 4 2 2 2 4 2" xfId="21434" xr:uid="{9F359290-AB77-40CE-84DD-0746890789C4}"/>
    <cellStyle name="Normal 10 4 2 2 2 5" xfId="24714" xr:uid="{F315BE77-CBE9-40FF-A827-0A56A7F13A4E}"/>
    <cellStyle name="Normal 10 4 2 2 2 6" xfId="13662" xr:uid="{FC7B5103-5216-4ECD-BF0E-B0BF8325ADC0}"/>
    <cellStyle name="Normal 10 4 2 2 3" xfId="4287" xr:uid="{B33BE118-5B4D-42C0-8D8A-297D42D660E7}"/>
    <cellStyle name="Normal 10 4 2 2 3 2" xfId="9059" xr:uid="{011992E4-0B30-44AE-A330-84E6552E89A3}"/>
    <cellStyle name="Normal 10 4 2 2 3 2 2" xfId="29102" xr:uid="{EB6DCA00-11B9-45E4-850C-5A399C944CBC}"/>
    <cellStyle name="Normal 10 4 2 2 3 2 3" xfId="19439" xr:uid="{1E17F9D3-6FD9-4450-99BC-C17CF8C82ACF}"/>
    <cellStyle name="Normal 10 4 2 2 3 3" xfId="11892" xr:uid="{97A9FCD3-A616-4251-8DFA-44C6F1ADE11B}"/>
    <cellStyle name="Normal 10 4 2 2 3 3 2" xfId="22272" xr:uid="{B101FA82-953C-48BB-A152-913C8A344D20}"/>
    <cellStyle name="Normal 10 4 2 2 3 4" xfId="24821" xr:uid="{4F0432A1-A14C-4239-BDE4-C460D67AE82C}"/>
    <cellStyle name="Normal 10 4 2 2 3 5" xfId="16606" xr:uid="{322B70BC-6257-49F5-B228-4413C8E07220}"/>
    <cellStyle name="Normal 10 4 2 2 4" xfId="4998" xr:uid="{DAC04E3E-B1F8-4219-8EEB-0CCC0602482F}"/>
    <cellStyle name="Normal 10 4 2 2 4 2" xfId="27181" xr:uid="{6D7294A7-36FD-411B-8AA4-9FEE1CBCAF8E}"/>
    <cellStyle name="Normal 10 4 2 2 4 3" xfId="14293" xr:uid="{A0DBF87B-3249-475F-9F52-469F0EC7E109}"/>
    <cellStyle name="Normal 10 4 2 2 5" xfId="6746" xr:uid="{A4EB902D-3F9F-482C-86AD-9B66CF3E6B6F}"/>
    <cellStyle name="Normal 10 4 2 2 5 2" xfId="17126" xr:uid="{360D45F0-3803-4399-8218-0E713D188873}"/>
    <cellStyle name="Normal 10 4 2 2 6" xfId="9579" xr:uid="{6837B5A4-4671-4052-B884-5815B8212445}"/>
    <cellStyle name="Normal 10 4 2 2 6 2" xfId="19959" xr:uid="{F386D1A6-ABF7-4A9B-80BB-1D559C002524}"/>
    <cellStyle name="Normal 10 4 2 2 7" xfId="23060" xr:uid="{562739F2-F603-449E-9354-410FD527F77C}"/>
    <cellStyle name="Normal 10 4 2 2 8" xfId="13131" xr:uid="{9088F7F0-E3D0-4740-BC17-78C6ECDB3265}"/>
    <cellStyle name="Normal 10 4 2 3" xfId="3142" xr:uid="{00000000-0005-0000-0000-000037030000}"/>
    <cellStyle name="Normal 10 4 2 3 2" xfId="4446" xr:uid="{993D9A1E-0007-45A2-BDBD-615C6FF77875}"/>
    <cellStyle name="Normal 10 4 2 3 2 2" xfId="9218" xr:uid="{796D87CC-9C72-4436-9930-353404431198}"/>
    <cellStyle name="Normal 10 4 2 3 2 2 2" xfId="29211" xr:uid="{C9ABEA5E-0955-415D-B46F-B2F425FD2BEA}"/>
    <cellStyle name="Normal 10 4 2 3 2 2 3" xfId="19598" xr:uid="{947B9434-2737-4894-9CC1-886C18DE310E}"/>
    <cellStyle name="Normal 10 4 2 3 2 3" xfId="12051" xr:uid="{0017D429-C5F7-490A-95D2-40E3BACD14ED}"/>
    <cellStyle name="Normal 10 4 2 3 2 3 2" xfId="22431" xr:uid="{E15CCBB8-A745-4C41-8B06-D2E218F02349}"/>
    <cellStyle name="Normal 10 4 2 3 2 4" xfId="25646" xr:uid="{8EA90F6A-A0A5-454C-8877-AE245AD0F1CD}"/>
    <cellStyle name="Normal 10 4 2 3 2 5" xfId="16765" xr:uid="{D1707C35-54BC-42A0-B0DB-1F0221CD4D31}"/>
    <cellStyle name="Normal 10 4 2 3 3" xfId="6200" xr:uid="{3DA9AEB0-7430-4CD8-9759-403B2B29CB6E}"/>
    <cellStyle name="Normal 10 4 2 3 3 2" xfId="26248" xr:uid="{3988C583-4C03-4BA0-AD61-B9CD7F2D84B7}"/>
    <cellStyle name="Normal 10 4 2 3 3 3" xfId="15769" xr:uid="{9E97FCAA-40EF-49B6-BAB0-C8A96DEE02DB}"/>
    <cellStyle name="Normal 10 4 2 3 4" xfId="8222" xr:uid="{F9E0C1BB-B07A-45D9-A20E-5C7E023AFF5B}"/>
    <cellStyle name="Normal 10 4 2 3 4 2" xfId="18602" xr:uid="{5A7EDB01-41B1-4940-A948-C970566C72FF}"/>
    <cellStyle name="Normal 10 4 2 3 5" xfId="11055" xr:uid="{EABB47FE-094A-474B-A42F-A7A3FC429DAA}"/>
    <cellStyle name="Normal 10 4 2 3 5 2" xfId="21435" xr:uid="{45C324ED-D85E-4D25-862F-2C30CCA2847A}"/>
    <cellStyle name="Normal 10 4 2 3 6" xfId="22955" xr:uid="{BDD945F4-126B-4310-A9CC-2F9EAEE48A6C}"/>
    <cellStyle name="Normal 10 4 2 3 7" xfId="13663" xr:uid="{3E05150E-F02D-4C9A-AF6B-FB73AF8C6753}"/>
    <cellStyle name="Normal 10 4 2 4" xfId="3140" xr:uid="{00000000-0005-0000-0000-000038030000}"/>
    <cellStyle name="Normal 10 4 2 4 2" xfId="6198" xr:uid="{F68DC60C-0CB8-4A45-BAC8-8424ACFD301F}"/>
    <cellStyle name="Normal 10 4 2 4 2 2" xfId="27849" xr:uid="{BD935948-09BD-4AA5-82A6-309D057C86D6}"/>
    <cellStyle name="Normal 10 4 2 4 2 3" xfId="15767" xr:uid="{A4908460-27B0-484F-92FF-93FF6395B6CD}"/>
    <cellStyle name="Normal 10 4 2 4 3" xfId="8220" xr:uid="{8DA40B03-6080-411D-A100-B17AD3AAEB20}"/>
    <cellStyle name="Normal 10 4 2 4 3 2" xfId="18600" xr:uid="{210C5264-BF80-42B2-94FF-154D54786E94}"/>
    <cellStyle name="Normal 10 4 2 4 4" xfId="11053" xr:uid="{1B409DD8-EB9C-4B23-A0A3-166A63E15783}"/>
    <cellStyle name="Normal 10 4 2 4 4 2" xfId="21433" xr:uid="{83A1F8ED-7D53-4A69-89E7-AE220B6CF328}"/>
    <cellStyle name="Normal 10 4 2 4 5" xfId="24870" xr:uid="{6EC4A12D-7401-478A-88CC-9CEAEB506704}"/>
    <cellStyle name="Normal 10 4 2 4 6" xfId="13661" xr:uid="{88C1FCDE-2E73-41E3-8E0D-E934FA0EA4CD}"/>
    <cellStyle name="Normal 10 4 2 5" xfId="2622" xr:uid="{00000000-0005-0000-0000-000039030000}"/>
    <cellStyle name="Normal 10 4 2 5 2" xfId="5884" xr:uid="{7917804F-2066-4009-AC2B-830867C24119}"/>
    <cellStyle name="Normal 10 4 2 5 2 2" xfId="27756" xr:uid="{D102A650-5E04-4406-B6B7-8060D68E0AB1}"/>
    <cellStyle name="Normal 10 4 2 5 2 3" xfId="15294" xr:uid="{A8C87728-B097-4C76-A74E-DDF95D9FEE7C}"/>
    <cellStyle name="Normal 10 4 2 5 3" xfId="7747" xr:uid="{4B540000-AE30-4A5F-ADEB-495A25D7A052}"/>
    <cellStyle name="Normal 10 4 2 5 3 2" xfId="18127" xr:uid="{45E63A77-7412-4FF8-A4B0-6E92CBB14507}"/>
    <cellStyle name="Normal 10 4 2 5 4" xfId="10580" xr:uid="{C2A5C0CF-02E0-40E3-BA57-074EAA4B0557}"/>
    <cellStyle name="Normal 10 4 2 5 4 2" xfId="20960" xr:uid="{26DADC33-1F0D-4A63-AC2E-045E04BC48F6}"/>
    <cellStyle name="Normal 10 4 2 5 5" xfId="23695" xr:uid="{990F2A7C-A315-40A3-9E57-81A6FF4430F8}"/>
    <cellStyle name="Normal 10 4 2 5 6" xfId="13010" xr:uid="{3484E672-7684-4267-BB0F-3C5E93887B9E}"/>
    <cellStyle name="Normal 10 4 2 6" xfId="2306" xr:uid="{00000000-0005-0000-0000-000034030000}"/>
    <cellStyle name="Normal 10 4 2 6 2" xfId="7433" xr:uid="{BE5C89C6-840C-4D3D-9726-B49AF4747209}"/>
    <cellStyle name="Normal 10 4 2 6 2 2" xfId="17813" xr:uid="{954947CA-450C-4C41-AB3A-EB4432C2DD6E}"/>
    <cellStyle name="Normal 10 4 2 6 3" xfId="10266" xr:uid="{01117BE3-C7B3-4B34-B74A-E7A6E6080D2D}"/>
    <cellStyle name="Normal 10 4 2 6 3 2" xfId="20646" xr:uid="{7D36C5F0-7A94-445A-9AB6-40883BD93440}"/>
    <cellStyle name="Normal 10 4 2 6 4" xfId="25348" xr:uid="{5FF42BE9-003E-4F23-A987-93A9A6D87DA6}"/>
    <cellStyle name="Normal 10 4 2 6 5" xfId="14980" xr:uid="{BBD008D9-0D26-492B-8B56-9A8562448128}"/>
    <cellStyle name="Normal 10 4 2 7" xfId="3837" xr:uid="{7142DFA1-FE94-4334-A0D7-6C68B979514B}"/>
    <cellStyle name="Normal 10 4 2 7 2" xfId="8670" xr:uid="{384817B5-8FD6-4447-BB73-A5B71EE33F12}"/>
    <cellStyle name="Normal 10 4 2 7 2 2" xfId="19050" xr:uid="{46EA25DB-CEB0-45D5-85EE-E6E6C3B22B7B}"/>
    <cellStyle name="Normal 10 4 2 7 3" xfId="11503" xr:uid="{B1C3691F-7152-4061-9FCA-DA33E83D3158}"/>
    <cellStyle name="Normal 10 4 2 7 3 2" xfId="21883" xr:uid="{33FCF75F-0A24-4BC5-923D-974A5A02D885}"/>
    <cellStyle name="Normal 10 4 2 7 4" xfId="16217" xr:uid="{38104868-A40D-4F57-8878-59FCCA185F3D}"/>
    <cellStyle name="Normal 10 4 2 8" xfId="4997" xr:uid="{F5620966-7500-46ED-ADF1-F39A527642D9}"/>
    <cellStyle name="Normal 10 4 2 8 2" xfId="14292" xr:uid="{D9E36E45-AB1F-4C71-B895-C81DBBE23A85}"/>
    <cellStyle name="Normal 10 4 2 9" xfId="6745" xr:uid="{3B20EA16-B0DA-4F52-80D8-4A1A0A0C6CA7}"/>
    <cellStyle name="Normal 10 4 2 9 2" xfId="17125" xr:uid="{D75970FD-2A89-47B8-99E7-A2D9AB51E08D}"/>
    <cellStyle name="Normal 10 4 3" xfId="639" xr:uid="{00000000-0005-0000-0000-00002B040000}"/>
    <cellStyle name="Normal 10 4 3 2" xfId="3143" xr:uid="{00000000-0005-0000-0000-00003B030000}"/>
    <cellStyle name="Normal 10 4 3 2 2" xfId="6201" xr:uid="{8F85BE44-7EF3-4891-845F-2DCD5C213315}"/>
    <cellStyle name="Normal 10 4 3 2 2 2" xfId="24702" xr:uid="{1F5188A0-6D56-4E17-B88D-A7F231F86F17}"/>
    <cellStyle name="Normal 10 4 3 2 2 3" xfId="25959" xr:uid="{081438D6-0364-449B-92F6-660801982FCC}"/>
    <cellStyle name="Normal 10 4 3 2 2 4" xfId="15770" xr:uid="{73B2B1C6-F505-4F47-89A5-6CD78220D768}"/>
    <cellStyle name="Normal 10 4 3 2 3" xfId="8223" xr:uid="{CB49CE44-5EDE-4732-AF65-C4DEDE36D4C3}"/>
    <cellStyle name="Normal 10 4 3 2 3 2" xfId="28868" xr:uid="{2DF24A94-F17A-48E4-9285-3B04406C1BF2}"/>
    <cellStyle name="Normal 10 4 3 2 3 3" xfId="18603" xr:uid="{78738C8F-D1EA-446D-9460-7CA52EF59C6F}"/>
    <cellStyle name="Normal 10 4 3 2 4" xfId="11056" xr:uid="{4029CED2-7EB8-4117-B79B-450103ADD0FA}"/>
    <cellStyle name="Normal 10 4 3 2 4 2" xfId="21436" xr:uid="{89715F7D-B3FC-47EA-A310-712CF50AEFEA}"/>
    <cellStyle name="Normal 10 4 3 2 5" xfId="25533" xr:uid="{6A394A0E-95C8-4E61-97DD-6E9845B52B8B}"/>
    <cellStyle name="Normal 10 4 3 2 6" xfId="13664" xr:uid="{8C4953EC-805E-4453-9DBF-E6316EA73EFA}"/>
    <cellStyle name="Normal 10 4 3 3" xfId="2709" xr:uid="{00000000-0005-0000-0000-00003C030000}"/>
    <cellStyle name="Normal 10 4 3 3 2" xfId="5927" xr:uid="{E87DED74-5821-4857-BC63-6E961DE4D68E}"/>
    <cellStyle name="Normal 10 4 3 3 2 2" xfId="26870" xr:uid="{1AB606FD-7B4A-4E77-9ED0-D6A0BE3B2D8A}"/>
    <cellStyle name="Normal 10 4 3 3 2 3" xfId="15380" xr:uid="{BECC7A84-5C45-406F-B230-8C7832F7B885}"/>
    <cellStyle name="Normal 10 4 3 3 3" xfId="7833" xr:uid="{E69B4CBA-360D-49EB-A290-5485BDB1CBD4}"/>
    <cellStyle name="Normal 10 4 3 3 3 2" xfId="18213" xr:uid="{ADC9A054-D12B-485F-B2B5-93D9AA501CFE}"/>
    <cellStyle name="Normal 10 4 3 3 4" xfId="10666" xr:uid="{599ACBAD-8074-481F-8522-B8A6AA968E3A}"/>
    <cellStyle name="Normal 10 4 3 3 4 2" xfId="21046" xr:uid="{AF954BE9-B8D8-488D-B848-D1C6059FC95C}"/>
    <cellStyle name="Normal 10 4 3 3 5" xfId="24080" xr:uid="{E1FA7AE9-4B99-48AE-A6C0-8B9A1136EE4D}"/>
    <cellStyle name="Normal 10 4 3 3 6" xfId="13130" xr:uid="{348E9538-5BF6-4A8B-B83B-885F374C5708}"/>
    <cellStyle name="Normal 10 4 3 4" xfId="4148" xr:uid="{070D1809-360B-4990-A48A-9E25559891D3}"/>
    <cellStyle name="Normal 10 4 3 4 2" xfId="8920" xr:uid="{C14CCB26-7312-4AD7-833C-AB9D9B8AAB42}"/>
    <cellStyle name="Normal 10 4 3 4 2 2" xfId="29019" xr:uid="{2BCAA687-A7A8-4059-BAD7-6FAFAC315C04}"/>
    <cellStyle name="Normal 10 4 3 4 2 3" xfId="19300" xr:uid="{B0FCB9C4-92EC-4CA7-8EB0-9A23ED324B83}"/>
    <cellStyle name="Normal 10 4 3 4 3" xfId="11753" xr:uid="{CD4AEE46-359D-48CB-9B99-8C7A97D1F520}"/>
    <cellStyle name="Normal 10 4 3 4 3 2" xfId="22133" xr:uid="{8DAD3DEC-E9A7-495A-89B7-F14352CB269B}"/>
    <cellStyle name="Normal 10 4 3 4 4" xfId="25015" xr:uid="{2902129C-7B15-4B58-83AE-8C5C219BCA07}"/>
    <cellStyle name="Normal 10 4 3 4 5" xfId="16467" xr:uid="{A188AB4A-1B58-4C30-8023-79EA61F360E0}"/>
    <cellStyle name="Normal 10 4 3 5" xfId="4999" xr:uid="{D198BE66-4998-4CAE-9F89-01324D1C2DE2}"/>
    <cellStyle name="Normal 10 4 3 5 2" xfId="27212" xr:uid="{E7120924-463D-4C57-B848-00559370920B}"/>
    <cellStyle name="Normal 10 4 3 5 3" xfId="14294" xr:uid="{A453E66D-77BC-4EB6-BE7F-5AAD45936D9F}"/>
    <cellStyle name="Normal 10 4 3 6" xfId="6747" xr:uid="{03C4DB5A-EABD-457E-A697-0F4671C8956C}"/>
    <cellStyle name="Normal 10 4 3 6 2" xfId="17127" xr:uid="{41EE90C5-6814-4D0A-9303-2F921AE41FCC}"/>
    <cellStyle name="Normal 10 4 3 7" xfId="9580" xr:uid="{4F105625-756E-480C-B94F-3F476E725CBC}"/>
    <cellStyle name="Normal 10 4 3 7 2" xfId="19960" xr:uid="{3F4E1114-A756-4379-96E3-1E614F3FC23F}"/>
    <cellStyle name="Normal 10 4 3 8" xfId="23735" xr:uid="{D3699B06-F6E4-4343-BA14-3AFD9E6C5024}"/>
    <cellStyle name="Normal 10 4 3 9" xfId="12696" xr:uid="{B2FFDC8E-DEA9-4E59-9738-598153DBA741}"/>
    <cellStyle name="Normal 10 4 4" xfId="640" xr:uid="{00000000-0005-0000-0000-00002C040000}"/>
    <cellStyle name="Normal 10 4 4 2" xfId="4447" xr:uid="{FED6DE40-C019-4713-873E-099153FC2462}"/>
    <cellStyle name="Normal 10 4 4 2 2" xfId="9219" xr:uid="{ADDE207E-B207-4521-AA01-418E8FD87EAC}"/>
    <cellStyle name="Normal 10 4 4 2 2 2" xfId="29212" xr:uid="{0117A776-8209-429E-B511-2166081CE8C5}"/>
    <cellStyle name="Normal 10 4 4 2 2 3" xfId="19599" xr:uid="{758C5FCF-8A69-40A6-A8FC-9F17C6AFC487}"/>
    <cellStyle name="Normal 10 4 4 2 3" xfId="12052" xr:uid="{0CB694A1-516B-435E-8AD8-D7D9EEE10627}"/>
    <cellStyle name="Normal 10 4 4 2 3 2" xfId="22432" xr:uid="{1F5E7C9E-7277-4887-8E27-6B294F10874B}"/>
    <cellStyle name="Normal 10 4 4 2 4" xfId="24844" xr:uid="{448F5F0F-3DCC-4A78-870C-B32C436A8893}"/>
    <cellStyle name="Normal 10 4 4 2 5" xfId="16766" xr:uid="{214A2348-DC70-4C8D-A503-8F33E34207FB}"/>
    <cellStyle name="Normal 10 4 4 3" xfId="5000" xr:uid="{4EC831B8-43EE-4E74-BE6D-34012E779941}"/>
    <cellStyle name="Normal 10 4 4 3 2" xfId="26612" xr:uid="{F2478B7F-F2C5-4DAB-B8D5-13B59E8F8C2C}"/>
    <cellStyle name="Normal 10 4 4 3 3" xfId="14295" xr:uid="{4BD185A4-710F-4A33-93A6-B29A09C48BC3}"/>
    <cellStyle name="Normal 10 4 4 4" xfId="6748" xr:uid="{ACF83967-AFFD-4259-B641-CDF2E52DB754}"/>
    <cellStyle name="Normal 10 4 4 4 2" xfId="17128" xr:uid="{B3998039-080B-449A-8BB8-E6DFB21D490A}"/>
    <cellStyle name="Normal 10 4 4 5" xfId="9581" xr:uid="{0315C2AD-26DD-44A0-BC81-2138529DB183}"/>
    <cellStyle name="Normal 10 4 4 5 2" xfId="19961" xr:uid="{D93830F2-A53A-48E8-9C81-32A1C026D838}"/>
    <cellStyle name="Normal 10 4 4 6" xfId="22691" xr:uid="{05A5BCF4-7269-4638-ADA4-BCC60A0C206E}"/>
    <cellStyle name="Normal 10 4 4 7" xfId="13665" xr:uid="{CD3F9ABD-7191-4096-9CF6-ECB8A76C26A1}"/>
    <cellStyle name="Normal 10 4 5" xfId="2892" xr:uid="{00000000-0005-0000-0000-00003E030000}"/>
    <cellStyle name="Normal 10 4 5 2" xfId="6078" xr:uid="{EE912FDA-3587-4907-B455-C7712AB88464}"/>
    <cellStyle name="Normal 10 4 5 2 2" xfId="24998" xr:uid="{F76EBA85-BD92-4A09-B34F-0106A2D1DA3C}"/>
    <cellStyle name="Normal 10 4 5 2 3" xfId="26003" xr:uid="{B764BD81-9438-4D8D-92F1-EB1BB9AF4B44}"/>
    <cellStyle name="Normal 10 4 5 2 4" xfId="15556" xr:uid="{D06332D8-C06B-43DF-BF3F-83CBA4628405}"/>
    <cellStyle name="Normal 10 4 5 3" xfId="8009" xr:uid="{CE8C9C37-020C-4A8B-94F1-20CBF2F8BF50}"/>
    <cellStyle name="Normal 10 4 5 3 2" xfId="27917" xr:uid="{840F7BC9-A550-48E0-B7AE-996D58D5931E}"/>
    <cellStyle name="Normal 10 4 5 3 3" xfId="18389" xr:uid="{123E7895-5FD6-4BD2-B883-866B21142F08}"/>
    <cellStyle name="Normal 10 4 5 4" xfId="10842" xr:uid="{6270DEFA-E90F-4669-AEEE-BABC43DA7B6F}"/>
    <cellStyle name="Normal 10 4 5 4 2" xfId="21222" xr:uid="{7F47293F-5670-4749-A092-33C076919B41}"/>
    <cellStyle name="Normal 10 4 5 5" xfId="23793" xr:uid="{358142E0-908E-4AAE-B622-B79C6883EFF6}"/>
    <cellStyle name="Normal 10 4 5 6" xfId="13394" xr:uid="{F7E2404C-B0F7-4039-9E3C-735C7B365134}"/>
    <cellStyle name="Normal 10 4 6" xfId="2459" xr:uid="{00000000-0005-0000-0000-00003F030000}"/>
    <cellStyle name="Normal 10 4 6 2" xfId="5751" xr:uid="{0F23FB93-E217-41B5-ABF7-350F5ACA6F09}"/>
    <cellStyle name="Normal 10 4 6 2 2" xfId="28044" xr:uid="{8F6684C6-94DC-4FB6-B196-01445336A2BA}"/>
    <cellStyle name="Normal 10 4 6 2 3" xfId="15131" xr:uid="{2DF106B1-9B11-4BE2-B006-712D322DCFB7}"/>
    <cellStyle name="Normal 10 4 6 3" xfId="7584" xr:uid="{82E8652B-3E60-4EBE-B46C-ADDBB56DA047}"/>
    <cellStyle name="Normal 10 4 6 3 2" xfId="17964" xr:uid="{436F72D8-A605-401A-908A-B0DBEA597B52}"/>
    <cellStyle name="Normal 10 4 6 4" xfId="10417" xr:uid="{A0533D02-5157-40E1-A203-2FECB84DE265}"/>
    <cellStyle name="Normal 10 4 6 4 2" xfId="20797" xr:uid="{79DB107B-E074-4A46-805C-95DF99F83734}"/>
    <cellStyle name="Normal 10 4 6 5" xfId="24672" xr:uid="{3D96A320-90F3-41AB-B2A1-89FF4A0B9F65}"/>
    <cellStyle name="Normal 10 4 6 6" xfId="12847" xr:uid="{08DCF182-B7AD-4771-9695-0E35C8C1E668}"/>
    <cellStyle name="Normal 10 4 7" xfId="2213" xr:uid="{00000000-0005-0000-0000-000033030000}"/>
    <cellStyle name="Normal 10 4 7 2" xfId="7340" xr:uid="{BE331FC6-BE1F-4BA6-AB16-71F52CB804EC}"/>
    <cellStyle name="Normal 10 4 7 2 2" xfId="17720" xr:uid="{0871289B-5172-4539-A590-E8E25D2E3C85}"/>
    <cellStyle name="Normal 10 4 7 3" xfId="10173" xr:uid="{E60D71B5-629D-4C19-AE8A-9AB81C5D8AD5}"/>
    <cellStyle name="Normal 10 4 7 3 2" xfId="20553" xr:uid="{FDCD28BB-B3A4-4792-9841-DCC21490CF0B}"/>
    <cellStyle name="Normal 10 4 7 4" xfId="23795" xr:uid="{3E0EE174-F350-44F2-9E95-FE2DB17BBCFF}"/>
    <cellStyle name="Normal 10 4 7 5" xfId="14887" xr:uid="{71D0AC05-FEF8-4414-B6D8-72B294B5EF98}"/>
    <cellStyle name="Normal 10 4 8" xfId="3907" xr:uid="{E3CE3152-8EE9-4765-97AE-16B5954DFA2E}"/>
    <cellStyle name="Normal 10 4 8 2" xfId="8739" xr:uid="{FBF29ED0-88FE-4D24-B021-2C77A98FAD44}"/>
    <cellStyle name="Normal 10 4 8 2 2" xfId="19119" xr:uid="{8E9E50EC-59FF-49B7-8FA7-842DC8E7714B}"/>
    <cellStyle name="Normal 10 4 8 3" xfId="11572" xr:uid="{94E00386-5F15-48F7-A089-4B70EBC6EC14}"/>
    <cellStyle name="Normal 10 4 8 3 2" xfId="21952" xr:uid="{22A81BC2-86F5-4CA8-B327-6A8EB93F4376}"/>
    <cellStyle name="Normal 10 4 8 4" xfId="16286" xr:uid="{B590C8A2-F06D-459F-9E43-58AD1DF85E43}"/>
    <cellStyle name="Normal 10 4 9" xfId="4996" xr:uid="{40C4E1E8-B710-44B3-B4BB-CE66911A92FA}"/>
    <cellStyle name="Normal 10 4 9 2" xfId="14291" xr:uid="{149E8972-AEFC-4542-8FFD-BE8B167B9E89}"/>
    <cellStyle name="Normal 10 5" xfId="641" xr:uid="{00000000-0005-0000-0000-00002D040000}"/>
    <cellStyle name="Normal 10 5 10" xfId="9582" xr:uid="{3D2B9324-A82E-4310-BA59-5AAAC4517DA5}"/>
    <cellStyle name="Normal 10 5 10 2" xfId="19962" xr:uid="{2A62569E-31BE-42E9-8263-EB5CA8F29318}"/>
    <cellStyle name="Normal 10 5 11" xfId="22742" xr:uid="{02FDCA8D-FC0E-421D-8178-10DA43CB3C64}"/>
    <cellStyle name="Normal 10 5 12" xfId="12539" xr:uid="{3E9093EA-65F2-4765-9D30-4458D25DA0AC}"/>
    <cellStyle name="Normal 10 5 2" xfId="642" xr:uid="{00000000-0005-0000-0000-00002E040000}"/>
    <cellStyle name="Normal 10 5 2 2" xfId="643" xr:uid="{00000000-0005-0000-0000-00002F040000}"/>
    <cellStyle name="Normal 10 5 2 2 2" xfId="5003" xr:uid="{13D49CC8-AF93-4DCC-BD3F-FEAC19EECBB2}"/>
    <cellStyle name="Normal 10 5 2 2 2 2" xfId="24669" xr:uid="{BB52119C-4708-4E9D-B6D8-6144069A5569}"/>
    <cellStyle name="Normal 10 5 2 2 2 3" xfId="26414" xr:uid="{4B6F5A75-3F2A-4C3B-A9D7-7C32620B3E88}"/>
    <cellStyle name="Normal 10 5 2 2 2 4" xfId="14298" xr:uid="{6A7D45E9-B50D-49D4-9206-BF6526123D9A}"/>
    <cellStyle name="Normal 10 5 2 2 3" xfId="6751" xr:uid="{1E5737D2-CB2F-4760-B114-DEA854BDCBAF}"/>
    <cellStyle name="Normal 10 5 2 2 3 2" xfId="27557" xr:uid="{DAD4E840-AE7B-4604-88DE-1DA4F46BC69D}"/>
    <cellStyle name="Normal 10 5 2 2 3 3" xfId="28231" xr:uid="{3903B8F2-BFE6-4927-92BC-837A5CA78D6C}"/>
    <cellStyle name="Normal 10 5 2 2 3 4" xfId="17131" xr:uid="{F1F2EFC7-890A-42A4-8F8F-1B2CDB6CC3EC}"/>
    <cellStyle name="Normal 10 5 2 2 4" xfId="9584" xr:uid="{CAD3B168-4B51-4F45-A4A6-B0EF52358EEC}"/>
    <cellStyle name="Normal 10 5 2 2 4 2" xfId="29362" xr:uid="{A58EEC2B-C5A6-4934-828C-ACC0AFE19E0D}"/>
    <cellStyle name="Normal 10 5 2 2 4 3" xfId="19964" xr:uid="{F3835EC0-EA80-433B-9448-5E8DA8E2DE32}"/>
    <cellStyle name="Normal 10 5 2 2 5" xfId="24433" xr:uid="{F7137F87-C20B-4970-8EB6-9521C484C005}"/>
    <cellStyle name="Normal 10 5 2 2 6" xfId="13666" xr:uid="{96944166-BF2D-4EC8-AF70-F2B3AC679B41}"/>
    <cellStyle name="Normal 10 5 2 3" xfId="2710" xr:uid="{00000000-0005-0000-0000-000043030000}"/>
    <cellStyle name="Normal 10 5 2 3 2" xfId="5928" xr:uid="{772520A7-40DF-45D0-9E4E-FD7AF4BB6A20}"/>
    <cellStyle name="Normal 10 5 2 3 2 2" xfId="27375" xr:uid="{7A3A82BE-EB4F-476B-B6FD-7DF6A1D7563E}"/>
    <cellStyle name="Normal 10 5 2 3 2 3" xfId="15381" xr:uid="{7C1A99EC-7531-413E-B4BB-B21DCD684756}"/>
    <cellStyle name="Normal 10 5 2 3 3" xfId="7834" xr:uid="{805BA3C6-0E3E-41ED-A52D-7F9F85B1D98D}"/>
    <cellStyle name="Normal 10 5 2 3 3 2" xfId="18214" xr:uid="{917B624F-01F8-4CA3-A25A-91E857DFFD2F}"/>
    <cellStyle name="Normal 10 5 2 3 4" xfId="10667" xr:uid="{9FAF3AC9-C2DE-40F2-9886-9CD6589B79B0}"/>
    <cellStyle name="Normal 10 5 2 3 4 2" xfId="21047" xr:uid="{82B45561-8EBB-40BF-92C0-375D1B890D86}"/>
    <cellStyle name="Normal 10 5 2 3 5" xfId="23285" xr:uid="{6A6ACFC4-79D8-40A9-B65B-0910BE26AEF2}"/>
    <cellStyle name="Normal 10 5 2 3 6" xfId="13132" xr:uid="{681CAA0D-E8B8-49BA-B0B3-28EF143CAD39}"/>
    <cellStyle name="Normal 10 5 2 4" xfId="4149" xr:uid="{4C14400C-E34E-4C01-8887-3A8C6B63E03D}"/>
    <cellStyle name="Normal 10 5 2 4 2" xfId="8921" xr:uid="{4C48EBA9-F59B-44C9-A24D-4C314E207F08}"/>
    <cellStyle name="Normal 10 5 2 4 2 2" xfId="29020" xr:uid="{850F509F-AFB1-43C9-A790-A6106DBEC02C}"/>
    <cellStyle name="Normal 10 5 2 4 2 3" xfId="19301" xr:uid="{DDEA77CE-47E8-4C55-B8CA-A51C47F69F9B}"/>
    <cellStyle name="Normal 10 5 2 4 3" xfId="11754" xr:uid="{8A2BC8F2-81EF-4856-B76C-10D0DB1454DD}"/>
    <cellStyle name="Normal 10 5 2 4 3 2" xfId="22134" xr:uid="{E7DDCA76-C229-4331-8EAB-786FA0788B6F}"/>
    <cellStyle name="Normal 10 5 2 4 4" xfId="24229" xr:uid="{9CBC4316-7037-4C1A-BDDA-46CE9450F7A3}"/>
    <cellStyle name="Normal 10 5 2 4 5" xfId="16468" xr:uid="{506FDB89-9F30-4141-8870-1C8528927F5A}"/>
    <cellStyle name="Normal 10 5 2 5" xfId="5002" xr:uid="{E18094E2-C432-45DE-95D6-D948243380F5}"/>
    <cellStyle name="Normal 10 5 2 5 2" xfId="27228" xr:uid="{6371D496-E745-437C-B631-0188C249A7EB}"/>
    <cellStyle name="Normal 10 5 2 5 3" xfId="14297" xr:uid="{51A22F7E-012E-46DF-8F82-3FEC58DCF068}"/>
    <cellStyle name="Normal 10 5 2 6" xfId="6750" xr:uid="{2A293268-34C3-48B4-9B72-611DF3FD6758}"/>
    <cellStyle name="Normal 10 5 2 6 2" xfId="17130" xr:uid="{F5AF693C-6D25-4EB1-80B9-1AED14FDC168}"/>
    <cellStyle name="Normal 10 5 2 7" xfId="9583" xr:uid="{80B9C11C-C180-499F-94BA-C2393C403DCA}"/>
    <cellStyle name="Normal 10 5 2 7 2" xfId="19963" xr:uid="{50467DCE-313E-4E47-9BF5-3DD2E127CD9A}"/>
    <cellStyle name="Normal 10 5 2 8" xfId="24850" xr:uid="{090F4E05-A381-40D4-83E2-B26A823EB859}"/>
    <cellStyle name="Normal 10 5 2 9" xfId="12697" xr:uid="{1183FED9-4BD0-4E2F-B2A2-2A128B767239}"/>
    <cellStyle name="Normal 10 5 3" xfId="644" xr:uid="{00000000-0005-0000-0000-000030040000}"/>
    <cellStyle name="Normal 10 5 3 2" xfId="4448" xr:uid="{0A89EA51-063E-43AC-A1E7-E9682E1A5497}"/>
    <cellStyle name="Normal 10 5 3 2 2" xfId="9220" xr:uid="{BEC788BE-A140-47A0-B3F9-6E478422E98D}"/>
    <cellStyle name="Normal 10 5 3 2 2 2" xfId="29213" xr:uid="{DABD82A6-5D8A-4CD2-A5BA-EA9936FF7A45}"/>
    <cellStyle name="Normal 10 5 3 2 2 3" xfId="19600" xr:uid="{1516450A-92D9-4C04-A5EF-E0289F31968B}"/>
    <cellStyle name="Normal 10 5 3 2 3" xfId="12053" xr:uid="{450FDA87-BE48-4598-9290-D9138991DE06}"/>
    <cellStyle name="Normal 10 5 3 2 3 2" xfId="22433" xr:uid="{BC9E09BB-F40E-48A8-BF2D-26B7FBEB0079}"/>
    <cellStyle name="Normal 10 5 3 2 4" xfId="23609" xr:uid="{E0D3A3F8-EB89-463E-A537-660C646B716F}"/>
    <cellStyle name="Normal 10 5 3 2 5" xfId="16767" xr:uid="{A73D3805-4815-48AE-91F3-8E8A74EFB2F3}"/>
    <cellStyle name="Normal 10 5 3 3" xfId="5004" xr:uid="{2370935C-0FC5-43A0-B006-381702E8725C}"/>
    <cellStyle name="Normal 10 5 3 3 2" xfId="25810" xr:uid="{D470DAD1-5445-4CFC-8A2E-461D6B61F8AB}"/>
    <cellStyle name="Normal 10 5 3 3 3" xfId="27073" xr:uid="{B3BFE8E5-F51E-4A6E-A205-5A81DABFDB4F}"/>
    <cellStyle name="Normal 10 5 3 3 4" xfId="14299" xr:uid="{F97CC1F0-6D94-4297-99C7-E2005BFF54E9}"/>
    <cellStyle name="Normal 10 5 3 4" xfId="6752" xr:uid="{E7AB4243-2699-44EE-86F7-5E6A13B8BF80}"/>
    <cellStyle name="Normal 10 5 3 4 2" xfId="23555" xr:uid="{AECD84E2-8C9B-4A09-845D-7B4BAC66D262}"/>
    <cellStyle name="Normal 10 5 3 4 3" xfId="25865" xr:uid="{967A894D-8409-42A0-9782-D490A7D8F21F}"/>
    <cellStyle name="Normal 10 5 3 4 4" xfId="17132" xr:uid="{0CD599A4-10FD-4AA5-B6CC-D23A883806A2}"/>
    <cellStyle name="Normal 10 5 3 5" xfId="9585" xr:uid="{C2C14DB3-8908-4AE5-9D05-EE391474FF2A}"/>
    <cellStyle name="Normal 10 5 3 5 2" xfId="29363" xr:uid="{E48737DB-D702-4530-90D0-CED34E2AC31F}"/>
    <cellStyle name="Normal 10 5 3 5 3" xfId="19965" xr:uid="{57DC1D03-C575-4F1F-B700-D45B4650807B}"/>
    <cellStyle name="Normal 10 5 3 6" xfId="22958" xr:uid="{8E3ADA48-1E77-4039-A3ED-B3239EEBB099}"/>
    <cellStyle name="Normal 10 5 3 7" xfId="13667" xr:uid="{F7C40710-1C7D-4DD7-9825-22D0FC919B80}"/>
    <cellStyle name="Normal 10 5 4" xfId="645" xr:uid="{00000000-0005-0000-0000-000031040000}"/>
    <cellStyle name="Normal 10 5 4 2" xfId="5005" xr:uid="{4342FE0B-AA8F-4CEF-8AD1-7F6AF0BAB1FB}"/>
    <cellStyle name="Normal 10 5 4 2 2" xfId="24354" xr:uid="{A6E43774-BD8C-4352-9908-2DD351546716}"/>
    <cellStyle name="Normal 10 5 4 2 3" xfId="28076" xr:uid="{1B7574FF-4C54-4A95-BA18-173F16F58F3C}"/>
    <cellStyle name="Normal 10 5 4 2 4" xfId="14300" xr:uid="{CA8685CF-F32A-49BA-A644-620267EB76E8}"/>
    <cellStyle name="Normal 10 5 4 3" xfId="6753" xr:uid="{8B908391-30BF-46C0-AA2C-C0D141E31238}"/>
    <cellStyle name="Normal 10 5 4 3 2" xfId="27126" xr:uid="{3F3BF598-F57C-483C-99A5-D3D11EB02E14}"/>
    <cellStyle name="Normal 10 5 4 3 3" xfId="17133" xr:uid="{873FA108-CC8F-47ED-A58C-0134C2E980E2}"/>
    <cellStyle name="Normal 10 5 4 4" xfId="9586" xr:uid="{1E2FBCC0-D82F-4FC5-8A20-6B8C1DB5846F}"/>
    <cellStyle name="Normal 10 5 4 4 2" xfId="19966" xr:uid="{3CD86438-3BE1-48B8-8F94-F0338F604759}"/>
    <cellStyle name="Normal 10 5 4 5" xfId="24983" xr:uid="{4E7198E2-82D7-4B8A-9BC2-CBA7836F1157}"/>
    <cellStyle name="Normal 10 5 4 6" xfId="13395" xr:uid="{7D5D3E02-3D43-4193-B040-52D83F08A6FC}"/>
    <cellStyle name="Normal 10 5 5" xfId="2519" xr:uid="{00000000-0005-0000-0000-000046030000}"/>
    <cellStyle name="Normal 10 5 5 2" xfId="5797" xr:uid="{BBA602D0-A568-4ACB-A67E-F91E93CC6FB9}"/>
    <cellStyle name="Normal 10 5 5 2 2" xfId="27274" xr:uid="{0B555C7B-8EB6-444C-87A4-233D442D0B8D}"/>
    <cellStyle name="Normal 10 5 5 2 3" xfId="15191" xr:uid="{AEB8587F-0FDA-4BC6-9D25-F9DCC8287AB3}"/>
    <cellStyle name="Normal 10 5 5 3" xfId="7644" xr:uid="{2258F18E-951D-40CC-939D-CC1294766736}"/>
    <cellStyle name="Normal 10 5 5 3 2" xfId="18024" xr:uid="{06AFD005-437F-4727-BAE7-1B77907A3A1E}"/>
    <cellStyle name="Normal 10 5 5 4" xfId="10477" xr:uid="{A582D02C-1155-4180-AF05-3E13FA4C7CF6}"/>
    <cellStyle name="Normal 10 5 5 4 2" xfId="20857" xr:uid="{876FD3E6-5094-4C04-8674-5EC01CA7F588}"/>
    <cellStyle name="Normal 10 5 5 5" xfId="22700" xr:uid="{C02C73A9-6AA3-4D62-9381-1FD4F2BFB20C}"/>
    <cellStyle name="Normal 10 5 5 6" xfId="12907" xr:uid="{35683F76-71DE-490F-88CF-96BBEFF827C0}"/>
    <cellStyle name="Normal 10 5 6" xfId="2307" xr:uid="{00000000-0005-0000-0000-000040030000}"/>
    <cellStyle name="Normal 10 5 6 2" xfId="7434" xr:uid="{FC3D809D-CE2E-4EF5-857E-C0DCF26C42B7}"/>
    <cellStyle name="Normal 10 5 6 2 2" xfId="28731" xr:uid="{5C524D39-9C2B-4775-B9F3-C1B576EC8853}"/>
    <cellStyle name="Normal 10 5 6 2 3" xfId="17814" xr:uid="{210D17FB-841F-4727-85E3-5FE3FCC4ADD0}"/>
    <cellStyle name="Normal 10 5 6 3" xfId="10267" xr:uid="{D7731DE1-1F39-414E-94E8-F93ADE22AD36}"/>
    <cellStyle name="Normal 10 5 6 3 2" xfId="20647" xr:uid="{6AB2DD84-FC1E-4FCE-9A41-8AEC43B77AAB}"/>
    <cellStyle name="Normal 10 5 6 4" xfId="23216" xr:uid="{76D85C28-61AE-4219-984D-F64C2F08EF9D}"/>
    <cellStyle name="Normal 10 5 6 5" xfId="14981" xr:uid="{C73A3F77-5F9B-499C-99C1-C10AACA792FB}"/>
    <cellStyle name="Normal 10 5 7" xfId="3908" xr:uid="{8F1ECAB9-B2D0-4C66-A8C8-D8DB6AE70677}"/>
    <cellStyle name="Normal 10 5 7 2" xfId="8740" xr:uid="{3B338859-2BB7-4162-AFF2-8CE799F2D2F0}"/>
    <cellStyle name="Normal 10 5 7 2 2" xfId="19120" xr:uid="{1B97DD6F-C6DE-4CAA-9607-CC5F4AB82DA6}"/>
    <cellStyle name="Normal 10 5 7 3" xfId="11573" xr:uid="{3774D303-F796-402A-B72D-4E421037825C}"/>
    <cellStyle name="Normal 10 5 7 3 2" xfId="21953" xr:uid="{74694248-7D61-4DFB-9E54-39B70FA0DFA2}"/>
    <cellStyle name="Normal 10 5 7 4" xfId="27267" xr:uid="{80689584-B09C-4DBC-87BF-32AC6A054E81}"/>
    <cellStyle name="Normal 10 5 7 5" xfId="16287" xr:uid="{6C2AA31C-BC46-426A-BCD1-F32302E9D9C0}"/>
    <cellStyle name="Normal 10 5 8" xfId="5001" xr:uid="{E8BB7741-C876-45CA-BF01-E4DE7743D2A4}"/>
    <cellStyle name="Normal 10 5 8 2" xfId="14296" xr:uid="{BF531C93-9C84-44B1-B904-F3017FB86359}"/>
    <cellStyle name="Normal 10 5 9" xfId="6749" xr:uid="{60DF6826-08A1-4306-AFE5-63AAD1DDEB6D}"/>
    <cellStyle name="Normal 10 5 9 2" xfId="17129" xr:uid="{E47FA28B-42D9-4FDB-980B-CAB964F7C739}"/>
    <cellStyle name="Normal 10 6" xfId="646" xr:uid="{00000000-0005-0000-0000-000032040000}"/>
    <cellStyle name="Normal 10 6 10" xfId="9587" xr:uid="{BF9B7503-A44F-4390-8711-F07ABCCD2540}"/>
    <cellStyle name="Normal 10 6 10 2" xfId="19967" xr:uid="{8D28974B-C0A7-4A9A-9372-EF4CD004BAA0}"/>
    <cellStyle name="Normal 10 6 11" xfId="22727" xr:uid="{5324FDD6-CA57-4197-9D3A-497320850AF3}"/>
    <cellStyle name="Normal 10 6 12" xfId="12540" xr:uid="{920E345F-4955-448A-AE07-68A5F8ACB112}"/>
    <cellStyle name="Normal 10 6 2" xfId="647" xr:uid="{00000000-0005-0000-0000-000033040000}"/>
    <cellStyle name="Normal 10 6 2 2" xfId="648" xr:uid="{00000000-0005-0000-0000-000034040000}"/>
    <cellStyle name="Normal 10 6 2 2 2" xfId="5008" xr:uid="{39B56996-BACF-4C65-A039-1E7FA06B282E}"/>
    <cellStyle name="Normal 10 6 2 2 2 2" xfId="23704" xr:uid="{FA70729C-931C-4F65-90D9-27DCECD14F7E}"/>
    <cellStyle name="Normal 10 6 2 2 2 3" xfId="26250" xr:uid="{5EE40F8D-F9A4-4B99-822E-0104FF14354B}"/>
    <cellStyle name="Normal 10 6 2 2 2 4" xfId="14303" xr:uid="{10A92140-0D30-4480-BE1A-B6DC52AB4AE1}"/>
    <cellStyle name="Normal 10 6 2 2 3" xfId="6756" xr:uid="{A3F6FFA8-BCE9-488B-9DAC-B79C01361B55}"/>
    <cellStyle name="Normal 10 6 2 2 3 2" xfId="27559" xr:uid="{110C6E9B-7D3A-4776-8589-104B17B83A69}"/>
    <cellStyle name="Normal 10 6 2 2 3 3" xfId="26634" xr:uid="{F8DD828C-3596-4401-950D-AEDD6C57E035}"/>
    <cellStyle name="Normal 10 6 2 2 3 4" xfId="17136" xr:uid="{8F5C6642-B6A5-4231-A1E7-37158AF94102}"/>
    <cellStyle name="Normal 10 6 2 2 4" xfId="9589" xr:uid="{305A9460-1FB6-4B41-8A6E-1AAE76A5C45A}"/>
    <cellStyle name="Normal 10 6 2 2 4 2" xfId="29364" xr:uid="{61129D0B-387D-43DF-A959-20681714EEBD}"/>
    <cellStyle name="Normal 10 6 2 2 4 3" xfId="19969" xr:uid="{77C006B7-64F7-4BAE-AB5B-40567A449837}"/>
    <cellStyle name="Normal 10 6 2 2 5" xfId="23512" xr:uid="{1B56C959-4940-425F-953A-BE4766795580}"/>
    <cellStyle name="Normal 10 6 2 2 6" xfId="13668" xr:uid="{19F67F96-623F-4268-81C2-6B6E4B910625}"/>
    <cellStyle name="Normal 10 6 2 3" xfId="2711" xr:uid="{00000000-0005-0000-0000-00004A030000}"/>
    <cellStyle name="Normal 10 6 2 3 2" xfId="5929" xr:uid="{5982D64B-25C3-4AA1-B3A0-5D662BD0F663}"/>
    <cellStyle name="Normal 10 6 2 3 2 2" xfId="27902" xr:uid="{7E953B40-9F92-4B00-85F0-A374002C4C29}"/>
    <cellStyle name="Normal 10 6 2 3 2 3" xfId="15382" xr:uid="{0CE8BE64-1BB4-466E-8F36-32925D194118}"/>
    <cellStyle name="Normal 10 6 2 3 3" xfId="7835" xr:uid="{E59735AA-3C3C-4813-AF49-F60A6B61A21D}"/>
    <cellStyle name="Normal 10 6 2 3 3 2" xfId="18215" xr:uid="{0DC37640-7389-4FC8-8837-844B7798AD45}"/>
    <cellStyle name="Normal 10 6 2 3 4" xfId="10668" xr:uid="{2E3654C4-1C74-4339-9077-F92F9F9760F7}"/>
    <cellStyle name="Normal 10 6 2 3 4 2" xfId="21048" xr:uid="{880B7BB3-86A3-475B-935A-15DA7BC57CF9}"/>
    <cellStyle name="Normal 10 6 2 3 5" xfId="25295" xr:uid="{95709B43-6BF3-48EB-A15D-1920011B77FD}"/>
    <cellStyle name="Normal 10 6 2 3 6" xfId="13133" xr:uid="{F97B7FDC-819B-42EA-A182-A16499E8E5BA}"/>
    <cellStyle name="Normal 10 6 2 4" xfId="4150" xr:uid="{EAC5EE57-A6D6-4D64-8CB4-5F4C05BE2785}"/>
    <cellStyle name="Normal 10 6 2 4 2" xfId="8922" xr:uid="{B5C4E55E-AC21-412A-98AF-BE94B7998617}"/>
    <cellStyle name="Normal 10 6 2 4 2 2" xfId="29021" xr:uid="{880A3DEA-76D8-4573-A4D0-5E4C9480521D}"/>
    <cellStyle name="Normal 10 6 2 4 2 3" xfId="19302" xr:uid="{DBBE1912-80A6-4A42-A3FC-441F30A86E8B}"/>
    <cellStyle name="Normal 10 6 2 4 3" xfId="11755" xr:uid="{8E1B8FA6-9491-4279-BC88-632B6882E82C}"/>
    <cellStyle name="Normal 10 6 2 4 3 2" xfId="22135" xr:uid="{FF12EACC-A967-47BE-BE98-85132AE840E3}"/>
    <cellStyle name="Normal 10 6 2 4 4" xfId="25069" xr:uid="{0E0762A2-528D-416B-9669-382F11E08718}"/>
    <cellStyle name="Normal 10 6 2 4 5" xfId="16469" xr:uid="{DE694583-FED0-46AA-85CF-E78DF760D596}"/>
    <cellStyle name="Normal 10 6 2 5" xfId="5007" xr:uid="{DF1F6823-25E7-4F05-B57E-1EB8AA24D56D}"/>
    <cellStyle name="Normal 10 6 2 5 2" xfId="26552" xr:uid="{A0F6A9B4-5712-4C48-BDE6-DCD858684072}"/>
    <cellStyle name="Normal 10 6 2 5 3" xfId="14302" xr:uid="{84ACA945-8CE1-4B7E-82F0-C166E3A49B8C}"/>
    <cellStyle name="Normal 10 6 2 6" xfId="6755" xr:uid="{9F471B51-AA82-43BA-A861-84BE83FCD1DC}"/>
    <cellStyle name="Normal 10 6 2 6 2" xfId="17135" xr:uid="{A8ED8A8A-D036-48DD-ABBA-ED8B778C2FE3}"/>
    <cellStyle name="Normal 10 6 2 7" xfId="9588" xr:uid="{25BBE8C9-962D-48BE-A0BD-CF2937216FEC}"/>
    <cellStyle name="Normal 10 6 2 7 2" xfId="19968" xr:uid="{BDC739E1-E4E4-4E6B-A607-0B284BF6181C}"/>
    <cellStyle name="Normal 10 6 2 8" xfId="24089" xr:uid="{A2D4E8B2-D1DA-4754-A7F5-B003BAD84636}"/>
    <cellStyle name="Normal 10 6 2 9" xfId="12698" xr:uid="{34815816-84EF-47F5-8A53-5BDEE672354A}"/>
    <cellStyle name="Normal 10 6 3" xfId="649" xr:uid="{00000000-0005-0000-0000-000035040000}"/>
    <cellStyle name="Normal 10 6 3 2" xfId="4449" xr:uid="{F34BD96A-DB02-481B-9106-BFF9E529D8D4}"/>
    <cellStyle name="Normal 10 6 3 2 2" xfId="9221" xr:uid="{B885A5E0-403D-44AF-9BE1-09DAF86C44C0}"/>
    <cellStyle name="Normal 10 6 3 2 2 2" xfId="29214" xr:uid="{C1E3D8E8-BE48-47A5-B322-D45967D645FE}"/>
    <cellStyle name="Normal 10 6 3 2 2 3" xfId="19601" xr:uid="{16BA06DF-F5B4-43E4-AB90-6062B7824A70}"/>
    <cellStyle name="Normal 10 6 3 2 3" xfId="12054" xr:uid="{9CE428CC-3F08-4A0B-AB7D-6EAE5E11E180}"/>
    <cellStyle name="Normal 10 6 3 2 3 2" xfId="22434" xr:uid="{8D085CAC-80A9-49FB-962B-432B8CE290D6}"/>
    <cellStyle name="Normal 10 6 3 2 4" xfId="24864" xr:uid="{B3055D71-81D0-437D-9D41-F2836BE07C9E}"/>
    <cellStyle name="Normal 10 6 3 2 5" xfId="16768" xr:uid="{4A766B7B-E0F0-456B-A7A7-B6061B2E056F}"/>
    <cellStyle name="Normal 10 6 3 3" xfId="5009" xr:uid="{B637C1DD-301C-44F4-B7A7-79AD509BD66D}"/>
    <cellStyle name="Normal 10 6 3 3 2" xfId="26761" xr:uid="{0A587C40-267B-43F6-8529-3D992534D524}"/>
    <cellStyle name="Normal 10 6 3 3 3" xfId="26383" xr:uid="{8A39AC38-4960-4189-A4F2-FEA8F3F1D7E7}"/>
    <cellStyle name="Normal 10 6 3 3 4" xfId="14304" xr:uid="{6636712E-787F-45E7-B7CE-7C4B22CF90BB}"/>
    <cellStyle name="Normal 10 6 3 4" xfId="6757" xr:uid="{521F4715-30F3-450A-8E70-59A4C856F53B}"/>
    <cellStyle name="Normal 10 6 3 4 2" xfId="28494" xr:uid="{68D5B81F-06F9-4F91-8DA7-F99E5FB63E70}"/>
    <cellStyle name="Normal 10 6 3 4 3" xfId="27730" xr:uid="{A66326AE-615D-4899-9097-F01331D0DC14}"/>
    <cellStyle name="Normal 10 6 3 4 4" xfId="17137" xr:uid="{DFE05748-833C-49B5-8FC2-581C2F669F45}"/>
    <cellStyle name="Normal 10 6 3 5" xfId="9590" xr:uid="{9BEA53C0-A74E-473E-95EB-6E1EFC8E46DA}"/>
    <cellStyle name="Normal 10 6 3 5 2" xfId="29365" xr:uid="{1B00EA1A-C873-4984-AD72-859ACAA6BCF7}"/>
    <cellStyle name="Normal 10 6 3 5 3" xfId="19970" xr:uid="{C54DFF6E-8683-4C6A-AE25-D82FB9F4C314}"/>
    <cellStyle name="Normal 10 6 3 6" xfId="23753" xr:uid="{C3E94CB5-A5A2-47A9-A8D2-C9F20271064B}"/>
    <cellStyle name="Normal 10 6 3 7" xfId="13669" xr:uid="{431234E6-A6AB-4CDD-9650-3B70FE740AD1}"/>
    <cellStyle name="Normal 10 6 4" xfId="650" xr:uid="{00000000-0005-0000-0000-000036040000}"/>
    <cellStyle name="Normal 10 6 4 2" xfId="5010" xr:uid="{CDC7742B-7B1D-44B1-A6C7-1F7BF825D790}"/>
    <cellStyle name="Normal 10 6 4 2 2" xfId="25619" xr:uid="{90403AD1-87A2-4A06-B8D4-461532C87A2B}"/>
    <cellStyle name="Normal 10 6 4 2 3" xfId="26949" xr:uid="{8F25B05A-6692-41D6-AC10-02DF8228ABF7}"/>
    <cellStyle name="Normal 10 6 4 2 4" xfId="14305" xr:uid="{DE45C426-2429-44FA-BF31-64B37C6D2B76}"/>
    <cellStyle name="Normal 10 6 4 3" xfId="6758" xr:uid="{8DD2C49C-88CC-4D1E-9FC3-B3DB4EDF03DE}"/>
    <cellStyle name="Normal 10 6 4 3 2" xfId="27045" xr:uid="{29447C94-2B87-406A-A6EC-A96BA26D6005}"/>
    <cellStyle name="Normal 10 6 4 3 3" xfId="17138" xr:uid="{DA62D91E-8730-4317-BBDC-371015900A8A}"/>
    <cellStyle name="Normal 10 6 4 4" xfId="9591" xr:uid="{8D5F5DC9-0F6D-4E91-BB28-C2224301C004}"/>
    <cellStyle name="Normal 10 6 4 4 2" xfId="19971" xr:uid="{BDE4E12D-F3FD-40EB-ADC3-760BA283CA50}"/>
    <cellStyle name="Normal 10 6 4 5" xfId="23636" xr:uid="{EA37B6BC-5E00-4185-891A-4FC7F30E6DE9}"/>
    <cellStyle name="Normal 10 6 4 6" xfId="13396" xr:uid="{AE8005BD-9DD0-4DFB-9025-EA49D1ED0B05}"/>
    <cellStyle name="Normal 10 6 5" xfId="2582" xr:uid="{00000000-0005-0000-0000-00004D030000}"/>
    <cellStyle name="Normal 10 6 5 2" xfId="5847" xr:uid="{FE6DE163-301C-4795-9D06-4A5573B6961C}"/>
    <cellStyle name="Normal 10 6 5 2 2" xfId="26621" xr:uid="{3B123A76-95AA-4AF0-B4E8-68558BE41F55}"/>
    <cellStyle name="Normal 10 6 5 2 3" xfId="15254" xr:uid="{508EC014-028B-40B4-A293-3AE342E1137C}"/>
    <cellStyle name="Normal 10 6 5 3" xfId="7707" xr:uid="{03F66AF6-0F94-47D4-BCE0-E4F38834EC61}"/>
    <cellStyle name="Normal 10 6 5 3 2" xfId="18087" xr:uid="{09400E10-ADC3-428B-86CB-4AF8165E69E4}"/>
    <cellStyle name="Normal 10 6 5 4" xfId="10540" xr:uid="{86986A51-A91C-4172-AC43-10C674BD080F}"/>
    <cellStyle name="Normal 10 6 5 4 2" xfId="20920" xr:uid="{22F9676A-0A99-40C1-8725-F5A266751B24}"/>
    <cellStyle name="Normal 10 6 5 5" xfId="23404" xr:uid="{E89352E2-534E-475D-8CD3-48D0129E04DA}"/>
    <cellStyle name="Normal 10 6 5 6" xfId="12970" xr:uid="{D3105435-CF6A-4D95-9759-F0B25EEDE91F}"/>
    <cellStyle name="Normal 10 6 6" xfId="2308" xr:uid="{00000000-0005-0000-0000-000047030000}"/>
    <cellStyle name="Normal 10 6 6 2" xfId="7435" xr:uid="{F1276FE4-3F1A-44B8-B22D-1BCFFE76D63A}"/>
    <cellStyle name="Normal 10 6 6 2 2" xfId="26779" xr:uid="{B0BBD40A-C10E-4E20-8B65-20FF403BF4C4}"/>
    <cellStyle name="Normal 10 6 6 2 3" xfId="17815" xr:uid="{C074B1F8-18E2-4DEE-A23E-D7FDFD521CA2}"/>
    <cellStyle name="Normal 10 6 6 3" xfId="10268" xr:uid="{285AAFDB-F04D-43BE-9987-4E22A93AECB8}"/>
    <cellStyle name="Normal 10 6 6 3 2" xfId="20648" xr:uid="{B193B365-E63E-4F24-A47E-36330FBA0B4B}"/>
    <cellStyle name="Normal 10 6 6 4" xfId="24798" xr:uid="{9786D1C4-93E6-461A-BB9A-2F390036C635}"/>
    <cellStyle name="Normal 10 6 6 5" xfId="14982" xr:uid="{958DBBFA-20D9-4A0B-BE07-59CAABDC4B74}"/>
    <cellStyle name="Normal 10 6 7" xfId="3909" xr:uid="{A60CFB81-47FF-43EC-B87D-7B2942726973}"/>
    <cellStyle name="Normal 10 6 7 2" xfId="8741" xr:uid="{117CF4B0-DC20-439A-9C13-DE813CBE2479}"/>
    <cellStyle name="Normal 10 6 7 2 2" xfId="19121" xr:uid="{6D224E80-2EC9-4682-B730-A7D49657996C}"/>
    <cellStyle name="Normal 10 6 7 3" xfId="11574" xr:uid="{6E3979E6-29FC-4AD6-A1C8-A556A0047BFD}"/>
    <cellStyle name="Normal 10 6 7 3 2" xfId="21954" xr:uid="{0D3647C2-022A-4930-85A8-0685315DF9D0}"/>
    <cellStyle name="Normal 10 6 7 4" xfId="26979" xr:uid="{1AFC1FBA-F9D5-46EC-A43F-0046A8D48EC0}"/>
    <cellStyle name="Normal 10 6 7 5" xfId="16288" xr:uid="{946ACEF6-C366-4EA0-B9A2-DD5644EA8DD7}"/>
    <cellStyle name="Normal 10 6 8" xfId="5006" xr:uid="{CFAADE8E-03E3-433D-842C-3097079E60E5}"/>
    <cellStyle name="Normal 10 6 8 2" xfId="14301" xr:uid="{BD482CB5-9EAB-4853-B0E2-071175A9790D}"/>
    <cellStyle name="Normal 10 6 9" xfId="6754" xr:uid="{2058E728-6CCA-4E62-8143-E5BCB0205D8E}"/>
    <cellStyle name="Normal 10 6 9 2" xfId="17134" xr:uid="{FAA1640A-AFD2-4287-AD13-70DFDB6442C3}"/>
    <cellStyle name="Normal 10 7" xfId="651" xr:uid="{00000000-0005-0000-0000-000037040000}"/>
    <cellStyle name="Normal 10 7 10" xfId="12541" xr:uid="{F821FDA3-12BC-4518-8F28-E452748F667F}"/>
    <cellStyle name="Normal 10 7 2" xfId="652" xr:uid="{00000000-0005-0000-0000-000038040000}"/>
    <cellStyle name="Normal 10 7 2 2" xfId="2893" xr:uid="{00000000-0005-0000-0000-000050030000}"/>
    <cellStyle name="Normal 10 7 2 2 2" xfId="6079" xr:uid="{CC2ECD8F-407B-4927-ABEA-D40D40D24F66}"/>
    <cellStyle name="Normal 10 7 2 2 2 2" xfId="27282" xr:uid="{882C2F25-DCBF-4694-AA17-02BB48F7B57E}"/>
    <cellStyle name="Normal 10 7 2 2 2 3" xfId="26433" xr:uid="{DF87DB64-E865-49CB-9FDC-157286E0647D}"/>
    <cellStyle name="Normal 10 7 2 2 2 4" xfId="15557" xr:uid="{7EA5F5C9-C78D-415C-9D6F-9362545C0D7C}"/>
    <cellStyle name="Normal 10 7 2 2 3" xfId="8010" xr:uid="{94FA797D-4915-4A54-A568-7FEF5F6F8D40}"/>
    <cellStyle name="Normal 10 7 2 2 3 2" xfId="28451" xr:uid="{AEE86EF5-1F81-4D7C-8A04-C59592590F03}"/>
    <cellStyle name="Normal 10 7 2 2 3 3" xfId="18390" xr:uid="{228C6A02-AE5C-4173-A679-937E957CD907}"/>
    <cellStyle name="Normal 10 7 2 2 4" xfId="10843" xr:uid="{CF1B72B4-4A3F-4F90-A469-E1241D344A7F}"/>
    <cellStyle name="Normal 10 7 2 2 4 2" xfId="21223" xr:uid="{45CCC362-57C6-49C0-993A-DE7C70B0BADB}"/>
    <cellStyle name="Normal 10 7 2 2 5" xfId="24894" xr:uid="{57C54EAD-27D1-4A4D-9B91-6F36FCFB2DFE}"/>
    <cellStyle name="Normal 10 7 2 2 6" xfId="13397" xr:uid="{5FF3E50C-48B5-4A13-A404-BC06F6BFCA6D}"/>
    <cellStyle name="Normal 10 7 2 3" xfId="5012" xr:uid="{FBDBE7E8-6F8E-4593-9927-D38559C06384}"/>
    <cellStyle name="Normal 10 7 2 3 2" xfId="25202" xr:uid="{992B24E4-E892-44B1-90A3-931ACC9D3048}"/>
    <cellStyle name="Normal 10 7 2 3 3" xfId="28700" xr:uid="{90F417C6-03DE-4C3A-92A9-AC7D5FE1C73C}"/>
    <cellStyle name="Normal 10 7 2 3 4" xfId="14307" xr:uid="{0CF190E2-42DC-4B88-88DA-17A866438CF3}"/>
    <cellStyle name="Normal 10 7 2 4" xfId="6760" xr:uid="{A0459E73-A983-4DDF-9714-8E97BD05D5D6}"/>
    <cellStyle name="Normal 10 7 2 4 2" xfId="28298" xr:uid="{A292C127-3B59-4345-8BF7-9EC1B8D0DC4A}"/>
    <cellStyle name="Normal 10 7 2 4 3" xfId="27532" xr:uid="{EAD04638-6469-4367-8D06-21510AA38F8E}"/>
    <cellStyle name="Normal 10 7 2 4 4" xfId="17140" xr:uid="{558ABC0A-95E8-4546-9D32-71B526151466}"/>
    <cellStyle name="Normal 10 7 2 5" xfId="9593" xr:uid="{1784AC74-1DFC-4771-AE3E-D68ED207F8EE}"/>
    <cellStyle name="Normal 10 7 2 5 2" xfId="29366" xr:uid="{CF24331F-8507-4C5D-BFCC-1D3F38373ABE}"/>
    <cellStyle name="Normal 10 7 2 5 3" xfId="19973" xr:uid="{C3ECC58A-68DB-4012-A294-0326A38AC199}"/>
    <cellStyle name="Normal 10 7 2 6" xfId="22778" xr:uid="{B22A62FB-71E1-4CEA-8DA1-514420CD1381}"/>
    <cellStyle name="Normal 10 7 2 7" xfId="12699" xr:uid="{E4679F30-9D82-48AD-8C5B-CE3E86709B40}"/>
    <cellStyle name="Normal 10 7 3" xfId="653" xr:uid="{00000000-0005-0000-0000-000039040000}"/>
    <cellStyle name="Normal 10 7 3 2" xfId="5013" xr:uid="{C88D703C-81D9-4E77-A9D3-E3A21517C11B}"/>
    <cellStyle name="Normal 10 7 3 2 2" xfId="26638" xr:uid="{D73DE642-9C95-4957-8D2E-3DF02C734610}"/>
    <cellStyle name="Normal 10 7 3 2 3" xfId="26236" xr:uid="{638ADA3B-9727-4610-9F27-6A8251079301}"/>
    <cellStyle name="Normal 10 7 3 2 4" xfId="14308" xr:uid="{97DB6D93-0FB0-40C0-8035-803DA0B0EED5}"/>
    <cellStyle name="Normal 10 7 3 3" xfId="6761" xr:uid="{4E8E6403-062F-4D33-B367-EFB72E124076}"/>
    <cellStyle name="Normal 10 7 3 3 2" xfId="26747" xr:uid="{50992C7C-F8DB-4CD2-A1D6-F4DB4AA7DF31}"/>
    <cellStyle name="Normal 10 7 3 3 3" xfId="26568" xr:uid="{5EE0FC62-3A65-427E-BAF7-A25739160E17}"/>
    <cellStyle name="Normal 10 7 3 3 4" xfId="17141" xr:uid="{A8AA640D-8C7D-4575-AAFC-4DAADC06BCDA}"/>
    <cellStyle name="Normal 10 7 3 4" xfId="9594" xr:uid="{EE2FC9AD-A65D-4B9A-8732-6B708047D937}"/>
    <cellStyle name="Normal 10 7 3 4 2" xfId="29367" xr:uid="{32611AD5-F7BB-4BC4-BCB9-A2E09C46AC95}"/>
    <cellStyle name="Normal 10 7 3 4 3" xfId="19974" xr:uid="{2B1A8C81-742B-46B5-84AD-00923842F051}"/>
    <cellStyle name="Normal 10 7 3 5" xfId="22871" xr:uid="{4DDD050D-7732-43E9-90C4-007065CD737D}"/>
    <cellStyle name="Normal 10 7 3 6" xfId="13134" xr:uid="{5F5A99A5-EF3A-4D04-B501-071509441D16}"/>
    <cellStyle name="Normal 10 7 4" xfId="2309" xr:uid="{00000000-0005-0000-0000-00004E030000}"/>
    <cellStyle name="Normal 10 7 4 2" xfId="7436" xr:uid="{BAF217EA-ABDC-42D9-9E6F-41A7B7DE8930}"/>
    <cellStyle name="Normal 10 7 4 2 2" xfId="28147" xr:uid="{A559740B-61C2-4534-A1F4-8F727F634966}"/>
    <cellStyle name="Normal 10 7 4 2 3" xfId="17816" xr:uid="{AB56073A-238B-40AC-BFBA-98C82DDD024F}"/>
    <cellStyle name="Normal 10 7 4 3" xfId="10269" xr:uid="{DDDC7BD6-B3FE-46EE-9E13-DD6DB8618B71}"/>
    <cellStyle name="Normal 10 7 4 3 2" xfId="20649" xr:uid="{C96C7EF9-3262-4674-BF86-7BD8EC2521DD}"/>
    <cellStyle name="Normal 10 7 4 4" xfId="23390" xr:uid="{458D4371-4EFE-4C1D-832F-9A8A629CD593}"/>
    <cellStyle name="Normal 10 7 4 5" xfId="14983" xr:uid="{B299F396-D6F3-4F44-804C-772EFBD69A4E}"/>
    <cellStyle name="Normal 10 7 5" xfId="3910" xr:uid="{61C603DD-50F2-47B0-BCA8-B5EB6B4B49E1}"/>
    <cellStyle name="Normal 10 7 5 2" xfId="8742" xr:uid="{B49ABC57-6C3A-4AA0-B697-397F7ABD4B90}"/>
    <cellStyle name="Normal 10 7 5 2 2" xfId="28970" xr:uid="{ECD4C1E9-2E16-4E43-BC25-666E2AB156C1}"/>
    <cellStyle name="Normal 10 7 5 2 3" xfId="19122" xr:uid="{17C24AE6-B0A5-4521-86AC-96BAD9EAE656}"/>
    <cellStyle name="Normal 10 7 5 3" xfId="11575" xr:uid="{C81BDC82-E733-4F9D-938D-25440A8EEDD4}"/>
    <cellStyle name="Normal 10 7 5 3 2" xfId="21955" xr:uid="{DE0AD418-101F-4343-93B5-357FED240FAF}"/>
    <cellStyle name="Normal 10 7 5 4" xfId="25690" xr:uid="{DA66FF33-3ED4-4FF5-884F-8E76CA287F4D}"/>
    <cellStyle name="Normal 10 7 5 5" xfId="16289" xr:uid="{3A0456F9-E35C-4571-BD66-61535D499AF1}"/>
    <cellStyle name="Normal 10 7 6" xfId="5011" xr:uid="{85677112-D774-4197-804C-C7161A506172}"/>
    <cellStyle name="Normal 10 7 6 2" xfId="26309" xr:uid="{7EF06433-0338-44F1-A066-86EA325F5537}"/>
    <cellStyle name="Normal 10 7 6 3" xfId="27162" xr:uid="{EAE7A6D8-C933-46E4-B21C-514D984637C4}"/>
    <cellStyle name="Normal 10 7 6 4" xfId="14306" xr:uid="{2B4195E4-819A-4BBE-99A5-78CA492C5487}"/>
    <cellStyle name="Normal 10 7 7" xfId="6759" xr:uid="{6CB15D54-D6BE-4B60-8229-8F91DBFF0962}"/>
    <cellStyle name="Normal 10 7 7 2" xfId="27450" xr:uid="{4345BBE0-7708-4EFA-B388-A2920912B8B0}"/>
    <cellStyle name="Normal 10 7 7 3" xfId="17139" xr:uid="{3FA8B168-32A7-44B9-A805-AC0D19DB1902}"/>
    <cellStyle name="Normal 10 7 8" xfId="9592" xr:uid="{A30B71C2-1253-4D9E-8E5A-96397D10B1A0}"/>
    <cellStyle name="Normal 10 7 8 2" xfId="19972" xr:uid="{68E2C79B-3351-427E-90A4-9F8EE4F19241}"/>
    <cellStyle name="Normal 10 7 9" xfId="22895" xr:uid="{EE917F65-BFB8-4AFD-A29D-EA140501DFF2}"/>
    <cellStyle name="Normal 10 8" xfId="654" xr:uid="{00000000-0005-0000-0000-00003A040000}"/>
    <cellStyle name="Normal 10 8 10" xfId="12542" xr:uid="{EE31A128-3B45-438F-9726-B19FCB184595}"/>
    <cellStyle name="Normal 10 8 2" xfId="655" xr:uid="{00000000-0005-0000-0000-00003B040000}"/>
    <cellStyle name="Normal 10 8 2 2" xfId="2894" xr:uid="{00000000-0005-0000-0000-000054030000}"/>
    <cellStyle name="Normal 10 8 2 2 2" xfId="6080" xr:uid="{A0CFB994-EA60-4B02-AA68-B03074C76735}"/>
    <cellStyle name="Normal 10 8 2 2 2 2" xfId="28399" xr:uid="{D5975A2B-9295-469A-A133-0EBC572336E0}"/>
    <cellStyle name="Normal 10 8 2 2 2 3" xfId="27064" xr:uid="{70555EC4-546F-41C0-B750-52D6A322269C}"/>
    <cellStyle name="Normal 10 8 2 2 2 4" xfId="15558" xr:uid="{794DBC6E-14A2-4734-99F7-70D117FBBAD0}"/>
    <cellStyle name="Normal 10 8 2 2 3" xfId="8011" xr:uid="{FBAF8402-64FF-45F9-A42F-592C594DC771}"/>
    <cellStyle name="Normal 10 8 2 2 3 2" xfId="25987" xr:uid="{9097DAC1-B209-4E21-AE4E-BCAE804BAEFE}"/>
    <cellStyle name="Normal 10 8 2 2 3 3" xfId="18391" xr:uid="{CAE71BF5-3F3D-4465-B553-BCFC6E73AF9D}"/>
    <cellStyle name="Normal 10 8 2 2 4" xfId="10844" xr:uid="{6FC633C3-D4A3-42B9-AFCB-1ECA9A33E754}"/>
    <cellStyle name="Normal 10 8 2 2 4 2" xfId="21224" xr:uid="{1D1CE3C8-1DB9-4DB7-A522-1FDDFAADDA5E}"/>
    <cellStyle name="Normal 10 8 2 2 5" xfId="24858" xr:uid="{EB632C0D-AD4B-4FCC-8228-E986BEAEE4B1}"/>
    <cellStyle name="Normal 10 8 2 2 6" xfId="13398" xr:uid="{4FED0E67-E53E-4A17-AAA0-0A54730B296C}"/>
    <cellStyle name="Normal 10 8 2 3" xfId="5015" xr:uid="{409B2478-6962-4107-A19E-0FB21C35F15C}"/>
    <cellStyle name="Normal 10 8 2 3 2" xfId="24767" xr:uid="{CFA91C3D-2253-4631-B07D-0522ADC66C9B}"/>
    <cellStyle name="Normal 10 8 2 3 3" xfId="28166" xr:uid="{972AC645-2F54-44C0-987C-BB9102FC5DE8}"/>
    <cellStyle name="Normal 10 8 2 3 4" xfId="14310" xr:uid="{2D2E11D5-34E7-4B68-A643-72F678070917}"/>
    <cellStyle name="Normal 10 8 2 4" xfId="6763" xr:uid="{1584479C-892A-4314-962F-4E68ADB6D5E5}"/>
    <cellStyle name="Normal 10 8 2 4 2" xfId="28375" xr:uid="{CA89F0A2-B79D-43E4-9223-BD20D06DFA40}"/>
    <cellStyle name="Normal 10 8 2 4 3" xfId="26654" xr:uid="{F72933AC-3920-49BC-A29A-2ADF779F0C81}"/>
    <cellStyle name="Normal 10 8 2 4 4" xfId="17143" xr:uid="{21D46F1C-F270-4F2E-B443-4BE2392A6BB7}"/>
    <cellStyle name="Normal 10 8 2 5" xfId="9596" xr:uid="{317A581C-C5FB-445B-93C4-0A1BE1730DE7}"/>
    <cellStyle name="Normal 10 8 2 5 2" xfId="29368" xr:uid="{D0F43B31-E562-48A9-9176-AA5F40F37B3C}"/>
    <cellStyle name="Normal 10 8 2 5 3" xfId="19976" xr:uid="{92C0130D-6161-4069-ACD0-5D1D49843D38}"/>
    <cellStyle name="Normal 10 8 2 6" xfId="24667" xr:uid="{8DE1D7DF-FF9D-4516-A4A3-9FF161B67641}"/>
    <cellStyle name="Normal 10 8 2 7" xfId="12700" xr:uid="{F3D7643F-E5BE-412E-90FF-8EDF06986B0A}"/>
    <cellStyle name="Normal 10 8 3" xfId="656" xr:uid="{00000000-0005-0000-0000-00003C040000}"/>
    <cellStyle name="Normal 10 8 3 2" xfId="5016" xr:uid="{CAE5D93E-5D45-48CC-B987-3875BFAADF96}"/>
    <cellStyle name="Normal 10 8 3 2 2" xfId="26530" xr:uid="{47C137B0-9F61-45C8-BF19-4E2E1C05E6FE}"/>
    <cellStyle name="Normal 10 8 3 2 3" xfId="27572" xr:uid="{E8F109B9-33A9-41CC-91A6-5AB2C9B69C61}"/>
    <cellStyle name="Normal 10 8 3 2 4" xfId="14311" xr:uid="{AB4E8A9C-01B8-438D-9B99-62BE1966F05F}"/>
    <cellStyle name="Normal 10 8 3 3" xfId="6764" xr:uid="{A22C5863-B2D3-4AEC-A96F-85228836E625}"/>
    <cellStyle name="Normal 10 8 3 3 2" xfId="26857" xr:uid="{6ABAE12B-5A3C-48EC-A6EA-795259A43F37}"/>
    <cellStyle name="Normal 10 8 3 3 3" xfId="26174" xr:uid="{64A3C3EE-5345-4EA9-A7ED-8F7696168E86}"/>
    <cellStyle name="Normal 10 8 3 3 4" xfId="17144" xr:uid="{734FADE0-5EE3-4874-8BF2-008752407627}"/>
    <cellStyle name="Normal 10 8 3 4" xfId="9597" xr:uid="{EB7E1E39-BF3C-4703-8287-CB441AAE210D}"/>
    <cellStyle name="Normal 10 8 3 4 2" xfId="29369" xr:uid="{B25A99E3-6995-487D-A1B1-71C4FF5FF6CF}"/>
    <cellStyle name="Normal 10 8 3 4 3" xfId="19977" xr:uid="{F471CF1F-0349-4DBC-9773-0612DF90A625}"/>
    <cellStyle name="Normal 10 8 3 5" xfId="23462" xr:uid="{D0EFAB01-FE0D-4A03-A9A3-CA9F0E3D1FE0}"/>
    <cellStyle name="Normal 10 8 3 6" xfId="13135" xr:uid="{35FEE4B3-836F-4F9E-9143-C316473FB6F6}"/>
    <cellStyle name="Normal 10 8 4" xfId="2310" xr:uid="{00000000-0005-0000-0000-000052030000}"/>
    <cellStyle name="Normal 10 8 4 2" xfId="7437" xr:uid="{8FF68166-9F49-494D-8462-25DE2B08EE2E}"/>
    <cellStyle name="Normal 10 8 4 2 2" xfId="26886" xr:uid="{4669CDC5-AE32-433E-B6A4-3AE4679915BE}"/>
    <cellStyle name="Normal 10 8 4 2 3" xfId="17817" xr:uid="{70364681-6142-4D63-B7DE-0F5B7101ADAD}"/>
    <cellStyle name="Normal 10 8 4 3" xfId="10270" xr:uid="{488C0532-C5F5-45E2-B7BD-5CA7C011EA91}"/>
    <cellStyle name="Normal 10 8 4 3 2" xfId="20650" xr:uid="{30FDD3FA-02F4-47DB-8A7A-CAC4633D2432}"/>
    <cellStyle name="Normal 10 8 4 4" xfId="24217" xr:uid="{5EFFEEF8-FFC8-4640-85FA-258239ACB54A}"/>
    <cellStyle name="Normal 10 8 4 5" xfId="14984" xr:uid="{C9A74A77-D189-4A5F-BE8B-C46B08914AE5}"/>
    <cellStyle name="Normal 10 8 5" xfId="3911" xr:uid="{C8F123DD-E0F6-4353-820B-E926F9972A75}"/>
    <cellStyle name="Normal 10 8 5 2" xfId="8743" xr:uid="{8F970CBC-8B8E-4BE5-91D5-B32D299E0C52}"/>
    <cellStyle name="Normal 10 8 5 2 2" xfId="28971" xr:uid="{1B312749-DA4D-4BFD-8951-FB227F931A60}"/>
    <cellStyle name="Normal 10 8 5 2 3" xfId="19123" xr:uid="{F076B2C6-4BA3-4F4A-9744-89DC8E5F2DA0}"/>
    <cellStyle name="Normal 10 8 5 3" xfId="11576" xr:uid="{DAE36C14-F7EF-42EC-9DDD-DA03FD75FAFE}"/>
    <cellStyle name="Normal 10 8 5 3 2" xfId="21956" xr:uid="{D7DADB29-3C49-4D5F-B11D-4483FA22B25D}"/>
    <cellStyle name="Normal 10 8 5 4" xfId="23051" xr:uid="{6A8155D8-4B40-41BD-8C49-098456DFD963}"/>
    <cellStyle name="Normal 10 8 5 5" xfId="16290" xr:uid="{02F3164E-78E2-46D4-9BA6-C9EC3EA0CA17}"/>
    <cellStyle name="Normal 10 8 6" xfId="5014" xr:uid="{73290ACF-874E-4463-BF29-35BF3C392A42}"/>
    <cellStyle name="Normal 10 8 6 2" xfId="27013" xr:uid="{05E55131-60F5-414F-90BD-5809515F18DE}"/>
    <cellStyle name="Normal 10 8 6 3" xfId="28623" xr:uid="{FA43042F-556E-47EF-BE99-43541F3F04F3}"/>
    <cellStyle name="Normal 10 8 6 4" xfId="14309" xr:uid="{7A1DFDA4-BFFE-4316-976D-5C0000D69D46}"/>
    <cellStyle name="Normal 10 8 7" xfId="6762" xr:uid="{833A8830-F59C-4B79-94D7-4628C3C62663}"/>
    <cellStyle name="Normal 10 8 7 2" xfId="27920" xr:uid="{545609B8-E434-4CC6-8A8F-8B96C19D7E3D}"/>
    <cellStyle name="Normal 10 8 7 3" xfId="17142" xr:uid="{DB5D6570-175C-4332-8757-3BF2DA3031F1}"/>
    <cellStyle name="Normal 10 8 8" xfId="9595" xr:uid="{D3C09DE8-C693-446C-B052-83ABF954DF2A}"/>
    <cellStyle name="Normal 10 8 8 2" xfId="19975" xr:uid="{1C13563C-18B1-4DF8-ABE6-F35F41AFD964}"/>
    <cellStyle name="Normal 10 8 9" xfId="24297" xr:uid="{B603D7A7-04B1-4ED7-88ED-BFC0E0C71988}"/>
    <cellStyle name="Normal 10 9" xfId="657" xr:uid="{00000000-0005-0000-0000-00003D040000}"/>
    <cellStyle name="Normal 10 9 10" xfId="12535" xr:uid="{6A35C548-C03B-41DB-89F5-E67E3EC2B6B8}"/>
    <cellStyle name="Normal 10 9 2" xfId="658" xr:uid="{00000000-0005-0000-0000-00003E040000}"/>
    <cellStyle name="Normal 10 9 2 2" xfId="5018" xr:uid="{44EA2E7B-0E28-4354-ADFF-C1824D0A66F5}"/>
    <cellStyle name="Normal 10 9 2 2 2" xfId="25680" xr:uid="{49F5C2C5-B8A4-4A2F-B8EF-288E2B6DD99D}"/>
    <cellStyle name="Normal 10 9 2 2 3" xfId="28070" xr:uid="{C5C0F6E1-80A2-467C-8197-E34ABA307372}"/>
    <cellStyle name="Normal 10 9 2 2 4" xfId="14313" xr:uid="{BC7474D3-290D-4433-9889-54AF8D03D824}"/>
    <cellStyle name="Normal 10 9 2 3" xfId="6766" xr:uid="{35CE7DCA-172E-41D1-AEDF-D6BDD15EF4BE}"/>
    <cellStyle name="Normal 10 9 2 3 2" xfId="26056" xr:uid="{037D4F64-AFC1-4B88-8F04-59F028158B0E}"/>
    <cellStyle name="Normal 10 9 2 3 3" xfId="26707" xr:uid="{727E0F45-F15A-4771-A83B-58D00358145B}"/>
    <cellStyle name="Normal 10 9 2 3 4" xfId="17146" xr:uid="{BEBCC9DC-6C69-4362-8885-4504A4A3058D}"/>
    <cellStyle name="Normal 10 9 2 4" xfId="9599" xr:uid="{3012AD1B-DAF3-4034-8022-9E938CE83436}"/>
    <cellStyle name="Normal 10 9 2 4 2" xfId="29370" xr:uid="{332065EF-1C3C-48D9-8992-87DE9C467AFE}"/>
    <cellStyle name="Normal 10 9 2 4 3" xfId="19979" xr:uid="{42CEACA7-1BC8-4363-853A-DF1FCF5E462A}"/>
    <cellStyle name="Normal 10 9 2 5" xfId="24586" xr:uid="{9CAE7B6A-39D2-4C48-9EE7-84D4FD6E1A64}"/>
    <cellStyle name="Normal 10 9 2 6" xfId="13670" xr:uid="{9DEB3DFF-343C-40F6-A724-425256BF1796}"/>
    <cellStyle name="Normal 10 9 3" xfId="659" xr:uid="{00000000-0005-0000-0000-00003F040000}"/>
    <cellStyle name="Normal 10 9 3 2" xfId="2704" xr:uid="{00000000-0005-0000-0000-000058030000}"/>
    <cellStyle name="Normal 10 9 3 2 2" xfId="7828" xr:uid="{2BC96A01-13A6-43CF-9A41-B31CCAED71FF}"/>
    <cellStyle name="Normal 10 9 3 2 2 2" xfId="18208" xr:uid="{D0E5DF64-B356-420C-A17C-FC4B250E48FB}"/>
    <cellStyle name="Normal 10 9 3 2 3" xfId="10661" xr:uid="{109CB8A7-E0E7-403C-BF11-6492C60BA467}"/>
    <cellStyle name="Normal 10 9 3 2 3 2" xfId="21041" xr:uid="{CB50AAB3-2FDA-4AE0-BAAD-EE57FEBDB697}"/>
    <cellStyle name="Normal 10 9 3 2 4" xfId="27812" xr:uid="{7DB748C1-9AD9-4060-ABE2-5B42446CC4E2}"/>
    <cellStyle name="Normal 10 9 3 2 5" xfId="15375" xr:uid="{8A1082E3-E28F-4BA8-BE5A-701F36954EB8}"/>
    <cellStyle name="Normal 10 9 3 3" xfId="3627" xr:uid="{00000000-0005-0000-0000-00003F040000}"/>
    <cellStyle name="Normal 10 9 3 4" xfId="5019" xr:uid="{0C061EC0-651E-4DB0-B891-F07E2F1BDD54}"/>
    <cellStyle name="Normal 10 9 3 4 2" xfId="29763" xr:uid="{7DD32FFB-9842-4328-84E5-E9D8D2B0F68E}"/>
    <cellStyle name="Normal 10 9 3 5" xfId="25108" xr:uid="{A45BE94C-D0DC-47D2-B563-6A624B103F55}"/>
    <cellStyle name="Normal 10 9 3 6" xfId="13122" xr:uid="{C69776D5-8F20-4F3F-A364-1CB5A543619C}"/>
    <cellStyle name="Normal 10 9 4" xfId="2303" xr:uid="{00000000-0005-0000-0000-000056030000}"/>
    <cellStyle name="Normal 10 9 4 2" xfId="7430" xr:uid="{9EF342DE-D374-45F9-84AF-CFDBD2020EC2}"/>
    <cellStyle name="Normal 10 9 4 2 2" xfId="26516" xr:uid="{47B76C65-A14F-45B4-86BE-32651113DE28}"/>
    <cellStyle name="Normal 10 9 4 2 3" xfId="17810" xr:uid="{6A00B2B1-1E41-43BF-844E-E441F7A086EB}"/>
    <cellStyle name="Normal 10 9 4 3" xfId="10263" xr:uid="{682143A9-6192-47B4-93BA-0CB37927D3EE}"/>
    <cellStyle name="Normal 10 9 4 3 2" xfId="20643" xr:uid="{53B223BB-7E51-48BD-B152-655A411727BD}"/>
    <cellStyle name="Normal 10 9 4 4" xfId="24827" xr:uid="{4B75FB7A-6443-4AD5-A663-73E034A91ED2}"/>
    <cellStyle name="Normal 10 9 4 5" xfId="14977" xr:uid="{B9FD1D9C-4B85-4425-9107-F3FAA7C3292F}"/>
    <cellStyle name="Normal 10 9 5" xfId="3834" xr:uid="{38BEE9A2-138A-41C8-B897-26528965E9DC}"/>
    <cellStyle name="Normal 10 9 5 2" xfId="8667" xr:uid="{B1742B3F-F04A-46A7-9828-8E973F14E9E6}"/>
    <cellStyle name="Normal 10 9 5 2 2" xfId="19047" xr:uid="{12F12C3C-1009-41E4-BBFA-73E7EDC440C5}"/>
    <cellStyle name="Normal 10 9 5 3" xfId="11500" xr:uid="{A752D179-299D-4CED-84AC-43D333648C84}"/>
    <cellStyle name="Normal 10 9 5 3 2" xfId="21880" xr:uid="{CE83D025-6021-4861-A652-A8E895DDA20B}"/>
    <cellStyle name="Normal 10 9 5 4" xfId="24304" xr:uid="{7E973DDE-E521-4FF7-8B24-244FD6CEED26}"/>
    <cellStyle name="Normal 10 9 5 5" xfId="16214" xr:uid="{4CE5572E-57F1-406B-B8C2-60A4D9CDF3DA}"/>
    <cellStyle name="Normal 10 9 6" xfId="5017" xr:uid="{AEAAFD5F-4136-4B13-B97E-E1E6C09730CD}"/>
    <cellStyle name="Normal 10 9 6 2" xfId="14312" xr:uid="{4C8CA4C8-5764-4A18-B6E2-6CF1E28FDB22}"/>
    <cellStyle name="Normal 10 9 7" xfId="6765" xr:uid="{8784D988-4DCD-4478-948C-0E41BDC10F40}"/>
    <cellStyle name="Normal 10 9 7 2" xfId="17145" xr:uid="{25522DA6-EE50-4885-8B3B-D83433D1611A}"/>
    <cellStyle name="Normal 10 9 8" xfId="9598" xr:uid="{27AEA380-710C-4BDB-900B-A2D1A307B94E}"/>
    <cellStyle name="Normal 10 9 8 2" xfId="19978" xr:uid="{30E46A4B-4D08-4DB9-B09C-757CA4C06A5D}"/>
    <cellStyle name="Normal 10 9 9" xfId="23673" xr:uid="{85013132-E928-4914-B06F-88A658A30795}"/>
    <cellStyle name="Normal 11" xfId="660" xr:uid="{00000000-0005-0000-0000-000040040000}"/>
    <cellStyle name="Normal 11 10" xfId="3912" xr:uid="{B5FFDD0D-8E0B-4ED0-8A0D-4B8007D11A86}"/>
    <cellStyle name="Normal 11 10 2" xfId="8744" xr:uid="{AAB818BF-5CBB-4811-A7E4-A58D68CC5CE6}"/>
    <cellStyle name="Normal 11 10 2 2" xfId="19124" xr:uid="{C4FDB22F-4B32-4AFE-B1AC-B26D9CF0FEB6}"/>
    <cellStyle name="Normal 11 10 3" xfId="11577" xr:uid="{D8EDAFB7-A8BA-4FFF-91B2-6F2F30E36C13}"/>
    <cellStyle name="Normal 11 10 3 2" xfId="21957" xr:uid="{482897BE-7CE2-40D9-842C-3D6ACA578724}"/>
    <cellStyle name="Normal 11 10 4" xfId="27743" xr:uid="{34AA4C46-2A82-4BEC-A34F-A934DFD40F05}"/>
    <cellStyle name="Normal 11 10 5" xfId="16291" xr:uid="{D3184AC5-B09E-4D07-9B20-2FC93E3C3148}"/>
    <cellStyle name="Normal 11 11" xfId="5020" xr:uid="{4441E4E4-3C73-4FAC-9B9C-BDA790075A13}"/>
    <cellStyle name="Normal 11 11 2" xfId="14314" xr:uid="{646FA8FC-F484-45CF-B8FB-D6C592D859AF}"/>
    <cellStyle name="Normal 11 12" xfId="6767" xr:uid="{A351784F-7502-4117-838D-712C558F09FF}"/>
    <cellStyle name="Normal 11 12 2" xfId="17147" xr:uid="{2569FF26-C820-41A3-B9C6-C00588A74406}"/>
    <cellStyle name="Normal 11 13" xfId="9600" xr:uid="{A86FF662-0F53-4B38-8D1E-BE7AAF8E4A33}"/>
    <cellStyle name="Normal 11 13 2" xfId="19980" xr:uid="{0FC1EA5E-0F5F-486C-9AF6-605A65B49914}"/>
    <cellStyle name="Normal 11 14" xfId="22816" xr:uid="{5833387D-E9A9-4441-B9FE-4D9EAFAC98D4}"/>
    <cellStyle name="Normal 11 15" xfId="12489" xr:uid="{7EFC5989-DA7E-48B8-880F-CC6997E49A5D}"/>
    <cellStyle name="Normal 11 2" xfId="661" xr:uid="{00000000-0005-0000-0000-000041040000}"/>
    <cellStyle name="Normal 11 2 10" xfId="12544" xr:uid="{7E869A50-9584-4C5E-9D24-F234CDB98485}"/>
    <cellStyle name="Normal 11 2 2" xfId="662" xr:uid="{00000000-0005-0000-0000-000042040000}"/>
    <cellStyle name="Normal 11 2 2 2" xfId="663" xr:uid="{00000000-0005-0000-0000-000043040000}"/>
    <cellStyle name="Normal 11 2 2 2 2" xfId="5023" xr:uid="{BA8DA40D-765F-4216-82AB-BCD7EFE51A86}"/>
    <cellStyle name="Normal 11 2 2 2 2 2" xfId="26768" xr:uid="{D7BC8985-AC76-484A-83F1-F401BDDEC26E}"/>
    <cellStyle name="Normal 11 2 2 2 2 3" xfId="26094" xr:uid="{395AE3D6-859A-4CE7-A280-6E488F1674D3}"/>
    <cellStyle name="Normal 11 2 2 2 2 4" xfId="14317" xr:uid="{B2FC0D89-6FFE-420A-BBC4-6244EB26879D}"/>
    <cellStyle name="Normal 11 2 2 2 3" xfId="6770" xr:uid="{6ED8C70E-7C6C-4CA0-891E-0EEECA17AA0B}"/>
    <cellStyle name="Normal 11 2 2 2 3 2" xfId="27562" xr:uid="{094EEDDA-A4DD-4F1C-ABB6-2BE7049EC4E0}"/>
    <cellStyle name="Normal 11 2 2 2 3 3" xfId="17150" xr:uid="{6439F4BB-E5F4-4187-B455-B2E1C3FE540A}"/>
    <cellStyle name="Normal 11 2 2 2 4" xfId="9603" xr:uid="{18713007-5CA2-4DE3-A579-91CDBA2B003D}"/>
    <cellStyle name="Normal 11 2 2 2 4 2" xfId="19983" xr:uid="{B954F003-7930-465D-BCF0-331C99E7F348}"/>
    <cellStyle name="Normal 11 2 2 2 5" xfId="22839" xr:uid="{71469C86-025B-4C88-9D43-019C15117EF9}"/>
    <cellStyle name="Normal 11 2 2 2 6" xfId="13400" xr:uid="{86A143AF-F29F-4F80-B659-86F5E63994C2}"/>
    <cellStyle name="Normal 11 2 2 3" xfId="5022" xr:uid="{3666E523-EAB3-4F61-8F2A-1ED85699C265}"/>
    <cellStyle name="Normal 11 2 2 3 2" xfId="25104" xr:uid="{A78CBC4B-639F-4CB4-8708-3B4C0F09661D}"/>
    <cellStyle name="Normal 11 2 2 3 3" xfId="28021" xr:uid="{429137E1-1FD7-4D02-BE96-8AE50CA8DCE0}"/>
    <cellStyle name="Normal 11 2 2 3 4" xfId="14316" xr:uid="{92DA86C5-C158-4A16-B7A1-8B534FB7D785}"/>
    <cellStyle name="Normal 11 2 2 4" xfId="6769" xr:uid="{E0CD5663-441D-498F-A2EB-60988238896E}"/>
    <cellStyle name="Normal 11 2 2 4 2" xfId="23149" xr:uid="{B44FB618-BE3C-4955-9D18-97BD37EE7801}"/>
    <cellStyle name="Normal 11 2 2 4 3" xfId="26286" xr:uid="{32FF9B93-DE82-4AF8-A8A0-FB357E510D26}"/>
    <cellStyle name="Normal 11 2 2 4 4" xfId="17149" xr:uid="{A617F348-0250-40A7-9E68-6603C4F1233F}"/>
    <cellStyle name="Normal 11 2 2 5" xfId="9602" xr:uid="{669B17C0-DD9D-485B-8A13-678C00CFD102}"/>
    <cellStyle name="Normal 11 2 2 5 2" xfId="29371" xr:uid="{5BED36D4-72D3-43BB-A326-B56F2A7DB586}"/>
    <cellStyle name="Normal 11 2 2 5 3" xfId="19982" xr:uid="{04AF60EA-E3B2-4C0D-888A-5643CF5F053A}"/>
    <cellStyle name="Normal 11 2 2 6" xfId="24037" xr:uid="{2A976BB5-7227-426B-BAF5-710F9FB7AD66}"/>
    <cellStyle name="Normal 11 2 2 7" xfId="12702" xr:uid="{B9B44B2F-09F4-4F5A-81A4-A363C3B08CD8}"/>
    <cellStyle name="Normal 11 2 3" xfId="664" xr:uid="{00000000-0005-0000-0000-000044040000}"/>
    <cellStyle name="Normal 11 2 3 2" xfId="5024" xr:uid="{8D7B7765-0EE9-4AB0-9533-6D02F1D32CA6}"/>
    <cellStyle name="Normal 11 2 3 2 2" xfId="24061" xr:uid="{13EE7752-BAC5-4761-8D52-865BD1687F8B}"/>
    <cellStyle name="Normal 11 2 3 2 3" xfId="26423" xr:uid="{3F65E947-7EC7-4CA6-9FA9-31FBAAC4DB31}"/>
    <cellStyle name="Normal 11 2 3 2 4" xfId="14318" xr:uid="{36110C57-00AC-439B-9109-7B28C2CE2368}"/>
    <cellStyle name="Normal 11 2 3 3" xfId="6771" xr:uid="{D2360609-4E98-41CE-9402-047DAEBF7659}"/>
    <cellStyle name="Normal 11 2 3 3 2" xfId="25745" xr:uid="{9BF657A4-76E3-4294-96AC-9699E9AD370A}"/>
    <cellStyle name="Normal 11 2 3 3 3" xfId="28561" xr:uid="{5B8552F4-CAA9-45AB-A23A-F3B977DEA90C}"/>
    <cellStyle name="Normal 11 2 3 3 4" xfId="17151" xr:uid="{1EE0F6BE-5908-4A06-8918-BCBC0962A927}"/>
    <cellStyle name="Normal 11 2 3 4" xfId="9604" xr:uid="{E227C0A7-82F8-433F-AAF0-F42C79778371}"/>
    <cellStyle name="Normal 11 2 3 4 2" xfId="29372" xr:uid="{47494459-9E4E-4E1E-9967-DF12DF0B497D}"/>
    <cellStyle name="Normal 11 2 3 4 3" xfId="19984" xr:uid="{FC34B077-EBC7-4E7B-B96A-5617E40A1C2B}"/>
    <cellStyle name="Normal 11 2 3 5" xfId="25354" xr:uid="{2C1C60BF-0ED5-4A71-A86B-258F3212A8ED}"/>
    <cellStyle name="Normal 11 2 3 6" xfId="13137" xr:uid="{CE0F4D07-EED5-46F9-80EE-7ECBB432934E}"/>
    <cellStyle name="Normal 11 2 4" xfId="665" xr:uid="{00000000-0005-0000-0000-000045040000}"/>
    <cellStyle name="Normal 11 2 4 2" xfId="6772" xr:uid="{6FC13055-6C37-4A68-84C0-0EF1382DF28E}"/>
    <cellStyle name="Normal 11 2 4 2 2" xfId="27255" xr:uid="{41EC3C82-FA1C-4CB9-A3E7-F65B4905A12C}"/>
    <cellStyle name="Normal 11 2 4 2 3" xfId="17152" xr:uid="{2AEBD2DB-F0C3-47CB-BEF5-8D3B2C03CCC4}"/>
    <cellStyle name="Normal 11 2 4 3" xfId="9605" xr:uid="{149F13F6-B3CB-4D97-A0CE-2FFA9F125BEF}"/>
    <cellStyle name="Normal 11 2 4 3 2" xfId="19985" xr:uid="{05C9874B-CE67-4883-ABF1-BF3E014ED98B}"/>
    <cellStyle name="Normal 11 2 4 4" xfId="24291" xr:uid="{7EA0A519-3A89-48B0-9F76-76FA7FC64127}"/>
    <cellStyle name="Normal 11 2 4 5" xfId="14319" xr:uid="{3B4D1103-8FD6-4B6F-A67D-2616A7686505}"/>
    <cellStyle name="Normal 11 2 5" xfId="3913" xr:uid="{6D6FC8A0-19C3-4AFB-B0F3-1A70299C8861}"/>
    <cellStyle name="Normal 11 2 5 2" xfId="8745" xr:uid="{F42E2E87-920C-451F-A729-A8A289DF4DA6}"/>
    <cellStyle name="Normal 11 2 5 2 2" xfId="28972" xr:uid="{54456655-4F9A-48B2-BDC1-89B46144FB14}"/>
    <cellStyle name="Normal 11 2 5 2 3" xfId="19125" xr:uid="{65BFA062-C9FB-4635-A3E3-75513F96D177}"/>
    <cellStyle name="Normal 11 2 5 3" xfId="11578" xr:uid="{1B5C27D1-9672-4C2A-AFF7-0103D9DCCFF8}"/>
    <cellStyle name="Normal 11 2 5 3 2" xfId="21958" xr:uid="{D4500874-26D1-47F2-BA91-E45F7B7C840F}"/>
    <cellStyle name="Normal 11 2 5 4" xfId="25611" xr:uid="{FF225065-C54F-40C4-9707-1FAC0F1087E9}"/>
    <cellStyle name="Normal 11 2 5 5" xfId="16292" xr:uid="{93EDE843-9A22-4B3F-A14C-23A596433670}"/>
    <cellStyle name="Normal 11 2 6" xfId="5021" xr:uid="{3D522979-40D5-4A0D-812B-B82FFA87AAE4}"/>
    <cellStyle name="Normal 11 2 6 2" xfId="25734" xr:uid="{A09E37DF-F035-4BCA-A2E3-7A1295B00C72}"/>
    <cellStyle name="Normal 11 2 6 3" xfId="26554" xr:uid="{2C88A89D-BE01-464B-ACA7-6C72CCE9D11C}"/>
    <cellStyle name="Normal 11 2 6 4" xfId="14315" xr:uid="{7644D493-7267-4E52-AE60-1BA38E58EDDC}"/>
    <cellStyle name="Normal 11 2 7" xfId="6768" xr:uid="{41A70720-8E2A-42FE-9FBA-A60213032968}"/>
    <cellStyle name="Normal 11 2 7 2" xfId="27774" xr:uid="{ECB8DF8A-84B3-4F5D-B320-3B309D58FA40}"/>
    <cellStyle name="Normal 11 2 7 3" xfId="17148" xr:uid="{D41CF98A-C869-4219-9D61-63C9438080EF}"/>
    <cellStyle name="Normal 11 2 8" xfId="9601" xr:uid="{03680630-C21E-427F-A1D7-05E958DC8ADA}"/>
    <cellStyle name="Normal 11 2 8 2" xfId="19981" xr:uid="{8E89BE1B-ADF8-4A58-B216-FE5A5BCD1E3C}"/>
    <cellStyle name="Normal 11 2 9" xfId="23177" xr:uid="{81460E23-6EB1-49D8-A645-1A3E44E65310}"/>
    <cellStyle name="Normal 11 3" xfId="666" xr:uid="{00000000-0005-0000-0000-000046040000}"/>
    <cellStyle name="Normal 11 3 10" xfId="12545" xr:uid="{DE5CB4EC-3856-4404-8BD5-694F19EB3F2D}"/>
    <cellStyle name="Normal 11 3 2" xfId="667" xr:uid="{00000000-0005-0000-0000-000047040000}"/>
    <cellStyle name="Normal 11 3 2 2" xfId="668" xr:uid="{00000000-0005-0000-0000-000048040000}"/>
    <cellStyle name="Normal 11 3 2 2 2" xfId="5027" xr:uid="{C586F6EF-9902-4006-9902-EFBD3D1B3642}"/>
    <cellStyle name="Normal 11 3 2 2 2 2" xfId="26769" xr:uid="{0E88BB26-8DE8-4727-8EE1-C4104993574F}"/>
    <cellStyle name="Normal 11 3 2 2 2 3" xfId="26175" xr:uid="{9B686E4D-46C1-400F-BDB0-7E4DF50065AF}"/>
    <cellStyle name="Normal 11 3 2 2 2 4" xfId="14322" xr:uid="{4C7A75A4-55C7-4E8D-9CC7-EAF58D0D639A}"/>
    <cellStyle name="Normal 11 3 2 2 3" xfId="6775" xr:uid="{61E2EB25-B676-4750-8EF4-67A1701A3DF1}"/>
    <cellStyle name="Normal 11 3 2 2 3 2" xfId="27563" xr:uid="{9975980D-517F-4D31-8D2C-7D36363CCB32}"/>
    <cellStyle name="Normal 11 3 2 2 3 3" xfId="17155" xr:uid="{FB084660-5EC1-4824-888F-AAD9D6A5A50B}"/>
    <cellStyle name="Normal 11 3 2 2 4" xfId="9608" xr:uid="{B93F1DC8-F2EB-4222-9E05-D11416E9425E}"/>
    <cellStyle name="Normal 11 3 2 2 4 2" xfId="19988" xr:uid="{FA781ABD-CA61-4631-8DAF-3991ED4F265C}"/>
    <cellStyle name="Normal 11 3 2 2 5" xfId="24449" xr:uid="{DAC33619-D368-4550-A016-8622F25A9985}"/>
    <cellStyle name="Normal 11 3 2 2 6" xfId="13401" xr:uid="{D18452EE-469E-4F40-A03A-DF8D1F87B9CF}"/>
    <cellStyle name="Normal 11 3 2 3" xfId="5026" xr:uid="{DBAD4C82-4BF6-469F-81BD-0D549C5FFEAE}"/>
    <cellStyle name="Normal 11 3 2 3 2" xfId="23761" xr:uid="{EC0EF743-3D30-43D1-B983-4201625E7AD6}"/>
    <cellStyle name="Normal 11 3 2 3 3" xfId="28497" xr:uid="{8E1709E5-F404-41D5-B7E0-7AEA04AEB1FD}"/>
    <cellStyle name="Normal 11 3 2 3 4" xfId="14321" xr:uid="{5A480C38-8B8B-4B06-8B69-93FA2FF2396C}"/>
    <cellStyle name="Normal 11 3 2 4" xfId="6774" xr:uid="{05A750AD-AE05-48AD-B276-D9CA212BFE29}"/>
    <cellStyle name="Normal 11 3 2 4 2" xfId="24829" xr:uid="{0BBCF30A-9949-44A1-B8C4-E0C4D4D5D345}"/>
    <cellStyle name="Normal 11 3 2 4 3" xfId="28614" xr:uid="{C01ED12D-4FAB-49DF-A5F2-D3A87905D3BD}"/>
    <cellStyle name="Normal 11 3 2 4 4" xfId="17154" xr:uid="{3B0486EB-1E20-4ED3-A24E-DD6F37DF8F78}"/>
    <cellStyle name="Normal 11 3 2 5" xfId="9607" xr:uid="{549D58CD-3A88-48EC-9E8F-308ACBA6E02D}"/>
    <cellStyle name="Normal 11 3 2 5 2" xfId="29373" xr:uid="{EA46AE19-808A-4B5C-B068-F29641C577CC}"/>
    <cellStyle name="Normal 11 3 2 5 3" xfId="19987" xr:uid="{6B09AE4B-A9F8-4E59-AF75-B41B85C3F703}"/>
    <cellStyle name="Normal 11 3 2 6" xfId="23838" xr:uid="{27B6450B-2151-40CE-BF23-437819165869}"/>
    <cellStyle name="Normal 11 3 2 7" xfId="12703" xr:uid="{AEE0F9C2-DBED-4C83-9B30-1BFF1EF0E86D}"/>
    <cellStyle name="Normal 11 3 3" xfId="669" xr:uid="{00000000-0005-0000-0000-000049040000}"/>
    <cellStyle name="Normal 11 3 3 2" xfId="5028" xr:uid="{8C06DBC2-DDA8-4EF3-BD25-C5AA42C4564D}"/>
    <cellStyle name="Normal 11 3 3 2 2" xfId="26770" xr:uid="{A25B506B-BAF3-4505-8C8B-22FF2B6837ED}"/>
    <cellStyle name="Normal 11 3 3 2 3" xfId="28292" xr:uid="{CB6A426F-82A5-4260-A673-F81C3686242E}"/>
    <cellStyle name="Normal 11 3 3 2 4" xfId="14323" xr:uid="{0935CDD8-A7DB-4461-A014-80E9BEF715E7}"/>
    <cellStyle name="Normal 11 3 3 3" xfId="6776" xr:uid="{A41BC5D5-5123-4ED0-95F1-D9D160AC9C9D}"/>
    <cellStyle name="Normal 11 3 3 3 2" xfId="27564" xr:uid="{1A5F9BCC-B8AF-4809-8026-C15ADB9475A0}"/>
    <cellStyle name="Normal 11 3 3 3 3" xfId="26756" xr:uid="{477DA55A-367C-46B8-AC6D-106F743997AE}"/>
    <cellStyle name="Normal 11 3 3 3 4" xfId="17156" xr:uid="{93677684-FB0B-435D-A229-1C0AA2DA0D95}"/>
    <cellStyle name="Normal 11 3 3 4" xfId="9609" xr:uid="{6F0DFD3F-9895-4D8B-A8F5-981B36E0833D}"/>
    <cellStyle name="Normal 11 3 3 4 2" xfId="29374" xr:uid="{37D965CF-A197-4014-AFCA-5E70F1CD73C5}"/>
    <cellStyle name="Normal 11 3 3 4 3" xfId="19989" xr:uid="{296E0623-3297-40EC-93A6-E57B3F4A63A3}"/>
    <cellStyle name="Normal 11 3 3 5" xfId="24235" xr:uid="{0D851AD1-5272-4B55-9B36-BC31461895C4}"/>
    <cellStyle name="Normal 11 3 3 6" xfId="13138" xr:uid="{72F81136-ACE5-4FE5-A423-15E999396A2B}"/>
    <cellStyle name="Normal 11 3 4" xfId="670" xr:uid="{00000000-0005-0000-0000-00004A040000}"/>
    <cellStyle name="Normal 11 3 4 2" xfId="6777" xr:uid="{525E3984-2309-474D-8E61-2FBEDEDD798E}"/>
    <cellStyle name="Normal 11 3 4 2 2" xfId="27240" xr:uid="{18DF850A-9BB7-49F7-87DC-E6724D416728}"/>
    <cellStyle name="Normal 11 3 4 2 3" xfId="17157" xr:uid="{D4BEB83E-59B7-466C-B2C6-BE7ED1AC57D3}"/>
    <cellStyle name="Normal 11 3 4 3" xfId="9610" xr:uid="{7B93175C-3CC7-4031-B187-09D083BC8DD3}"/>
    <cellStyle name="Normal 11 3 4 3 2" xfId="19990" xr:uid="{EA99FA9B-4552-4798-981D-D2D03430BACB}"/>
    <cellStyle name="Normal 11 3 4 4" xfId="22882" xr:uid="{BA692C8E-869D-49A4-9FBB-086A65872992}"/>
    <cellStyle name="Normal 11 3 4 5" xfId="14324" xr:uid="{429B78E7-79ED-4010-8247-8AE18B06BFDD}"/>
    <cellStyle name="Normal 11 3 5" xfId="3914" xr:uid="{5F8D0651-3182-4A9E-AA1E-9C3AA1F77872}"/>
    <cellStyle name="Normal 11 3 5 2" xfId="8746" xr:uid="{1E1AD780-6E4E-4309-A722-2ECEAD03D09D}"/>
    <cellStyle name="Normal 11 3 5 2 2" xfId="28973" xr:uid="{30B45775-90E9-42E7-8B5C-46CCA9BAF7D7}"/>
    <cellStyle name="Normal 11 3 5 2 3" xfId="19126" xr:uid="{B67135CF-3284-4839-AAB7-7A6E3C0EBE03}"/>
    <cellStyle name="Normal 11 3 5 3" xfId="11579" xr:uid="{BD6BA976-0F9A-4F2C-90BB-CC1A607DED1A}"/>
    <cellStyle name="Normal 11 3 5 3 2" xfId="21959" xr:uid="{DE7A4E47-0D13-4BFE-8D85-77E6EBB294CC}"/>
    <cellStyle name="Normal 11 3 5 4" xfId="24000" xr:uid="{FC38D255-9A66-4C5C-B6F8-2FA9BE087CEF}"/>
    <cellStyle name="Normal 11 3 5 5" xfId="16293" xr:uid="{7DBADBA1-71E0-4C63-BF7C-8B98471971B0}"/>
    <cellStyle name="Normal 11 3 6" xfId="5025" xr:uid="{D4B640ED-396F-451B-B450-FED05EC40CCF}"/>
    <cellStyle name="Normal 11 3 6 2" xfId="23499" xr:uid="{45C3B587-B34B-4C0C-88D8-F99AF9F39D21}"/>
    <cellStyle name="Normal 11 3 6 3" xfId="27394" xr:uid="{D818418A-E729-4CFB-82CD-736FF1664127}"/>
    <cellStyle name="Normal 11 3 6 4" xfId="14320" xr:uid="{6A686EA7-3EC9-44F1-A330-0BA34D3C04DE}"/>
    <cellStyle name="Normal 11 3 7" xfId="6773" xr:uid="{AFE4D348-22E3-4EB0-8EB2-3C3195851085}"/>
    <cellStyle name="Normal 11 3 7 2" xfId="27385" xr:uid="{35B54A7C-0AE2-4961-8813-85FFE7E9F321}"/>
    <cellStyle name="Normal 11 3 7 3" xfId="17153" xr:uid="{E8A39245-1E46-4E1B-BEC6-4CE9E1F208E1}"/>
    <cellStyle name="Normal 11 3 8" xfId="9606" xr:uid="{E413EBD7-91A4-4C65-A0EC-EBF30833767A}"/>
    <cellStyle name="Normal 11 3 8 2" xfId="19986" xr:uid="{1B735CB8-671D-4E0E-B092-914FB5F16E02}"/>
    <cellStyle name="Normal 11 3 9" xfId="24661" xr:uid="{2AE20C54-B79E-4CDD-8E85-0E151CBDC13D}"/>
    <cellStyle name="Normal 11 4" xfId="671" xr:uid="{00000000-0005-0000-0000-00004B040000}"/>
    <cellStyle name="Normal 11 4 10" xfId="12546" xr:uid="{32DA3DB1-B217-4604-9AFD-0F53DC3D9D79}"/>
    <cellStyle name="Normal 11 4 2" xfId="672" xr:uid="{00000000-0005-0000-0000-00004C040000}"/>
    <cellStyle name="Normal 11 4 2 2" xfId="2895" xr:uid="{00000000-0005-0000-0000-000064030000}"/>
    <cellStyle name="Normal 11 4 2 2 2" xfId="6081" xr:uid="{638AB7AD-2EFD-4587-8170-B6C9ABC8A860}"/>
    <cellStyle name="Normal 11 4 2 2 2 2" xfId="27505" xr:uid="{44BCF25B-3303-491B-9398-AC74199A8FB7}"/>
    <cellStyle name="Normal 11 4 2 2 2 3" xfId="27959" xr:uid="{421CA5BC-66DE-4C11-8560-8085836A964F}"/>
    <cellStyle name="Normal 11 4 2 2 2 4" xfId="15559" xr:uid="{77D678A6-FB04-499A-8D50-6CC3EF7377B6}"/>
    <cellStyle name="Normal 11 4 2 2 3" xfId="8012" xr:uid="{92A64233-E5FA-4DF0-9033-18F2C8D20752}"/>
    <cellStyle name="Normal 11 4 2 2 3 2" xfId="27483" xr:uid="{A24A71F0-CF05-4172-B496-E2FD313B6CA9}"/>
    <cellStyle name="Normal 11 4 2 2 3 3" xfId="18392" xr:uid="{8535BAF6-E18C-4E47-A456-D14F8A6AAF7D}"/>
    <cellStyle name="Normal 11 4 2 2 4" xfId="10845" xr:uid="{0E33385C-032E-4B16-86D0-C2EC2609EB17}"/>
    <cellStyle name="Normal 11 4 2 2 4 2" xfId="21225" xr:uid="{0A965AF9-165C-4F2E-A797-A6545CDDAC86}"/>
    <cellStyle name="Normal 11 4 2 2 5" xfId="24842" xr:uid="{6C4EF4A7-F04B-40EB-B0CB-D2FB244C5B1D}"/>
    <cellStyle name="Normal 11 4 2 2 6" xfId="13402" xr:uid="{FF490721-9360-45FF-B598-4A6DEAEF1BD9}"/>
    <cellStyle name="Normal 11 4 2 3" xfId="5030" xr:uid="{09D41346-65F9-4754-8981-A6AE4D6D2B71}"/>
    <cellStyle name="Normal 11 4 2 3 2" xfId="23139" xr:uid="{A5B4D553-00F5-4278-A192-BCA5460DB1D2}"/>
    <cellStyle name="Normal 11 4 2 3 3" xfId="27656" xr:uid="{DA2178ED-C0B4-47E7-9A18-D04930947376}"/>
    <cellStyle name="Normal 11 4 2 3 4" xfId="14326" xr:uid="{8C3C65EE-A230-4AE1-A48F-8F19DD39C15D}"/>
    <cellStyle name="Normal 11 4 2 4" xfId="6779" xr:uid="{3FC43918-8A16-43A7-86EC-EF093A22A354}"/>
    <cellStyle name="Normal 11 4 2 4 2" xfId="26986" xr:uid="{F9C89338-8822-49FE-A0F9-344C1828451B}"/>
    <cellStyle name="Normal 11 4 2 4 3" xfId="28197" xr:uid="{CAFE39BD-9339-49FD-BE1D-24FC802D2383}"/>
    <cellStyle name="Normal 11 4 2 4 4" xfId="17159" xr:uid="{BE195126-BF42-46F0-80F9-B7BDBD2D837F}"/>
    <cellStyle name="Normal 11 4 2 5" xfId="9612" xr:uid="{FA3BF229-151C-4960-B5B6-9BD084993B34}"/>
    <cellStyle name="Normal 11 4 2 5 2" xfId="29375" xr:uid="{C66D6D37-59E4-46D1-9486-9A0AA0B9946A}"/>
    <cellStyle name="Normal 11 4 2 5 3" xfId="19992" xr:uid="{15262610-0F77-49C1-8B94-420F88791E14}"/>
    <cellStyle name="Normal 11 4 2 6" xfId="23281" xr:uid="{9B5595E7-9D85-47DE-A5FF-B00EA32836C6}"/>
    <cellStyle name="Normal 11 4 2 7" xfId="12704" xr:uid="{CE0D822D-5F48-4257-89C6-FAE62D7003F1}"/>
    <cellStyle name="Normal 11 4 3" xfId="673" xr:uid="{00000000-0005-0000-0000-00004D040000}"/>
    <cellStyle name="Normal 11 4 3 2" xfId="5031" xr:uid="{0C5810A7-7868-4A70-B763-EFD90EACFF69}"/>
    <cellStyle name="Normal 11 4 3 2 2" xfId="27264" xr:uid="{95ED38D0-6E85-4036-B35C-1751487878B3}"/>
    <cellStyle name="Normal 11 4 3 2 3" xfId="28068" xr:uid="{04B9A4C7-6478-42D6-90BF-88A3E2705691}"/>
    <cellStyle name="Normal 11 4 3 2 4" xfId="14327" xr:uid="{5C58E733-5A2F-4AD8-8A2A-8E8AFD15AB66}"/>
    <cellStyle name="Normal 11 4 3 3" xfId="6780" xr:uid="{D2ABF370-7D95-4DC2-9860-4CF5DB0775BE}"/>
    <cellStyle name="Normal 11 4 3 3 2" xfId="27796" xr:uid="{8DB23A2A-405D-4EF1-BDCA-91298B2F4FDA}"/>
    <cellStyle name="Normal 11 4 3 3 3" xfId="28405" xr:uid="{542C35E4-DE9B-4FD1-AC17-9798A51217D5}"/>
    <cellStyle name="Normal 11 4 3 3 4" xfId="17160" xr:uid="{69FE33AE-1816-4A43-89F9-3170E4FBBB41}"/>
    <cellStyle name="Normal 11 4 3 4" xfId="9613" xr:uid="{DC1B4FCE-FA02-4419-A0F4-7832434EF505}"/>
    <cellStyle name="Normal 11 4 3 4 2" xfId="29376" xr:uid="{1B44CD20-4F94-4165-8758-24170B523D18}"/>
    <cellStyle name="Normal 11 4 3 4 3" xfId="19993" xr:uid="{6EEE6ED3-74BF-4802-9021-5CF73EF5E5E3}"/>
    <cellStyle name="Normal 11 4 3 5" xfId="23338" xr:uid="{913A5553-8E2D-491A-9ECD-001DA73C9D57}"/>
    <cellStyle name="Normal 11 4 3 6" xfId="13139" xr:uid="{D9C8ABD3-EB57-455D-B81C-45325FB4E9B5}"/>
    <cellStyle name="Normal 11 4 4" xfId="2312" xr:uid="{00000000-0005-0000-0000-000062030000}"/>
    <cellStyle name="Normal 11 4 4 2" xfId="7439" xr:uid="{394811E4-217E-4816-8676-94FAE0589D3B}"/>
    <cellStyle name="Normal 11 4 4 2 2" xfId="26727" xr:uid="{1AF97864-D37D-4037-84D1-6CCD2AE37F6A}"/>
    <cellStyle name="Normal 11 4 4 2 3" xfId="17819" xr:uid="{22C4DDA3-0E64-4F06-8798-CE2CF1C14E38}"/>
    <cellStyle name="Normal 11 4 4 3" xfId="10272" xr:uid="{9A3D01F3-3A79-4FC6-B0B3-6124229E4D93}"/>
    <cellStyle name="Normal 11 4 4 3 2" xfId="20652" xr:uid="{C29B0363-002B-411E-895A-035368462CED}"/>
    <cellStyle name="Normal 11 4 4 4" xfId="25165" xr:uid="{D83C62A1-72F3-433C-BBC3-3EA1C796A097}"/>
    <cellStyle name="Normal 11 4 4 5" xfId="14986" xr:uid="{E5B598D3-FBC0-4B13-8358-920035AFF140}"/>
    <cellStyle name="Normal 11 4 5" xfId="3915" xr:uid="{9902BB13-0532-49D2-AEAD-792FC1809C68}"/>
    <cellStyle name="Normal 11 4 5 2" xfId="8747" xr:uid="{15F0FC37-5EC8-4DBB-AB36-1807EBF63018}"/>
    <cellStyle name="Normal 11 4 5 2 2" xfId="28974" xr:uid="{8CB43262-9F07-43E1-A748-EC554C77FA7B}"/>
    <cellStyle name="Normal 11 4 5 2 3" xfId="19127" xr:uid="{75928AAB-E63A-4E0D-B91B-1CB56A039DA7}"/>
    <cellStyle name="Normal 11 4 5 3" xfId="11580" xr:uid="{0405A663-ADD8-4A00-B9EC-955BAA456DF8}"/>
    <cellStyle name="Normal 11 4 5 3 2" xfId="21960" xr:uid="{23CC4FBC-7AC6-4FC7-BB7E-4EC14EF4FD8B}"/>
    <cellStyle name="Normal 11 4 5 4" xfId="23502" xr:uid="{CFD8BA40-1C3D-4CC8-8CB4-2F43131FAC8C}"/>
    <cellStyle name="Normal 11 4 5 5" xfId="16294" xr:uid="{608C74BC-40EF-43E7-8644-7C6CDFA9BA1E}"/>
    <cellStyle name="Normal 11 4 6" xfId="5029" xr:uid="{530B1860-0E38-4AB1-82D5-34D2D503466A}"/>
    <cellStyle name="Normal 11 4 6 2" xfId="26626" xr:uid="{6E4FFAB8-89DA-48A3-860E-AECD758CC5DF}"/>
    <cellStyle name="Normal 11 4 6 3" xfId="28682" xr:uid="{3FB66B60-3A9D-4335-8BCD-F245C49E3A54}"/>
    <cellStyle name="Normal 11 4 6 4" xfId="14325" xr:uid="{D3CE1157-80D7-4098-A91E-25BC0F82AE7C}"/>
    <cellStyle name="Normal 11 4 7" xfId="6778" xr:uid="{FA6FE495-F3FF-4302-943D-6B551539A985}"/>
    <cellStyle name="Normal 11 4 7 2" xfId="26818" xr:uid="{C8C05CDF-F846-41C0-A7BD-E6BF2BBE40CA}"/>
    <cellStyle name="Normal 11 4 7 3" xfId="17158" xr:uid="{C919DAC2-5ED6-4CA6-9C63-167B91DD9B7C}"/>
    <cellStyle name="Normal 11 4 8" xfId="9611" xr:uid="{E9EBDB79-4531-45D4-BD3C-274B2FF4B4C8}"/>
    <cellStyle name="Normal 11 4 8 2" xfId="19991" xr:uid="{FFA46CB1-C19C-4FD7-86AB-486C0515D668}"/>
    <cellStyle name="Normal 11 4 9" xfId="24257" xr:uid="{E8D0F19D-FDF9-43A5-91F0-731DE19A0A38}"/>
    <cellStyle name="Normal 11 5" xfId="674" xr:uid="{00000000-0005-0000-0000-00004E040000}"/>
    <cellStyle name="Normal 11 5 10" xfId="12543" xr:uid="{51AC1F11-C3FE-4EE9-8A11-26E03486E04E}"/>
    <cellStyle name="Normal 11 5 2" xfId="675" xr:uid="{00000000-0005-0000-0000-00004F040000}"/>
    <cellStyle name="Normal 11 5 2 2" xfId="5033" xr:uid="{2ECDA429-4EC8-4F67-98C9-7D876071CA03}"/>
    <cellStyle name="Normal 11 5 2 2 2" xfId="23180" xr:uid="{D6939B94-C692-4BBC-915C-45AE47A84439}"/>
    <cellStyle name="Normal 11 5 2 2 3" xfId="28361" xr:uid="{D36EC450-F19F-4975-AFB9-0B6FBC0C572B}"/>
    <cellStyle name="Normal 11 5 2 2 4" xfId="14329" xr:uid="{5D1E616E-3750-4D32-8DF1-D7426BDEB46B}"/>
    <cellStyle name="Normal 11 5 2 3" xfId="6782" xr:uid="{D1E164DC-1B11-469A-A7D5-A802A85B6DB3}"/>
    <cellStyle name="Normal 11 5 2 3 2" xfId="27566" xr:uid="{88109015-6CD9-4DC7-AE64-38E719ED4739}"/>
    <cellStyle name="Normal 11 5 2 3 3" xfId="28264" xr:uid="{0F2F7947-5A46-4A3D-8922-F710568EAD34}"/>
    <cellStyle name="Normal 11 5 2 3 4" xfId="17162" xr:uid="{D65AD02B-E74C-4006-B96B-120B8260D3AF}"/>
    <cellStyle name="Normal 11 5 2 4" xfId="9615" xr:uid="{E3B27907-6F21-42C4-BE25-292AEB6116F5}"/>
    <cellStyle name="Normal 11 5 2 4 2" xfId="29377" xr:uid="{88499F2D-8EDE-4595-B670-5C59F4C4079E}"/>
    <cellStyle name="Normal 11 5 2 4 3" xfId="19995" xr:uid="{A0AC8923-E63F-4815-87E4-1F847DC99337}"/>
    <cellStyle name="Normal 11 5 2 5" xfId="22898" xr:uid="{10AC2A4C-25B8-407B-86EB-D23AC8AE782F}"/>
    <cellStyle name="Normal 11 5 2 6" xfId="13671" xr:uid="{76BB1F48-F840-4163-B2ED-D67E928F6313}"/>
    <cellStyle name="Normal 11 5 3" xfId="2712" xr:uid="{00000000-0005-0000-0000-000068030000}"/>
    <cellStyle name="Normal 11 5 3 2" xfId="5930" xr:uid="{6F92EF33-8D36-4526-A477-9E3E38C0EF3D}"/>
    <cellStyle name="Normal 11 5 3 2 2" xfId="28483" xr:uid="{3D87EF29-19C2-41BB-8C2A-1F71A97B2050}"/>
    <cellStyle name="Normal 11 5 3 2 3" xfId="15383" xr:uid="{61F7D16C-D0BE-4935-AD5F-5C37E576F00C}"/>
    <cellStyle name="Normal 11 5 3 3" xfId="7836" xr:uid="{DC9D65AA-0A05-4438-B41F-99F031A1D619}"/>
    <cellStyle name="Normal 11 5 3 3 2" xfId="18216" xr:uid="{39276640-D55F-4F75-835D-12F838513141}"/>
    <cellStyle name="Normal 11 5 3 4" xfId="10669" xr:uid="{37F29275-441E-4E18-BABE-CF5B89C41A13}"/>
    <cellStyle name="Normal 11 5 3 4 2" xfId="21049" xr:uid="{5843CE77-DEA0-46CE-BA6D-3AA8FC5A9BC7}"/>
    <cellStyle name="Normal 11 5 3 5" xfId="24016" xr:uid="{4F462E06-2789-43B4-9538-4BFEF5954722}"/>
    <cellStyle name="Normal 11 5 3 6" xfId="13136" xr:uid="{99B4E794-325F-4CD6-91D4-ACCEC952CE5D}"/>
    <cellStyle name="Normal 11 5 4" xfId="2311" xr:uid="{00000000-0005-0000-0000-000066030000}"/>
    <cellStyle name="Normal 11 5 4 2" xfId="7438" xr:uid="{35B10574-9D4D-4578-AC4E-A61C69771504}"/>
    <cellStyle name="Normal 11 5 4 2 2" xfId="27377" xr:uid="{C8368EE2-DA1F-43DE-8F75-E476DF764D55}"/>
    <cellStyle name="Normal 11 5 4 2 3" xfId="17818" xr:uid="{419A3659-2A11-44E1-A28C-26C85944F939}"/>
    <cellStyle name="Normal 11 5 4 3" xfId="10271" xr:uid="{C8B48D61-49CA-4B57-9C8B-DBD170D7F774}"/>
    <cellStyle name="Normal 11 5 4 3 2" xfId="20651" xr:uid="{DCC9D1B5-17C8-42D9-BC5F-22A86B416D42}"/>
    <cellStyle name="Normal 11 5 4 4" xfId="25360" xr:uid="{5C49BD4A-9C02-47AF-9DA1-A08A087E6962}"/>
    <cellStyle name="Normal 11 5 4 5" xfId="14985" xr:uid="{A07DE548-936A-4CB8-94E7-52FA4E3A9589}"/>
    <cellStyle name="Normal 11 5 5" xfId="3838" xr:uid="{D19BC1C9-2E10-4B47-B0C8-B6F0346CE62D}"/>
    <cellStyle name="Normal 11 5 5 2" xfId="8671" xr:uid="{98449998-45F3-41E3-BEFC-C7A5CD274203}"/>
    <cellStyle name="Normal 11 5 5 2 2" xfId="19051" xr:uid="{D9DFE239-6AE4-49FD-91BC-4D8FE9CC916D}"/>
    <cellStyle name="Normal 11 5 5 3" xfId="11504" xr:uid="{ECB60C65-AE28-4FD2-A77A-C8F5F5E542F8}"/>
    <cellStyle name="Normal 11 5 5 3 2" xfId="21884" xr:uid="{D537F629-95BF-4A91-AE3A-8202DF7F1EAD}"/>
    <cellStyle name="Normal 11 5 5 4" xfId="26819" xr:uid="{1132127F-3DB5-46A5-BB43-6BCF4B34D10F}"/>
    <cellStyle name="Normal 11 5 5 5" xfId="16218" xr:uid="{7BA8269A-E710-4EEF-BE55-A3B6C7D256FA}"/>
    <cellStyle name="Normal 11 5 6" xfId="5032" xr:uid="{ACC57913-C41D-415C-AB56-B836E90863CC}"/>
    <cellStyle name="Normal 11 5 6 2" xfId="14328" xr:uid="{3918465B-9A15-4C3E-9B12-CCF9B5CA9EF1}"/>
    <cellStyle name="Normal 11 5 7" xfId="6781" xr:uid="{BA1E19AF-9C0A-4A8D-8781-6A9D8108365F}"/>
    <cellStyle name="Normal 11 5 7 2" xfId="17161" xr:uid="{8BE4348E-2A2B-4371-99E8-1FAAFC57962E}"/>
    <cellStyle name="Normal 11 5 8" xfId="9614" xr:uid="{1EF09A24-7522-4965-91FA-F627EED0F86E}"/>
    <cellStyle name="Normal 11 5 8 2" xfId="19994" xr:uid="{36C7FCF1-DF08-49D1-B277-C0EA1EF462A2}"/>
    <cellStyle name="Normal 11 5 9" xfId="23310" xr:uid="{0BB148A3-0364-4042-9D78-23888DA62354}"/>
    <cellStyle name="Normal 11 6" xfId="676" xr:uid="{00000000-0005-0000-0000-000050040000}"/>
    <cellStyle name="Normal 11 6 2" xfId="3144" xr:uid="{00000000-0005-0000-0000-00006A030000}"/>
    <cellStyle name="Normal 11 6 2 2" xfId="6202" xr:uid="{BD2FB26E-5A54-4702-8AD8-BF4594B190BE}"/>
    <cellStyle name="Normal 11 6 2 2 2" xfId="27434" xr:uid="{8411C2E7-6F5C-4B86-9ABF-BFF24311035C}"/>
    <cellStyle name="Normal 11 6 2 2 3" xfId="27279" xr:uid="{99477210-CFF4-4DA4-9107-C7EDD774EF58}"/>
    <cellStyle name="Normal 11 6 2 2 4" xfId="15771" xr:uid="{2A1554A1-6644-46C6-AD6B-A491CE4466C2}"/>
    <cellStyle name="Normal 11 6 2 3" xfId="8224" xr:uid="{1977EEAB-C78B-4F89-A0A2-57B4FE295A7A}"/>
    <cellStyle name="Normal 11 6 2 3 2" xfId="28869" xr:uid="{9AEE0E77-4E08-48C3-9C2F-5E9C4C8DCA98}"/>
    <cellStyle name="Normal 11 6 2 3 3" xfId="18604" xr:uid="{4FB95FB6-A6BC-4810-A27B-07F758FEBEF0}"/>
    <cellStyle name="Normal 11 6 2 4" xfId="11057" xr:uid="{5DC9A81C-8400-4BF9-B424-33BD0E155F50}"/>
    <cellStyle name="Normal 11 6 2 4 2" xfId="21437" xr:uid="{3245FFD4-9E08-459A-805A-681AC8FDAD7D}"/>
    <cellStyle name="Normal 11 6 2 5" xfId="24379" xr:uid="{9788469F-2D8A-4D77-A45D-F5DD89018255}"/>
    <cellStyle name="Normal 11 6 2 6" xfId="13672" xr:uid="{6D5378A5-9F6A-4DD9-88B5-A35EDAE7891B}"/>
    <cellStyle name="Normal 11 6 3" xfId="2860" xr:uid="{00000000-0005-0000-0000-00006B030000}"/>
    <cellStyle name="Normal 11 6 3 2" xfId="6073" xr:uid="{15DD6167-203B-433F-A9E3-2A16E6DED355}"/>
    <cellStyle name="Normal 11 6 3 2 2" xfId="26195" xr:uid="{4BEDC51B-725A-4593-9E6F-94F99D7F80AA}"/>
    <cellStyle name="Normal 11 6 3 2 3" xfId="15529" xr:uid="{49E981A8-79E2-4F5A-B95F-10B2AB8193C5}"/>
    <cellStyle name="Normal 11 6 3 3" xfId="7982" xr:uid="{08214E28-A72D-40B5-A0FF-BBC0FE4C1529}"/>
    <cellStyle name="Normal 11 6 3 3 2" xfId="18362" xr:uid="{43EB3EFD-E78F-4679-BBDC-835B346BDB3B}"/>
    <cellStyle name="Normal 11 6 3 4" xfId="10815" xr:uid="{A1CE415C-D7A7-430E-B35E-FA2D26E8C63C}"/>
    <cellStyle name="Normal 11 6 3 4 2" xfId="21195" xr:uid="{3E53748C-901F-4ABE-B0FB-05984115E6B7}"/>
    <cellStyle name="Normal 11 6 3 5" xfId="24151" xr:uid="{D95C5E7B-8D7F-4AFD-9FFC-363BC5D9368F}"/>
    <cellStyle name="Normal 11 6 3 6" xfId="13349" xr:uid="{A7160CAA-E05C-42CC-9C4E-7CF2940DD71A}"/>
    <cellStyle name="Normal 11 6 4" xfId="4151" xr:uid="{8897D64D-3888-4BB8-9522-58EB076CD29F}"/>
    <cellStyle name="Normal 11 6 4 2" xfId="8923" xr:uid="{34FD39BE-6E6B-4AD5-BEC0-389BB156B5B3}"/>
    <cellStyle name="Normal 11 6 4 2 2" xfId="29022" xr:uid="{96374AE3-3679-4035-B9B3-F79B3DA14166}"/>
    <cellStyle name="Normal 11 6 4 2 3" xfId="19303" xr:uid="{217AB037-360E-43AE-B0B0-259481AA9338}"/>
    <cellStyle name="Normal 11 6 4 3" xfId="11756" xr:uid="{A9DA5D51-E46E-4BCB-8481-C81DCA54B20A}"/>
    <cellStyle name="Normal 11 6 4 3 2" xfId="22136" xr:uid="{2FF41ADB-2ECD-4F50-AC3B-147B5FE36219}"/>
    <cellStyle name="Normal 11 6 4 4" xfId="28485" xr:uid="{75AA98EB-F151-4117-9127-C1275A9C0006}"/>
    <cellStyle name="Normal 11 6 4 5" xfId="16470" xr:uid="{078E3D01-56AA-4595-9FB7-B04864440EC3}"/>
    <cellStyle name="Normal 11 6 5" xfId="5034" xr:uid="{CC1A95E0-B1E7-46CF-AFFF-52BB857E64C8}"/>
    <cellStyle name="Normal 11 6 5 2" xfId="27490" xr:uid="{64B45BFB-1BBC-4084-97A0-74B6A5E9A3EA}"/>
    <cellStyle name="Normal 11 6 5 3" xfId="14330" xr:uid="{FA70D1E4-E891-43DE-A664-7C2EE46E6787}"/>
    <cellStyle name="Normal 11 6 6" xfId="6783" xr:uid="{7D48E33C-69FE-439E-942C-4531C77FC840}"/>
    <cellStyle name="Normal 11 6 6 2" xfId="17163" xr:uid="{C9D6E1D2-24A2-448A-B67A-2510BAAC2BC4}"/>
    <cellStyle name="Normal 11 6 7" xfId="9616" xr:uid="{D7C41B80-F05F-49AC-9D45-D2A58C8503A3}"/>
    <cellStyle name="Normal 11 6 7 2" xfId="19996" xr:uid="{B05B765F-6156-4216-9857-FFAFC4C46E29}"/>
    <cellStyle name="Normal 11 6 8" xfId="25570" xr:uid="{F67A65D7-3B24-4110-8BA4-D4600D14EC47}"/>
    <cellStyle name="Normal 11 6 9" xfId="12701" xr:uid="{7B8BA89E-E580-44A4-B170-94A6475269B6}"/>
    <cellStyle name="Normal 11 7" xfId="677" xr:uid="{00000000-0005-0000-0000-000051040000}"/>
    <cellStyle name="Normal 11 7 2" xfId="5035" xr:uid="{E2F2A623-6DC7-4ADF-87D8-C8404433EF29}"/>
    <cellStyle name="Normal 11 7 2 2" xfId="24300" xr:uid="{6658F537-39AE-4CEA-A705-BFA760AE7921}"/>
    <cellStyle name="Normal 11 7 2 3" xfId="28288" xr:uid="{4AF7F0B1-F341-4D19-B61E-35484FCA54DA}"/>
    <cellStyle name="Normal 11 7 2 4" xfId="14331" xr:uid="{172FED5F-EF95-4CE1-895E-131F5BFE53E3}"/>
    <cellStyle name="Normal 11 7 3" xfId="6784" xr:uid="{C70B7F4A-CFDA-408D-8E8C-60D74F6957C8}"/>
    <cellStyle name="Normal 11 7 3 2" xfId="26916" xr:uid="{45EE320C-490B-472A-84F1-B3CD9D7A21FE}"/>
    <cellStyle name="Normal 11 7 3 3" xfId="17164" xr:uid="{DA37AFFF-3F63-4AF7-BA68-6F52E5231E45}"/>
    <cellStyle name="Normal 11 7 4" xfId="9617" xr:uid="{207D58B0-82A5-4E81-BBD0-2A00B8F9B192}"/>
    <cellStyle name="Normal 11 7 4 2" xfId="19997" xr:uid="{217F3421-304B-4632-AAD6-496D87CB8017}"/>
    <cellStyle name="Normal 11 7 5" xfId="24074" xr:uid="{17114C85-D6E0-4CA6-8C08-BE54408EB7E6}"/>
    <cellStyle name="Normal 11 7 6" xfId="13399" xr:uid="{FA874369-E5D4-4170-94AB-236BD918FFB8}"/>
    <cellStyle name="Normal 11 8" xfId="2652" xr:uid="{00000000-0005-0000-0000-00006D030000}"/>
    <cellStyle name="Normal 11 8 2" xfId="5914" xr:uid="{3C16B3C4-9BA2-4BA5-B56C-569FDC9C4593}"/>
    <cellStyle name="Normal 11 8 2 2" xfId="26112" xr:uid="{54BF3F3F-E486-4A98-8F86-41E336AFA9FE}"/>
    <cellStyle name="Normal 11 8 2 3" xfId="15324" xr:uid="{C9968FD0-A6FD-4FFC-8DD2-8D5D8F8B13DB}"/>
    <cellStyle name="Normal 11 8 3" xfId="7777" xr:uid="{1CBB693E-D222-4711-9277-F48DC820F811}"/>
    <cellStyle name="Normal 11 8 3 2" xfId="18157" xr:uid="{695EB2FB-8162-4F8F-AB9B-77C49AC9BC6D}"/>
    <cellStyle name="Normal 11 8 4" xfId="10610" xr:uid="{9DDBDCA2-A42D-46D7-A65A-9B5B5F7571DF}"/>
    <cellStyle name="Normal 11 8 4 2" xfId="20990" xr:uid="{E64107D0-E411-4EED-ABAC-042DFC620510}"/>
    <cellStyle name="Normal 11 8 5" xfId="24149" xr:uid="{DE3B9CCD-AB2F-43CC-8B21-43E9D3C24ECA}"/>
    <cellStyle name="Normal 11 8 6" xfId="13054" xr:uid="{683EF287-66DA-4C6E-89BD-CBED583B0E34}"/>
    <cellStyle name="Normal 11 9" xfId="2257" xr:uid="{00000000-0005-0000-0000-000059030000}"/>
    <cellStyle name="Normal 11 9 2" xfId="7384" xr:uid="{CC45CD05-6C38-4C8F-969D-40CD46DD4EC2}"/>
    <cellStyle name="Normal 11 9 2 2" xfId="27281" xr:uid="{72E147AB-D952-44EA-AF13-327D60A7B6A6}"/>
    <cellStyle name="Normal 11 9 2 3" xfId="17764" xr:uid="{8A41127B-A9DB-421D-8BAB-419AD756C79D}"/>
    <cellStyle name="Normal 11 9 3" xfId="10217" xr:uid="{1EAA9FB2-92CE-410F-B029-E2AE91B18BE7}"/>
    <cellStyle name="Normal 11 9 3 2" xfId="20597" xr:uid="{4321BE4B-2DA1-492D-8447-49E3C6028460}"/>
    <cellStyle name="Normal 11 9 4" xfId="23173" xr:uid="{9FB7D291-3478-42A8-8F80-95239D39C086}"/>
    <cellStyle name="Normal 11 9 5" xfId="14931" xr:uid="{9FD45EBF-AC69-4791-830E-35A1B66B4468}"/>
    <cellStyle name="Normal 12" xfId="678" xr:uid="{00000000-0005-0000-0000-000052040000}"/>
    <cellStyle name="Normal 12 10" xfId="22966" xr:uid="{033343EA-8A5A-4D18-A061-28041EF0DCC6}"/>
    <cellStyle name="Normal 12 11" xfId="12497" xr:uid="{C76A44B9-FF9F-49AA-868F-89A514942165}"/>
    <cellStyle name="Normal 12 2" xfId="679" xr:uid="{00000000-0005-0000-0000-000053040000}"/>
    <cellStyle name="Normal 12 2 2" xfId="5037" xr:uid="{AD475A3E-73E0-4B12-B0FE-634B3B93A6DB}"/>
    <cellStyle name="Normal 12 2 2 2" xfId="25711" xr:uid="{7DEF7E45-F8D2-4063-B834-3C42CF35FB5A}"/>
    <cellStyle name="Normal 12 2 2 3" xfId="28325" xr:uid="{47B5D16A-CAC2-48DD-97F0-0C9E4E57B817}"/>
    <cellStyle name="Normal 12 2 2 4" xfId="14333" xr:uid="{073FA9A3-B4A4-40BF-82B1-D44419344B16}"/>
    <cellStyle name="Normal 12 2 3" xfId="6786" xr:uid="{7E55DEA3-BC79-4550-9BF7-EE947CFB9519}"/>
    <cellStyle name="Normal 12 2 3 2" xfId="26154" xr:uid="{81BE5766-15C6-4192-B29B-386BCB362BB7}"/>
    <cellStyle name="Normal 12 2 3 3" xfId="28619" xr:uid="{41EE9D90-22B5-4D91-B56D-7AEBE4D80B29}"/>
    <cellStyle name="Normal 12 2 3 4" xfId="17166" xr:uid="{EB77552A-3E39-4B3A-B257-4C2ECD7599FC}"/>
    <cellStyle name="Normal 12 2 4" xfId="9619" xr:uid="{F376DB83-EF64-4A8A-8A23-F57AF8F0224E}"/>
    <cellStyle name="Normal 12 2 4 2" xfId="29378" xr:uid="{16BF253E-C692-4009-9718-45A3A081B9C4}"/>
    <cellStyle name="Normal 12 2 4 3" xfId="19999" xr:uid="{C7955B86-9016-4C69-83B8-7A3A2A612F4F}"/>
    <cellStyle name="Normal 12 2 5" xfId="23085" xr:uid="{01633C0A-A72D-4EE4-9F1A-3DF12E369B3B}"/>
    <cellStyle name="Normal 12 2 6" xfId="13350" xr:uid="{04ADC0D9-B86A-46C2-99CE-0C892D77FB6D}"/>
    <cellStyle name="Normal 12 3" xfId="3145" xr:uid="{00000000-0005-0000-0000-000070030000}"/>
    <cellStyle name="Normal 12 3 2" xfId="6203" xr:uid="{7D022FC5-7870-45D9-8D59-60C6C14ADAA5}"/>
    <cellStyle name="Normal 12 3 2 2" xfId="22822" xr:uid="{A94978FC-D56E-43B3-9DC5-0274A2631273}"/>
    <cellStyle name="Normal 12 3 2 3" xfId="28692" xr:uid="{B751A062-B9D7-469D-A5F7-D39FB081053B}"/>
    <cellStyle name="Normal 12 3 2 4" xfId="15772" xr:uid="{12715E97-5114-4E2C-8FB6-DE55CB85D0A7}"/>
    <cellStyle name="Normal 12 3 3" xfId="8225" xr:uid="{280E29AF-96C5-490F-A35E-4FE1D8B8925E}"/>
    <cellStyle name="Normal 12 3 3 2" xfId="28870" xr:uid="{DB1364C7-AF5D-4030-A5A3-4EC5C448E437}"/>
    <cellStyle name="Normal 12 3 3 3" xfId="18605" xr:uid="{4A4433A0-54AB-4011-AC64-8F7A09961B7A}"/>
    <cellStyle name="Normal 12 3 4" xfId="11058" xr:uid="{967ED9CC-BE3E-49B9-B845-28C03999D68A}"/>
    <cellStyle name="Normal 12 3 4 2" xfId="21438" xr:uid="{709F180A-4DE2-4C8B-8544-6FE558FA0956}"/>
    <cellStyle name="Normal 12 3 5" xfId="23531" xr:uid="{D5234BF6-12FD-419A-8C41-7A9641DE3930}"/>
    <cellStyle name="Normal 12 3 6" xfId="13673" xr:uid="{0E151977-D1A2-40E0-AF8A-9538AD77A839}"/>
    <cellStyle name="Normal 12 4" xfId="2660" xr:uid="{00000000-0005-0000-0000-000071030000}"/>
    <cellStyle name="Normal 12 4 2" xfId="5920" xr:uid="{770C451C-813B-4FF8-B587-13F9DBD1EDDF}"/>
    <cellStyle name="Normal 12 4 2 2" xfId="26366" xr:uid="{A71634E2-0DF5-493D-84C0-FC73DA14EE97}"/>
    <cellStyle name="Normal 12 4 2 3" xfId="15332" xr:uid="{CC0B48EF-C0F2-4E06-A1BC-09A8A75F57FE}"/>
    <cellStyle name="Normal 12 4 3" xfId="7785" xr:uid="{BE42800C-35A8-4D46-A402-C7092A9B236B}"/>
    <cellStyle name="Normal 12 4 3 2" xfId="18165" xr:uid="{7B232A74-B0B6-4F4E-96AB-6D93C640B5A0}"/>
    <cellStyle name="Normal 12 4 4" xfId="10618" xr:uid="{FA08CA2A-FAAF-443C-9DDE-1D77E1DEA92C}"/>
    <cellStyle name="Normal 12 4 4 2" xfId="20998" xr:uid="{92F78D94-E3D1-471E-BEDA-A74745FCF85D}"/>
    <cellStyle name="Normal 12 4 5" xfId="23751" xr:uid="{DD1E9B09-6FEC-4C59-9677-7A102651FFEB}"/>
    <cellStyle name="Normal 12 4 6" xfId="13062" xr:uid="{A5C88BF8-7A2F-4C5B-A0D7-BBF24B97022B}"/>
    <cellStyle name="Normal 12 5" xfId="2265" xr:uid="{00000000-0005-0000-0000-00006E030000}"/>
    <cellStyle name="Normal 12 5 2" xfId="7392" xr:uid="{7E50454D-933B-4840-8B3F-BB52394ED944}"/>
    <cellStyle name="Normal 12 5 2 2" xfId="17772" xr:uid="{4048479F-63F7-41DF-BC82-7A11D85C922E}"/>
    <cellStyle name="Normal 12 5 3" xfId="10225" xr:uid="{F12FA1EC-A2E7-45E9-BE43-2774C2E1BC84}"/>
    <cellStyle name="Normal 12 5 3 2" xfId="20605" xr:uid="{B9D70D8E-2672-4BF9-9869-6734F15C2519}"/>
    <cellStyle name="Normal 12 5 4" xfId="24478" xr:uid="{DFAA973F-326E-446E-A2AD-301ABEE1A675}"/>
    <cellStyle name="Normal 12 5 5" xfId="14939" xr:uid="{10721356-729C-4D58-94C5-73C19FEC5DA1}"/>
    <cellStyle name="Normal 12 6" xfId="3788" xr:uid="{FC5D471A-BA1A-4CEB-A00A-3C532FA45458}"/>
    <cellStyle name="Normal 12 6 2" xfId="8627" xr:uid="{4A058FC5-A2EB-4011-AFB4-00F15F2B6912}"/>
    <cellStyle name="Normal 12 6 2 2" xfId="19007" xr:uid="{317FE9FD-0925-4241-B2DD-16B933DBA824}"/>
    <cellStyle name="Normal 12 6 3" xfId="11460" xr:uid="{F70DC20A-4CB9-48B4-9B61-85C555A8C8E9}"/>
    <cellStyle name="Normal 12 6 3 2" xfId="21840" xr:uid="{0810842A-5B40-4B7C-9C40-6719AEEE95F9}"/>
    <cellStyle name="Normal 12 6 4" xfId="16174" xr:uid="{5BB47EA7-B128-4837-9360-E10735DAAB63}"/>
    <cellStyle name="Normal 12 7" xfId="5036" xr:uid="{D8E44DB6-B01F-4F4D-BD68-0CD5A36983BA}"/>
    <cellStyle name="Normal 12 7 2" xfId="14332" xr:uid="{8BB7854B-15D0-42A0-B9E8-58D48B1E44D2}"/>
    <cellStyle name="Normal 12 8" xfId="6785" xr:uid="{A16B3C71-8F9F-450E-843E-AC7EFF0240D8}"/>
    <cellStyle name="Normal 12 8 2" xfId="17165" xr:uid="{B73FF3CB-5A5C-4E83-9F3D-74B341F1AA0B}"/>
    <cellStyle name="Normal 12 9" xfId="9618" xr:uid="{1F8F4189-B832-4E1E-A1D8-D39FD28B04F1}"/>
    <cellStyle name="Normal 12 9 2" xfId="19998" xr:uid="{8DD72BD7-34D7-44AA-991F-BA6B4ED22B16}"/>
    <cellStyle name="Normal 13" xfId="680" xr:uid="{00000000-0005-0000-0000-000054040000}"/>
    <cellStyle name="Normal 13 2" xfId="2858" xr:uid="{00000000-0005-0000-0000-000073030000}"/>
    <cellStyle name="Normal 13 2 2" xfId="6071" xr:uid="{AA45E48B-09ED-4685-8AB6-AA6F639FBB2D}"/>
    <cellStyle name="Normal 13 2 2 2" xfId="27454" xr:uid="{0ECDDCD3-2C26-43D1-B28A-9066ED64A0C3}"/>
    <cellStyle name="Normal 13 2 2 3" xfId="15527" xr:uid="{5315A895-933C-4175-B1C5-5A178C13C8AC}"/>
    <cellStyle name="Normal 13 2 3" xfId="7980" xr:uid="{D6ED7299-EB16-4696-9CA3-92A77439F31C}"/>
    <cellStyle name="Normal 13 2 3 2" xfId="18360" xr:uid="{D5E1AFA7-D19D-42A0-9BA6-AB9511E67ADC}"/>
    <cellStyle name="Normal 13 2 4" xfId="10813" xr:uid="{A6E33D61-2B9E-43E3-8C2E-E87F8B37CAB6}"/>
    <cellStyle name="Normal 13 2 4 2" xfId="21193" xr:uid="{0F36D579-9F20-4F18-916E-96830EF010CE}"/>
    <cellStyle name="Normal 13 2 5" xfId="25077" xr:uid="{4FF1AE43-EA66-47B5-B73F-454B5E6A16AC}"/>
    <cellStyle name="Normal 13 2 6" xfId="13347" xr:uid="{D4F3D36C-A7FC-4FDC-AAE9-E1EEBC23B8B9}"/>
    <cellStyle name="Normal 13 3" xfId="5038" xr:uid="{5EF0DBC1-19E6-4D57-AA65-7566483BF4E3}"/>
    <cellStyle name="Normal 13 3 2" xfId="23888" xr:uid="{BAF24BDA-9EA4-4E49-9C2F-0A1B24FBA196}"/>
    <cellStyle name="Normal 13 3 3" xfId="14334" xr:uid="{9DE4D361-8895-4AF1-9B4A-485DAAF66D82}"/>
    <cellStyle name="Normal 13 3 4" xfId="30032" xr:uid="{A3EAF4AB-5115-481D-A447-9586BF9ECF1A}"/>
    <cellStyle name="Normal 13 4" xfId="6787" xr:uid="{E5B61214-23AE-4E08-9C32-6624FB8807D7}"/>
    <cellStyle name="Normal 13 4 2" xfId="24751" xr:uid="{30EAA314-B589-4A22-96C7-402013D2E5F1}"/>
    <cellStyle name="Normal 13 4 3" xfId="17167" xr:uid="{CD1AFCFF-8A29-40F4-BCB3-13A9938CCB65}"/>
    <cellStyle name="Normal 13 5" xfId="9620" xr:uid="{A64C81F3-8753-4787-8678-DA3C0B4E0D5D}"/>
    <cellStyle name="Normal 13 5 2" xfId="20000" xr:uid="{6AD10095-07EB-44EC-BF77-DAA26E917E4A}"/>
    <cellStyle name="Normal 13 6" xfId="24644" xr:uid="{C31D4092-6773-469F-B36E-534BE4E414D1}"/>
    <cellStyle name="Normal 13 7" xfId="12655" xr:uid="{8816A397-40EB-4D81-AB75-F4B738433536}"/>
    <cellStyle name="Normal 14" xfId="681" xr:uid="{00000000-0005-0000-0000-000055040000}"/>
    <cellStyle name="Normal 14 2" xfId="5039" xr:uid="{0D3D8E5F-1EDF-435C-B1B0-BD478797D276}"/>
    <cellStyle name="Normal 14 2 2" xfId="24479" xr:uid="{C034AB12-76B5-486A-9894-6A048BC7366A}"/>
    <cellStyle name="Normal 14 2 3" xfId="27543" xr:uid="{2A7A1040-187C-4B84-82AB-F3A4C14E60F4}"/>
    <cellStyle name="Normal 14 2 4" xfId="14335" xr:uid="{1F912A46-1F27-4E86-990F-1ED3312AE108}"/>
    <cellStyle name="Normal 14 3" xfId="6788" xr:uid="{F3711F9B-2A3C-4CD8-BBD7-40DE750693A8}"/>
    <cellStyle name="Normal 14 3 2" xfId="26277" xr:uid="{2E219A78-E01D-45C7-835F-4A082BBDE51C}"/>
    <cellStyle name="Normal 14 3 3" xfId="17168" xr:uid="{98E27F91-1457-4546-AA50-24A60B093E5D}"/>
    <cellStyle name="Normal 14 4" xfId="9621" xr:uid="{24ACE589-6F58-480C-A0A9-E0CCB13410CC}"/>
    <cellStyle name="Normal 14 4 2" xfId="20001" xr:uid="{34A16C81-10AF-4836-996D-F492EE7E1506}"/>
    <cellStyle name="Normal 14 5" xfId="24461" xr:uid="{B2C5D97A-D174-4AE7-8B7D-B2C708EFC8E7}"/>
    <cellStyle name="Normal 14 6" xfId="13353" xr:uid="{A6F71BD5-6E29-429D-86A0-A3FE750FA4A2}"/>
    <cellStyle name="Normal 15" xfId="2427" xr:uid="{00000000-0005-0000-0000-000075030000}"/>
    <cellStyle name="Normal 15 2" xfId="23096" xr:uid="{2C9AB8CE-D120-4791-BB69-A1D95A2CF072}"/>
    <cellStyle name="Normal 15 3" xfId="25235" xr:uid="{43C97933-000E-4EB9-ADD0-F68EC944A8A0}"/>
    <cellStyle name="Normal 15 4" xfId="29986" xr:uid="{4C44E769-B72D-47F8-BFD8-967FDABB778E}"/>
    <cellStyle name="Normal 16" xfId="2426" xr:uid="{00000000-0005-0000-0000-000076030000}"/>
    <cellStyle name="Normal 16 2" xfId="5726" xr:uid="{B477EC25-0A93-45EF-93C3-5F54D32200CD}"/>
    <cellStyle name="Normal 16 2 2" xfId="28320" xr:uid="{D5DCF4FC-BC09-4702-B3D6-AB3F7724FBFD}"/>
    <cellStyle name="Normal 16 2 3" xfId="15100" xr:uid="{29037CB6-2C9A-47AC-9730-FFD64DBF95FD}"/>
    <cellStyle name="Normal 16 3" xfId="7553" xr:uid="{63D701BD-ABDA-4964-8C51-6402DDBE271A}"/>
    <cellStyle name="Normal 16 3 2" xfId="17933" xr:uid="{9D219CFE-1969-42B2-A553-D5847A6DA9DD}"/>
    <cellStyle name="Normal 16 4" xfId="10386" xr:uid="{D2522661-93A0-4956-9697-D1730F5CFA20}"/>
    <cellStyle name="Normal 16 4 2" xfId="20766" xr:uid="{5137FD37-CDFD-4897-8D9B-C3DCFC154183}"/>
    <cellStyle name="Normal 16 5" xfId="25182" xr:uid="{7A977A69-078F-4B3B-A863-D178A5FF7356}"/>
    <cellStyle name="Normal 16 6" xfId="12813" xr:uid="{29E9BBF2-7804-4601-B0CA-D6862E03B065}"/>
    <cellStyle name="Normal 17" xfId="4846" xr:uid="{4EC3EDA1-0B49-4397-ACE6-F65BB86475E3}"/>
    <cellStyle name="Normal 17 2" xfId="26265" xr:uid="{F9058EFE-70AF-4C20-8F8B-416CE835CA40}"/>
    <cellStyle name="Normal 17 3" xfId="14134" xr:uid="{19AEF679-6457-4A98-AD6A-ED8181B653C8}"/>
    <cellStyle name="Normal 17 4" xfId="29614" xr:uid="{1408406F-0F3E-4B32-8FAF-E9953EA12EC1}"/>
    <cellStyle name="Normal 17 5" xfId="29589" xr:uid="{4ED93E39-21EF-4DCF-B005-6E3097EA06BD}"/>
    <cellStyle name="Normal 17 5 2" xfId="29641" xr:uid="{45B16796-CAAF-4DF6-B906-098BDC71E282}"/>
    <cellStyle name="Normal 17 5 2 2" xfId="30108" xr:uid="{F7E39ECD-4D10-4D07-8F21-75FAF9DEBFA7}"/>
    <cellStyle name="Normal 17 5 3" xfId="30383" xr:uid="{B45CE350-A162-4B94-B9BF-8DDA18EE9D32}"/>
    <cellStyle name="Normal 17 5 4" xfId="30370" xr:uid="{8603D28E-B236-4EC6-AE4B-CCA2E34ECDF2}"/>
    <cellStyle name="Normal 17 5 4 2" xfId="31709" xr:uid="{8378316B-0AEB-4628-8314-F5A160EE652A}"/>
    <cellStyle name="Normal 17 6" xfId="29639" xr:uid="{2615603F-F587-465C-9DB1-DFE5AAD13470}"/>
    <cellStyle name="Normal 17 6 2" xfId="30107" xr:uid="{1CE297B0-511C-45BD-82B6-9F5EFC6F4E9E}"/>
    <cellStyle name="Normal 17 7" xfId="30353" xr:uid="{B6AE06BD-E46D-4EF1-88E1-B52B46EEF606}"/>
    <cellStyle name="Normal 17 7 2" xfId="31693" xr:uid="{715E5696-15DC-46D7-B1F6-6B19405350CB}"/>
    <cellStyle name="Normal 18" xfId="6587" xr:uid="{41350291-B8D4-4B0F-BB97-B6A2FEFF55C8}"/>
    <cellStyle name="Normal 18 2" xfId="16967" xr:uid="{A08ADA9E-880A-423A-BC21-A77F0F152E4B}"/>
    <cellStyle name="Normal 19" xfId="9420" xr:uid="{EEFE1ADD-8068-4691-A806-69EFDD9F49C8}"/>
    <cellStyle name="Normal 19 2" xfId="19800" xr:uid="{B56B06F7-E066-401E-BD37-8901D45D37C2}"/>
    <cellStyle name="Normal 2" xfId="682" xr:uid="{00000000-0005-0000-0000-000056040000}"/>
    <cellStyle name="Normal 2 10" xfId="683" xr:uid="{00000000-0005-0000-0000-000057040000}"/>
    <cellStyle name="Normal 2 10 10" xfId="9622" xr:uid="{6A978DBD-1903-4566-A76F-D9BD2824005F}"/>
    <cellStyle name="Normal 2 10 10 2" xfId="20002" xr:uid="{FCAF2797-04A4-45F3-AAB4-4974094B7C05}"/>
    <cellStyle name="Normal 2 10 11" xfId="24310" xr:uid="{7CE40F8D-2C6C-40A0-827F-401595517E6B}"/>
    <cellStyle name="Normal 2 10 12" xfId="12547" xr:uid="{D8F2B4BC-75C0-46DD-AA3E-912AAFB27616}"/>
    <cellStyle name="Normal 2 10 2" xfId="684" xr:uid="{00000000-0005-0000-0000-000058040000}"/>
    <cellStyle name="Normal 2 10 2 10" xfId="12705" xr:uid="{03590174-D100-4823-9470-1F863032040F}"/>
    <cellStyle name="Normal 2 10 2 2" xfId="685" xr:uid="{00000000-0005-0000-0000-000059040000}"/>
    <cellStyle name="Normal 2 10 2 2 2" xfId="5042" xr:uid="{4B1D97E6-96DB-48FB-BE29-9C4A808EEAF1}"/>
    <cellStyle name="Normal 2 10 2 2 2 2" xfId="25028" xr:uid="{85EF3525-AC41-4E56-B053-2013675EAF5F}"/>
    <cellStyle name="Normal 2 10 2 2 2 3" xfId="27771" xr:uid="{E3908DE8-2AA8-4280-BAA0-A0384637A422}"/>
    <cellStyle name="Normal 2 10 2 2 2 4" xfId="14338" xr:uid="{715D0DB7-0BAC-4BB5-8734-41CF55C22CDC}"/>
    <cellStyle name="Normal 2 10 2 2 3" xfId="6791" xr:uid="{0E5A8F5D-0961-4D45-9D50-F9720832934F}"/>
    <cellStyle name="Normal 2 10 2 2 3 2" xfId="27570" xr:uid="{FC2BD4B1-3FF0-4C9B-B62C-30EB7E056146}"/>
    <cellStyle name="Normal 2 10 2 2 3 3" xfId="28315" xr:uid="{2E712B32-BDE8-415B-A965-6709DFF53A01}"/>
    <cellStyle name="Normal 2 10 2 2 3 4" xfId="17171" xr:uid="{7732C903-252A-4177-B4EE-01EA203637C3}"/>
    <cellStyle name="Normal 2 10 2 2 4" xfId="9624" xr:uid="{90E5D0CC-8E0F-4145-AD1C-7A6B585F163D}"/>
    <cellStyle name="Normal 2 10 2 2 4 2" xfId="29379" xr:uid="{48816090-0EC0-4318-9EF0-31208B402F94}"/>
    <cellStyle name="Normal 2 10 2 2 4 3" xfId="20004" xr:uid="{BAC9179B-5B3E-4B5E-946C-494A9C64BE30}"/>
    <cellStyle name="Normal 2 10 2 2 5" xfId="24023" xr:uid="{69D296D9-4E64-4349-A6C1-12380EBC0D27}"/>
    <cellStyle name="Normal 2 10 2 2 6" xfId="13674" xr:uid="{21AB60BC-1520-40B2-80EB-15E14175247D}"/>
    <cellStyle name="Normal 2 10 2 3" xfId="2713" xr:uid="{00000000-0005-0000-0000-00007B030000}"/>
    <cellStyle name="Normal 2 10 2 3 2" xfId="5931" xr:uid="{6F9B445A-F519-4F2B-841F-0828963C8272}"/>
    <cellStyle name="Normal 2 10 2 3 2 2" xfId="27658" xr:uid="{84CDA419-4F55-43FC-ADC1-410564068752}"/>
    <cellStyle name="Normal 2 10 2 3 2 3" xfId="15384" xr:uid="{4BF48A87-A58E-48C5-B237-DBBC0B37BCFF}"/>
    <cellStyle name="Normal 2 10 2 3 3" xfId="7837" xr:uid="{756D2142-0636-4E39-AA65-B82595E47ED9}"/>
    <cellStyle name="Normal 2 10 2 3 3 2" xfId="18217" xr:uid="{8974FC1F-3940-4551-8566-90BF8E1DBE46}"/>
    <cellStyle name="Normal 2 10 2 3 4" xfId="10670" xr:uid="{981C3D8B-0BC7-4C56-8B70-DF9DCC096F32}"/>
    <cellStyle name="Normal 2 10 2 3 4 2" xfId="21050" xr:uid="{04A75ED6-0273-48B9-957F-A9EF01D42227}"/>
    <cellStyle name="Normal 2 10 2 3 5" xfId="23046" xr:uid="{A8EBECA3-327C-48A7-853D-6A48EDFE396E}"/>
    <cellStyle name="Normal 2 10 2 3 6" xfId="13140" xr:uid="{C2DFDE86-C1D5-41D4-BE4E-0A9C42D6D918}"/>
    <cellStyle name="Normal 2 10 2 4" xfId="2421" xr:uid="{00000000-0005-0000-0000-000079030000}"/>
    <cellStyle name="Normal 2 10 2 4 2" xfId="7548" xr:uid="{3B36CAC2-FF81-448A-95FB-1AA5EF72530D}"/>
    <cellStyle name="Normal 2 10 2 4 2 2" xfId="27934" xr:uid="{D2FE575E-6C08-4270-98DA-54828BC91846}"/>
    <cellStyle name="Normal 2 10 2 4 2 3" xfId="17928" xr:uid="{F6D443BF-C32A-492D-865E-6B60716A332A}"/>
    <cellStyle name="Normal 2 10 2 4 3" xfId="10381" xr:uid="{78384D6C-1B9B-4ED5-A6E0-75FBD89CE93B}"/>
    <cellStyle name="Normal 2 10 2 4 3 2" xfId="20761" xr:uid="{B112BDC5-E73D-4943-A297-053DD2012967}"/>
    <cellStyle name="Normal 2 10 2 4 4" xfId="24925" xr:uid="{54163CFA-A981-416D-A52A-8376976FC0C9}"/>
    <cellStyle name="Normal 2 10 2 4 5" xfId="15095" xr:uid="{5725EBF2-79D5-45F0-9961-B3DD42B887C3}"/>
    <cellStyle name="Normal 2 10 2 5" xfId="3917" xr:uid="{BD5E7341-68BF-4756-8305-A435157C6732}"/>
    <cellStyle name="Normal 2 10 2 5 2" xfId="8749" xr:uid="{7215D1F5-0354-459D-8EC2-14DB0923EF4F}"/>
    <cellStyle name="Normal 2 10 2 5 2 2" xfId="19129" xr:uid="{1B946FF3-D8FF-49C9-8E18-EDA76F7B3291}"/>
    <cellStyle name="Normal 2 10 2 5 3" xfId="11582" xr:uid="{A2149190-495C-499F-817F-63A921074BCE}"/>
    <cellStyle name="Normal 2 10 2 5 3 2" xfId="21962" xr:uid="{CCB3DD2F-6369-4CCF-A0BB-9B6FD6A06564}"/>
    <cellStyle name="Normal 2 10 2 5 4" xfId="26100" xr:uid="{12B3E98C-809D-4A86-BBB9-BCD3ED4B0349}"/>
    <cellStyle name="Normal 2 10 2 5 5" xfId="16296" xr:uid="{12D5A544-ABFE-4F3E-BCE3-3E0259E3DDDD}"/>
    <cellStyle name="Normal 2 10 2 6" xfId="5041" xr:uid="{D5B2E7E1-955B-4DE0-AE72-078AEA147FA3}"/>
    <cellStyle name="Normal 2 10 2 6 2" xfId="14337" xr:uid="{B1481CA9-47DB-478D-B9E6-EDCB74F5F9FE}"/>
    <cellStyle name="Normal 2 10 2 7" xfId="6790" xr:uid="{836EDE06-7085-4C14-AD6D-C9F5F92FC2A3}"/>
    <cellStyle name="Normal 2 10 2 7 2" xfId="17170" xr:uid="{38C9EFBA-9DB9-48BD-96E0-0CB7D0C9787F}"/>
    <cellStyle name="Normal 2 10 2 8" xfId="9623" xr:uid="{B9D44309-A423-4CC3-8623-A597779FE67A}"/>
    <cellStyle name="Normal 2 10 2 8 2" xfId="20003" xr:uid="{D7D18A0B-24F2-45BA-8A57-C998D2A2B2F1}"/>
    <cellStyle name="Normal 2 10 2 9" xfId="23587" xr:uid="{8CE583E1-4E59-4591-9A6A-677E69EF0669}"/>
    <cellStyle name="Normal 2 10 3" xfId="686" xr:uid="{00000000-0005-0000-0000-00005A040000}"/>
    <cellStyle name="Normal 2 10 3 2" xfId="4450" xr:uid="{056BFCF5-1274-4918-A4DB-F87B2191CBDF}"/>
    <cellStyle name="Normal 2 10 3 2 2" xfId="9222" xr:uid="{050CFBA6-16B7-4853-A509-E414C781678D}"/>
    <cellStyle name="Normal 2 10 3 2 2 2" xfId="29215" xr:uid="{2BA3FFC7-FF5D-4274-8170-8C001DC032FF}"/>
    <cellStyle name="Normal 2 10 3 2 2 3" xfId="19602" xr:uid="{3F2C4159-088E-40FF-8CC1-40E4F01F2175}"/>
    <cellStyle name="Normal 2 10 3 2 3" xfId="12055" xr:uid="{1737CD57-5D2B-42D0-AF93-FA54A6266609}"/>
    <cellStyle name="Normal 2 10 3 2 3 2" xfId="22435" xr:uid="{92A273E8-584A-4750-B49B-6A439EE7CDCF}"/>
    <cellStyle name="Normal 2 10 3 2 4" xfId="25659" xr:uid="{939EA17D-5404-42BF-9BCE-F96FB7F08C8C}"/>
    <cellStyle name="Normal 2 10 3 2 5" xfId="16769" xr:uid="{5BD07587-E792-4E60-81B5-E88AF2F62CBA}"/>
    <cellStyle name="Normal 2 10 3 3" xfId="5043" xr:uid="{A07D5222-E95C-4645-B95C-D413E152A2E0}"/>
    <cellStyle name="Normal 2 10 3 3 2" xfId="24508" xr:uid="{E4FB581A-5B57-460F-9BFE-9BBB58D36D54}"/>
    <cellStyle name="Normal 2 10 3 3 3" xfId="26534" xr:uid="{EB907162-DEC4-4F5E-9493-D102550CE772}"/>
    <cellStyle name="Normal 2 10 3 3 4" xfId="14339" xr:uid="{42913208-0214-447A-AAC1-150923146ADA}"/>
    <cellStyle name="Normal 2 10 3 4" xfId="6792" xr:uid="{C7792434-52BD-4AF3-90AC-0E6F0DB2DE3B}"/>
    <cellStyle name="Normal 2 10 3 4 2" xfId="24388" xr:uid="{ACBB8426-ADCF-4399-A188-1C03473A4B6F}"/>
    <cellStyle name="Normal 2 10 3 4 3" xfId="25866" xr:uid="{C99A89DD-C295-4A1A-AEFA-162926ACA3B9}"/>
    <cellStyle name="Normal 2 10 3 4 4" xfId="17172" xr:uid="{0F2D2FA9-4751-42CD-9D77-7FED9BC3B7DD}"/>
    <cellStyle name="Normal 2 10 3 5" xfId="9625" xr:uid="{D3E6235E-5788-4E8F-827B-7F0456FA5E08}"/>
    <cellStyle name="Normal 2 10 3 5 2" xfId="29380" xr:uid="{23296332-AF0F-4B31-8C10-BDC4A4C91A07}"/>
    <cellStyle name="Normal 2 10 3 5 3" xfId="20005" xr:uid="{0A543DC3-5871-41AF-A95F-CCCD8399027A}"/>
    <cellStyle name="Normal 2 10 3 6" xfId="23882" xr:uid="{88A6EF82-244A-4931-A304-409A70362C02}"/>
    <cellStyle name="Normal 2 10 3 7" xfId="13675" xr:uid="{35D9751C-52C4-44B3-AE92-A0BE2C32FF41}"/>
    <cellStyle name="Normal 2 10 4" xfId="687" xr:uid="{00000000-0005-0000-0000-00005B040000}"/>
    <cellStyle name="Normal 2 10 4 2" xfId="5044" xr:uid="{F0F1627E-1D02-477B-9062-80DFA671F4A1}"/>
    <cellStyle name="Normal 2 10 4 2 2" xfId="25679" xr:uid="{EFD2D526-1985-4BBF-B4E7-627FD67D47DC}"/>
    <cellStyle name="Normal 2 10 4 2 3" xfId="27924" xr:uid="{C17E5783-7881-49DD-859E-5D6DC5FCDACD}"/>
    <cellStyle name="Normal 2 10 4 2 4" xfId="14340" xr:uid="{0D9E0302-872C-41EE-AAD3-1D698F8F637D}"/>
    <cellStyle name="Normal 2 10 4 3" xfId="6793" xr:uid="{2E122C95-0419-48D1-B781-FE19679BDA09}"/>
    <cellStyle name="Normal 2 10 4 3 2" xfId="26673" xr:uid="{756C9BF8-7F4E-4D5D-BFEA-0DC97959D1C8}"/>
    <cellStyle name="Normal 2 10 4 3 3" xfId="17173" xr:uid="{6C9C85BD-F9DC-424A-8FA1-5460624278FD}"/>
    <cellStyle name="Normal 2 10 4 4" xfId="9626" xr:uid="{326FC538-9A19-44D5-B746-510789696F5A}"/>
    <cellStyle name="Normal 2 10 4 4 2" xfId="20006" xr:uid="{C629BCCB-DEA1-46F1-8FCC-A0F4FCAC0B9B}"/>
    <cellStyle name="Normal 2 10 4 5" xfId="24326" xr:uid="{D3B42B4B-9B2D-4347-967B-69A50EED4634}"/>
    <cellStyle name="Normal 2 10 4 6" xfId="13403" xr:uid="{0F9FA0E0-BEE7-41CF-AF3D-4AB2C0132119}"/>
    <cellStyle name="Normal 2 10 5" xfId="2504" xr:uid="{00000000-0005-0000-0000-00007E030000}"/>
    <cellStyle name="Normal 2 10 5 2" xfId="5784" xr:uid="{35CEC759-4A6C-40CC-BF8A-236861E32D53}"/>
    <cellStyle name="Normal 2 10 5 2 2" xfId="28492" xr:uid="{45F6E169-BB30-4E7B-9E02-EE4370FD78A0}"/>
    <cellStyle name="Normal 2 10 5 2 3" xfId="15176" xr:uid="{1C2128C8-39D5-467D-B67D-C52C1ACE183E}"/>
    <cellStyle name="Normal 2 10 5 3" xfId="7629" xr:uid="{58E3CCDA-41AC-456B-8B87-365313B280B1}"/>
    <cellStyle name="Normal 2 10 5 3 2" xfId="18009" xr:uid="{3B8B6460-2202-4356-BD8D-D6C673D66CAF}"/>
    <cellStyle name="Normal 2 10 5 4" xfId="10462" xr:uid="{7BD48EB6-81F0-4168-9D24-324DCFC2998C}"/>
    <cellStyle name="Normal 2 10 5 4 2" xfId="20842" xr:uid="{E05399EA-7298-4A1B-8A5D-E719A730BCFD}"/>
    <cellStyle name="Normal 2 10 5 5" xfId="23022" xr:uid="{A4F06588-7611-44B0-941D-2B3DAE839F8A}"/>
    <cellStyle name="Normal 2 10 5 6" xfId="12892" xr:uid="{77731914-FBAD-4C62-8728-7EB91800362C}"/>
    <cellStyle name="Normal 2 10 6" xfId="2313" xr:uid="{00000000-0005-0000-0000-000078030000}"/>
    <cellStyle name="Normal 2 10 6 2" xfId="7440" xr:uid="{823EDB6F-E493-41CE-A857-F74FF97C3104}"/>
    <cellStyle name="Normal 2 10 6 2 2" xfId="28349" xr:uid="{F9D97EDC-77FD-4C92-8C2F-CB40999DFDDD}"/>
    <cellStyle name="Normal 2 10 6 2 3" xfId="17820" xr:uid="{F5C772A3-31A2-4AF6-92E9-FDFC9BB82E61}"/>
    <cellStyle name="Normal 2 10 6 3" xfId="10273" xr:uid="{97712D6C-5236-40BF-BEE6-725451375070}"/>
    <cellStyle name="Normal 2 10 6 3 2" xfId="20653" xr:uid="{68EC7E14-846C-47E4-A899-7D9526CC3A2A}"/>
    <cellStyle name="Normal 2 10 6 4" xfId="24083" xr:uid="{4D8E30FC-2E63-43FE-A0C3-711DD8F4D046}"/>
    <cellStyle name="Normal 2 10 6 5" xfId="14987" xr:uid="{1181DD5C-0855-4543-8E8D-3FA0D1405AC4}"/>
    <cellStyle name="Normal 2 10 7" xfId="3787" xr:uid="{518FA295-D8E6-4FED-B958-7995796B86E0}"/>
    <cellStyle name="Normal 2 10 7 2" xfId="8626" xr:uid="{DF8E0C14-C08B-4D4E-8B85-5D64FADE70B5}"/>
    <cellStyle name="Normal 2 10 7 2 2" xfId="19006" xr:uid="{ACBA6765-E82B-40E4-8880-08D673526B82}"/>
    <cellStyle name="Normal 2 10 7 3" xfId="11459" xr:uid="{B3B5DF78-D8AF-4EDA-998E-39990D31FCD8}"/>
    <cellStyle name="Normal 2 10 7 3 2" xfId="21839" xr:uid="{92F6B062-43CF-4C49-BC32-F58100DAAC0E}"/>
    <cellStyle name="Normal 2 10 7 4" xfId="26544" xr:uid="{740D2E73-59CD-42D3-B046-5A1CFF56CCE5}"/>
    <cellStyle name="Normal 2 10 7 5" xfId="16173" xr:uid="{E850A9D8-B814-422E-8901-B9B7BCB32F8B}"/>
    <cellStyle name="Normal 2 10 8" xfId="5040" xr:uid="{8B8E9146-C08B-4340-A020-2D969D66A976}"/>
    <cellStyle name="Normal 2 10 8 2" xfId="14336" xr:uid="{E740B02E-4A03-4B04-9557-5007D61D822E}"/>
    <cellStyle name="Normal 2 10 9" xfId="6789" xr:uid="{93F39D5F-0B91-48F9-A606-E5256C9A4BF8}"/>
    <cellStyle name="Normal 2 10 9 2" xfId="17169" xr:uid="{02CFE5B8-BBCE-4940-BE7B-08B07D6A68F7}"/>
    <cellStyle name="Normal 2 11" xfId="688" xr:uid="{00000000-0005-0000-0000-00005C040000}"/>
    <cellStyle name="Normal 2 11 10" xfId="9627" xr:uid="{7548FCAA-9289-4A47-BA79-68BAFF6D3460}"/>
    <cellStyle name="Normal 2 11 10 2" xfId="20007" xr:uid="{A173D02A-D76A-45AF-9D7E-CF93B835499F}"/>
    <cellStyle name="Normal 2 11 11" xfId="23297" xr:uid="{17368848-A1E5-4BD5-A1FE-E3698DB59D92}"/>
    <cellStyle name="Normal 2 11 12" xfId="12548" xr:uid="{CDFC12FC-8415-4608-AA79-491AC8CBA97C}"/>
    <cellStyle name="Normal 2 11 2" xfId="689" xr:uid="{00000000-0005-0000-0000-00005D040000}"/>
    <cellStyle name="Normal 2 11 2 2" xfId="690" xr:uid="{00000000-0005-0000-0000-00005E040000}"/>
    <cellStyle name="Normal 2 11 2 2 2" xfId="5047" xr:uid="{A121F22B-E9DC-42F4-B6C5-AB0316A4170F}"/>
    <cellStyle name="Normal 2 11 2 2 2 2" xfId="24721" xr:uid="{FB5F1BBE-6AB3-41AF-8185-463AD36EB213}"/>
    <cellStyle name="Normal 2 11 2 2 2 3" xfId="26690" xr:uid="{FF9964BB-61F7-4489-80BE-4BF8BFA0CAFD}"/>
    <cellStyle name="Normal 2 11 2 2 2 4" xfId="14343" xr:uid="{85C26CF3-9A61-41B4-9EFA-809A6A39FA16}"/>
    <cellStyle name="Normal 2 11 2 2 3" xfId="6796" xr:uid="{463C792A-969D-45EA-890B-D4320993EA6A}"/>
    <cellStyle name="Normal 2 11 2 2 3 2" xfId="27573" xr:uid="{2450452C-7EDC-4CDD-8592-E8D48DD6E376}"/>
    <cellStyle name="Normal 2 11 2 2 3 3" xfId="26775" xr:uid="{441DF291-444B-43E1-A2AC-6EDBE1179BC5}"/>
    <cellStyle name="Normal 2 11 2 2 3 4" xfId="17176" xr:uid="{E6E690B2-CFF4-4E20-8FE2-C1CE4943C2CE}"/>
    <cellStyle name="Normal 2 11 2 2 4" xfId="9629" xr:uid="{DB6D3923-1ED3-4A63-89AA-B99AC5FED05C}"/>
    <cellStyle name="Normal 2 11 2 2 4 2" xfId="29381" xr:uid="{70BD47A4-93BD-4240-828D-C84766DEECF7}"/>
    <cellStyle name="Normal 2 11 2 2 4 3" xfId="20009" xr:uid="{0E3F1D15-7B3C-4D4B-8FE1-584FDBF7F8E3}"/>
    <cellStyle name="Normal 2 11 2 2 5" xfId="24825" xr:uid="{EBA2E477-AD16-452A-88E4-24DD740FE92F}"/>
    <cellStyle name="Normal 2 11 2 2 6" xfId="13676" xr:uid="{0C357037-5A12-4E9F-A359-B6EE41BB8FAC}"/>
    <cellStyle name="Normal 2 11 2 3" xfId="2714" xr:uid="{00000000-0005-0000-0000-000082030000}"/>
    <cellStyle name="Normal 2 11 2 3 2" xfId="5932" xr:uid="{9A09F166-FA77-4869-954E-ADAB91502713}"/>
    <cellStyle name="Normal 2 11 2 3 2 2" xfId="27084" xr:uid="{D2CD80BB-9D3A-4852-8F45-D9B4481616CB}"/>
    <cellStyle name="Normal 2 11 2 3 2 3" xfId="15385" xr:uid="{F33F2DAC-F98D-48AB-8924-842E8DBA5A51}"/>
    <cellStyle name="Normal 2 11 2 3 3" xfId="7838" xr:uid="{B4A9C05E-4CE1-4774-BB3D-6872279E97A9}"/>
    <cellStyle name="Normal 2 11 2 3 3 2" xfId="18218" xr:uid="{B64314EC-7446-45FD-9DDF-84AD8E4E2989}"/>
    <cellStyle name="Normal 2 11 2 3 4" xfId="10671" xr:uid="{57A0FED7-EE91-4F36-B209-B14BD447FFDB}"/>
    <cellStyle name="Normal 2 11 2 3 4 2" xfId="21051" xr:uid="{4C7B949E-1FB9-4AAC-8BF3-235375D74781}"/>
    <cellStyle name="Normal 2 11 2 3 5" xfId="25372" xr:uid="{0DCA70EE-9F8E-474B-9424-83BEB2617289}"/>
    <cellStyle name="Normal 2 11 2 3 6" xfId="13141" xr:uid="{31C34A61-71BC-4FA9-A305-6233FF33ADB2}"/>
    <cellStyle name="Normal 2 11 2 4" xfId="4152" xr:uid="{6318FECA-3F45-4155-812A-21138AD32A2F}"/>
    <cellStyle name="Normal 2 11 2 4 2" xfId="8924" xr:uid="{B9EC27BE-90BB-40FA-83FF-1CD425CCCAAF}"/>
    <cellStyle name="Normal 2 11 2 4 2 2" xfId="29023" xr:uid="{3A3C317C-E6AC-433D-BEFA-7B1878C467AC}"/>
    <cellStyle name="Normal 2 11 2 4 2 3" xfId="19304" xr:uid="{0A00667E-00DE-44A3-AE8F-86910B1AEDDC}"/>
    <cellStyle name="Normal 2 11 2 4 3" xfId="11757" xr:uid="{D08207BA-352E-413A-819E-FA704D7726FA}"/>
    <cellStyle name="Normal 2 11 2 4 3 2" xfId="22137" xr:uid="{F91428F8-9EF9-4878-98DE-CE6DE92C1F16}"/>
    <cellStyle name="Normal 2 11 2 4 4" xfId="24822" xr:uid="{B6F9C03E-37D1-4BF4-A756-E837032DF0A1}"/>
    <cellStyle name="Normal 2 11 2 4 5" xfId="16471" xr:uid="{BEF11B16-C78A-4FD0-AFBE-C19E85D82267}"/>
    <cellStyle name="Normal 2 11 2 5" xfId="5046" xr:uid="{2109241C-B5BC-4E24-B38E-4BB82FE72988}"/>
    <cellStyle name="Normal 2 11 2 5 2" xfId="27694" xr:uid="{5798BFE2-BADB-43AD-945A-44D3BCAF67DE}"/>
    <cellStyle name="Normal 2 11 2 5 3" xfId="14342" xr:uid="{B3AFDC84-0E9C-4CF5-A8AB-E3F38705A0A1}"/>
    <cellStyle name="Normal 2 11 2 6" xfId="6795" xr:uid="{40B32340-8D5B-460B-8831-8EF4ACC8C41B}"/>
    <cellStyle name="Normal 2 11 2 6 2" xfId="17175" xr:uid="{996A3F2C-39EB-4707-A2F2-F78D870EB6E8}"/>
    <cellStyle name="Normal 2 11 2 7" xfId="9628" xr:uid="{52B71E2C-50C5-44A7-90E1-88009A44BF23}"/>
    <cellStyle name="Normal 2 11 2 7 2" xfId="20008" xr:uid="{A438D991-6F78-4109-A30C-894D3D31F343}"/>
    <cellStyle name="Normal 2 11 2 8" xfId="24105" xr:uid="{AF03A40D-7B56-4DA0-ADCC-41B065F1C27F}"/>
    <cellStyle name="Normal 2 11 2 9" xfId="12706" xr:uid="{5B829EA5-7AAB-4415-9D70-13C1EC52E975}"/>
    <cellStyle name="Normal 2 11 3" xfId="691" xr:uid="{00000000-0005-0000-0000-00005F040000}"/>
    <cellStyle name="Normal 2 11 3 2" xfId="4451" xr:uid="{E4AA06BD-7FE9-48CD-90B1-A362FCBD00C8}"/>
    <cellStyle name="Normal 2 11 3 2 2" xfId="9223" xr:uid="{F0550F66-C55F-492A-A3AD-90BFD7C6BBDC}"/>
    <cellStyle name="Normal 2 11 3 2 2 2" xfId="29216" xr:uid="{37E09FE3-3014-4F20-BFD7-8E250D838089}"/>
    <cellStyle name="Normal 2 11 3 2 2 3" xfId="19603" xr:uid="{3C72F442-633A-4228-8991-E78B9EB79B03}"/>
    <cellStyle name="Normal 2 11 3 2 3" xfId="12056" xr:uid="{B946B2CC-E385-4F3B-AAC6-D354A5957472}"/>
    <cellStyle name="Normal 2 11 3 2 3 2" xfId="22436" xr:uid="{E93E7978-5662-40B0-81D3-620034DA0316}"/>
    <cellStyle name="Normal 2 11 3 2 4" xfId="25493" xr:uid="{D84B4758-CB8C-4D79-8E7D-7EE6146C1370}"/>
    <cellStyle name="Normal 2 11 3 2 5" xfId="16770" xr:uid="{095285EF-4D64-4392-9B31-8190D4A20ED2}"/>
    <cellStyle name="Normal 2 11 3 3" xfId="5048" xr:uid="{E89A2EE6-1ED1-47F2-B0C8-EA5ED086468D}"/>
    <cellStyle name="Normal 2 11 3 3 2" xfId="26776" xr:uid="{8827C68F-BD88-4085-8760-A7E1A3FA6C26}"/>
    <cellStyle name="Normal 2 11 3 3 3" xfId="28721" xr:uid="{662A2953-B65F-4D77-BC6A-49B049514D0B}"/>
    <cellStyle name="Normal 2 11 3 3 4" xfId="14344" xr:uid="{FCA7E365-B79A-448B-BA9F-C1559274F769}"/>
    <cellStyle name="Normal 2 11 3 4" xfId="6797" xr:uid="{C614A644-0336-47E7-A754-B93549ACD5B1}"/>
    <cellStyle name="Normal 2 11 3 4 2" xfId="26105" xr:uid="{BD6077F8-424E-45BA-890F-381664F411F8}"/>
    <cellStyle name="Normal 2 11 3 4 3" xfId="27928" xr:uid="{91779748-978F-4488-92EC-023F7053C0F9}"/>
    <cellStyle name="Normal 2 11 3 4 4" xfId="17177" xr:uid="{E121E7C8-2AD4-413C-B568-6D6773F8980D}"/>
    <cellStyle name="Normal 2 11 3 5" xfId="9630" xr:uid="{A96993EA-D2CD-46B2-AA33-7CA4B13204C7}"/>
    <cellStyle name="Normal 2 11 3 5 2" xfId="29382" xr:uid="{F415137C-BA0B-471C-A285-A0165AA071B4}"/>
    <cellStyle name="Normal 2 11 3 5 3" xfId="20010" xr:uid="{69F6D4C8-E326-4E7C-A2F4-77FAD8FE2A55}"/>
    <cellStyle name="Normal 2 11 3 6" xfId="25040" xr:uid="{24C1CE92-4BC4-4CB8-9D5C-F637E06C03CE}"/>
    <cellStyle name="Normal 2 11 3 7" xfId="13677" xr:uid="{C070D5ED-9226-4525-8A50-EBFAA8BEBDF9}"/>
    <cellStyle name="Normal 2 11 4" xfId="692" xr:uid="{00000000-0005-0000-0000-000060040000}"/>
    <cellStyle name="Normal 2 11 4 2" xfId="5049" xr:uid="{B459AB12-4828-4AA2-8E40-F8B486715A2D}"/>
    <cellStyle name="Normal 2 11 4 2 2" xfId="25262" xr:uid="{5E960269-814D-4456-95E2-655708844D34}"/>
    <cellStyle name="Normal 2 11 4 2 3" xfId="26090" xr:uid="{2C256AD7-078B-4201-9285-BA4F52ED228D}"/>
    <cellStyle name="Normal 2 11 4 2 4" xfId="14345" xr:uid="{6A39B338-3722-45EB-8A96-EA61AD7CBAA7}"/>
    <cellStyle name="Normal 2 11 4 3" xfId="6798" xr:uid="{3CF92346-50DA-4EB4-9C5C-3CCF6DDBC05C}"/>
    <cellStyle name="Normal 2 11 4 3 2" xfId="28543" xr:uid="{B32E054C-5B25-4561-AF31-1988B222402D}"/>
    <cellStyle name="Normal 2 11 4 3 3" xfId="17178" xr:uid="{5B29483F-8037-4C59-95DF-1295B2B45F5D}"/>
    <cellStyle name="Normal 2 11 4 4" xfId="9631" xr:uid="{8C4681F5-AAAA-46E5-9AF1-527E58636B02}"/>
    <cellStyle name="Normal 2 11 4 4 2" xfId="20011" xr:uid="{E0A811DB-F42D-4E4B-B5CF-B8996681460E}"/>
    <cellStyle name="Normal 2 11 4 5" xfId="23098" xr:uid="{C8991AE7-7C46-4C24-A122-733EF8D1EDE0}"/>
    <cellStyle name="Normal 2 11 4 6" xfId="13404" xr:uid="{62845E8B-48F5-4245-B069-A95A01B8AF7B}"/>
    <cellStyle name="Normal 2 11 5" xfId="2564" xr:uid="{00000000-0005-0000-0000-000085030000}"/>
    <cellStyle name="Normal 2 11 5 2" xfId="5833" xr:uid="{3843DFB2-AF84-43EE-B4D8-AE7AFCBBA700}"/>
    <cellStyle name="Normal 2 11 5 2 2" xfId="27269" xr:uid="{8D4F960F-5476-4E3F-B11B-250FAC601B6D}"/>
    <cellStyle name="Normal 2 11 5 2 3" xfId="15236" xr:uid="{D0010BDF-DB6D-45C2-9BF5-B06545F845E0}"/>
    <cellStyle name="Normal 2 11 5 3" xfId="7689" xr:uid="{44B9F64B-A6E0-4186-B934-BA18663C252F}"/>
    <cellStyle name="Normal 2 11 5 3 2" xfId="18069" xr:uid="{97428237-8D3A-49DB-965A-577A4C3636D2}"/>
    <cellStyle name="Normal 2 11 5 4" xfId="10522" xr:uid="{671E1D28-6DC0-42BC-B9C0-60C548BCDE3F}"/>
    <cellStyle name="Normal 2 11 5 4 2" xfId="20902" xr:uid="{A880F3B5-688A-4283-B8C5-7C7FE41008B3}"/>
    <cellStyle name="Normal 2 11 5 5" xfId="23035" xr:uid="{3E971D98-ED51-449C-8034-B00CD32D0621}"/>
    <cellStyle name="Normal 2 11 5 6" xfId="12952" xr:uid="{E1E1477C-2118-45A7-9CD4-049AB2E9D66F}"/>
    <cellStyle name="Normal 2 11 6" xfId="2314" xr:uid="{00000000-0005-0000-0000-00007F030000}"/>
    <cellStyle name="Normal 2 11 6 2" xfId="7441" xr:uid="{69E11F5C-F7BF-4C8E-AD28-0E8B14D6579A}"/>
    <cellStyle name="Normal 2 11 6 2 2" xfId="26938" xr:uid="{9E12E909-DDE7-4313-AB68-987C5001D703}"/>
    <cellStyle name="Normal 2 11 6 2 3" xfId="17821" xr:uid="{373AEC07-D39E-4183-8813-DBA35C3F2492}"/>
    <cellStyle name="Normal 2 11 6 3" xfId="10274" xr:uid="{539AB551-65C7-4741-B5A2-D5FCDB5026CD}"/>
    <cellStyle name="Normal 2 11 6 3 2" xfId="20654" xr:uid="{A8188C4A-C06A-45AD-B4D1-6BC021A6D367}"/>
    <cellStyle name="Normal 2 11 6 4" xfId="22766" xr:uid="{116E2B37-4337-40A3-B329-BE5487142260}"/>
    <cellStyle name="Normal 2 11 6 5" xfId="14988" xr:uid="{67241E7E-C338-4013-BCAF-399ABDFB593E}"/>
    <cellStyle name="Normal 2 11 7" xfId="3918" xr:uid="{06BB3BE3-9D12-4985-BD31-756EEB205484}"/>
    <cellStyle name="Normal 2 11 7 2" xfId="8750" xr:uid="{F57683C8-A1C4-4944-8FD6-7F4EE5939C8F}"/>
    <cellStyle name="Normal 2 11 7 2 2" xfId="19130" xr:uid="{CE16FD75-23A0-4DCC-BFCD-A73B6318A001}"/>
    <cellStyle name="Normal 2 11 7 3" xfId="11583" xr:uid="{82F203D4-7521-454E-A00F-E5AD75C1763C}"/>
    <cellStyle name="Normal 2 11 7 3 2" xfId="21963" xr:uid="{FB0B6F23-F158-4F56-B6D4-B7BC8BEDF650}"/>
    <cellStyle name="Normal 2 11 7 4" xfId="26486" xr:uid="{DBD1EC51-B97B-4FB0-A2A1-503AD5AA6633}"/>
    <cellStyle name="Normal 2 11 7 5" xfId="16297" xr:uid="{C552E4D6-655E-41D0-87B8-4B144DD82BBF}"/>
    <cellStyle name="Normal 2 11 8" xfId="5045" xr:uid="{1F883003-EC5B-4260-8FC9-7C6DB9ABE434}"/>
    <cellStyle name="Normal 2 11 8 2" xfId="14341" xr:uid="{C0136DF8-21E1-4D0E-9F14-3B063A768726}"/>
    <cellStyle name="Normal 2 11 9" xfId="6794" xr:uid="{44DE699F-26F4-406B-AC29-3FB1BDB84D9D}"/>
    <cellStyle name="Normal 2 11 9 2" xfId="17174" xr:uid="{17C94238-CFBE-4971-BCCC-B358BCF6191F}"/>
    <cellStyle name="Normal 2 12" xfId="693" xr:uid="{00000000-0005-0000-0000-000061040000}"/>
    <cellStyle name="Normal 2 12 10" xfId="24315" xr:uid="{C4B1694A-5BCF-45DE-9B73-CFCDB20B6893}"/>
    <cellStyle name="Normal 2 12 11" xfId="12549" xr:uid="{BFFFDA71-7163-41DB-9A19-3654BD8B95EB}"/>
    <cellStyle name="Normal 2 12 2" xfId="694" xr:uid="{00000000-0005-0000-0000-000062040000}"/>
    <cellStyle name="Normal 2 12 2 2" xfId="3146" xr:uid="{00000000-0005-0000-0000-000088030000}"/>
    <cellStyle name="Normal 2 12 2 2 2" xfId="6204" xr:uid="{6C071AA9-8052-4A19-BBC4-C8E53F832150}"/>
    <cellStyle name="Normal 2 12 2 2 2 2" xfId="25990" xr:uid="{F695E4B9-4BC3-47BC-9CA0-3B7921F5510E}"/>
    <cellStyle name="Normal 2 12 2 2 2 3" xfId="27230" xr:uid="{38AFDA61-A737-403B-A881-135D42BED6E6}"/>
    <cellStyle name="Normal 2 12 2 2 2 4" xfId="15773" xr:uid="{FD12E452-2EC6-4BC0-9A90-3CB71518575D}"/>
    <cellStyle name="Normal 2 12 2 2 3" xfId="8226" xr:uid="{EC34CF9E-73C1-4F11-877E-764BEF518540}"/>
    <cellStyle name="Normal 2 12 2 2 3 2" xfId="28871" xr:uid="{6779F0AC-58B0-4A9E-9D88-CC257E668B5C}"/>
    <cellStyle name="Normal 2 12 2 2 3 3" xfId="18606" xr:uid="{A4154F23-51F5-449E-8A05-FDD905E69D20}"/>
    <cellStyle name="Normal 2 12 2 2 4" xfId="11059" xr:uid="{D0A10C70-916A-4888-9EEA-ED28F8E4FF6D}"/>
    <cellStyle name="Normal 2 12 2 2 4 2" xfId="21439" xr:uid="{CF5B5B14-00CE-4717-B460-9F1F01FE11E2}"/>
    <cellStyle name="Normal 2 12 2 2 5" xfId="23632" xr:uid="{26CF3B86-1C4D-4D2A-A134-D8A6565FFB65}"/>
    <cellStyle name="Normal 2 12 2 2 6" xfId="13678" xr:uid="{873C0DE1-ED71-4AE4-AD00-59466186DF89}"/>
    <cellStyle name="Normal 2 12 2 3" xfId="4153" xr:uid="{D6D889A8-360D-4F80-BE4E-266A6A20A4BF}"/>
    <cellStyle name="Normal 2 12 2 3 2" xfId="8925" xr:uid="{A16E22F0-1D4D-45A4-AA47-286B6C3ADAA3}"/>
    <cellStyle name="Normal 2 12 2 3 2 2" xfId="29024" xr:uid="{83CBF888-FA03-447F-8596-28C7633A1CC7}"/>
    <cellStyle name="Normal 2 12 2 3 2 3" xfId="19305" xr:uid="{538EA8EF-BD3F-48CE-8778-1FD143DD9B26}"/>
    <cellStyle name="Normal 2 12 2 3 3" xfId="11758" xr:uid="{F3A7152B-C212-4717-A9E4-13C63A060CD2}"/>
    <cellStyle name="Normal 2 12 2 3 3 2" xfId="22138" xr:uid="{CD431837-B461-4DAD-AEF5-D8B2EA3EC706}"/>
    <cellStyle name="Normal 2 12 2 3 4" xfId="25526" xr:uid="{7C6351C7-1DF0-49F4-89CA-46204D01BE09}"/>
    <cellStyle name="Normal 2 12 2 3 5" xfId="16472" xr:uid="{B1C6F4CE-8387-4716-88CE-B2A151364380}"/>
    <cellStyle name="Normal 2 12 2 4" xfId="5051" xr:uid="{F62C2ABC-1BB4-4029-953A-D59273C67F6E}"/>
    <cellStyle name="Normal 2 12 2 4 2" xfId="26666" xr:uid="{0B9CEAF7-1404-42E7-A05F-D198DDED00CE}"/>
    <cellStyle name="Normal 2 12 2 4 3" xfId="26013" xr:uid="{9DEAB642-BE4E-4E78-A67E-70699AD08010}"/>
    <cellStyle name="Normal 2 12 2 4 4" xfId="14347" xr:uid="{48070E90-91AC-435A-A5A8-EE27C64ECD30}"/>
    <cellStyle name="Normal 2 12 2 5" xfId="6800" xr:uid="{BDA83EE7-03C3-42D1-A66E-72EC9F67172F}"/>
    <cellStyle name="Normal 2 12 2 5 2" xfId="27693" xr:uid="{687265EA-AABC-48CA-A712-B105A5D5D19F}"/>
    <cellStyle name="Normal 2 12 2 5 3" xfId="17180" xr:uid="{82FC7CC3-B637-4692-A214-3CD7CFD6DF5D}"/>
    <cellStyle name="Normal 2 12 2 6" xfId="9633" xr:uid="{1638419B-06C1-42AB-9F98-77B9A86A3617}"/>
    <cellStyle name="Normal 2 12 2 6 2" xfId="20013" xr:uid="{6079A914-03B8-4C16-8E6F-9BCDF6ACEFB3}"/>
    <cellStyle name="Normal 2 12 2 7" xfId="23841" xr:uid="{7C71DCE9-5F17-4CC9-9737-9F99AF9F3569}"/>
    <cellStyle name="Normal 2 12 2 8" xfId="12707" xr:uid="{8DDC709A-75C5-4897-9B52-E8F6F1A3181B}"/>
    <cellStyle name="Normal 2 12 3" xfId="695" xr:uid="{00000000-0005-0000-0000-000063040000}"/>
    <cellStyle name="Normal 2 12 3 2" xfId="5052" xr:uid="{CCC813CD-B7C3-42C7-A528-E5AC42534405}"/>
    <cellStyle name="Normal 2 12 3 2 2" xfId="25267" xr:uid="{A77A91DB-57CE-4117-B9A7-D2B1DBB076DB}"/>
    <cellStyle name="Normal 2 12 3 2 3" xfId="28129" xr:uid="{F62CBC98-6ADF-4C8A-8ADE-D1476DB1C7F4}"/>
    <cellStyle name="Normal 2 12 3 2 4" xfId="14348" xr:uid="{1A6A9825-4FB8-448D-8E8D-BB1048C7D29A}"/>
    <cellStyle name="Normal 2 12 3 3" xfId="6801" xr:uid="{1CFA7D1D-7493-40E9-BCE4-7710842CBAFE}"/>
    <cellStyle name="Normal 2 12 3 3 2" xfId="28733" xr:uid="{41CD5769-6139-4791-9F18-3E8DFDE530F4}"/>
    <cellStyle name="Normal 2 12 3 3 3" xfId="28263" xr:uid="{C966000D-184A-49D0-A2FF-DE2BB300B107}"/>
    <cellStyle name="Normal 2 12 3 3 4" xfId="17181" xr:uid="{EBA3E272-AFDC-446B-977E-9F575C9FF67C}"/>
    <cellStyle name="Normal 2 12 3 4" xfId="9634" xr:uid="{C2EE0B6B-E4B6-4424-B574-89BE29F83862}"/>
    <cellStyle name="Normal 2 12 3 4 2" xfId="26926" xr:uid="{D86BA0A1-F63D-4904-BE59-A0269A7B455F}"/>
    <cellStyle name="Normal 2 12 3 4 3" xfId="29383" xr:uid="{787C53C1-CC97-472E-BB39-879554D19472}"/>
    <cellStyle name="Normal 2 12 3 4 4" xfId="20014" xr:uid="{CD4337CD-DEB4-435A-8FF3-AA4B0D6DFDB8}"/>
    <cellStyle name="Normal 2 12 3 5" xfId="24528" xr:uid="{A71F60CB-D922-4F5A-9AD6-54A8BDC0EB0C}"/>
    <cellStyle name="Normal 2 12 3 6" xfId="26866" xr:uid="{1D230C7E-42DC-4938-B1D1-54C79D0144FB}"/>
    <cellStyle name="Normal 2 12 3 7" xfId="13405" xr:uid="{87A5CEEB-4A97-4BFC-BAA5-FB0FCC8F2AB3}"/>
    <cellStyle name="Normal 2 12 4" xfId="2715" xr:uid="{00000000-0005-0000-0000-00008A030000}"/>
    <cellStyle name="Normal 2 12 4 2" xfId="5933" xr:uid="{6EDD2CC7-2227-43CD-82A7-24FAE130A86C}"/>
    <cellStyle name="Normal 2 12 4 2 2" xfId="26960" xr:uid="{024009E2-69BC-4D14-85E4-41DAC904AAC2}"/>
    <cellStyle name="Normal 2 12 4 2 3" xfId="15386" xr:uid="{038E392B-4452-45D1-8175-0D0EF474C8A6}"/>
    <cellStyle name="Normal 2 12 4 3" xfId="7839" xr:uid="{E0B3EA40-2C1C-44F2-B694-F9521881BF73}"/>
    <cellStyle name="Normal 2 12 4 3 2" xfId="18219" xr:uid="{B472CFE4-A8DF-4F8A-BE9A-CF47B3E19988}"/>
    <cellStyle name="Normal 2 12 4 4" xfId="10672" xr:uid="{D99342C7-A30D-4D14-8108-8C3DECC0681A}"/>
    <cellStyle name="Normal 2 12 4 4 2" xfId="21052" xr:uid="{C3B3BD40-4897-4BAB-AE6F-B5D7241EEB89}"/>
    <cellStyle name="Normal 2 12 4 5" xfId="23047" xr:uid="{403BE773-368D-4016-90E9-A4AFA6A0328E}"/>
    <cellStyle name="Normal 2 12 4 6" xfId="13142" xr:uid="{35741350-EEE0-4A6C-A2C8-88454173C03D}"/>
    <cellStyle name="Normal 2 12 5" xfId="2315" xr:uid="{00000000-0005-0000-0000-000086030000}"/>
    <cellStyle name="Normal 2 12 5 2" xfId="7442" xr:uid="{DC74244F-CEF2-40BA-8E8B-AA2F626EA3B1}"/>
    <cellStyle name="Normal 2 12 5 2 2" xfId="27191" xr:uid="{12ED516D-C73E-4159-ABAD-D572C6B0472C}"/>
    <cellStyle name="Normal 2 12 5 2 3" xfId="17822" xr:uid="{A3327FF1-3D14-4461-8F48-9B893F7E937A}"/>
    <cellStyle name="Normal 2 12 5 3" xfId="10275" xr:uid="{2F6BF530-90FD-4764-B767-726AEAE083C0}"/>
    <cellStyle name="Normal 2 12 5 3 2" xfId="20655" xr:uid="{086AB441-B602-4A8B-8825-81A7CE08EDE3}"/>
    <cellStyle name="Normal 2 12 5 4" xfId="23383" xr:uid="{1930B0EF-6E92-4AD4-91BE-C5868B2324D3}"/>
    <cellStyle name="Normal 2 12 5 5" xfId="14989" xr:uid="{24197653-0156-4DCD-AAC4-185551D9B75C}"/>
    <cellStyle name="Normal 2 12 6" xfId="3919" xr:uid="{862F9C56-87FC-4028-AEE0-D599749BAE49}"/>
    <cellStyle name="Normal 2 12 6 2" xfId="8751" xr:uid="{4FE3C1CA-2370-4773-903B-43E21AD7A1A4}"/>
    <cellStyle name="Normal 2 12 6 2 2" xfId="28975" xr:uid="{88234ACF-7E58-4A8D-8098-E71BB925D1F5}"/>
    <cellStyle name="Normal 2 12 6 2 3" xfId="19131" xr:uid="{8A0FA511-4F05-41B9-9E2A-8EDE7BD4E1C5}"/>
    <cellStyle name="Normal 2 12 6 3" xfId="11584" xr:uid="{42E6267B-FCAD-4BAE-BAD2-0197454CED5A}"/>
    <cellStyle name="Normal 2 12 6 3 2" xfId="21964" xr:uid="{9BEE1500-3526-4456-B1DE-487CBCA099FF}"/>
    <cellStyle name="Normal 2 12 6 4" xfId="27262" xr:uid="{9509CF65-F4CD-4A01-B23A-D9B9F2577566}"/>
    <cellStyle name="Normal 2 12 6 5" xfId="16298" xr:uid="{32B63F1B-CB00-443A-B658-9EF61CC085BF}"/>
    <cellStyle name="Normal 2 12 7" xfId="5050" xr:uid="{205DCC1C-D8B2-45D1-9E98-A8EC02216FA7}"/>
    <cellStyle name="Normal 2 12 7 2" xfId="27217" xr:uid="{0DCF1CAA-9412-4493-867B-E55880945362}"/>
    <cellStyle name="Normal 2 12 7 3" xfId="14346" xr:uid="{45B08D12-5F3A-46E1-8825-F340495B8EA6}"/>
    <cellStyle name="Normal 2 12 8" xfId="6799" xr:uid="{3E9A390C-A202-4D43-8789-BFABD91A663E}"/>
    <cellStyle name="Normal 2 12 8 2" xfId="17179" xr:uid="{D6CDDCE8-823E-46BE-93B7-C9BAD3FB48F6}"/>
    <cellStyle name="Normal 2 12 9" xfId="9632" xr:uid="{9A2B37B7-75C6-4AB4-A526-78B3BAB40987}"/>
    <cellStyle name="Normal 2 12 9 2" xfId="20012" xr:uid="{FD04D961-0A2A-4BFA-9186-70C7CDAB289E}"/>
    <cellStyle name="Normal 2 13" xfId="696" xr:uid="{00000000-0005-0000-0000-000064040000}"/>
    <cellStyle name="Normal 2 13 10" xfId="12550" xr:uid="{607C6339-EF34-4CA7-B007-093589A9DFF1}"/>
    <cellStyle name="Normal 2 13 2" xfId="697" xr:uid="{00000000-0005-0000-0000-000065040000}"/>
    <cellStyle name="Normal 2 13 2 2" xfId="2896" xr:uid="{00000000-0005-0000-0000-00008D030000}"/>
    <cellStyle name="Normal 2 13 2 2 2" xfId="6082" xr:uid="{E7CD39CE-381A-480F-8304-93B35A1E0682}"/>
    <cellStyle name="Normal 2 13 2 2 2 2" xfId="28010" xr:uid="{9854EA64-D986-4B49-A540-0ECA80FCEA37}"/>
    <cellStyle name="Normal 2 13 2 2 2 3" xfId="26643" xr:uid="{3F1FD5B6-B6CD-4ACB-81A0-D882C93C8B85}"/>
    <cellStyle name="Normal 2 13 2 2 2 4" xfId="15560" xr:uid="{870D363D-9308-4DD1-890B-6775A99DE0C9}"/>
    <cellStyle name="Normal 2 13 2 2 3" xfId="8013" xr:uid="{25095A88-A81D-42AE-AF2C-DBADA90D3AC1}"/>
    <cellStyle name="Normal 2 13 2 2 3 2" xfId="27898" xr:uid="{312B33F7-0587-48D5-B937-0C1DDA6D7348}"/>
    <cellStyle name="Normal 2 13 2 2 3 3" xfId="18393" xr:uid="{E002EEA5-C0DA-4285-A382-40BA20D929BD}"/>
    <cellStyle name="Normal 2 13 2 2 4" xfId="10846" xr:uid="{71BB9C2D-DF6D-459D-95F5-030FDE47A73E}"/>
    <cellStyle name="Normal 2 13 2 2 4 2" xfId="21226" xr:uid="{C52CE360-551D-43D7-8E1F-982CAD2A7CE3}"/>
    <cellStyle name="Normal 2 13 2 2 5" xfId="24831" xr:uid="{17456269-B238-4D4B-AB28-04A2ABB60D54}"/>
    <cellStyle name="Normal 2 13 2 2 6" xfId="13406" xr:uid="{38B46987-3AED-480E-8634-DEC961362DBF}"/>
    <cellStyle name="Normal 2 13 2 3" xfId="5054" xr:uid="{C9DD66FA-B797-44BE-9410-5751FBD68DB7}"/>
    <cellStyle name="Normal 2 13 2 3 2" xfId="25401" xr:uid="{D76BF7DB-D0CE-4DA6-8D43-039205485AB8}"/>
    <cellStyle name="Normal 2 13 2 3 3" xfId="28712" xr:uid="{A8A6D2A8-1314-49BF-8395-21ABE9006B2F}"/>
    <cellStyle name="Normal 2 13 2 3 4" xfId="14350" xr:uid="{3E9E1CEC-20B8-4297-AF85-22B2129D76E3}"/>
    <cellStyle name="Normal 2 13 2 4" xfId="6803" xr:uid="{5B4DBFDA-5B2E-45CA-A5D1-EE20766DBB63}"/>
    <cellStyle name="Normal 2 13 2 4 2" xfId="26582" xr:uid="{3C5FB58E-3930-4A1D-AAA5-9891C20A8A77}"/>
    <cellStyle name="Normal 2 13 2 4 3" xfId="26782" xr:uid="{D38BDE4A-B84E-4801-ADA2-55FE88D7D48E}"/>
    <cellStyle name="Normal 2 13 2 4 4" xfId="17183" xr:uid="{35B851E9-70DE-4CEE-AE83-D37F0EA6D399}"/>
    <cellStyle name="Normal 2 13 2 5" xfId="9636" xr:uid="{955ACF57-2DC0-4076-81F5-1243B7117EF2}"/>
    <cellStyle name="Normal 2 13 2 5 2" xfId="29384" xr:uid="{4DA17BA7-05FA-4293-AD12-06B398A16DA6}"/>
    <cellStyle name="Normal 2 13 2 5 3" xfId="20016" xr:uid="{213CDD61-EBBA-4353-A7AD-8D16FE7D192B}"/>
    <cellStyle name="Normal 2 13 2 6" xfId="23569" xr:uid="{A0A782DB-AEF9-44EF-BB70-DDB14D6F3F53}"/>
    <cellStyle name="Normal 2 13 2 7" xfId="12708" xr:uid="{49B418C9-0409-418F-8BC6-D6E3895FCCE4}"/>
    <cellStyle name="Normal 2 13 3" xfId="698" xr:uid="{00000000-0005-0000-0000-000066040000}"/>
    <cellStyle name="Normal 2 13 3 2" xfId="5055" xr:uid="{16B57749-BC2F-4EBA-8A66-16C913CCE0A7}"/>
    <cellStyle name="Normal 2 13 3 2 2" xfId="26676" xr:uid="{4CE37BDF-DDA6-4EF4-A8BE-19F02199E1C5}"/>
    <cellStyle name="Normal 2 13 3 2 3" xfId="26170" xr:uid="{C0B932BA-994D-4246-B559-E24B1500E6E2}"/>
    <cellStyle name="Normal 2 13 3 2 4" xfId="14351" xr:uid="{4B9D994D-9B7F-4BAE-9A81-F34F5BDEB577}"/>
    <cellStyle name="Normal 2 13 3 3" xfId="6804" xr:uid="{629CD0E2-4D5B-451A-B552-F635A4777AA9}"/>
    <cellStyle name="Normal 2 13 3 3 2" xfId="27353" xr:uid="{38F693FB-6BC9-4DE0-96E1-669B38E1019A}"/>
    <cellStyle name="Normal 2 13 3 3 3" xfId="27786" xr:uid="{9680442B-8245-4246-A718-160A9B4BF8B1}"/>
    <cellStyle name="Normal 2 13 3 3 4" xfId="17184" xr:uid="{8323F49B-5484-4FB6-A4F9-5C80BEBC965C}"/>
    <cellStyle name="Normal 2 13 3 4" xfId="9637" xr:uid="{F3E931C3-F020-4CB7-9A99-B88618CE1F14}"/>
    <cellStyle name="Normal 2 13 3 4 2" xfId="29385" xr:uid="{D01D4042-F080-4C53-BD18-CDD381A6175C}"/>
    <cellStyle name="Normal 2 13 3 4 3" xfId="20017" xr:uid="{6DB56589-5B17-4810-8000-63FFF2681DCE}"/>
    <cellStyle name="Normal 2 13 3 5" xfId="23213" xr:uid="{7BF45036-8F2B-49EA-B7BD-11796D6E0761}"/>
    <cellStyle name="Normal 2 13 3 6" xfId="13143" xr:uid="{F3A004A6-7AA8-48A4-9171-2AFF8C2B85B7}"/>
    <cellStyle name="Normal 2 13 4" xfId="2316" xr:uid="{00000000-0005-0000-0000-00008B030000}"/>
    <cellStyle name="Normal 2 13 4 2" xfId="7443" xr:uid="{9FDCFD15-2045-4A73-B622-AAF6F3D2DB93}"/>
    <cellStyle name="Normal 2 13 4 2 2" xfId="27133" xr:uid="{BF7D1718-C9FB-4127-BC76-F04B7B5D282A}"/>
    <cellStyle name="Normal 2 13 4 2 3" xfId="17823" xr:uid="{21DDEA4D-1D09-4C5B-962F-FF6625B56D26}"/>
    <cellStyle name="Normal 2 13 4 3" xfId="10276" xr:uid="{940BD426-6BBD-4FF7-93CB-9B9049819199}"/>
    <cellStyle name="Normal 2 13 4 3 2" xfId="20656" xr:uid="{3E70BC60-4938-42BA-ADAC-D4256578727F}"/>
    <cellStyle name="Normal 2 13 4 4" xfId="23222" xr:uid="{BDD319B5-62A8-4F8E-837C-6526D1A0B017}"/>
    <cellStyle name="Normal 2 13 4 5" xfId="14990" xr:uid="{E57267F2-BDCA-4007-B707-B4B798846748}"/>
    <cellStyle name="Normal 2 13 5" xfId="3920" xr:uid="{AC20E962-BB90-4FD9-AACA-F35BDE47B5CC}"/>
    <cellStyle name="Normal 2 13 5 2" xfId="8752" xr:uid="{B76659DB-71A3-4D9A-81B3-85C900BAE2A4}"/>
    <cellStyle name="Normal 2 13 5 2 2" xfId="28976" xr:uid="{ABE0CF6F-4A69-4581-B8E2-387E2E91F688}"/>
    <cellStyle name="Normal 2 13 5 2 3" xfId="19132" xr:uid="{2EEF2137-3ACA-45D2-BDD9-EC95A5EF6D5A}"/>
    <cellStyle name="Normal 2 13 5 3" xfId="11585" xr:uid="{B612831D-FB7F-41B9-906D-ADCD843F1893}"/>
    <cellStyle name="Normal 2 13 5 3 2" xfId="21965" xr:uid="{E4933414-0080-41AE-BF13-7DEFA8A01D4A}"/>
    <cellStyle name="Normal 2 13 5 4" xfId="24187" xr:uid="{93C18363-F828-42DA-900A-A93383C46AF8}"/>
    <cellStyle name="Normal 2 13 5 5" xfId="16299" xr:uid="{8071185E-916E-422A-8C47-1CEDA5601695}"/>
    <cellStyle name="Normal 2 13 6" xfId="5053" xr:uid="{7B2222A7-5518-4240-ABEF-BB54564377AF}"/>
    <cellStyle name="Normal 2 13 6 2" xfId="28665" xr:uid="{509D706F-B397-497B-B228-7E14A9FD0E9D}"/>
    <cellStyle name="Normal 2 13 6 3" xfId="28527" xr:uid="{995C575B-22C2-4EB5-9366-2DA73AF2183D}"/>
    <cellStyle name="Normal 2 13 6 4" xfId="14349" xr:uid="{B52B2403-5BC0-40BA-9B3C-4D3583CA869C}"/>
    <cellStyle name="Normal 2 13 7" xfId="6802" xr:uid="{51956793-B0A0-42C4-AF73-0CD50D0F0060}"/>
    <cellStyle name="Normal 2 13 7 2" xfId="25838" xr:uid="{B020079B-E1E3-4D6B-892E-4E6785B372D3}"/>
    <cellStyle name="Normal 2 13 7 3" xfId="17182" xr:uid="{6FABBDF4-5A02-47AC-8BBA-64ED8D97D7BD}"/>
    <cellStyle name="Normal 2 13 8" xfId="9635" xr:uid="{29066DE0-0AC4-40A5-A210-1F32B4403DD1}"/>
    <cellStyle name="Normal 2 13 8 2" xfId="20015" xr:uid="{40C4E7B4-633A-405F-98B9-71C300C04F3E}"/>
    <cellStyle name="Normal 2 13 9" xfId="23537" xr:uid="{E3D13D6F-55A0-45A0-8F71-C656C2403A8B}"/>
    <cellStyle name="Normal 2 14" xfId="699" xr:uid="{00000000-0005-0000-0000-000067040000}"/>
    <cellStyle name="Normal 2 14 10" xfId="12498" xr:uid="{E4B5DED5-9547-46A4-84B7-2070BD7594F5}"/>
    <cellStyle name="Normal 2 14 2" xfId="700" xr:uid="{00000000-0005-0000-0000-000068040000}"/>
    <cellStyle name="Normal 2 14 2 2" xfId="5057" xr:uid="{1363D8E9-2358-4A8D-9C52-EE95A4EF83AB}"/>
    <cellStyle name="Normal 2 14 2 2 2" xfId="23647" xr:uid="{858CFCC9-7183-4B2F-B333-E1BC88013BC4}"/>
    <cellStyle name="Normal 2 14 2 2 3" xfId="26030" xr:uid="{40B98B3B-FF7B-495D-BA61-32A07F1C7778}"/>
    <cellStyle name="Normal 2 14 2 2 4" xfId="14353" xr:uid="{AEA686FA-6D4B-45CB-AA24-5FCE2B657FDE}"/>
    <cellStyle name="Normal 2 14 2 3" xfId="6806" xr:uid="{B71CAB16-0D84-48BE-9FE6-E95E192B92BF}"/>
    <cellStyle name="Normal 2 14 2 3 2" xfId="26481" xr:uid="{4F89B049-78E2-40D9-B8C7-1D736BF01293}"/>
    <cellStyle name="Normal 2 14 2 3 3" xfId="17186" xr:uid="{EFE3F972-A6A9-417F-8812-50DAFD47C87F}"/>
    <cellStyle name="Normal 2 14 2 4" xfId="9639" xr:uid="{6CA6BDB9-9B84-4635-8818-F3FF250B3FF6}"/>
    <cellStyle name="Normal 2 14 2 4 2" xfId="20019" xr:uid="{8DA8322E-FA58-48C2-9857-5F86B153E87A}"/>
    <cellStyle name="Normal 2 14 2 5" xfId="24374" xr:uid="{CEF9AF8D-2CF6-4C9A-8003-3940DE7E9F12}"/>
    <cellStyle name="Normal 2 14 2 6" xfId="13679" xr:uid="{174C2A17-2022-4783-8EFD-559BCAD0B7C8}"/>
    <cellStyle name="Normal 2 14 3" xfId="2866" xr:uid="{00000000-0005-0000-0000-000091030000}"/>
    <cellStyle name="Normal 2 14 3 2" xfId="6074" xr:uid="{433CEF8A-6A09-4ED8-AB5B-0926C5EB880D}"/>
    <cellStyle name="Normal 2 14 3 2 2" xfId="28115" xr:uid="{ED8068E4-02E9-4FD7-B3C2-595B9801CF8B}"/>
    <cellStyle name="Normal 2 14 3 2 3" xfId="15530" xr:uid="{FD6EB884-8A67-412A-97AB-66F0E8320116}"/>
    <cellStyle name="Normal 2 14 3 3" xfId="7983" xr:uid="{BA1B966F-DF06-49F3-9029-ABF63BD6DC72}"/>
    <cellStyle name="Normal 2 14 3 3 2" xfId="18363" xr:uid="{B5AA080D-5C5E-4BF3-A5AF-C3BA3DFBB6E8}"/>
    <cellStyle name="Normal 2 14 3 4" xfId="10816" xr:uid="{08498F0A-B8A9-456B-824D-8206B1236DB3}"/>
    <cellStyle name="Normal 2 14 3 4 2" xfId="21196" xr:uid="{49E6165B-1E45-482D-A6DA-B1691A0050C5}"/>
    <cellStyle name="Normal 2 14 3 5" xfId="23791" xr:uid="{D5072974-2C03-4927-BE24-8778772FACC3}"/>
    <cellStyle name="Normal 2 14 3 6" xfId="13351" xr:uid="{7CB9BDEC-71AE-46E8-AC9D-08D2EC46FF1D}"/>
    <cellStyle name="Normal 2 14 4" xfId="2266" xr:uid="{00000000-0005-0000-0000-00008F030000}"/>
    <cellStyle name="Normal 2 14 4 2" xfId="7393" xr:uid="{0B907001-6677-447A-A6C2-0B09DF739454}"/>
    <cellStyle name="Normal 2 14 4 2 2" xfId="28254" xr:uid="{C0F8C62A-F16A-4B3C-AF8B-30750ECC8415}"/>
    <cellStyle name="Normal 2 14 4 2 3" xfId="17773" xr:uid="{3C0F6D6B-5410-44C0-A2DB-223EC0D3F1BC}"/>
    <cellStyle name="Normal 2 14 4 3" xfId="10226" xr:uid="{08302955-BB10-41D8-909E-3E8424E9FBB3}"/>
    <cellStyle name="Normal 2 14 4 3 2" xfId="20606" xr:uid="{3013B32C-E195-4AA3-8280-F836F29D0E34}"/>
    <cellStyle name="Normal 2 14 4 4" xfId="23520" xr:uid="{C86BF460-B055-49D0-BA39-328E04DA1CEE}"/>
    <cellStyle name="Normal 2 14 4 5" xfId="14940" xr:uid="{355B811E-59FE-40CC-B377-45F176EF503D}"/>
    <cellStyle name="Normal 2 14 5" xfId="3809" xr:uid="{D9DAA485-8357-442D-9B98-92C0F260699D}"/>
    <cellStyle name="Normal 2 14 5 2" xfId="8644" xr:uid="{FFA257BC-0620-463A-8892-FF98F7E2FEA9}"/>
    <cellStyle name="Normal 2 14 5 2 2" xfId="19024" xr:uid="{C254367F-4AEE-4169-94FB-52330374D4F4}"/>
    <cellStyle name="Normal 2 14 5 3" xfId="11477" xr:uid="{CC096F01-573E-4C8E-A134-F943EA1CE1B8}"/>
    <cellStyle name="Normal 2 14 5 3 2" xfId="21857" xr:uid="{440DB34D-A26C-498E-BEAB-741B827F6018}"/>
    <cellStyle name="Normal 2 14 5 4" xfId="26723" xr:uid="{72278402-EFDA-4577-8A0D-2FF38D6C0467}"/>
    <cellStyle name="Normal 2 14 5 5" xfId="16191" xr:uid="{23538F8E-01F0-4BE4-968D-C2682A3143FB}"/>
    <cellStyle name="Normal 2 14 6" xfId="5056" xr:uid="{003AE1A6-2D71-41E4-8367-493182C6B595}"/>
    <cellStyle name="Normal 2 14 6 2" xfId="14352" xr:uid="{5DC8EE2A-B3AE-479B-8C67-FF5DB3DD5D9A}"/>
    <cellStyle name="Normal 2 14 7" xfId="6805" xr:uid="{BFD99BEB-92C6-46EC-A90C-D7FFF9A4A6DD}"/>
    <cellStyle name="Normal 2 14 7 2" xfId="17185" xr:uid="{C535D681-CD2F-4176-A2D3-4607F3A12937}"/>
    <cellStyle name="Normal 2 14 8" xfId="9638" xr:uid="{4CC85F6F-785C-4071-B5FD-E355E9959BC3}"/>
    <cellStyle name="Normal 2 14 8 2" xfId="20018" xr:uid="{245A27DE-B47D-4235-8FF5-2773DE19B130}"/>
    <cellStyle name="Normal 2 14 9" xfId="25428" xr:uid="{55DD9E7F-4A86-4C45-BB96-9BFBCE3F7FCB}"/>
    <cellStyle name="Normal 2 15" xfId="701" xr:uid="{00000000-0005-0000-0000-000069040000}"/>
    <cellStyle name="Normal 2 15 2" xfId="702" xr:uid="{00000000-0005-0000-0000-00006A040000}"/>
    <cellStyle name="Normal 2 15 2 2" xfId="5059" xr:uid="{2BFEB100-9E5C-4387-B323-D67574CF9B7E}"/>
    <cellStyle name="Normal 2 15 2 2 2" xfId="26555" xr:uid="{A2B43DCB-B00A-482D-A40B-EE72A1E43D53}"/>
    <cellStyle name="Normal 2 15 2 2 3" xfId="14355" xr:uid="{3D68C065-92F3-43AB-99E1-4F65DB8487D7}"/>
    <cellStyle name="Normal 2 15 2 3" xfId="6808" xr:uid="{7B49F8A6-84DA-45DA-9ABE-2256DFC46515}"/>
    <cellStyle name="Normal 2 15 2 3 2" xfId="17188" xr:uid="{CAA3F761-7097-401C-A1B3-3B23208D0B9D}"/>
    <cellStyle name="Normal 2 15 2 4" xfId="9641" xr:uid="{5527F7A9-E05B-4E2E-9705-E11411FA6C58}"/>
    <cellStyle name="Normal 2 15 2 4 2" xfId="20021" xr:uid="{7503549F-4A4C-4279-AD31-4F76F925ABC4}"/>
    <cellStyle name="Normal 2 15 2 5" xfId="22893" xr:uid="{39EF4E33-F99E-4775-AB98-C096AB7B8D4D}"/>
    <cellStyle name="Normal 2 15 2 6" xfId="13354" xr:uid="{31590658-156D-4AB2-BE37-F7F99165142D}"/>
    <cellStyle name="Normal 2 15 3" xfId="5058" xr:uid="{2CBAD390-B99A-43FD-9248-D8EFF22F6AC0}"/>
    <cellStyle name="Normal 2 15 3 2" xfId="25723" xr:uid="{6A9C28D9-3083-46F9-BD79-130EB0FE65BE}"/>
    <cellStyle name="Normal 2 15 3 3" xfId="27309" xr:uid="{74C16C77-A14C-43B2-98C1-C7ADD053C533}"/>
    <cellStyle name="Normal 2 15 3 4" xfId="14354" xr:uid="{5D2F0C45-D806-4776-8CAB-00970BA81410}"/>
    <cellStyle name="Normal 2 15 4" xfId="6807" xr:uid="{6D31F998-186C-4A82-B044-AB8AC20D8683}"/>
    <cellStyle name="Normal 2 15 4 2" xfId="25635" xr:uid="{91E43EBE-1915-4800-B7E0-94D2E29B09F0}"/>
    <cellStyle name="Normal 2 15 4 3" xfId="17187" xr:uid="{623333CB-EDDB-4765-A904-CE9FBC3BF16B}"/>
    <cellStyle name="Normal 2 15 5" xfId="9640" xr:uid="{B7199FFC-96E7-4347-B276-3A7FC63208A7}"/>
    <cellStyle name="Normal 2 15 5 2" xfId="20020" xr:uid="{95357289-5930-45E0-BAB5-2E572F5D4028}"/>
    <cellStyle name="Normal 2 15 6" xfId="24645" xr:uid="{228E92B8-911F-4BEC-90AB-1F2260168AC5}"/>
    <cellStyle name="Normal 2 15 7" xfId="12656" xr:uid="{5EFFA12E-06D8-49A5-8274-9AAF4DD80AA9}"/>
    <cellStyle name="Normal 2 16" xfId="703" xr:uid="{00000000-0005-0000-0000-00006B040000}"/>
    <cellStyle name="Normal 2 16 2" xfId="5060" xr:uid="{51280BA4-E357-4EC2-9A34-789C36438E69}"/>
    <cellStyle name="Normal 2 16 2 2" xfId="25753" xr:uid="{CCCD803B-7AE1-4D41-ABE9-B9F6DA72F6FB}"/>
    <cellStyle name="Normal 2 16 2 3" xfId="14356" xr:uid="{8F0649BB-FB29-4495-8867-9DADDE3172C1}"/>
    <cellStyle name="Normal 2 16 3" xfId="6809" xr:uid="{4AF8C3FB-1633-48BC-AC40-61D949CAD707}"/>
    <cellStyle name="Normal 2 16 3 2" xfId="25305" xr:uid="{5BB29FFF-05A9-49BD-9902-2A0D82D89346}"/>
    <cellStyle name="Normal 2 16 3 3" xfId="17189" xr:uid="{A72A8BC0-DA84-4C90-9A1A-1B149D8DB9CF}"/>
    <cellStyle name="Normal 2 16 4" xfId="9642" xr:uid="{7769E6A8-C929-46BD-9D9B-0CE77F82B4BD}"/>
    <cellStyle name="Normal 2 16 4 2" xfId="20022" xr:uid="{1B964D72-BC3E-4B50-B774-79758B8AF137}"/>
    <cellStyle name="Normal 2 16 5" xfId="25117" xr:uid="{39C6474D-79C0-4B4E-B2DD-74132C6BA907}"/>
    <cellStyle name="Normal 2 16 6" xfId="12815" xr:uid="{6C7A0E04-A236-4994-AD69-90C1FC6ADB2C}"/>
    <cellStyle name="Normal 2 17" xfId="704" xr:uid="{00000000-0005-0000-0000-00006C040000}"/>
    <cellStyle name="Normal 2 17 2" xfId="6810" xr:uid="{1585CA1A-B0BC-44CA-B92E-8C4A5C1CAD0A}"/>
    <cellStyle name="Normal 2 17 2 2" xfId="24636" xr:uid="{3ED16BA5-56C6-4154-967B-867B46BD49CE}"/>
    <cellStyle name="Normal 2 17 2 3" xfId="17190" xr:uid="{568842C7-4E9D-4D74-8F9A-50A419319891}"/>
    <cellStyle name="Normal 2 17 3" xfId="9643" xr:uid="{68A23A47-558E-4E49-9C63-20825D5B2438}"/>
    <cellStyle name="Normal 2 17 3 2" xfId="22674" xr:uid="{B1FAF7FF-9E8C-4DA4-A408-DDB7E7A7F771}"/>
    <cellStyle name="Normal 2 17 3 3" xfId="20023" xr:uid="{E61D0583-2D14-4241-9338-5AB767513FAC}"/>
    <cellStyle name="Normal 2 17 4" xfId="22655" xr:uid="{2D14B024-0C15-4849-A1C9-CC6835BF0F10}"/>
    <cellStyle name="Normal 2 17 5" xfId="26000" xr:uid="{48156FCF-7B74-410D-844E-48DE9A4DB097}"/>
    <cellStyle name="Normal 2 17 6" xfId="14357" xr:uid="{0FDB1D7D-3738-4279-AFC1-D13102CF7782}"/>
    <cellStyle name="Normal 2 18" xfId="3779" xr:uid="{687AD789-15F4-45FC-8C5E-5A0C50946765}"/>
    <cellStyle name="Normal 2 18 2" xfId="8619" xr:uid="{D0E1F64E-A739-4764-9D73-CF87B51A5F00}"/>
    <cellStyle name="Normal 2 18 2 2" xfId="25821" xr:uid="{BEE5FA88-0071-4F52-8AB1-13C8648A6374}"/>
    <cellStyle name="Normal 2 18 2 3" xfId="18999" xr:uid="{F51F4F5B-90B2-4451-9A34-FF469B481271}"/>
    <cellStyle name="Normal 2 18 2 4" xfId="31001" xr:uid="{F18E5E9C-D8D8-4F69-9CEA-1EB84E6CB813}"/>
    <cellStyle name="Normal 2 18 2 5" xfId="30916" xr:uid="{C8A5B2B3-A9B4-4CC3-9248-93D24488B8AF}"/>
    <cellStyle name="Normal 2 18 3" xfId="11452" xr:uid="{CDA90886-5D08-49E0-9163-5C00974CD9B6}"/>
    <cellStyle name="Normal 2 18 3 2" xfId="24301" xr:uid="{0C326032-0FD6-4917-9657-495AC37DBBE3}"/>
    <cellStyle name="Normal 2 18 3 3" xfId="21832" xr:uid="{8A722C41-4A34-4A02-A2B3-53A584E5910E}"/>
    <cellStyle name="Normal 2 18 4" xfId="25129" xr:uid="{BA8BD175-2F83-4035-AE66-B7D2C8E6709A}"/>
    <cellStyle name="Normal 2 18 5" xfId="24076" xr:uid="{FE883123-03AC-49F1-B7FA-8A98A4DAAC28}"/>
    <cellStyle name="Normal 2 18 6" xfId="16166" xr:uid="{184E429F-5396-4319-8D7D-B20F7B31B908}"/>
    <cellStyle name="Normal 2 19" xfId="12346" xr:uid="{2851D229-502A-4D82-8490-01DA0EBA2159}"/>
    <cellStyle name="Normal 2 19 2" xfId="24058" xr:uid="{C9B81072-9CE2-4F0C-B5E2-CE8D5CE0A9C0}"/>
    <cellStyle name="Normal 2 19 3" xfId="24240" xr:uid="{1066F9CC-788C-4F68-89FE-9B9F75C44A5D}"/>
    <cellStyle name="Normal 2 19 4" xfId="25829" xr:uid="{5058E664-5536-45CD-84E0-6FADFD894F75}"/>
    <cellStyle name="Normal 2 19 5" xfId="24509" xr:uid="{D329221E-E5FF-44FA-92BC-FF4B1867B2F5}"/>
    <cellStyle name="Normal 2 19 6" xfId="29617" xr:uid="{903768B7-2C41-46B2-A4D0-9D86B34D41A4}"/>
    <cellStyle name="Normal 2 19 7" xfId="29591" xr:uid="{8AF71700-81D8-4687-AC91-003585AB8325}"/>
    <cellStyle name="Normal 2 19 7 2" xfId="30106" xr:uid="{C4AE6AE8-64C8-4402-93EB-4E613E643CC2}"/>
    <cellStyle name="Normal 2 19 8" xfId="31112" xr:uid="{AD9EAF03-CE2E-4033-B917-F2FC89D9335A}"/>
    <cellStyle name="Normal 2 19 8 2" xfId="31695" xr:uid="{E7154EF1-2601-4A7C-8056-AA513484E4A7}"/>
    <cellStyle name="Normal 2 2" xfId="705" xr:uid="{00000000-0005-0000-0000-00006D040000}"/>
    <cellStyle name="Normal 2 2 10" xfId="706" xr:uid="{00000000-0005-0000-0000-00006E040000}"/>
    <cellStyle name="Normal 2 2 10 10" xfId="9645" xr:uid="{AA7C8D4E-8A4E-47BF-9CCA-4873F35B795C}"/>
    <cellStyle name="Normal 2 2 10 10 2" xfId="20025" xr:uid="{98345C2A-DAC5-4825-A0A8-021C089C2AF2}"/>
    <cellStyle name="Normal 2 2 10 11" xfId="24552" xr:uid="{505E598B-1912-43BF-8BA3-279748371E41}"/>
    <cellStyle name="Normal 2 2 10 12" xfId="12551" xr:uid="{69C35B79-29A5-43FB-862C-7335567D3235}"/>
    <cellStyle name="Normal 2 2 10 2" xfId="707" xr:uid="{00000000-0005-0000-0000-00006F040000}"/>
    <cellStyle name="Normal 2 2 10 2 2" xfId="708" xr:uid="{00000000-0005-0000-0000-000070040000}"/>
    <cellStyle name="Normal 2 2 10 2 2 2" xfId="5064" xr:uid="{E5DB27A1-F095-4B0D-B1FE-17B19E42AD2F}"/>
    <cellStyle name="Normal 2 2 10 2 2 2 2" xfId="24800" xr:uid="{FBA8B858-5805-4A81-83DE-365226052A35}"/>
    <cellStyle name="Normal 2 2 10 2 2 2 3" xfId="25900" xr:uid="{00543A6A-1BC8-44D0-9D96-E92831C3A63A}"/>
    <cellStyle name="Normal 2 2 10 2 2 2 4" xfId="14361" xr:uid="{F19CDEC1-13FD-4EE2-ADEF-DEEB1E15C467}"/>
    <cellStyle name="Normal 2 2 10 2 2 3" xfId="6814" xr:uid="{99174851-CC96-4A4C-91C6-5EB30DC24C04}"/>
    <cellStyle name="Normal 2 2 10 2 2 3 2" xfId="27579" xr:uid="{AF3C2EFA-9EB6-4B79-9DA5-FC9B9457BE6D}"/>
    <cellStyle name="Normal 2 2 10 2 2 3 3" xfId="27904" xr:uid="{BA4D5C2E-54AF-42B6-B1E0-A312C4F38B4D}"/>
    <cellStyle name="Normal 2 2 10 2 2 3 4" xfId="17194" xr:uid="{7F1932C3-573D-48A4-9694-EF8B0597E5E4}"/>
    <cellStyle name="Normal 2 2 10 2 2 4" xfId="9647" xr:uid="{2B8E2916-1FAD-4174-93AD-4FDDE1DA699C}"/>
    <cellStyle name="Normal 2 2 10 2 2 4 2" xfId="29386" xr:uid="{D9B05DEC-3C44-4ABB-92C4-B01E058A307D}"/>
    <cellStyle name="Normal 2 2 10 2 2 4 3" xfId="20027" xr:uid="{E1D17510-D4F8-4DF8-9C86-54A85495661A}"/>
    <cellStyle name="Normal 2 2 10 2 2 5" xfId="24649" xr:uid="{2863DE93-E0E9-4DCA-A783-915B8B2D6A3A}"/>
    <cellStyle name="Normal 2 2 10 2 2 6" xfId="13680" xr:uid="{DA987683-831F-4677-BAD2-DC6A81293BDA}"/>
    <cellStyle name="Normal 2 2 10 2 3" xfId="2717" xr:uid="{00000000-0005-0000-0000-000099030000}"/>
    <cellStyle name="Normal 2 2 10 2 3 2" xfId="5935" xr:uid="{107F8361-8D14-48E4-B386-6681F6985830}"/>
    <cellStyle name="Normal 2 2 10 2 3 2 2" xfId="27980" xr:uid="{439563EB-CDA5-4BE7-8F09-47FBE716BB3B}"/>
    <cellStyle name="Normal 2 2 10 2 3 2 3" xfId="15388" xr:uid="{AB8BAA13-0168-4B0A-A122-BEA762FA4220}"/>
    <cellStyle name="Normal 2 2 10 2 3 3" xfId="7841" xr:uid="{63CB1A3F-51C9-40AA-BDFC-374A71D849BD}"/>
    <cellStyle name="Normal 2 2 10 2 3 3 2" xfId="18221" xr:uid="{E506574E-4CD6-4127-960A-7E103336C974}"/>
    <cellStyle name="Normal 2 2 10 2 3 4" xfId="10674" xr:uid="{09130169-8034-4D96-85F9-4356246BFE9D}"/>
    <cellStyle name="Normal 2 2 10 2 3 4 2" xfId="21054" xr:uid="{1F5D3BB1-A60B-4476-8120-9E675D91B416}"/>
    <cellStyle name="Normal 2 2 10 2 3 5" xfId="25026" xr:uid="{4FFB09B8-3AF9-4044-A95D-D1F4BFC266C5}"/>
    <cellStyle name="Normal 2 2 10 2 3 6" xfId="13145" xr:uid="{88DEC1F8-E74A-47F2-B634-04FE49086530}"/>
    <cellStyle name="Normal 2 2 10 2 4" xfId="4154" xr:uid="{E764446D-83C9-4004-865D-359BF5B5F454}"/>
    <cellStyle name="Normal 2 2 10 2 4 2" xfId="8926" xr:uid="{13B6B776-8552-4F27-A149-221E36F04BD2}"/>
    <cellStyle name="Normal 2 2 10 2 4 2 2" xfId="29025" xr:uid="{68438DB2-A994-485C-B68E-63993A56C537}"/>
    <cellStyle name="Normal 2 2 10 2 4 2 3" xfId="19306" xr:uid="{B3CE92A7-987B-4043-8629-8C2E39A98538}"/>
    <cellStyle name="Normal 2 2 10 2 4 3" xfId="11759" xr:uid="{D0E1A260-329B-4663-B10B-AA9B56A80EFF}"/>
    <cellStyle name="Normal 2 2 10 2 4 3 2" xfId="22139" xr:uid="{B6CF3B47-D87D-45BB-87DF-85B77E70452A}"/>
    <cellStyle name="Normal 2 2 10 2 4 4" xfId="22992" xr:uid="{938AAFBC-6206-4672-B3C4-A0BA08185F9C}"/>
    <cellStyle name="Normal 2 2 10 2 4 5" xfId="16473" xr:uid="{90BFF79D-AAD0-4A91-BEBE-C3458FE2D30F}"/>
    <cellStyle name="Normal 2 2 10 2 5" xfId="5063" xr:uid="{7C5CCD42-756E-44AA-B35D-0888BE67E4DC}"/>
    <cellStyle name="Normal 2 2 10 2 5 2" xfId="26499" xr:uid="{8B0F7587-3D90-44A9-9D4E-94008281CF70}"/>
    <cellStyle name="Normal 2 2 10 2 5 3" xfId="14360" xr:uid="{6BB59D92-C073-4562-AF8F-C02AD369E213}"/>
    <cellStyle name="Normal 2 2 10 2 6" xfId="6813" xr:uid="{064FAEDA-6750-41CD-8BA4-6A0D5049602B}"/>
    <cellStyle name="Normal 2 2 10 2 6 2" xfId="17193" xr:uid="{837E47D0-0D94-4D5F-8367-141ABA0D4D67}"/>
    <cellStyle name="Normal 2 2 10 2 7" xfId="9646" xr:uid="{1E27734E-7094-4271-96C0-49C3F5B2DE9F}"/>
    <cellStyle name="Normal 2 2 10 2 7 2" xfId="20026" xr:uid="{81815907-AA58-4EF1-B4BC-87EBA1A0663F}"/>
    <cellStyle name="Normal 2 2 10 2 8" xfId="24488" xr:uid="{B0AB4854-A5AA-4971-A35C-FD6795C66512}"/>
    <cellStyle name="Normal 2 2 10 2 9" xfId="12709" xr:uid="{443C35AA-3E7C-4729-9C69-8DD456AB955A}"/>
    <cellStyle name="Normal 2 2 10 3" xfId="709" xr:uid="{00000000-0005-0000-0000-000071040000}"/>
    <cellStyle name="Normal 2 2 10 3 2" xfId="4452" xr:uid="{42C8B070-231B-4968-AE45-24977E7CDEBF}"/>
    <cellStyle name="Normal 2 2 10 3 2 2" xfId="9224" xr:uid="{B3100822-4B11-4BA9-940F-F2078324B99E}"/>
    <cellStyle name="Normal 2 2 10 3 2 2 2" xfId="29217" xr:uid="{398D0ABA-3928-427C-8C30-89730A5D7A3C}"/>
    <cellStyle name="Normal 2 2 10 3 2 2 3" xfId="19604" xr:uid="{AD153CD0-B2EC-4F34-96CD-AC815A48A242}"/>
    <cellStyle name="Normal 2 2 10 3 2 3" xfId="12057" xr:uid="{2B843B58-7B92-4A52-B7B1-0B052D6B6194}"/>
    <cellStyle name="Normal 2 2 10 3 2 3 2" xfId="22437" xr:uid="{3AD3D460-9B74-4C95-B9E1-A22A6F72193D}"/>
    <cellStyle name="Normal 2 2 10 3 2 4" xfId="23109" xr:uid="{6419FB7A-3DCF-4E03-99E4-C92D33E270D2}"/>
    <cellStyle name="Normal 2 2 10 3 2 5" xfId="16771" xr:uid="{57F08712-9C9F-4D18-8F3C-BB0511D0669C}"/>
    <cellStyle name="Normal 2 2 10 3 3" xfId="5065" xr:uid="{4A72CBA2-F61E-430F-AD4A-4CD853A42699}"/>
    <cellStyle name="Normal 2 2 10 3 3 2" xfId="26780" xr:uid="{F84AF31A-FE99-4562-B39C-4E385FDC17F3}"/>
    <cellStyle name="Normal 2 2 10 3 3 3" xfId="27558" xr:uid="{44CDE390-F64D-4A78-A0D1-B0C47C36573E}"/>
    <cellStyle name="Normal 2 2 10 3 3 4" xfId="14362" xr:uid="{2E7DDF77-9C26-42DB-8D72-47296D039541}"/>
    <cellStyle name="Normal 2 2 10 3 4" xfId="6815" xr:uid="{9D5CA963-1CB6-4841-BECA-773E3EF2CAA0}"/>
    <cellStyle name="Normal 2 2 10 3 4 2" xfId="26618" xr:uid="{789273C5-3E89-4F22-BC58-9FB25ED07422}"/>
    <cellStyle name="Normal 2 2 10 3 4 3" xfId="27222" xr:uid="{CF839B75-0BF5-4802-B3D9-B5A7B178CBC5}"/>
    <cellStyle name="Normal 2 2 10 3 4 4" xfId="17195" xr:uid="{ED4B26D7-2591-4F59-88AA-D0D54072C88D}"/>
    <cellStyle name="Normal 2 2 10 3 5" xfId="9648" xr:uid="{9019F8E2-FD32-4731-A2A8-6681B973D239}"/>
    <cellStyle name="Normal 2 2 10 3 5 2" xfId="29387" xr:uid="{65370D3C-9EB5-4761-8E5F-554AF99B3F9B}"/>
    <cellStyle name="Normal 2 2 10 3 5 3" xfId="20028" xr:uid="{BA430A4F-FF72-4303-9A89-E1A48B406065}"/>
    <cellStyle name="Normal 2 2 10 3 6" xfId="24518" xr:uid="{49067D6F-8843-4DD1-BAE8-7FA2BF07E820}"/>
    <cellStyle name="Normal 2 2 10 3 7" xfId="13681" xr:uid="{6339AC71-D4C9-41B9-A9DB-829F6C8BF374}"/>
    <cellStyle name="Normal 2 2 10 4" xfId="710" xr:uid="{00000000-0005-0000-0000-000072040000}"/>
    <cellStyle name="Normal 2 2 10 4 2" xfId="5066" xr:uid="{43FAF4F6-5944-411B-9C6E-4A883C4EBCCF}"/>
    <cellStyle name="Normal 2 2 10 4 2 2" xfId="24153" xr:uid="{0FF8B60A-773E-488B-9CA4-80B69D49D6F0}"/>
    <cellStyle name="Normal 2 2 10 4 2 3" xfId="28727" xr:uid="{0044B5AD-CC47-4AD7-9BAC-85830A68790F}"/>
    <cellStyle name="Normal 2 2 10 4 2 4" xfId="14363" xr:uid="{63833D4F-15C8-4AB3-85D1-56CFFDC43AAB}"/>
    <cellStyle name="Normal 2 2 10 4 3" xfId="6816" xr:uid="{6F8A17C8-5B7C-4D0A-89CE-3313691FEA10}"/>
    <cellStyle name="Normal 2 2 10 4 3 2" xfId="28598" xr:uid="{A29D8535-73B2-441D-AB06-3782139610D9}"/>
    <cellStyle name="Normal 2 2 10 4 3 3" xfId="17196" xr:uid="{BF3BCAE3-A914-4FAF-8660-894DFDDE4948}"/>
    <cellStyle name="Normal 2 2 10 4 4" xfId="9649" xr:uid="{F6AF43C2-38D3-4B63-9AFB-550F9CC18867}"/>
    <cellStyle name="Normal 2 2 10 4 4 2" xfId="20029" xr:uid="{0C94FB6B-3908-46B9-B035-AA01DE88862A}"/>
    <cellStyle name="Normal 2 2 10 4 5" xfId="24027" xr:uid="{EDDD3FD3-3F21-4BBB-A21E-5363C936A286}"/>
    <cellStyle name="Normal 2 2 10 4 6" xfId="13407" xr:uid="{52461BEE-55D6-4F43-9398-5A297151B16A}"/>
    <cellStyle name="Normal 2 2 10 5" xfId="2565" xr:uid="{00000000-0005-0000-0000-00009C030000}"/>
    <cellStyle name="Normal 2 2 10 5 2" xfId="5834" xr:uid="{F90F4BDD-8B44-417F-9C44-F07B562A1590}"/>
    <cellStyle name="Normal 2 2 10 5 2 2" xfId="26793" xr:uid="{C347E35F-955F-4394-8027-29A455EB4226}"/>
    <cellStyle name="Normal 2 2 10 5 2 3" xfId="15237" xr:uid="{8D2EC9C0-8C74-410D-8868-1302CCCBA839}"/>
    <cellStyle name="Normal 2 2 10 5 3" xfId="7690" xr:uid="{FAD042E3-0A5D-44D0-9B55-4A5BF2609101}"/>
    <cellStyle name="Normal 2 2 10 5 3 2" xfId="18070" xr:uid="{80FFC775-E0A3-405C-9250-A0FE081BCED3}"/>
    <cellStyle name="Normal 2 2 10 5 4" xfId="10523" xr:uid="{271EE65C-4308-4093-A0CA-EBD53146ED2E}"/>
    <cellStyle name="Normal 2 2 10 5 4 2" xfId="20903" xr:uid="{957E9CC8-329E-4D48-BD47-CE43D3C79F5C}"/>
    <cellStyle name="Normal 2 2 10 5 5" xfId="22944" xr:uid="{7FF42F5A-F766-492C-B313-F86840EA921E}"/>
    <cellStyle name="Normal 2 2 10 5 6" xfId="12953" xr:uid="{AFEA08B3-64BD-49F2-A894-F862B4F7670C}"/>
    <cellStyle name="Normal 2 2 10 6" xfId="2317" xr:uid="{00000000-0005-0000-0000-000096030000}"/>
    <cellStyle name="Normal 2 2 10 6 2" xfId="7444" xr:uid="{49339BE6-5FE9-42AE-9BC6-6DD209B051E8}"/>
    <cellStyle name="Normal 2 2 10 6 2 2" xfId="27932" xr:uid="{7D37FA61-88A9-417F-9E00-1067742685F6}"/>
    <cellStyle name="Normal 2 2 10 6 2 3" xfId="17824" xr:uid="{8BA1A808-3FDE-44C7-9142-154BE5F5E6B6}"/>
    <cellStyle name="Normal 2 2 10 6 3" xfId="10277" xr:uid="{2A7065D5-296E-44B5-86F3-53A1D5651C31}"/>
    <cellStyle name="Normal 2 2 10 6 3 2" xfId="20657" xr:uid="{0CDD9D9A-C9E9-419B-BFC8-FB6779F563E0}"/>
    <cellStyle name="Normal 2 2 10 6 4" xfId="24891" xr:uid="{946DE919-8989-49F0-8624-F124357DCEE6}"/>
    <cellStyle name="Normal 2 2 10 6 5" xfId="14991" xr:uid="{A42EDF13-7335-4FE4-9A95-547834990660}"/>
    <cellStyle name="Normal 2 2 10 7" xfId="3922" xr:uid="{498F4368-C384-4172-A5C5-389852219A0E}"/>
    <cellStyle name="Normal 2 2 10 7 2" xfId="8754" xr:uid="{7A29565A-49DE-496F-9B46-A14210F21EEC}"/>
    <cellStyle name="Normal 2 2 10 7 2 2" xfId="19134" xr:uid="{62EC0076-2ADE-4D86-9020-4C074AF71ABC}"/>
    <cellStyle name="Normal 2 2 10 7 3" xfId="11587" xr:uid="{0B8A006D-0451-4A93-A9DD-3B02EF3D4ED5}"/>
    <cellStyle name="Normal 2 2 10 7 3 2" xfId="21967" xr:uid="{1E17511E-8D69-4181-BF2A-8594B5C37FFA}"/>
    <cellStyle name="Normal 2 2 10 7 4" xfId="26887" xr:uid="{EE14755E-4017-4A11-B3B3-C3690CBE6087}"/>
    <cellStyle name="Normal 2 2 10 7 5" xfId="16301" xr:uid="{774583A9-CB71-49DF-9DC4-54BB1C00CF1D}"/>
    <cellStyle name="Normal 2 2 10 8" xfId="5062" xr:uid="{9A8CA319-5397-4A04-92EC-15A8A45212D4}"/>
    <cellStyle name="Normal 2 2 10 8 2" xfId="14359" xr:uid="{C8D3DA57-87D8-4704-97B7-6849991807F7}"/>
    <cellStyle name="Normal 2 2 10 9" xfId="6812" xr:uid="{6AB13237-9298-49AB-B12E-5BEA92D8EA25}"/>
    <cellStyle name="Normal 2 2 10 9 2" xfId="17192" xr:uid="{54002836-6CE1-4C08-BFD8-E939A1F4DFF9}"/>
    <cellStyle name="Normal 2 2 11" xfId="711" xr:uid="{00000000-0005-0000-0000-000073040000}"/>
    <cellStyle name="Normal 2 2 11 10" xfId="24716" xr:uid="{F360E3F7-4553-4010-BCA7-6D1AE9B901A1}"/>
    <cellStyle name="Normal 2 2 11 11" xfId="12552" xr:uid="{0081C13F-8DD0-413F-9503-D5C8BA41F1B0}"/>
    <cellStyle name="Normal 2 2 11 2" xfId="712" xr:uid="{00000000-0005-0000-0000-000074040000}"/>
    <cellStyle name="Normal 2 2 11 2 2" xfId="3147" xr:uid="{00000000-0005-0000-0000-00009F030000}"/>
    <cellStyle name="Normal 2 2 11 2 2 2" xfId="6205" xr:uid="{FF317ED0-C3C5-4BBA-96D4-A4FA9F71D13C}"/>
    <cellStyle name="Normal 2 2 11 2 2 2 2" xfId="26614" xr:uid="{C3C86F65-1009-45B4-ADDC-6A57ED7AC03D}"/>
    <cellStyle name="Normal 2 2 11 2 2 2 3" xfId="27337" xr:uid="{6C543D13-686B-42FE-9BED-916A8DF160CA}"/>
    <cellStyle name="Normal 2 2 11 2 2 2 4" xfId="15774" xr:uid="{F56D3B67-4334-45F9-8EA7-AB3AD0ED3090}"/>
    <cellStyle name="Normal 2 2 11 2 2 3" xfId="8227" xr:uid="{90B187A8-9982-44B7-9857-A6B63355AC82}"/>
    <cellStyle name="Normal 2 2 11 2 2 3 2" xfId="28872" xr:uid="{7EB596B2-7B15-4D64-83F3-AC9014D1750B}"/>
    <cellStyle name="Normal 2 2 11 2 2 3 3" xfId="18607" xr:uid="{8E5CC260-40CB-4E67-9E15-4F95D03C0961}"/>
    <cellStyle name="Normal 2 2 11 2 2 4" xfId="11060" xr:uid="{0C11086F-936F-4562-A968-407CE5092957}"/>
    <cellStyle name="Normal 2 2 11 2 2 4 2" xfId="21440" xr:uid="{ADB81A79-B7E1-43EB-BA27-D0C539476A90}"/>
    <cellStyle name="Normal 2 2 11 2 2 5" xfId="23265" xr:uid="{0F54DA92-1F69-4FE6-B714-AD6A3B712B6E}"/>
    <cellStyle name="Normal 2 2 11 2 2 6" xfId="13682" xr:uid="{66B84033-BF7F-481B-9AFA-9567FEF2CBE8}"/>
    <cellStyle name="Normal 2 2 11 2 3" xfId="4155" xr:uid="{00F1D4EF-91CF-40E8-B6B5-67F1D0D3D9FB}"/>
    <cellStyle name="Normal 2 2 11 2 3 2" xfId="8927" xr:uid="{0790826B-CA55-4CA9-B627-8A167494FAF5}"/>
    <cellStyle name="Normal 2 2 11 2 3 2 2" xfId="29026" xr:uid="{A608EEA1-12E2-4A50-AA92-15B6A6B67A09}"/>
    <cellStyle name="Normal 2 2 11 2 3 2 3" xfId="19307" xr:uid="{EA885710-01F3-4985-8E77-B95014EDAAF3}"/>
    <cellStyle name="Normal 2 2 11 2 3 3" xfId="11760" xr:uid="{858F1373-6516-4269-95EA-069E9EA42B73}"/>
    <cellStyle name="Normal 2 2 11 2 3 3 2" xfId="22140" xr:uid="{5A6A1CE6-03AA-488A-81B0-1F53FD50E577}"/>
    <cellStyle name="Normal 2 2 11 2 3 4" xfId="25220" xr:uid="{530BCB53-2788-48FC-8732-7713CE1DDE0F}"/>
    <cellStyle name="Normal 2 2 11 2 3 5" xfId="16474" xr:uid="{EB502878-9D72-4A66-8CC3-6FE968AF4A80}"/>
    <cellStyle name="Normal 2 2 11 2 4" xfId="5068" xr:uid="{C97103D0-552A-43CA-9D7F-000BE4CCD9EA}"/>
    <cellStyle name="Normal 2 2 11 2 4 2" xfId="27909" xr:uid="{5350DF39-5008-4E85-A8E3-EA51D3E70538}"/>
    <cellStyle name="Normal 2 2 11 2 4 3" xfId="26437" xr:uid="{45D098FC-3762-4A95-8E63-9E90376ED403}"/>
    <cellStyle name="Normal 2 2 11 2 4 4" xfId="14365" xr:uid="{852E6F0C-3895-4C89-86AC-0372EC1A09FB}"/>
    <cellStyle name="Normal 2 2 11 2 5" xfId="6818" xr:uid="{541B02AB-102A-4D2C-B7E2-2CAFA7B83913}"/>
    <cellStyle name="Normal 2 2 11 2 5 2" xfId="27589" xr:uid="{2B54EA2A-F5D7-4647-A3C3-89DA672DC2B2}"/>
    <cellStyle name="Normal 2 2 11 2 5 3" xfId="17198" xr:uid="{F7667B26-C2B3-4730-BA59-8727ECB0A4C1}"/>
    <cellStyle name="Normal 2 2 11 2 6" xfId="9651" xr:uid="{42FEB642-99A6-4F20-9405-ED218DBCD43E}"/>
    <cellStyle name="Normal 2 2 11 2 6 2" xfId="20031" xr:uid="{2D652F2E-72EB-4499-AC69-741A8BA79020}"/>
    <cellStyle name="Normal 2 2 11 2 7" xfId="22928" xr:uid="{9D773C07-20EF-400A-A5CD-96C731A65415}"/>
    <cellStyle name="Normal 2 2 11 2 8" xfId="12710" xr:uid="{557D45CE-8F42-4ABE-9E84-82DBCC416DEF}"/>
    <cellStyle name="Normal 2 2 11 3" xfId="713" xr:uid="{00000000-0005-0000-0000-000075040000}"/>
    <cellStyle name="Normal 2 2 11 3 2" xfId="5069" xr:uid="{0955E37E-640E-43B0-BD50-B8A99418383A}"/>
    <cellStyle name="Normal 2 2 11 3 2 2" xfId="22754" xr:uid="{2BEE5CBA-6AF4-40AF-B0DB-8908603C96C7}"/>
    <cellStyle name="Normal 2 2 11 3 2 3" xfId="27058" xr:uid="{4D557C4E-47EB-4C41-A11C-E40E615CDB78}"/>
    <cellStyle name="Normal 2 2 11 3 2 4" xfId="14366" xr:uid="{4016AE17-1A41-4C9A-98F4-1B4611B620B6}"/>
    <cellStyle name="Normal 2 2 11 3 3" xfId="6819" xr:uid="{00BD513C-FB94-428B-876A-E8EF0C4F55EF}"/>
    <cellStyle name="Normal 2 2 11 3 3 2" xfId="27765" xr:uid="{7ABA0B96-13D5-447B-85CC-329AC2C6D123}"/>
    <cellStyle name="Normal 2 2 11 3 3 3" xfId="26115" xr:uid="{D8E70133-ADC3-46CD-9CF8-B13AD605DBE3}"/>
    <cellStyle name="Normal 2 2 11 3 3 4" xfId="17199" xr:uid="{17775DBB-41D4-400E-94BF-23CFF9786007}"/>
    <cellStyle name="Normal 2 2 11 3 4" xfId="9652" xr:uid="{E8608BBB-BA40-49FE-9FE2-9263E842B72E}"/>
    <cellStyle name="Normal 2 2 11 3 4 2" xfId="27884" xr:uid="{A559915D-1C89-4A10-9523-59AE7D14C0BE}"/>
    <cellStyle name="Normal 2 2 11 3 4 3" xfId="29388" xr:uid="{3F8F59DF-F173-4A24-8C68-4AD13CC6FB4D}"/>
    <cellStyle name="Normal 2 2 11 3 4 4" xfId="20032" xr:uid="{4A8FE24E-E0C9-4A18-A18A-3252FA41CA10}"/>
    <cellStyle name="Normal 2 2 11 3 5" xfId="23891" xr:uid="{A43DAE62-9E93-4920-8A90-84070D82DB45}"/>
    <cellStyle name="Normal 2 2 11 3 6" xfId="26875" xr:uid="{993D1EDA-F7F0-4197-9D42-8112A38CDE4E}"/>
    <cellStyle name="Normal 2 2 11 3 7" xfId="13408" xr:uid="{0077151E-73EA-4320-85DE-C40187F66014}"/>
    <cellStyle name="Normal 2 2 11 4" xfId="2718" xr:uid="{00000000-0005-0000-0000-0000A1030000}"/>
    <cellStyle name="Normal 2 2 11 4 2" xfId="5936" xr:uid="{63E0683B-ACD4-4AA2-90DC-DB6AEBFA2948}"/>
    <cellStyle name="Normal 2 2 11 4 2 2" xfId="26141" xr:uid="{E537ED85-99E9-4A2C-ADE8-0473EAF8C191}"/>
    <cellStyle name="Normal 2 2 11 4 2 3" xfId="15389" xr:uid="{7E1EF9F7-FD04-4E90-BE93-DE2066F7588A}"/>
    <cellStyle name="Normal 2 2 11 4 3" xfId="7842" xr:uid="{FF13673E-D845-4C55-B7C8-00D6EF36B7D1}"/>
    <cellStyle name="Normal 2 2 11 4 3 2" xfId="18222" xr:uid="{D5B33116-A451-467B-9CE8-8F15637E1DCE}"/>
    <cellStyle name="Normal 2 2 11 4 4" xfId="10675" xr:uid="{93731593-600F-4279-9BC7-1C337825ADA4}"/>
    <cellStyle name="Normal 2 2 11 4 4 2" xfId="21055" xr:uid="{86328D34-6873-4657-BB4D-1FF619BF9538}"/>
    <cellStyle name="Normal 2 2 11 4 5" xfId="24616" xr:uid="{FFEC11AB-DB5A-4402-9B21-590F99BB08F6}"/>
    <cellStyle name="Normal 2 2 11 4 6" xfId="13146" xr:uid="{7C3F6871-62B6-4B36-8448-9E73B188E3DE}"/>
    <cellStyle name="Normal 2 2 11 5" xfId="2318" xr:uid="{00000000-0005-0000-0000-00009D030000}"/>
    <cellStyle name="Normal 2 2 11 5 2" xfId="7445" xr:uid="{7A3307D6-3912-4C07-B0F6-72C6E4F3B661}"/>
    <cellStyle name="Normal 2 2 11 5 2 2" xfId="25947" xr:uid="{1FFCC7DB-DE91-465E-A767-AAEF631C5C7D}"/>
    <cellStyle name="Normal 2 2 11 5 2 3" xfId="17825" xr:uid="{D00543A4-5E81-4315-ABFC-3BE08527D330}"/>
    <cellStyle name="Normal 2 2 11 5 3" xfId="10278" xr:uid="{CAE4606C-9F99-412B-B7A9-5DB4111EB00D}"/>
    <cellStyle name="Normal 2 2 11 5 3 2" xfId="20658" xr:uid="{0FF4E45D-E5E1-40C8-B569-7E751AA1A551}"/>
    <cellStyle name="Normal 2 2 11 5 4" xfId="24919" xr:uid="{121CDEFB-55B8-40A6-A06C-5FDF46209248}"/>
    <cellStyle name="Normal 2 2 11 5 5" xfId="14992" xr:uid="{7F643549-6605-400C-8C36-DF20AF78D7FB}"/>
    <cellStyle name="Normal 2 2 11 6" xfId="3923" xr:uid="{B8846A1D-2C16-48D2-8A11-823ADBAB4F28}"/>
    <cellStyle name="Normal 2 2 11 6 2" xfId="8755" xr:uid="{91A10251-2EEC-445C-82E3-E53D5D0CA3A7}"/>
    <cellStyle name="Normal 2 2 11 6 2 2" xfId="28977" xr:uid="{39F5A64B-9A16-4AC9-8402-214E3758C73A}"/>
    <cellStyle name="Normal 2 2 11 6 2 3" xfId="19135" xr:uid="{D8663FF4-7F2C-4388-B7A9-17831C9372D7}"/>
    <cellStyle name="Normal 2 2 11 6 3" xfId="11588" xr:uid="{D8BC32F4-4140-4BD2-BC51-A4794D42B1FF}"/>
    <cellStyle name="Normal 2 2 11 6 3 2" xfId="21968" xr:uid="{4644D31E-EB41-48D5-B4E9-516AFEBE10EF}"/>
    <cellStyle name="Normal 2 2 11 6 4" xfId="27278" xr:uid="{75C8AD18-4AFE-4842-A978-28943ACC31D9}"/>
    <cellStyle name="Normal 2 2 11 6 5" xfId="16302" xr:uid="{8E42CAA9-3BBD-4E3B-9F0B-24760E32739D}"/>
    <cellStyle name="Normal 2 2 11 7" xfId="5067" xr:uid="{B2DA2C86-A69D-4363-A409-5F20A56822C5}"/>
    <cellStyle name="Normal 2 2 11 7 2" xfId="26478" xr:uid="{8DA8B6FD-9B1D-46D4-BB5E-72F6E93EFE7C}"/>
    <cellStyle name="Normal 2 2 11 7 3" xfId="14364" xr:uid="{B631ECBF-56E4-4E7E-A0A4-2E50DFF99648}"/>
    <cellStyle name="Normal 2 2 11 8" xfId="6817" xr:uid="{0A45DC38-A460-417D-B5FF-5914C4641DB3}"/>
    <cellStyle name="Normal 2 2 11 8 2" xfId="17197" xr:uid="{F9AC5293-430A-4340-83DE-C9501E3F8EAB}"/>
    <cellStyle name="Normal 2 2 11 9" xfId="9650" xr:uid="{AEFEC1A8-311C-4583-9866-B998AF29808A}"/>
    <cellStyle name="Normal 2 2 11 9 2" xfId="20030" xr:uid="{36E210C7-88C1-4054-AA67-CA222587FB4B}"/>
    <cellStyle name="Normal 2 2 12" xfId="714" xr:uid="{00000000-0005-0000-0000-000076040000}"/>
    <cellStyle name="Normal 2 2 12 10" xfId="12553" xr:uid="{1065672E-2A58-4FF3-B14F-7A5A656F2C14}"/>
    <cellStyle name="Normal 2 2 12 2" xfId="715" xr:uid="{00000000-0005-0000-0000-000077040000}"/>
    <cellStyle name="Normal 2 2 12 2 2" xfId="2897" xr:uid="{00000000-0005-0000-0000-0000A4030000}"/>
    <cellStyle name="Normal 2 2 12 2 2 2" xfId="6083" xr:uid="{87D14F9D-0490-40A1-B2DF-6C3236D91088}"/>
    <cellStyle name="Normal 2 2 12 2 2 2 2" xfId="27092" xr:uid="{C3153807-B2E2-4D54-8253-7DBAF51F2DE7}"/>
    <cellStyle name="Normal 2 2 12 2 2 2 3" xfId="26700" xr:uid="{C8350D81-427F-46C9-AD88-E335CC47A38B}"/>
    <cellStyle name="Normal 2 2 12 2 2 2 4" xfId="15561" xr:uid="{39752D66-A282-4578-9662-B9863F6E05F0}"/>
    <cellStyle name="Normal 2 2 12 2 2 3" xfId="8014" xr:uid="{0D9E3B43-EDE7-49DA-AC95-C8D84130DC72}"/>
    <cellStyle name="Normal 2 2 12 2 2 3 2" xfId="27686" xr:uid="{AB1AF7C7-2D5A-48E6-8BF5-E5578B2E77B5}"/>
    <cellStyle name="Normal 2 2 12 2 2 3 3" xfId="18394" xr:uid="{1AFB2ABE-54F2-4B73-BE53-A072DAF3C08C}"/>
    <cellStyle name="Normal 2 2 12 2 2 4" xfId="10847" xr:uid="{4AE1C396-5D59-4371-B09F-AFF16EEF18AE}"/>
    <cellStyle name="Normal 2 2 12 2 2 4 2" xfId="21227" xr:uid="{3288323C-DEC5-4597-ACA5-E75281895242}"/>
    <cellStyle name="Normal 2 2 12 2 2 5" xfId="22930" xr:uid="{451C44D4-D385-49D8-8775-BDE566AC57E3}"/>
    <cellStyle name="Normal 2 2 12 2 2 6" xfId="13409" xr:uid="{CD1B9E5A-8689-4A5D-825F-CA09B31EB215}"/>
    <cellStyle name="Normal 2 2 12 2 3" xfId="5071" xr:uid="{E9CA4D25-7E66-4D37-9C3D-EE609FBB5CD4}"/>
    <cellStyle name="Normal 2 2 12 2 3 2" xfId="25614" xr:uid="{C82A4E5B-713A-4F0B-9C44-41515AA8671E}"/>
    <cellStyle name="Normal 2 2 12 2 3 3" xfId="28120" xr:uid="{D1426DE1-404F-476D-AA0E-23A2566C7733}"/>
    <cellStyle name="Normal 2 2 12 2 3 4" xfId="14368" xr:uid="{201E6DFB-DAAA-47D2-93D5-7D35EEF5EE4A}"/>
    <cellStyle name="Normal 2 2 12 2 4" xfId="6821" xr:uid="{9CE24DF9-8A53-40A5-9B9F-A4ED79DBA681}"/>
    <cellStyle name="Normal 2 2 12 2 4 2" xfId="25847" xr:uid="{DB2D1C67-6117-442B-B678-0E475AA7346F}"/>
    <cellStyle name="Normal 2 2 12 2 4 3" xfId="27933" xr:uid="{51025091-3DC7-4B0E-B201-8992EE577B4E}"/>
    <cellStyle name="Normal 2 2 12 2 4 4" xfId="17201" xr:uid="{83106FBE-5519-470B-B973-DC7EFE978364}"/>
    <cellStyle name="Normal 2 2 12 2 5" xfId="9654" xr:uid="{0B7EACDA-BBDF-48E1-8FE2-FC3073D2F396}"/>
    <cellStyle name="Normal 2 2 12 2 5 2" xfId="29389" xr:uid="{EBF4D029-387B-44E3-9D2A-2D2346652B52}"/>
    <cellStyle name="Normal 2 2 12 2 5 3" xfId="20034" xr:uid="{C0C59DC8-A38B-49A7-8B9B-B6BAEE89D21E}"/>
    <cellStyle name="Normal 2 2 12 2 6" xfId="23522" xr:uid="{58EB0826-388D-445A-8CD5-082685758BAB}"/>
    <cellStyle name="Normal 2 2 12 2 7" xfId="12711" xr:uid="{D90D89C1-CD52-404E-8854-9A6CE05D6A25}"/>
    <cellStyle name="Normal 2 2 12 3" xfId="716" xr:uid="{00000000-0005-0000-0000-000078040000}"/>
    <cellStyle name="Normal 2 2 12 3 2" xfId="5072" xr:uid="{3B181DA7-558B-4F08-91C6-2EF108D18741}"/>
    <cellStyle name="Normal 2 2 12 3 2 2" xfId="26076" xr:uid="{DADFDF4C-031A-4E25-9D4F-90085FBCDD66}"/>
    <cellStyle name="Normal 2 2 12 3 2 3" xfId="27302" xr:uid="{7C3C2C6B-A376-4C08-B672-72DD1C6DDA24}"/>
    <cellStyle name="Normal 2 2 12 3 2 4" xfId="14369" xr:uid="{87AA43E2-ABF6-4CF1-95E1-324AB002C98D}"/>
    <cellStyle name="Normal 2 2 12 3 3" xfId="6822" xr:uid="{E2C41153-FFAB-4ED0-AB8B-6014853786DF}"/>
    <cellStyle name="Normal 2 2 12 3 3 2" xfId="27509" xr:uid="{CC38DC81-9159-4D28-B7A4-DAC637FEB901}"/>
    <cellStyle name="Normal 2 2 12 3 3 3" xfId="27088" xr:uid="{7EF38C80-B0D3-4DFD-9A0A-41F57020FEC4}"/>
    <cellStyle name="Normal 2 2 12 3 3 4" xfId="17202" xr:uid="{26E52485-6547-4818-9BE2-E34CFBD2E42B}"/>
    <cellStyle name="Normal 2 2 12 3 4" xfId="9655" xr:uid="{6F87446E-73B0-415B-B3DF-BCDB2932CF02}"/>
    <cellStyle name="Normal 2 2 12 3 4 2" xfId="29390" xr:uid="{E1AB4123-829E-472B-8201-5042441F9D0E}"/>
    <cellStyle name="Normal 2 2 12 3 4 3" xfId="20035" xr:uid="{B5528FC7-B11C-4B89-AD12-5EA5CEA3F156}"/>
    <cellStyle name="Normal 2 2 12 3 5" xfId="23589" xr:uid="{E4661236-05E0-4733-83E4-BF38DCBD5CFB}"/>
    <cellStyle name="Normal 2 2 12 3 6" xfId="13147" xr:uid="{59784323-D983-4403-A797-10888BEA3561}"/>
    <cellStyle name="Normal 2 2 12 4" xfId="2319" xr:uid="{00000000-0005-0000-0000-0000A2030000}"/>
    <cellStyle name="Normal 2 2 12 4 2" xfId="7446" xr:uid="{BC4AB11F-05B5-41C6-848E-34FE761CDCF0}"/>
    <cellStyle name="Normal 2 2 12 4 2 2" xfId="27510" xr:uid="{1D0CBB2E-B506-46BE-9D6B-6EAEAD8F035C}"/>
    <cellStyle name="Normal 2 2 12 4 2 3" xfId="17826" xr:uid="{F50110FA-FA26-4B8F-BD48-D96B1E0B9EFD}"/>
    <cellStyle name="Normal 2 2 12 4 3" xfId="10279" xr:uid="{04089D3B-4538-4C52-A27C-4A9708A69974}"/>
    <cellStyle name="Normal 2 2 12 4 3 2" xfId="20659" xr:uid="{2E0D2A35-A4E4-431F-A576-04C14ABCDA3C}"/>
    <cellStyle name="Normal 2 2 12 4 4" xfId="23711" xr:uid="{93C07792-30FE-4B44-9573-26AEFF3A7BF0}"/>
    <cellStyle name="Normal 2 2 12 4 5" xfId="14993" xr:uid="{51B5B4D7-F9FA-4226-9AA7-18D07081935F}"/>
    <cellStyle name="Normal 2 2 12 5" xfId="3924" xr:uid="{80B48330-8868-42AD-8BDC-4ABE101D7FE5}"/>
    <cellStyle name="Normal 2 2 12 5 2" xfId="8756" xr:uid="{0552D940-71B3-43C0-B2DB-648923AA1A54}"/>
    <cellStyle name="Normal 2 2 12 5 2 2" xfId="28978" xr:uid="{B40DC248-C826-4482-AFB1-2C50FE8E20F9}"/>
    <cellStyle name="Normal 2 2 12 5 2 3" xfId="19136" xr:uid="{0DBB2F03-198E-4EA9-9FCB-52E1EB65A82B}"/>
    <cellStyle name="Normal 2 2 12 5 3" xfId="11589" xr:uid="{F8030501-846D-475A-A3BE-5B1CA040C545}"/>
    <cellStyle name="Normal 2 2 12 5 3 2" xfId="21969" xr:uid="{93B94236-8E68-420A-B001-78A4B3C4C0E4}"/>
    <cellStyle name="Normal 2 2 12 5 4" xfId="23011" xr:uid="{FF2626A7-2135-440A-A877-AEE80954058E}"/>
    <cellStyle name="Normal 2 2 12 5 5" xfId="16303" xr:uid="{E8CC1F3D-DAFB-4840-966E-72DE70B7AF30}"/>
    <cellStyle name="Normal 2 2 12 6" xfId="5070" xr:uid="{084EAE70-9054-40F8-BFE2-D35318827036}"/>
    <cellStyle name="Normal 2 2 12 6 2" xfId="28310" xr:uid="{E571C781-2D2F-4739-921B-7BDC8F0ACB39}"/>
    <cellStyle name="Normal 2 2 12 6 3" xfId="26135" xr:uid="{68DF8A38-4DBF-4086-9398-2C368CB90CBF}"/>
    <cellStyle name="Normal 2 2 12 6 4" xfId="14367" xr:uid="{E415832E-07C5-4280-9D6D-23D0D3FCCF5E}"/>
    <cellStyle name="Normal 2 2 12 7" xfId="6820" xr:uid="{BF3DB480-ACE2-4974-AD3C-1760B38EE11C}"/>
    <cellStyle name="Normal 2 2 12 7 2" xfId="26794" xr:uid="{64BE9471-4482-46F0-B926-F236CF48DE7A}"/>
    <cellStyle name="Normal 2 2 12 7 3" xfId="17200" xr:uid="{CDA13340-5781-4640-96A4-DAC67D8249D7}"/>
    <cellStyle name="Normal 2 2 12 8" xfId="9653" xr:uid="{EC8A2C6E-8145-4C6B-98CD-6625A6067AC5}"/>
    <cellStyle name="Normal 2 2 12 8 2" xfId="20033" xr:uid="{E34FB326-D462-4975-BFF1-2D6B474B3857}"/>
    <cellStyle name="Normal 2 2 12 9" xfId="24820" xr:uid="{92E2412E-AE0B-4E04-8A02-EE933A9D2232}"/>
    <cellStyle name="Normal 2 2 13" xfId="717" xr:uid="{00000000-0005-0000-0000-000079040000}"/>
    <cellStyle name="Normal 2 2 13 10" xfId="12499" xr:uid="{61170B46-1634-41C8-94F6-182BD1D0ECF0}"/>
    <cellStyle name="Normal 2 2 13 2" xfId="3148" xr:uid="{00000000-0005-0000-0000-0000A7030000}"/>
    <cellStyle name="Normal 2 2 13 2 2" xfId="6206" xr:uid="{1BE0B72C-EB5F-4A68-ADBB-776D2ABC6E28}"/>
    <cellStyle name="Normal 2 2 13 2 2 2" xfId="22859" xr:uid="{53D22A31-D144-49D0-91AA-1D8AA931FF1F}"/>
    <cellStyle name="Normal 2 2 13 2 2 3" xfId="26299" xr:uid="{D8911CED-764F-48E2-9168-73042C5D13ED}"/>
    <cellStyle name="Normal 2 2 13 2 2 4" xfId="15775" xr:uid="{E725DF8F-2486-44A0-9DDC-35451486C16E}"/>
    <cellStyle name="Normal 2 2 13 2 3" xfId="8228" xr:uid="{8FE612A1-40D0-4D13-BCB0-0744C78DD892}"/>
    <cellStyle name="Normal 2 2 13 2 3 2" xfId="26186" xr:uid="{06BF066D-2D8C-4346-B71C-B793C1B4A8CB}"/>
    <cellStyle name="Normal 2 2 13 2 3 3" xfId="28873" xr:uid="{8129AB89-2906-47C8-9BA7-89EE51578157}"/>
    <cellStyle name="Normal 2 2 13 2 3 4" xfId="18608" xr:uid="{64C64456-37D7-4EE3-92B2-E77B6817AC99}"/>
    <cellStyle name="Normal 2 2 13 2 4" xfId="11061" xr:uid="{FD08E1CF-839E-4985-96D9-9AA4F72A3267}"/>
    <cellStyle name="Normal 2 2 13 2 4 2" xfId="29476" xr:uid="{038BD399-35D3-48F3-8F87-83353631008F}"/>
    <cellStyle name="Normal 2 2 13 2 4 3" xfId="21441" xr:uid="{535D86DE-691C-4D4C-97D3-6C9A8B1E520E}"/>
    <cellStyle name="Normal 2 2 13 2 5" xfId="25158" xr:uid="{C24663EF-B84A-4159-827E-04DA4C4C0947}"/>
    <cellStyle name="Normal 2 2 13 2 6" xfId="13683" xr:uid="{D7D50C91-20D1-4F4F-B216-79150BA26CFA}"/>
    <cellStyle name="Normal 2 2 13 3" xfId="2716" xr:uid="{00000000-0005-0000-0000-0000A8030000}"/>
    <cellStyle name="Normal 2 2 13 3 2" xfId="5934" xr:uid="{D0C06B45-2A7E-4AB6-A718-198594DC2508}"/>
    <cellStyle name="Normal 2 2 13 3 2 2" xfId="27395" xr:uid="{6491416E-F12A-4584-81F1-655F94FF171F}"/>
    <cellStyle name="Normal 2 2 13 3 2 3" xfId="15387" xr:uid="{ED351527-011C-4C1E-AC63-0808C644313D}"/>
    <cellStyle name="Normal 2 2 13 3 3" xfId="7840" xr:uid="{906AFB7C-6C05-4D62-9036-BCB3EF4B597A}"/>
    <cellStyle name="Normal 2 2 13 3 3 2" xfId="18220" xr:uid="{70736B79-02B6-4245-8B46-CAAAA5DE7056}"/>
    <cellStyle name="Normal 2 2 13 3 4" xfId="10673" xr:uid="{2CB8B3FA-0C80-47EE-9634-14D33F0FA550}"/>
    <cellStyle name="Normal 2 2 13 3 4 2" xfId="21053" xr:uid="{F769EB83-E13C-416F-9B09-5D4D5057E829}"/>
    <cellStyle name="Normal 2 2 13 3 5" xfId="25240" xr:uid="{6C3C5C07-9AFA-4E02-B0A6-FA91BFF57E6E}"/>
    <cellStyle name="Normal 2 2 13 3 6" xfId="13144" xr:uid="{1162147A-342C-4981-8B63-09F1ABF2E97A}"/>
    <cellStyle name="Normal 2 2 13 4" xfId="2267" xr:uid="{00000000-0005-0000-0000-0000A6030000}"/>
    <cellStyle name="Normal 2 2 13 4 2" xfId="7394" xr:uid="{89FD8668-7FA1-4059-9FE1-C4A120F59806}"/>
    <cellStyle name="Normal 2 2 13 4 2 2" xfId="26380" xr:uid="{30E68958-E569-42E9-BA2F-E453205D9189}"/>
    <cellStyle name="Normal 2 2 13 4 2 3" xfId="17774" xr:uid="{C11B38C0-F736-4D86-A774-66F20C82FCF6}"/>
    <cellStyle name="Normal 2 2 13 4 3" xfId="10227" xr:uid="{C380EA43-0880-44F7-916A-3D91415E0C58}"/>
    <cellStyle name="Normal 2 2 13 4 3 2" xfId="20607" xr:uid="{1B250137-71E8-4861-B427-84820C9A4C85}"/>
    <cellStyle name="Normal 2 2 13 4 4" xfId="25248" xr:uid="{0774F863-049F-497C-9A81-59CA0A5BAD79}"/>
    <cellStyle name="Normal 2 2 13 4 5" xfId="14941" xr:uid="{9D586C60-AB7D-471D-9DEB-58BC88B4A903}"/>
    <cellStyle name="Normal 2 2 13 5" xfId="3921" xr:uid="{88D0797E-A6BF-4D0F-A6C0-FD36B77BCA0E}"/>
    <cellStyle name="Normal 2 2 13 5 2" xfId="8753" xr:uid="{03051166-9FC1-44DA-988E-9FADE5847749}"/>
    <cellStyle name="Normal 2 2 13 5 2 2" xfId="19133" xr:uid="{7E7697FE-260A-4D9E-AA2B-095703FCCC3B}"/>
    <cellStyle name="Normal 2 2 13 5 3" xfId="11586" xr:uid="{94226967-A082-4D5A-8487-E119D38878D8}"/>
    <cellStyle name="Normal 2 2 13 5 3 2" xfId="21966" xr:uid="{8E1EFF97-26F7-4B56-B54B-BA8AE98EEF0A}"/>
    <cellStyle name="Normal 2 2 13 5 4" xfId="28465" xr:uid="{C6513DD1-384B-4C82-BAD2-CE01468518F9}"/>
    <cellStyle name="Normal 2 2 13 5 5" xfId="16300" xr:uid="{CE55F6FE-2C4D-414D-8412-7E9EC598D893}"/>
    <cellStyle name="Normal 2 2 13 6" xfId="5073" xr:uid="{B3B3FD30-0DA2-4D0B-90F4-16E1CD25FDF6}"/>
    <cellStyle name="Normal 2 2 13 6 2" xfId="14370" xr:uid="{13419BAA-B656-4198-A9F7-5A4FD8DA4709}"/>
    <cellStyle name="Normal 2 2 13 7" xfId="6823" xr:uid="{CEB21734-C8F9-465C-B46A-FCCCCCE8CFCF}"/>
    <cellStyle name="Normal 2 2 13 7 2" xfId="17203" xr:uid="{706C0D92-3F15-4226-8081-848ED9C101B0}"/>
    <cellStyle name="Normal 2 2 13 8" xfId="9656" xr:uid="{C8721B46-B374-4413-9AE3-932F85723B3E}"/>
    <cellStyle name="Normal 2 2 13 8 2" xfId="20036" xr:uid="{FEB40EA4-6CE0-42DE-A328-4F68BE1326E9}"/>
    <cellStyle name="Normal 2 2 13 9" xfId="24745" xr:uid="{C60147FB-826F-443F-AA1A-C1D4BD123A46}"/>
    <cellStyle name="Normal 2 2 14" xfId="718" xr:uid="{00000000-0005-0000-0000-00007A040000}"/>
    <cellStyle name="Normal 2 2 14 2" xfId="3149" xr:uid="{00000000-0005-0000-0000-0000AA030000}"/>
    <cellStyle name="Normal 2 2 14 2 2" xfId="6207" xr:uid="{8F05DB9B-6A25-4038-B62A-F4C873DD9350}"/>
    <cellStyle name="Normal 2 2 14 2 2 2" xfId="28571" xr:uid="{33B1D394-50B2-48C6-8C60-F743ED085D4B}"/>
    <cellStyle name="Normal 2 2 14 2 2 3" xfId="15776" xr:uid="{9F35178A-3720-4778-B1B0-CC80F28CC6AB}"/>
    <cellStyle name="Normal 2 2 14 2 3" xfId="8229" xr:uid="{2044CE16-91FB-4D80-914A-CE644F87D8F4}"/>
    <cellStyle name="Normal 2 2 14 2 3 2" xfId="18609" xr:uid="{D2404AF2-005E-4188-9906-4F235B286828}"/>
    <cellStyle name="Normal 2 2 14 2 4" xfId="11062" xr:uid="{978E363D-3991-4448-883D-E2E7811566D6}"/>
    <cellStyle name="Normal 2 2 14 2 4 2" xfId="21442" xr:uid="{7CD9C325-1851-4180-A5CB-3E7F4E214531}"/>
    <cellStyle name="Normal 2 2 14 2 5" xfId="25280" xr:uid="{0E9922C5-37E1-4CFC-A1AD-C203AD371C98}"/>
    <cellStyle name="Normal 2 2 14 2 6" xfId="13684" xr:uid="{FA8C0126-C36E-4F2D-B7DC-A80CBCD032BF}"/>
    <cellStyle name="Normal 2 2 14 3" xfId="4114" xr:uid="{602DFCFD-72D5-44D7-ACF2-C21656B95719}"/>
    <cellStyle name="Normal 2 2 14 3 2" xfId="8886" xr:uid="{2CCE2982-B565-4F22-8E33-8D5CA20D7F6E}"/>
    <cellStyle name="Normal 2 2 14 3 2 2" xfId="29001" xr:uid="{2C74AD77-220B-4613-8EF4-23EA7DCE53B9}"/>
    <cellStyle name="Normal 2 2 14 3 2 3" xfId="19266" xr:uid="{CA98168B-B65C-4AA5-94DF-F59345996913}"/>
    <cellStyle name="Normal 2 2 14 3 3" xfId="11719" xr:uid="{78412A5D-245A-4544-97D0-24E00F40E1FB}"/>
    <cellStyle name="Normal 2 2 14 3 3 2" xfId="22099" xr:uid="{76B852D3-6881-4247-B526-76ED020D3A4D}"/>
    <cellStyle name="Normal 2 2 14 3 4" xfId="25692" xr:uid="{75B9DCA7-9735-49CB-B831-5B7CB6738F60}"/>
    <cellStyle name="Normal 2 2 14 3 5" xfId="16433" xr:uid="{0D9D12F8-7C95-49C3-93C2-5B61176932CC}"/>
    <cellStyle name="Normal 2 2 14 4" xfId="5074" xr:uid="{0FE830B5-3A30-4425-8BA3-1607EFF37B17}"/>
    <cellStyle name="Normal 2 2 14 4 2" xfId="25634" xr:uid="{CA7AE7FF-9709-40FF-9F56-95356DE17C7B}"/>
    <cellStyle name="Normal 2 2 14 4 3" xfId="26939" xr:uid="{C80C593B-D2C3-4351-A7D5-8F610999EDE7}"/>
    <cellStyle name="Normal 2 2 14 4 4" xfId="14371" xr:uid="{1BB74058-6697-4959-92B2-21F05B0323C1}"/>
    <cellStyle name="Normal 2 2 14 5" xfId="6824" xr:uid="{C93C6F00-7AA6-4DFD-83A2-657CD0BC4C50}"/>
    <cellStyle name="Normal 2 2 14 5 2" xfId="28718" xr:uid="{8A97C4F5-E096-4825-9758-77B6F6DA2CD0}"/>
    <cellStyle name="Normal 2 2 14 5 3" xfId="17204" xr:uid="{BE1AB2A4-25C8-48F8-AD75-90D61AD378D0}"/>
    <cellStyle name="Normal 2 2 14 6" xfId="9657" xr:uid="{74930A9B-473A-4A6C-8087-6DB80EE741A5}"/>
    <cellStyle name="Normal 2 2 14 6 2" xfId="20037" xr:uid="{24AF2EAD-E8F1-441C-8B69-9B4ADD7029B5}"/>
    <cellStyle name="Normal 2 2 14 7" xfId="25035" xr:uid="{BEC619D2-5B98-42AF-BBF7-4FB6E12567A9}"/>
    <cellStyle name="Normal 2 2 14 8" xfId="12657" xr:uid="{63162DEC-A129-4FF9-A03A-433E2293C74C}"/>
    <cellStyle name="Normal 2 2 15" xfId="719" xr:uid="{00000000-0005-0000-0000-00007B040000}"/>
    <cellStyle name="Normal 2 2 15 2" xfId="5075" xr:uid="{99306018-F539-426E-AFF6-71AB4177B221}"/>
    <cellStyle name="Normal 2 2 15 2 2" xfId="24898" xr:uid="{E75E3B17-5623-440A-8AC2-87E8488F28F8}"/>
    <cellStyle name="Normal 2 2 15 2 3" xfId="27594" xr:uid="{0DEC1CF2-4696-41D2-BDF1-5213B9DC73D4}"/>
    <cellStyle name="Normal 2 2 15 2 4" xfId="14372" xr:uid="{8A48EF3E-8497-433A-B4E0-FC09E0C9B29D}"/>
    <cellStyle name="Normal 2 2 15 3" xfId="6825" xr:uid="{2AFC4162-E263-4598-B568-AA1597C44A31}"/>
    <cellStyle name="Normal 2 2 15 3 2" xfId="23601" xr:uid="{25F08F60-A152-4AFF-9E13-906EB14A6DBF}"/>
    <cellStyle name="Normal 2 2 15 3 3" xfId="17205" xr:uid="{C4B807F5-A277-4249-AB06-7D0E0B3D6BF2}"/>
    <cellStyle name="Normal 2 2 15 4" xfId="9658" xr:uid="{F7968E4B-B502-4F1E-82C8-90DBD07CB023}"/>
    <cellStyle name="Normal 2 2 15 4 2" xfId="20038" xr:uid="{6CBDC6EB-DB76-4B70-AB04-21547ACF243C}"/>
    <cellStyle name="Normal 2 2 15 5" xfId="25483" xr:uid="{F089609E-A798-4813-922E-69531170DBF7}"/>
    <cellStyle name="Normal 2 2 15 6" xfId="13355" xr:uid="{1F482952-DA57-4E9F-823C-05C97A7B78EE}"/>
    <cellStyle name="Normal 2 2 16" xfId="2430" xr:uid="{00000000-0005-0000-0000-0000AC030000}"/>
    <cellStyle name="Normal 2 2 16 2" xfId="5727" xr:uid="{E66317E7-6FD0-4B91-B500-9D3330F0A614}"/>
    <cellStyle name="Normal 2 2 16 2 2" xfId="26391" xr:uid="{ABDA310A-0346-4DC4-984F-29ED74B584EF}"/>
    <cellStyle name="Normal 2 2 16 2 3" xfId="15102" xr:uid="{A6040207-EB44-4575-8EA9-C4CE90C60DC5}"/>
    <cellStyle name="Normal 2 2 16 3" xfId="7555" xr:uid="{1514F63C-9927-45A2-B5F6-B96FBA1E7225}"/>
    <cellStyle name="Normal 2 2 16 3 2" xfId="17935" xr:uid="{E0721F0A-358B-4AE8-9224-B0BFCC2F56D7}"/>
    <cellStyle name="Normal 2 2 16 4" xfId="10388" xr:uid="{FF4F799A-66E3-4F40-B618-37BB9F15E6A9}"/>
    <cellStyle name="Normal 2 2 16 4 2" xfId="20768" xr:uid="{C773C84F-6066-46CF-883F-384DBDBBE522}"/>
    <cellStyle name="Normal 2 2 16 5" xfId="25422" xr:uid="{A63BB850-207E-4F37-B731-B70170A9DB5E}"/>
    <cellStyle name="Normal 2 2 16 6" xfId="12816" xr:uid="{7EF3574B-DB58-4C59-B778-7C91746B762A}"/>
    <cellStyle name="Normal 2 2 17" xfId="2157" xr:uid="{00000000-0005-0000-0000-000095030000}"/>
    <cellStyle name="Normal 2 2 17 2" xfId="7284" xr:uid="{B4EC62D9-AF82-4025-970D-EA4C3E026774}"/>
    <cellStyle name="Normal 2 2 17 2 2" xfId="26238" xr:uid="{6DAF2BCE-0C86-4D88-9E2F-78E919AFD190}"/>
    <cellStyle name="Normal 2 2 17 2 3" xfId="17664" xr:uid="{1E015E8D-58DC-456F-BDFE-E140A635E965}"/>
    <cellStyle name="Normal 2 2 17 3" xfId="10117" xr:uid="{2EC4786D-A0A0-483A-9CB6-2C0C04AACC31}"/>
    <cellStyle name="Normal 2 2 17 3 2" xfId="20497" xr:uid="{0E6F1898-8781-4A3A-BF71-DBEE4D01B0BB}"/>
    <cellStyle name="Normal 2 2 17 4" xfId="23736" xr:uid="{A8D75A14-F8ED-4363-B00E-9520DBE2BB4B}"/>
    <cellStyle name="Normal 2 2 17 5" xfId="14831" xr:uid="{B1CA58E7-00A2-41F1-9A0F-BDFFC5AAD87E}"/>
    <cellStyle name="Normal 2 2 18" xfId="3780" xr:uid="{1A373675-4207-447F-B1B4-24466C74361E}"/>
    <cellStyle name="Normal 2 2 18 2" xfId="8620" xr:uid="{A213806B-ABAF-492B-B6D9-CA5737F09E61}"/>
    <cellStyle name="Normal 2 2 18 2 2" xfId="19000" xr:uid="{160AAC24-51E3-424E-AD27-F18D3F8AE720}"/>
    <cellStyle name="Normal 2 2 18 3" xfId="11453" xr:uid="{5ACF6E83-7460-44A6-9393-BEDF0BFE2652}"/>
    <cellStyle name="Normal 2 2 18 3 2" xfId="21833" xr:uid="{16E87DC4-FD90-46D1-A322-126D2F2E83E0}"/>
    <cellStyle name="Normal 2 2 18 4" xfId="24738" xr:uid="{AA2FF3AD-A4EF-4B36-8436-1AADB93BDB37}"/>
    <cellStyle name="Normal 2 2 18 5" xfId="16167" xr:uid="{AC157D38-856C-4580-B563-DCA32EBD428F}"/>
    <cellStyle name="Normal 2 2 19" xfId="5061" xr:uid="{BC3E59D0-D094-48BD-81F3-E96859DFE0F0}"/>
    <cellStyle name="Normal 2 2 19 2" xfId="14358" xr:uid="{AD30DF1C-1582-45A7-99EE-46D101CF8C51}"/>
    <cellStyle name="Normal 2 2 2" xfId="720" xr:uid="{00000000-0005-0000-0000-00007C040000}"/>
    <cellStyle name="Normal 2 2 2 2" xfId="29565" xr:uid="{0140F41A-A7F6-4E64-8D0A-7ADB50A575AD}"/>
    <cellStyle name="Normal 2 2 20" xfId="6811" xr:uid="{9AA093BE-465D-42F9-802A-DCF38D2C3E24}"/>
    <cellStyle name="Normal 2 2 20 2" xfId="17191" xr:uid="{B7BD99B6-0B8B-4E45-BB86-E9AAD9928BCD}"/>
    <cellStyle name="Normal 2 2 21" xfId="9644" xr:uid="{0A98CF2D-EF20-429F-B97D-47442972AF38}"/>
    <cellStyle name="Normal 2 2 21 2" xfId="20024" xr:uid="{A91E6670-104C-49CF-BFCC-DB2F2A80100C}"/>
    <cellStyle name="Normal 2 2 22" xfId="23645" xr:uid="{0A2E6619-5DD4-4182-B404-64DD36161338}"/>
    <cellStyle name="Normal 2 2 23" xfId="12388" xr:uid="{D5F2CF02-A24D-4B70-BA42-D7D7D8C7B161}"/>
    <cellStyle name="Normal 2 2 3" xfId="721" xr:uid="{00000000-0005-0000-0000-00007D040000}"/>
    <cellStyle name="Normal 2 2 4" xfId="722" xr:uid="{00000000-0005-0000-0000-00007E040000}"/>
    <cellStyle name="Normal 2 2 4 10" xfId="723" xr:uid="{00000000-0005-0000-0000-00007F040000}"/>
    <cellStyle name="Normal 2 2 4 10 2" xfId="3150" xr:uid="{00000000-0005-0000-0000-0000B1030000}"/>
    <cellStyle name="Normal 2 2 4 10 2 2" xfId="6208" xr:uid="{D7D969D3-4E61-4406-BF24-BF599DCF1FAF}"/>
    <cellStyle name="Normal 2 2 4 10 2 2 2" xfId="26540" xr:uid="{E88740FE-679A-4BE2-AB30-5E1E4717FB7B}"/>
    <cellStyle name="Normal 2 2 4 10 2 2 3" xfId="15777" xr:uid="{F38DC642-4549-412E-BBDA-A3A6DD21FAE8}"/>
    <cellStyle name="Normal 2 2 4 10 2 3" xfId="8230" xr:uid="{D6982DF3-9915-4EEC-9953-5C07FCBC40B5}"/>
    <cellStyle name="Normal 2 2 4 10 2 3 2" xfId="18610" xr:uid="{0946FFCE-0946-4566-BB07-7342E0525B8C}"/>
    <cellStyle name="Normal 2 2 4 10 2 4" xfId="11063" xr:uid="{526B7178-26B3-4B9F-BAE8-574354D1F0EB}"/>
    <cellStyle name="Normal 2 2 4 10 2 4 2" xfId="21443" xr:uid="{AC1455A0-CF64-4E90-A7EF-26CE4100BB90}"/>
    <cellStyle name="Normal 2 2 4 10 2 5" xfId="24283" xr:uid="{3C5BC3D8-8C4D-426E-8F06-8F3538AF29AB}"/>
    <cellStyle name="Normal 2 2 4 10 2 6" xfId="13685" xr:uid="{48B9F930-0C25-4581-8E69-79189B949E6F}"/>
    <cellStyle name="Normal 2 2 4 10 3" xfId="4156" xr:uid="{0FD2C3DC-255B-49BE-9FF6-4AC92C7D63F7}"/>
    <cellStyle name="Normal 2 2 4 10 3 2" xfId="8928" xr:uid="{80F2C0FB-F1DC-4258-AD0E-0DD06142707D}"/>
    <cellStyle name="Normal 2 2 4 10 3 2 2" xfId="29027" xr:uid="{37D72171-B24D-4194-B4D3-0A959E954D4C}"/>
    <cellStyle name="Normal 2 2 4 10 3 2 3" xfId="19308" xr:uid="{0681EC7E-E68D-4E35-B1B5-2655A10948DE}"/>
    <cellStyle name="Normal 2 2 4 10 3 3" xfId="11761" xr:uid="{FB782192-D2F5-470E-9650-80D7248ADBA5}"/>
    <cellStyle name="Normal 2 2 4 10 3 3 2" xfId="22141" xr:uid="{6E3AFC5A-8E1D-454F-B124-8B28C999AE87}"/>
    <cellStyle name="Normal 2 2 4 10 3 4" xfId="25697" xr:uid="{960F127A-99EC-4F61-836C-569C208D49CA}"/>
    <cellStyle name="Normal 2 2 4 10 3 5" xfId="16475" xr:uid="{9FDA4D38-87A1-433B-9B04-BCCC15C7061F}"/>
    <cellStyle name="Normal 2 2 4 10 4" xfId="5077" xr:uid="{1FCF3AF0-FBC6-4D63-B3BA-20A01A6167FF}"/>
    <cellStyle name="Normal 2 2 4 10 4 2" xfId="24033" xr:uid="{1E9FBC44-0CCC-4A72-9906-A1159634CC09}"/>
    <cellStyle name="Normal 2 2 4 10 4 3" xfId="26852" xr:uid="{C9EF5E2D-A247-4207-82D8-EEE74AFA64FD}"/>
    <cellStyle name="Normal 2 2 4 10 4 4" xfId="14374" xr:uid="{A90D1DCD-BBBB-4311-AE23-3B6BA1E3AF5D}"/>
    <cellStyle name="Normal 2 2 4 10 5" xfId="6827" xr:uid="{3A3629AD-74B0-46DD-930A-D13A43E4B5A8}"/>
    <cellStyle name="Normal 2 2 4 10 5 2" xfId="27194" xr:uid="{EE7C6482-5934-4C5E-8210-9C33C60F11DA}"/>
    <cellStyle name="Normal 2 2 4 10 5 3" xfId="17207" xr:uid="{2EA77B2A-9F6B-494B-9CDD-F0DCBF707307}"/>
    <cellStyle name="Normal 2 2 4 10 6" xfId="9660" xr:uid="{C57FB809-5FE2-45E4-ACDC-C1DBA03283E4}"/>
    <cellStyle name="Normal 2 2 4 10 6 2" xfId="20040" xr:uid="{CDB3F3D8-A21A-4F07-ADB0-05173762F68D}"/>
    <cellStyle name="Normal 2 2 4 10 7" xfId="22880" xr:uid="{5CF308C9-6D51-4643-9E2C-5CA6A840CF6A}"/>
    <cellStyle name="Normal 2 2 4 10 8" xfId="12712" xr:uid="{E7A9E7AD-6F08-45B4-9A3F-FF2B6DF2184A}"/>
    <cellStyle name="Normal 2 2 4 11" xfId="724" xr:uid="{00000000-0005-0000-0000-000080040000}"/>
    <cellStyle name="Normal 2 2 4 11 2" xfId="5078" xr:uid="{B2B51439-26A5-4C50-95D8-D9A322E62328}"/>
    <cellStyle name="Normal 2 2 4 11 2 2" xfId="25678" xr:uid="{C402C1D2-4423-4CDA-ADCF-C57202F1D021}"/>
    <cellStyle name="Normal 2 2 4 11 2 3" xfId="26359" xr:uid="{056DCAAC-24E9-43A1-82A6-0C9A315D56AD}"/>
    <cellStyle name="Normal 2 2 4 11 2 4" xfId="14375" xr:uid="{872521E7-6E08-4614-B377-4B95D2864DA4}"/>
    <cellStyle name="Normal 2 2 4 11 3" xfId="6828" xr:uid="{7C2751A7-702E-4DF4-9E80-C1AE00BF3135}"/>
    <cellStyle name="Normal 2 2 4 11 3 2" xfId="27643" xr:uid="{19F6A390-B923-463C-9013-7110AED7F8C9}"/>
    <cellStyle name="Normal 2 2 4 11 3 3" xfId="17208" xr:uid="{AC1AC1C8-1FF9-407E-943E-53543251EF25}"/>
    <cellStyle name="Normal 2 2 4 11 4" xfId="9661" xr:uid="{19073B8C-2791-4F34-812F-A2DE9320F133}"/>
    <cellStyle name="Normal 2 2 4 11 4 2" xfId="20041" xr:uid="{34810A10-8551-4547-9322-99F6D9A4A5EA}"/>
    <cellStyle name="Normal 2 2 4 11 5" xfId="23142" xr:uid="{416C81B3-0819-4BF8-9A30-32B0AC090322}"/>
    <cellStyle name="Normal 2 2 4 11 6" xfId="13410" xr:uid="{FC688F8D-7DA8-4750-8693-6F6C1C293274}"/>
    <cellStyle name="Normal 2 2 4 12" xfId="2437" xr:uid="{00000000-0005-0000-0000-0000B3030000}"/>
    <cellStyle name="Normal 2 2 4 12 2" xfId="5732" xr:uid="{1CA93B62-87E4-4705-96DD-F355FB40FC33}"/>
    <cellStyle name="Normal 2 2 4 12 2 2" xfId="27529" xr:uid="{693F9F83-E752-4F7D-B8DA-264691227F4E}"/>
    <cellStyle name="Normal 2 2 4 12 2 3" xfId="15109" xr:uid="{F5B0BC0C-3FEA-4385-B77E-05F42AF9B996}"/>
    <cellStyle name="Normal 2 2 4 12 3" xfId="7562" xr:uid="{D54A0966-299F-4FC9-8FED-1E10BBEC96F3}"/>
    <cellStyle name="Normal 2 2 4 12 3 2" xfId="17942" xr:uid="{26E2A7A7-1EAB-45EE-920C-AD013DF7E206}"/>
    <cellStyle name="Normal 2 2 4 12 4" xfId="10395" xr:uid="{C84F7657-F60B-4659-BC49-8D0BE4A04CC6}"/>
    <cellStyle name="Normal 2 2 4 12 4 2" xfId="20775" xr:uid="{5769F3AE-2EF9-48C9-AB5C-93E5211D5A0F}"/>
    <cellStyle name="Normal 2 2 4 12 5" xfId="24008" xr:uid="{FABCEE1E-7C42-4836-8C1F-79CA52228F4A}"/>
    <cellStyle name="Normal 2 2 4 12 6" xfId="12824" xr:uid="{676C421A-797B-4EB2-918A-9AC76E6E9645}"/>
    <cellStyle name="Normal 2 2 4 13" xfId="2167" xr:uid="{00000000-0005-0000-0000-0000AF030000}"/>
    <cellStyle name="Normal 2 2 4 13 2" xfId="7294" xr:uid="{F1BFA181-64C5-4E4A-ABD0-7974201F6931}"/>
    <cellStyle name="Normal 2 2 4 13 2 2" xfId="26398" xr:uid="{C5112DC9-9925-499D-B2E9-335E18D7B2D2}"/>
    <cellStyle name="Normal 2 2 4 13 2 3" xfId="17674" xr:uid="{F344F0F8-8DF6-4F0A-BAB4-42D5F92328BF}"/>
    <cellStyle name="Normal 2 2 4 13 3" xfId="10127" xr:uid="{E442D80D-08EC-4EAA-BC94-B6780007F958}"/>
    <cellStyle name="Normal 2 2 4 13 3 2" xfId="20507" xr:uid="{246E3730-AF31-49D0-A8E0-7E7785E2D887}"/>
    <cellStyle name="Normal 2 2 4 13 4" xfId="23599" xr:uid="{D26C7D18-001A-43BB-9815-B9CF2762C3E7}"/>
    <cellStyle name="Normal 2 2 4 13 5" xfId="14841" xr:uid="{A06D253D-74AA-4949-A3C4-488C2ED85076}"/>
    <cellStyle name="Normal 2 2 4 14" xfId="3927" xr:uid="{9224FE76-AF9F-40C7-9E4B-7A38724FA954}"/>
    <cellStyle name="Normal 2 2 4 14 2" xfId="8759" xr:uid="{6E95594E-0165-4B4D-ADF3-14A3EE4DDC8E}"/>
    <cellStyle name="Normal 2 2 4 14 2 2" xfId="19139" xr:uid="{2422C39E-40B6-44E7-8B83-F4CBD35700F8}"/>
    <cellStyle name="Normal 2 2 4 14 3" xfId="11592" xr:uid="{BC9F1DA9-C5F5-42AD-BD86-0A771A3DF603}"/>
    <cellStyle name="Normal 2 2 4 14 3 2" xfId="21972" xr:uid="{4D8611E8-F2C4-448E-BE12-76FC605A333A}"/>
    <cellStyle name="Normal 2 2 4 14 4" xfId="27370" xr:uid="{FE9CCE05-EF0F-418B-AE5C-0376211A82BB}"/>
    <cellStyle name="Normal 2 2 4 14 5" xfId="16306" xr:uid="{10BBC8C1-DA61-4642-8926-FA9976CAA80E}"/>
    <cellStyle name="Normal 2 2 4 15" xfId="5076" xr:uid="{3F321B4F-E47A-4304-B738-AE2327016E19}"/>
    <cellStyle name="Normal 2 2 4 15 2" xfId="14373" xr:uid="{AE14D018-34CD-4C44-BCC8-1E57CECF4998}"/>
    <cellStyle name="Normal 2 2 4 16" xfId="6826" xr:uid="{1BB3EEC8-AF94-4899-A302-68D57360357C}"/>
    <cellStyle name="Normal 2 2 4 16 2" xfId="17206" xr:uid="{A687550A-8C82-42DC-9A95-3E243EE3767B}"/>
    <cellStyle name="Normal 2 2 4 17" xfId="9659" xr:uid="{C6FCDE00-F4C5-44DE-844A-7083A1A96C98}"/>
    <cellStyle name="Normal 2 2 4 17 2" xfId="20039" xr:uid="{B61EA2A4-DD29-4E0D-90E6-932E4981EC6A}"/>
    <cellStyle name="Normal 2 2 4 18" xfId="23385" xr:uid="{E36E8115-6050-4A3E-9EF7-52F5E1BB4ED5}"/>
    <cellStyle name="Normal 2 2 4 19" xfId="12399" xr:uid="{7149CC92-E14B-4B1D-A89B-503FF7AF0A7B}"/>
    <cellStyle name="Normal 2 2 4 2" xfId="725" xr:uid="{00000000-0005-0000-0000-000081040000}"/>
    <cellStyle name="Normal 2 2 4 2 10" xfId="5079" xr:uid="{082F0210-4C72-422F-80F9-ACC646677EA2}"/>
    <cellStyle name="Normal 2 2 4 2 10 2" xfId="14376" xr:uid="{94822CAF-2092-49A9-B8CD-410DA0A1A116}"/>
    <cellStyle name="Normal 2 2 4 2 11" xfId="6829" xr:uid="{242FD371-17D0-477D-B9D8-109C3D143C7C}"/>
    <cellStyle name="Normal 2 2 4 2 11 2" xfId="17209" xr:uid="{065C0B98-270C-4FA0-BFD9-19E1970F6214}"/>
    <cellStyle name="Normal 2 2 4 2 12" xfId="9662" xr:uid="{9EC68AC5-DB34-4CC7-9026-D9E313DA6B00}"/>
    <cellStyle name="Normal 2 2 4 2 12 2" xfId="20042" xr:uid="{9D0222BA-8F09-45F6-B777-449CA78646CA}"/>
    <cellStyle name="Normal 2 2 4 2 13" xfId="24969" xr:uid="{0C738B10-8E93-4856-BCB1-B19FD7867AA7}"/>
    <cellStyle name="Normal 2 2 4 2 14" xfId="12422" xr:uid="{384D961C-EC37-4EA2-A57F-262696283CE4}"/>
    <cellStyle name="Normal 2 2 4 2 2" xfId="726" xr:uid="{00000000-0005-0000-0000-000082040000}"/>
    <cellStyle name="Normal 2 2 4 2 2 10" xfId="6830" xr:uid="{BE5F802E-0A33-4C0C-B22F-904F96F5C12D}"/>
    <cellStyle name="Normal 2 2 4 2 2 10 2" xfId="17210" xr:uid="{0E0A262A-9010-4CD1-BFCB-467216AADD64}"/>
    <cellStyle name="Normal 2 2 4 2 2 11" xfId="9663" xr:uid="{ABFE3BC2-408D-4C96-99C4-97DE3C927B68}"/>
    <cellStyle name="Normal 2 2 4 2 2 11 2" xfId="20043" xr:uid="{7F457473-275E-44E9-8293-D49E2EC6900B}"/>
    <cellStyle name="Normal 2 2 4 2 2 12" xfId="23568" xr:uid="{714019CF-C46E-40AB-935E-1D4B4ECBD1B9}"/>
    <cellStyle name="Normal 2 2 4 2 2 13" xfId="12482" xr:uid="{18DB36CC-DB17-43E4-811E-FC915DA0DCCC}"/>
    <cellStyle name="Normal 2 2 4 2 2 2" xfId="727" xr:uid="{00000000-0005-0000-0000-000083040000}"/>
    <cellStyle name="Normal 2 2 4 2 2 2 10" xfId="13047" xr:uid="{B75C6799-77DF-49EF-B0AB-0CAF2F2B5AA6}"/>
    <cellStyle name="Normal 2 2 4 2 2 2 2" xfId="2722" xr:uid="{00000000-0005-0000-0000-0000B7030000}"/>
    <cellStyle name="Normal 2 2 4 2 2 2 2 2" xfId="3153" xr:uid="{00000000-0005-0000-0000-0000B8030000}"/>
    <cellStyle name="Normal 2 2 4 2 2 2 2 2 2" xfId="6211" xr:uid="{2699C163-FD31-4EAE-A8F7-B64A6502ECF7}"/>
    <cellStyle name="Normal 2 2 4 2 2 2 2 2 2 2" xfId="27310" xr:uid="{979CD163-8371-46E5-A003-E51E3D7A9388}"/>
    <cellStyle name="Normal 2 2 4 2 2 2 2 2 2 3" xfId="15780" xr:uid="{F6DCBA35-A6CE-45ED-8A34-3DB0D43A58A2}"/>
    <cellStyle name="Normal 2 2 4 2 2 2 2 2 3" xfId="8233" xr:uid="{F0D0C146-855C-4C83-8150-0B386D5B8ED4}"/>
    <cellStyle name="Normal 2 2 4 2 2 2 2 2 3 2" xfId="18613" xr:uid="{6399A8DE-701C-4DB0-91AB-D921947BE8E1}"/>
    <cellStyle name="Normal 2 2 4 2 2 2 2 2 4" xfId="11066" xr:uid="{1E9C24A1-9573-4B38-8468-E68552F1F4BA}"/>
    <cellStyle name="Normal 2 2 4 2 2 2 2 2 4 2" xfId="21446" xr:uid="{6EA31103-5C99-4B3E-AD13-B9D29EBA98AE}"/>
    <cellStyle name="Normal 2 2 4 2 2 2 2 2 5" xfId="25299" xr:uid="{2DD1FCC2-D5B0-44E4-80A1-FF322D89482A}"/>
    <cellStyle name="Normal 2 2 4 2 2 2 2 2 6" xfId="13688" xr:uid="{00D91A39-C71B-4EF1-940F-2B85EFA0B76C}"/>
    <cellStyle name="Normal 2 2 4 2 2 2 2 3" xfId="4289" xr:uid="{EB4C999B-FD68-43F3-85D7-E9F10D41EA3E}"/>
    <cellStyle name="Normal 2 2 4 2 2 2 2 3 2" xfId="9061" xr:uid="{D55F9012-33D5-4D08-A084-FDFFB9E1BD7C}"/>
    <cellStyle name="Normal 2 2 4 2 2 2 2 3 2 2" xfId="29104" xr:uid="{0037F71B-AF57-417B-B0C1-9187E1724F27}"/>
    <cellStyle name="Normal 2 2 4 2 2 2 2 3 2 3" xfId="19441" xr:uid="{35B5BCF0-9220-4EAF-8043-00F118D02DCA}"/>
    <cellStyle name="Normal 2 2 4 2 2 2 2 3 3" xfId="11894" xr:uid="{15FFEA8F-AD61-42BA-B4DF-77F494056622}"/>
    <cellStyle name="Normal 2 2 4 2 2 2 2 3 3 2" xfId="22274" xr:uid="{DDAA0DAD-3748-447D-859F-158EAAB2B3D1}"/>
    <cellStyle name="Normal 2 2 4 2 2 2 2 3 4" xfId="25557" xr:uid="{88F7A1A7-A134-4BD9-BEF1-7FA3B8A59D87}"/>
    <cellStyle name="Normal 2 2 4 2 2 2 2 3 5" xfId="16608" xr:uid="{EB03052E-F658-45EF-B3DB-852A4C7BB8AE}"/>
    <cellStyle name="Normal 2 2 4 2 2 2 2 4" xfId="5940" xr:uid="{CB7445F3-EDE3-4EE8-B6F9-3A408AAD304B}"/>
    <cellStyle name="Normal 2 2 4 2 2 2 2 4 2" xfId="26545" xr:uid="{88071224-704B-408D-9737-7F52197591E3}"/>
    <cellStyle name="Normal 2 2 4 2 2 2 2 4 3" xfId="15393" xr:uid="{78E75524-9F07-495E-8BF3-3BAF4F5DD576}"/>
    <cellStyle name="Normal 2 2 4 2 2 2 2 5" xfId="7846" xr:uid="{5D107997-4F67-464D-A286-B2B2A0262103}"/>
    <cellStyle name="Normal 2 2 4 2 2 2 2 5 2" xfId="18226" xr:uid="{AA40D164-9E2D-4A13-910B-3D371DE141C5}"/>
    <cellStyle name="Normal 2 2 4 2 2 2 2 6" xfId="10679" xr:uid="{18926BE6-A7E2-4432-B7DE-3E917506226E}"/>
    <cellStyle name="Normal 2 2 4 2 2 2 2 6 2" xfId="21059" xr:uid="{5DB5DD18-242B-488B-BD94-C1C85C86F788}"/>
    <cellStyle name="Normal 2 2 4 2 2 2 2 7" xfId="23628" xr:uid="{83E0FFC2-481C-45AE-8A7D-75DA91E86A48}"/>
    <cellStyle name="Normal 2 2 4 2 2 2 2 8" xfId="13151" xr:uid="{C5B5A001-DC74-4D19-AFCD-13258C952985}"/>
    <cellStyle name="Normal 2 2 4 2 2 2 3" xfId="3154" xr:uid="{00000000-0005-0000-0000-0000B9030000}"/>
    <cellStyle name="Normal 2 2 4 2 2 2 3 2" xfId="4453" xr:uid="{4A97CEB2-5003-4355-8B57-CF23B36F416D}"/>
    <cellStyle name="Normal 2 2 4 2 2 2 3 2 2" xfId="9225" xr:uid="{F5720346-86C9-4C63-BA2E-BAE188667089}"/>
    <cellStyle name="Normal 2 2 4 2 2 2 3 2 2 2" xfId="19605" xr:uid="{9305AE05-2DFF-4B0F-A9D4-8809704FA2E9}"/>
    <cellStyle name="Normal 2 2 4 2 2 2 3 2 3" xfId="12058" xr:uid="{ECFF396C-25C3-49B8-AA48-4D7D1EBC0BDB}"/>
    <cellStyle name="Normal 2 2 4 2 2 2 3 2 3 2" xfId="22438" xr:uid="{2BC92043-679A-4766-9259-2405F2EA928F}"/>
    <cellStyle name="Normal 2 2 4 2 2 2 3 2 4" xfId="26058" xr:uid="{ED0E0944-5CEF-4C9C-AA0F-E258430D90A9}"/>
    <cellStyle name="Normal 2 2 4 2 2 2 3 2 5" xfId="16772" xr:uid="{55BE370F-B348-471C-8745-E120F97BE2A0}"/>
    <cellStyle name="Normal 2 2 4 2 2 2 3 3" xfId="6212" xr:uid="{CF2B2C7D-8D4A-4128-AE44-E970B94FCAE1}"/>
    <cellStyle name="Normal 2 2 4 2 2 2 3 3 2" xfId="15781" xr:uid="{B75D01FD-8740-465A-8152-A77BC1D4819D}"/>
    <cellStyle name="Normal 2 2 4 2 2 2 3 4" xfId="8234" xr:uid="{CEBD421D-9A20-422F-AC86-CA9DEA90F093}"/>
    <cellStyle name="Normal 2 2 4 2 2 2 3 4 2" xfId="18614" xr:uid="{1B2C86E2-3FE6-4F5C-BA72-F9B27B3FBC4B}"/>
    <cellStyle name="Normal 2 2 4 2 2 2 3 5" xfId="11067" xr:uid="{505C8031-27A6-4614-A3C4-177C0D99977D}"/>
    <cellStyle name="Normal 2 2 4 2 2 2 3 5 2" xfId="21447" xr:uid="{4C04D953-6EF7-4BBC-BA46-8EFDD1D1EA4D}"/>
    <cellStyle name="Normal 2 2 4 2 2 2 3 6" xfId="24288" xr:uid="{171037B2-2BB0-4C29-BBCE-68189D2748E9}"/>
    <cellStyle name="Normal 2 2 4 2 2 2 3 7" xfId="13689" xr:uid="{271CF764-F5C9-47CB-857B-A73B69E6962C}"/>
    <cellStyle name="Normal 2 2 4 2 2 2 4" xfId="3152" xr:uid="{00000000-0005-0000-0000-0000BA030000}"/>
    <cellStyle name="Normal 2 2 4 2 2 2 4 2" xfId="6210" xr:uid="{E91A0431-FCC1-463D-BD9C-F55AA905BE01}"/>
    <cellStyle name="Normal 2 2 4 2 2 2 4 2 2" xfId="27582" xr:uid="{7798AA59-ECF7-4EA6-AE66-36AF8239076A}"/>
    <cellStyle name="Normal 2 2 4 2 2 2 4 2 3" xfId="15779" xr:uid="{3D255CEF-B0D7-4594-8D79-B28B7B704CE7}"/>
    <cellStyle name="Normal 2 2 4 2 2 2 4 3" xfId="8232" xr:uid="{0CD3A607-C712-4534-B9B7-8F82DE39D3A1}"/>
    <cellStyle name="Normal 2 2 4 2 2 2 4 3 2" xfId="18612" xr:uid="{847B1C1E-5B45-4EA7-9A71-E2F0ED75139E}"/>
    <cellStyle name="Normal 2 2 4 2 2 2 4 4" xfId="11065" xr:uid="{314174BA-CE9E-4BBB-86B5-4BE1B74BFD55}"/>
    <cellStyle name="Normal 2 2 4 2 2 2 4 4 2" xfId="21445" xr:uid="{BF5AEE3C-78FF-46DD-B096-C3648047178D}"/>
    <cellStyle name="Normal 2 2 4 2 2 2 4 5" xfId="24463" xr:uid="{CE55173A-4A4F-4D6C-9EB6-0BBA474A68A0}"/>
    <cellStyle name="Normal 2 2 4 2 2 2 4 6" xfId="13687" xr:uid="{BBE612DB-E7AA-4BE9-B15F-44A38468F16D}"/>
    <cellStyle name="Normal 2 2 4 2 2 2 5" xfId="4246" xr:uid="{A5837D72-58FA-4ACE-83A8-4C32A870CADD}"/>
    <cellStyle name="Normal 2 2 4 2 2 2 5 2" xfId="9018" xr:uid="{3911FCCB-8233-454F-8863-A3272D932E7B}"/>
    <cellStyle name="Normal 2 2 4 2 2 2 5 2 2" xfId="29089" xr:uid="{559997CF-28FA-4C70-AEF7-995D956D328F}"/>
    <cellStyle name="Normal 2 2 4 2 2 2 5 2 3" xfId="19398" xr:uid="{6AA6EA60-8522-44FD-82C6-A119F68309F5}"/>
    <cellStyle name="Normal 2 2 4 2 2 2 5 3" xfId="11851" xr:uid="{E81DFAA3-3FDC-4207-982E-6BBCB881398F}"/>
    <cellStyle name="Normal 2 2 4 2 2 2 5 3 2" xfId="22231" xr:uid="{F4A4E475-A61A-492B-AD1A-F651E84955C9}"/>
    <cellStyle name="Normal 2 2 4 2 2 2 5 4" xfId="23356" xr:uid="{4A63525E-46BF-4176-BD63-81BE8045E9C6}"/>
    <cellStyle name="Normal 2 2 4 2 2 2 5 5" xfId="16565" xr:uid="{B6518A45-8C55-4D40-819C-2C376C91C8EE}"/>
    <cellStyle name="Normal 2 2 4 2 2 2 6" xfId="5081" xr:uid="{47FC8CF6-B486-4972-BA38-F5EDBBDDAC10}"/>
    <cellStyle name="Normal 2 2 4 2 2 2 6 2" xfId="28157" xr:uid="{9FFF3425-5AF2-4761-BE08-7EC4173D3F76}"/>
    <cellStyle name="Normal 2 2 4 2 2 2 6 3" xfId="14378" xr:uid="{335F4B5E-37F6-4AD8-9623-4B17805DE4A7}"/>
    <cellStyle name="Normal 2 2 4 2 2 2 7" xfId="6831" xr:uid="{EBF1790C-9A9E-4FDA-99F8-75F26B66D02D}"/>
    <cellStyle name="Normal 2 2 4 2 2 2 7 2" xfId="17211" xr:uid="{2C60DF07-AFD6-4899-B1D4-DE65F15B1770}"/>
    <cellStyle name="Normal 2 2 4 2 2 2 8" xfId="9664" xr:uid="{C51E09DB-C633-47B9-8D83-AA8B5E1C1EF6}"/>
    <cellStyle name="Normal 2 2 4 2 2 2 8 2" xfId="20044" xr:uid="{B55AE1A0-B807-4104-AD5F-DF983DAA81AF}"/>
    <cellStyle name="Normal 2 2 4 2 2 2 9" xfId="23563" xr:uid="{2519DEBA-4290-4708-B313-1F513235CCFB}"/>
    <cellStyle name="Normal 2 2 4 2 2 3" xfId="2721" xr:uid="{00000000-0005-0000-0000-0000BB030000}"/>
    <cellStyle name="Normal 2 2 4 2 2 3 2" xfId="3155" xr:uid="{00000000-0005-0000-0000-0000BC030000}"/>
    <cellStyle name="Normal 2 2 4 2 2 3 2 2" xfId="6213" xr:uid="{E71CCDBE-A511-45EC-9137-4294D00A3932}"/>
    <cellStyle name="Normal 2 2 4 2 2 3 2 2 2" xfId="25955" xr:uid="{622D5F88-FF21-4BA9-ADB2-3C2824DEFF04}"/>
    <cellStyle name="Normal 2 2 4 2 2 3 2 2 3" xfId="15782" xr:uid="{7866CC56-376B-4590-9306-7811498CB6B8}"/>
    <cellStyle name="Normal 2 2 4 2 2 3 2 3" xfId="8235" xr:uid="{07E27873-EAB3-4DFE-8C19-8F30AA3B3052}"/>
    <cellStyle name="Normal 2 2 4 2 2 3 2 3 2" xfId="18615" xr:uid="{AF9E421E-67EC-4F27-9E84-047FCB4FE572}"/>
    <cellStyle name="Normal 2 2 4 2 2 3 2 4" xfId="11068" xr:uid="{023DF42C-3068-40E6-BBA8-6E262468578C}"/>
    <cellStyle name="Normal 2 2 4 2 2 3 2 4 2" xfId="21448" xr:uid="{7174D068-6883-470E-A0A5-DA37122A2777}"/>
    <cellStyle name="Normal 2 2 4 2 2 3 2 5" xfId="23927" xr:uid="{2562E55E-8274-403D-B64C-DC58F9E1C9E8}"/>
    <cellStyle name="Normal 2 2 4 2 2 3 2 6" xfId="13690" xr:uid="{B836E300-9378-4951-82EB-4DDBB1393F70}"/>
    <cellStyle name="Normal 2 2 4 2 2 3 3" xfId="4288" xr:uid="{532B6416-E1AF-42E2-83CC-09B1192EA672}"/>
    <cellStyle name="Normal 2 2 4 2 2 3 3 2" xfId="9060" xr:uid="{EC143838-7391-4B15-9DD0-BA807430AB81}"/>
    <cellStyle name="Normal 2 2 4 2 2 3 3 2 2" xfId="29103" xr:uid="{7F65475A-E3E1-406B-890B-AEFDBE121E83}"/>
    <cellStyle name="Normal 2 2 4 2 2 3 3 2 3" xfId="19440" xr:uid="{0F5C69B9-7445-41F9-930F-53777E6EAC14}"/>
    <cellStyle name="Normal 2 2 4 2 2 3 3 3" xfId="11893" xr:uid="{468137D7-7E07-42F8-910E-692041FBE6F2}"/>
    <cellStyle name="Normal 2 2 4 2 2 3 3 3 2" xfId="22273" xr:uid="{33261F64-5DDC-4BB0-9A2A-BD3F4E05BDBB}"/>
    <cellStyle name="Normal 2 2 4 2 2 3 3 4" xfId="23532" xr:uid="{AC9474BA-6BE0-4E77-90A2-7F6257FC8D5C}"/>
    <cellStyle name="Normal 2 2 4 2 2 3 3 5" xfId="16607" xr:uid="{DE13A975-C627-4FF1-B28C-7DEB8A7E81CB}"/>
    <cellStyle name="Normal 2 2 4 2 2 3 4" xfId="5939" xr:uid="{F1175C17-8A92-44F1-B138-AC745586A597}"/>
    <cellStyle name="Normal 2 2 4 2 2 3 4 2" xfId="28185" xr:uid="{5AEBB01A-7D83-4CAE-99D5-D5C0545F0400}"/>
    <cellStyle name="Normal 2 2 4 2 2 3 4 3" xfId="15392" xr:uid="{F668E040-A025-46A1-8A8E-AA168A3620CF}"/>
    <cellStyle name="Normal 2 2 4 2 2 3 5" xfId="7845" xr:uid="{5A74DDD8-F7C1-4489-B7BF-C018EF908A51}"/>
    <cellStyle name="Normal 2 2 4 2 2 3 5 2" xfId="18225" xr:uid="{D5AE22DE-B013-4403-96C7-3EBF811005EA}"/>
    <cellStyle name="Normal 2 2 4 2 2 3 6" xfId="10678" xr:uid="{5F3C90A9-0021-45AF-A681-54A1EC48DD82}"/>
    <cellStyle name="Normal 2 2 4 2 2 3 6 2" xfId="21058" xr:uid="{1B7B70CA-7443-44A0-8740-97A89863AA0C}"/>
    <cellStyle name="Normal 2 2 4 2 2 3 7" xfId="23377" xr:uid="{254CF21A-F962-4C43-844D-B0F1B8A8A487}"/>
    <cellStyle name="Normal 2 2 4 2 2 3 8" xfId="13150" xr:uid="{90D1D134-855A-4F6D-BAE2-F2146545F8C0}"/>
    <cellStyle name="Normal 2 2 4 2 2 4" xfId="3156" xr:uid="{00000000-0005-0000-0000-0000BD030000}"/>
    <cellStyle name="Normal 2 2 4 2 2 4 2" xfId="4454" xr:uid="{D31ECB7F-F17E-42F8-B936-3BE6C6095BEC}"/>
    <cellStyle name="Normal 2 2 4 2 2 4 2 2" xfId="9226" xr:uid="{EB4AD320-1ECF-4D1E-9848-5956DEAE50ED}"/>
    <cellStyle name="Normal 2 2 4 2 2 4 2 2 2" xfId="19606" xr:uid="{57484C8E-A8FE-4895-934A-C9451297BB0C}"/>
    <cellStyle name="Normal 2 2 4 2 2 4 2 3" xfId="12059" xr:uid="{15235E2B-8571-4A74-A144-F9D9E0AA927E}"/>
    <cellStyle name="Normal 2 2 4 2 2 4 2 3 2" xfId="22439" xr:uid="{5C86E97E-7370-44AF-86BD-20021B9D7D69}"/>
    <cellStyle name="Normal 2 2 4 2 2 4 2 4" xfId="25897" xr:uid="{854538DB-A2EA-425F-AFD9-5652C6107723}"/>
    <cellStyle name="Normal 2 2 4 2 2 4 2 5" xfId="16773" xr:uid="{CF930C04-3313-4181-A114-8330FD14F551}"/>
    <cellStyle name="Normal 2 2 4 2 2 4 3" xfId="6214" xr:uid="{CD40CAC9-9E42-4AC8-85F3-B5103FCCDD0D}"/>
    <cellStyle name="Normal 2 2 4 2 2 4 3 2" xfId="15783" xr:uid="{8780E0F3-6CDD-4337-BAE4-EB9EB4BE57C6}"/>
    <cellStyle name="Normal 2 2 4 2 2 4 4" xfId="8236" xr:uid="{F075D409-C758-4478-B09B-E66243D7D14C}"/>
    <cellStyle name="Normal 2 2 4 2 2 4 4 2" xfId="18616" xr:uid="{12B53BBF-199C-4CAD-96D3-C0B66EAD64E8}"/>
    <cellStyle name="Normal 2 2 4 2 2 4 5" xfId="11069" xr:uid="{5A0534AB-A9DA-46E2-B0AE-4C734142AB01}"/>
    <cellStyle name="Normal 2 2 4 2 2 4 5 2" xfId="21449" xr:uid="{E11B5D29-5E1D-482A-80F9-DD81AAE2A100}"/>
    <cellStyle name="Normal 2 2 4 2 2 4 6" xfId="22836" xr:uid="{F355649C-0759-4C44-A8E7-F4F596869D20}"/>
    <cellStyle name="Normal 2 2 4 2 2 4 7" xfId="13691" xr:uid="{DBA412D2-DB80-4C7A-BC79-A8E74C2F9856}"/>
    <cellStyle name="Normal 2 2 4 2 2 5" xfId="3151" xr:uid="{00000000-0005-0000-0000-0000BE030000}"/>
    <cellStyle name="Normal 2 2 4 2 2 5 2" xfId="6209" xr:uid="{618D1D94-107E-44CF-AA1E-6A06B104CAE9}"/>
    <cellStyle name="Normal 2 2 4 2 2 5 2 2" xfId="26461" xr:uid="{A029499B-D5E3-44F3-8A69-9F2DCF13D404}"/>
    <cellStyle name="Normal 2 2 4 2 2 5 2 3" xfId="15778" xr:uid="{6F6DB294-D076-489F-BC5F-91BDF121C51B}"/>
    <cellStyle name="Normal 2 2 4 2 2 5 3" xfId="8231" xr:uid="{ACE1619D-C6AC-4A41-959F-78832DFE1FFD}"/>
    <cellStyle name="Normal 2 2 4 2 2 5 3 2" xfId="18611" xr:uid="{E47AD77C-F5DF-4D81-B6BE-C15CCB65D6D6}"/>
    <cellStyle name="Normal 2 2 4 2 2 5 4" xfId="11064" xr:uid="{0FA6119F-1A0C-487E-82A8-BDBD6597F767}"/>
    <cellStyle name="Normal 2 2 4 2 2 5 4 2" xfId="21444" xr:uid="{3E9CFA26-34F8-41EF-BF82-4D42604E8B93}"/>
    <cellStyle name="Normal 2 2 4 2 2 5 5" xfId="23451" xr:uid="{12EE21C7-E8D0-43FF-8A01-E77B1BB12DFE}"/>
    <cellStyle name="Normal 2 2 4 2 2 5 6" xfId="13686" xr:uid="{6EAC6775-9A55-4C60-A018-12D794A91A63}"/>
    <cellStyle name="Normal 2 2 4 2 2 6" xfId="2556" xr:uid="{00000000-0005-0000-0000-0000BF030000}"/>
    <cellStyle name="Normal 2 2 4 2 2 6 2" xfId="5826" xr:uid="{F2196EFF-4174-4140-908D-57A5DEF88B4E}"/>
    <cellStyle name="Normal 2 2 4 2 2 6 2 2" xfId="27747" xr:uid="{5FCDB675-1C76-42FB-920F-6D13460C5D38}"/>
    <cellStyle name="Normal 2 2 4 2 2 6 2 3" xfId="15228" xr:uid="{B4005584-B072-4CB9-84C6-79406B33ECF4}"/>
    <cellStyle name="Normal 2 2 4 2 2 6 3" xfId="7681" xr:uid="{BE402371-848C-4CE7-9765-6C156D82E772}"/>
    <cellStyle name="Normal 2 2 4 2 2 6 3 2" xfId="18061" xr:uid="{9F3895C7-4D6D-47E6-B687-46076222C947}"/>
    <cellStyle name="Normal 2 2 4 2 2 6 4" xfId="10514" xr:uid="{7AE1DE80-25B3-4C00-97DF-DBD27601E652}"/>
    <cellStyle name="Normal 2 2 4 2 2 6 4 2" xfId="20894" xr:uid="{8721C51B-DFE3-4D00-B8EC-56FC3E931C64}"/>
    <cellStyle name="Normal 2 2 4 2 2 6 5" xfId="25580" xr:uid="{FEE6F374-2430-40BD-B012-CC0B8883E86E}"/>
    <cellStyle name="Normal 2 2 4 2 2 6 6" xfId="12944" xr:uid="{B721A15B-6509-477A-A1E0-530863601813}"/>
    <cellStyle name="Normal 2 2 4 2 2 7" xfId="2250" xr:uid="{00000000-0005-0000-0000-0000B5030000}"/>
    <cellStyle name="Normal 2 2 4 2 2 7 2" xfId="7377" xr:uid="{7322D2C7-5B3C-4E9C-94C9-09023A49B850}"/>
    <cellStyle name="Normal 2 2 4 2 2 7 2 2" xfId="17757" xr:uid="{CEAE7E0A-B11D-4CA8-BE3C-D1FD62F72706}"/>
    <cellStyle name="Normal 2 2 4 2 2 7 3" xfId="10210" xr:uid="{4DC9D3FD-899D-439E-9756-E8909AD65FD1}"/>
    <cellStyle name="Normal 2 2 4 2 2 7 3 2" xfId="20590" xr:uid="{720FB1B8-01B7-4754-AD97-FAF561815584}"/>
    <cellStyle name="Normal 2 2 4 2 2 7 4" xfId="22961" xr:uid="{3D743B37-7539-46DD-89B6-0C47060567BC}"/>
    <cellStyle name="Normal 2 2 4 2 2 7 5" xfId="14924" xr:uid="{47E46C3A-2B1A-4572-BFD4-D629EC5B57FE}"/>
    <cellStyle name="Normal 2 2 4 2 2 8" xfId="3801" xr:uid="{6A30176C-DD0C-4612-B71D-4A3D00BA024F}"/>
    <cellStyle name="Normal 2 2 4 2 2 8 2" xfId="8637" xr:uid="{4056E821-8729-4119-BA4D-378C7358BEC6}"/>
    <cellStyle name="Normal 2 2 4 2 2 8 2 2" xfId="19017" xr:uid="{9637E5B6-D8FE-4263-B9A5-367EB34CF628}"/>
    <cellStyle name="Normal 2 2 4 2 2 8 3" xfId="11470" xr:uid="{5818410A-B52B-47AC-A336-512452EFCCB4}"/>
    <cellStyle name="Normal 2 2 4 2 2 8 3 2" xfId="21850" xr:uid="{D76487B1-A11A-4A1F-9C3C-E8DB63A10ED6}"/>
    <cellStyle name="Normal 2 2 4 2 2 8 4" xfId="16184" xr:uid="{9BE97DD1-8084-482A-BECD-99F93C470751}"/>
    <cellStyle name="Normal 2 2 4 2 2 9" xfId="5080" xr:uid="{1236D320-5B06-4478-AAF3-4B2E5BE0E489}"/>
    <cellStyle name="Normal 2 2 4 2 2 9 2" xfId="14377" xr:uid="{8DBF017B-9133-4929-8C04-9A8AA0829C93}"/>
    <cellStyle name="Normal 2 2 4 2 3" xfId="728" xr:uid="{00000000-0005-0000-0000-000084040000}"/>
    <cellStyle name="Normal 2 2 4 2 3 10" xfId="9665" xr:uid="{137A06F2-9AAE-40E7-AE22-97F5F1BE99E1}"/>
    <cellStyle name="Normal 2 2 4 2 3 10 2" xfId="20045" xr:uid="{025ED9FD-5072-439D-9430-47E4292AD7C9}"/>
    <cellStyle name="Normal 2 2 4 2 3 11" xfId="23041" xr:uid="{235C0F80-384A-419B-9486-8C753C5A3951}"/>
    <cellStyle name="Normal 2 2 4 2 3 12" xfId="12555" xr:uid="{28B82401-46F6-4C42-B730-CD28F76A03E8}"/>
    <cellStyle name="Normal 2 2 4 2 3 2" xfId="2723" xr:uid="{00000000-0005-0000-0000-0000C1030000}"/>
    <cellStyle name="Normal 2 2 4 2 3 2 2" xfId="3158" xr:uid="{00000000-0005-0000-0000-0000C2030000}"/>
    <cellStyle name="Normal 2 2 4 2 3 2 2 2" xfId="6216" xr:uid="{66D33B85-2A81-416A-AD46-3B9315192992}"/>
    <cellStyle name="Normal 2 2 4 2 3 2 2 2 2" xfId="27855" xr:uid="{5E967662-6A04-49F4-879A-7449CBCEE179}"/>
    <cellStyle name="Normal 2 2 4 2 3 2 2 2 3" xfId="15785" xr:uid="{C8D5E1CE-4F41-4562-A8EF-D042F4D4BC44}"/>
    <cellStyle name="Normal 2 2 4 2 3 2 2 3" xfId="8238" xr:uid="{AB7EDDB6-A68C-452D-9EB7-082C7E72F8C3}"/>
    <cellStyle name="Normal 2 2 4 2 3 2 2 3 2" xfId="18618" xr:uid="{C40C6339-F8E8-4409-8B71-362FA6BA542A}"/>
    <cellStyle name="Normal 2 2 4 2 3 2 2 4" xfId="11071" xr:uid="{D7010550-EAA3-458B-9CDD-2BE9418C860F}"/>
    <cellStyle name="Normal 2 2 4 2 3 2 2 4 2" xfId="21451" xr:uid="{C71421EA-067D-41C4-B02B-C20DD3DCA8A1}"/>
    <cellStyle name="Normal 2 2 4 2 3 2 2 5" xfId="23766" xr:uid="{ABC7261B-63A8-4DA9-9D02-BAAAA1BD8FFD}"/>
    <cellStyle name="Normal 2 2 4 2 3 2 2 6" xfId="13693" xr:uid="{A73CA4DE-74D7-4551-81AD-B5E01A232169}"/>
    <cellStyle name="Normal 2 2 4 2 3 2 3" xfId="4290" xr:uid="{BD3BFC28-8A02-4D45-BB9E-50A4D3B84292}"/>
    <cellStyle name="Normal 2 2 4 2 3 2 3 2" xfId="9062" xr:uid="{CD90A5CA-7C3C-4B16-9B47-4B8052078D1C}"/>
    <cellStyle name="Normal 2 2 4 2 3 2 3 2 2" xfId="29105" xr:uid="{30107FE3-C4A2-41B7-A790-77D344D282FC}"/>
    <cellStyle name="Normal 2 2 4 2 3 2 3 2 3" xfId="19442" xr:uid="{427E193C-89AF-4104-A9DD-86A5CE8C51A8}"/>
    <cellStyle name="Normal 2 2 4 2 3 2 3 3" xfId="11895" xr:uid="{0DDEC6CD-D410-4905-9F0A-2B8F9BFB81E3}"/>
    <cellStyle name="Normal 2 2 4 2 3 2 3 3 2" xfId="22275" xr:uid="{F678408C-20CD-4456-A14D-365F845CF170}"/>
    <cellStyle name="Normal 2 2 4 2 3 2 3 4" xfId="24573" xr:uid="{A6A98DBF-49BB-4916-8A98-E19DC87ABACC}"/>
    <cellStyle name="Normal 2 2 4 2 3 2 3 5" xfId="16609" xr:uid="{5917F770-B013-4C4C-A0FD-558297F36532}"/>
    <cellStyle name="Normal 2 2 4 2 3 2 4" xfId="5941" xr:uid="{1C5B2A3E-FF54-48BD-8D3B-9A7F4AACF0C8}"/>
    <cellStyle name="Normal 2 2 4 2 3 2 4 2" xfId="28136" xr:uid="{7131533B-38BF-4DFE-9DB1-42DCA1AC2C3E}"/>
    <cellStyle name="Normal 2 2 4 2 3 2 4 3" xfId="15394" xr:uid="{89A5315B-242A-4C32-8140-3E3AD5692490}"/>
    <cellStyle name="Normal 2 2 4 2 3 2 5" xfId="7847" xr:uid="{F0B5BE23-5203-4072-A38A-0F1423B4EA2D}"/>
    <cellStyle name="Normal 2 2 4 2 3 2 5 2" xfId="18227" xr:uid="{3FF81DB4-D6A0-44B5-8826-DCB93F432D0C}"/>
    <cellStyle name="Normal 2 2 4 2 3 2 6" xfId="10680" xr:uid="{7228B68C-7F2C-4A9A-988D-45760A04CA25}"/>
    <cellStyle name="Normal 2 2 4 2 3 2 6 2" xfId="21060" xr:uid="{D46540AE-7316-4109-942F-AA2BBDB038FA}"/>
    <cellStyle name="Normal 2 2 4 2 3 2 7" xfId="23137" xr:uid="{5E9C447A-02A9-4E08-BDA6-6FEA1E041AA6}"/>
    <cellStyle name="Normal 2 2 4 2 3 2 8" xfId="13152" xr:uid="{54E1DE7E-B85C-4CED-BFC6-3289733923E4}"/>
    <cellStyle name="Normal 2 2 4 2 3 3" xfId="3159" xr:uid="{00000000-0005-0000-0000-0000C3030000}"/>
    <cellStyle name="Normal 2 2 4 2 3 3 2" xfId="4455" xr:uid="{5248CC53-CC7A-4521-91BA-5DE56FF28C9D}"/>
    <cellStyle name="Normal 2 2 4 2 3 3 2 2" xfId="9227" xr:uid="{495C9C38-0F1A-46C6-8AE7-A932D2D2165C}"/>
    <cellStyle name="Normal 2 2 4 2 3 3 2 2 2" xfId="29218" xr:uid="{59CF6D59-8891-4798-9E6C-1166DE93EA9D}"/>
    <cellStyle name="Normal 2 2 4 2 3 3 2 2 3" xfId="19607" xr:uid="{E6BFEC40-DF17-4C6F-BC0E-C81B751B73AF}"/>
    <cellStyle name="Normal 2 2 4 2 3 3 2 3" xfId="12060" xr:uid="{D36FA740-A532-4B07-8BB1-EA8595F86055}"/>
    <cellStyle name="Normal 2 2 4 2 3 3 2 3 2" xfId="22440" xr:uid="{00C91EF7-A65D-407E-976E-DAFED77B341E}"/>
    <cellStyle name="Normal 2 2 4 2 3 3 2 4" xfId="23195" xr:uid="{57DED316-0EEB-4F17-B299-A1D8ED799983}"/>
    <cellStyle name="Normal 2 2 4 2 3 3 2 5" xfId="16774" xr:uid="{6E1C6F5C-2A6C-4229-A54C-806C33C3FCEA}"/>
    <cellStyle name="Normal 2 2 4 2 3 3 3" xfId="6217" xr:uid="{AFFD9ADB-3225-48AD-BBED-70A8BCBF3ADB}"/>
    <cellStyle name="Normal 2 2 4 2 3 3 3 2" xfId="27881" xr:uid="{238C539D-D95E-4BF8-ABE6-C387C7BC20C2}"/>
    <cellStyle name="Normal 2 2 4 2 3 3 3 3" xfId="15786" xr:uid="{76975D4A-7E3C-4564-AA51-F00EDB647832}"/>
    <cellStyle name="Normal 2 2 4 2 3 3 4" xfId="8239" xr:uid="{EA813DCE-C5A7-40A8-8D2E-4D8CC5A07749}"/>
    <cellStyle name="Normal 2 2 4 2 3 3 4 2" xfId="18619" xr:uid="{739FB499-24ED-426E-93BE-AEA94F51E9A4}"/>
    <cellStyle name="Normal 2 2 4 2 3 3 5" xfId="11072" xr:uid="{AC742C09-C1E1-4DE8-9459-618BD82FF5FD}"/>
    <cellStyle name="Normal 2 2 4 2 3 3 5 2" xfId="21452" xr:uid="{720EDA05-FA92-472F-8C79-AA2F3C789D28}"/>
    <cellStyle name="Normal 2 2 4 2 3 3 6" xfId="25552" xr:uid="{AFD675E3-2BBF-4944-A20C-869E3EC374A7}"/>
    <cellStyle name="Normal 2 2 4 2 3 3 7" xfId="13694" xr:uid="{B4F7B5C4-69E9-48FD-92CF-48DBC77932FF}"/>
    <cellStyle name="Normal 2 2 4 2 3 4" xfId="3157" xr:uid="{00000000-0005-0000-0000-0000C4030000}"/>
    <cellStyle name="Normal 2 2 4 2 3 4 2" xfId="6215" xr:uid="{68A4C56B-52D9-48AA-ACA8-17EE6BC59CDD}"/>
    <cellStyle name="Normal 2 2 4 2 3 4 2 2" xfId="28024" xr:uid="{381603AB-51F4-4558-BF47-113DE99AE6E9}"/>
    <cellStyle name="Normal 2 2 4 2 3 4 2 3" xfId="15784" xr:uid="{E1BDD14A-692C-4F04-BE73-518FE4FA805C}"/>
    <cellStyle name="Normal 2 2 4 2 3 4 3" xfId="8237" xr:uid="{3A17D46A-29E8-4E76-8E19-EF54ACD4B71C}"/>
    <cellStyle name="Normal 2 2 4 2 3 4 3 2" xfId="18617" xr:uid="{C05099B4-AEE6-4492-A998-3E509271EBC2}"/>
    <cellStyle name="Normal 2 2 4 2 3 4 4" xfId="11070" xr:uid="{2C6AF62C-0AFA-4C56-8B81-6CD5554000E7}"/>
    <cellStyle name="Normal 2 2 4 2 3 4 4 2" xfId="21450" xr:uid="{46ECBCB4-4140-48FB-B3BB-76BB4596D026}"/>
    <cellStyle name="Normal 2 2 4 2 3 4 5" xfId="25355" xr:uid="{41420271-C229-4F12-A8C3-C45E90D69C07}"/>
    <cellStyle name="Normal 2 2 4 2 3 4 6" xfId="13692" xr:uid="{5817FFAA-34D2-4D74-BC0B-898F7709E16F}"/>
    <cellStyle name="Normal 2 2 4 2 3 5" xfId="2599" xr:uid="{00000000-0005-0000-0000-0000C5030000}"/>
    <cellStyle name="Normal 2 2 4 2 3 5 2" xfId="5864" xr:uid="{8A4BEA37-8FD8-4397-8FA6-1776F135E90E}"/>
    <cellStyle name="Normal 2 2 4 2 3 5 2 2" xfId="26605" xr:uid="{2B0A737C-5946-46D8-86A1-CE639C6376D8}"/>
    <cellStyle name="Normal 2 2 4 2 3 5 2 3" xfId="15271" xr:uid="{7714C8BD-4C09-49E4-A675-4A2A3A7EBE2F}"/>
    <cellStyle name="Normal 2 2 4 2 3 5 3" xfId="7724" xr:uid="{83312644-C190-4DE2-A05A-D2CB02D84EED}"/>
    <cellStyle name="Normal 2 2 4 2 3 5 3 2" xfId="18104" xr:uid="{E3E3A4D0-5FC6-442F-8EF7-1801A6DD01FC}"/>
    <cellStyle name="Normal 2 2 4 2 3 5 4" xfId="10557" xr:uid="{85A274E6-AB1F-421D-855F-FF5BC5D9A45A}"/>
    <cellStyle name="Normal 2 2 4 2 3 5 4 2" xfId="20937" xr:uid="{0C36F9B6-1F8A-40FD-8CA3-3E459FA87A3E}"/>
    <cellStyle name="Normal 2 2 4 2 3 5 5" xfId="23387" xr:uid="{93DA55E4-4537-4916-907E-0392790EAEF6}"/>
    <cellStyle name="Normal 2 2 4 2 3 5 6" xfId="12987" xr:uid="{3F549D23-DCC2-4F1B-ABBC-AC856BB18B35}"/>
    <cellStyle name="Normal 2 2 4 2 3 6" xfId="2321" xr:uid="{00000000-0005-0000-0000-0000C0030000}"/>
    <cellStyle name="Normal 2 2 4 2 3 6 2" xfId="7448" xr:uid="{9976F5AD-B946-4435-AF60-3F82B981EB91}"/>
    <cellStyle name="Normal 2 2 4 2 3 6 2 2" xfId="17828" xr:uid="{4E4FFECD-97F5-470F-A1F7-7D7112862757}"/>
    <cellStyle name="Normal 2 2 4 2 3 6 3" xfId="10281" xr:uid="{1CDBB532-7859-4A0D-BE5C-33FAED3D78BC}"/>
    <cellStyle name="Normal 2 2 4 2 3 6 3 2" xfId="20661" xr:uid="{9C4A01FD-2C23-458A-9657-67354914F195}"/>
    <cellStyle name="Normal 2 2 4 2 3 6 4" xfId="23664" xr:uid="{EC7BBC41-7451-484B-907E-BC4354195EF3}"/>
    <cellStyle name="Normal 2 2 4 2 3 6 5" xfId="14995" xr:uid="{66E40264-68CC-4F11-9621-02ACE31AE67B}"/>
    <cellStyle name="Normal 2 2 4 2 3 7" xfId="3840" xr:uid="{23EA705F-20C4-43AA-891D-3014BAC31BE4}"/>
    <cellStyle name="Normal 2 2 4 2 3 7 2" xfId="8673" xr:uid="{CF216A4A-E3FC-4ECD-A076-6EC7214B2585}"/>
    <cellStyle name="Normal 2 2 4 2 3 7 2 2" xfId="19053" xr:uid="{361070C4-EC75-4E4E-A83D-2952936E361E}"/>
    <cellStyle name="Normal 2 2 4 2 3 7 3" xfId="11506" xr:uid="{D9D67743-BBE3-4E16-A716-8FD7CE5A3935}"/>
    <cellStyle name="Normal 2 2 4 2 3 7 3 2" xfId="21886" xr:uid="{5F7EE2D8-B053-409E-95A2-9E1F6D1C462B}"/>
    <cellStyle name="Normal 2 2 4 2 3 7 4" xfId="16220" xr:uid="{988D23EC-7AE1-4359-B886-63B78F6D9286}"/>
    <cellStyle name="Normal 2 2 4 2 3 8" xfId="5082" xr:uid="{0B217810-9819-4D72-9703-40033B207891}"/>
    <cellStyle name="Normal 2 2 4 2 3 8 2" xfId="14379" xr:uid="{F6CE234F-EEC7-4AC8-BDD8-8BCB9B71EFE2}"/>
    <cellStyle name="Normal 2 2 4 2 3 9" xfId="6832" xr:uid="{CF338C0A-9C5A-40B4-803E-7787754A9871}"/>
    <cellStyle name="Normal 2 2 4 2 3 9 2" xfId="17212" xr:uid="{F700A31A-79C3-457A-A22E-BAFCB9786A30}"/>
    <cellStyle name="Normal 2 2 4 2 4" xfId="729" xr:uid="{00000000-0005-0000-0000-000085040000}"/>
    <cellStyle name="Normal 2 2 4 2 4 2" xfId="3160" xr:uid="{00000000-0005-0000-0000-0000C7030000}"/>
    <cellStyle name="Normal 2 2 4 2 4 2 2" xfId="6218" xr:uid="{80E48B82-3C34-40D3-9788-1D0DC13EFE6C}"/>
    <cellStyle name="Normal 2 2 4 2 4 2 2 2" xfId="27684" xr:uid="{1ACFCBBA-A51F-4249-9BD9-04D756965607}"/>
    <cellStyle name="Normal 2 2 4 2 4 2 2 3" xfId="15787" xr:uid="{81BA7999-FD7D-4CBD-B441-EC403C2A8945}"/>
    <cellStyle name="Normal 2 2 4 2 4 2 3" xfId="8240" xr:uid="{1BCB77AB-A035-4619-912F-68B8A65D1029}"/>
    <cellStyle name="Normal 2 2 4 2 4 2 3 2" xfId="18620" xr:uid="{2382335A-E3B0-40B3-A2FD-A29A63008124}"/>
    <cellStyle name="Normal 2 2 4 2 4 2 4" xfId="11073" xr:uid="{5F1C3224-08D4-435B-854B-F040467BF595}"/>
    <cellStyle name="Normal 2 2 4 2 4 2 4 2" xfId="21453" xr:uid="{AD30834A-3033-43EA-9F97-1EBB7381F8AE}"/>
    <cellStyle name="Normal 2 2 4 2 4 2 5" xfId="23002" xr:uid="{BE504945-8FD7-4F3D-B0E7-ADE7D69CD6EE}"/>
    <cellStyle name="Normal 2 2 4 2 4 2 6" xfId="13695" xr:uid="{F97A643D-40DB-431D-9772-81B29E66EFDA}"/>
    <cellStyle name="Normal 2 2 4 2 4 3" xfId="2720" xr:uid="{00000000-0005-0000-0000-0000C8030000}"/>
    <cellStyle name="Normal 2 2 4 2 4 3 2" xfId="5938" xr:uid="{6A8F2C84-EAC0-4E94-8D03-05CD3BC2E25D}"/>
    <cellStyle name="Normal 2 2 4 2 4 3 2 2" xfId="28707" xr:uid="{773E2714-BAA3-46A3-A053-B0C03B71BF19}"/>
    <cellStyle name="Normal 2 2 4 2 4 3 2 3" xfId="15391" xr:uid="{92EFF602-C511-45B1-9C01-DFB5E725DB28}"/>
    <cellStyle name="Normal 2 2 4 2 4 3 3" xfId="7844" xr:uid="{5FDAFDE8-4BFF-4804-AC58-584CFB114ED7}"/>
    <cellStyle name="Normal 2 2 4 2 4 3 3 2" xfId="18224" xr:uid="{689C8253-79CB-448D-98D3-AF66C2344D49}"/>
    <cellStyle name="Normal 2 2 4 2 4 3 4" xfId="10677" xr:uid="{18CF8772-8474-4A17-9CC2-CC41FFF96740}"/>
    <cellStyle name="Normal 2 2 4 2 4 3 4 2" xfId="21057" xr:uid="{79C2AF01-6A9A-4064-916D-A4A44190100B}"/>
    <cellStyle name="Normal 2 2 4 2 4 3 5" xfId="23240" xr:uid="{5031D9C5-652F-405D-9401-4F4ABD2E7DED}"/>
    <cellStyle name="Normal 2 2 4 2 4 3 6" xfId="13149" xr:uid="{3DCC7B6D-7B4F-4493-AAF2-5426EBE62873}"/>
    <cellStyle name="Normal 2 2 4 2 4 4" xfId="4157" xr:uid="{F97839D7-2F29-47B5-9650-9F95C736EDCE}"/>
    <cellStyle name="Normal 2 2 4 2 4 4 2" xfId="8929" xr:uid="{AFC92C82-B247-40B9-B5C4-000C1625DEC4}"/>
    <cellStyle name="Normal 2 2 4 2 4 4 2 2" xfId="19309" xr:uid="{11AB5E93-4EC5-4318-BEA2-8C1CD6B827EE}"/>
    <cellStyle name="Normal 2 2 4 2 4 4 3" xfId="11762" xr:uid="{DE6D08B3-D675-4A4A-9318-0CB51C55BD64}"/>
    <cellStyle name="Normal 2 2 4 2 4 4 3 2" xfId="22142" xr:uid="{55B23CBF-F06B-400C-B16E-7405E0D79965}"/>
    <cellStyle name="Normal 2 2 4 2 4 4 4" xfId="23937" xr:uid="{C28303E9-FE5B-41B5-8155-14EE36B0189E}"/>
    <cellStyle name="Normal 2 2 4 2 4 4 5" xfId="16476" xr:uid="{F38E235E-14B3-4379-A37E-2EA5BF4A5665}"/>
    <cellStyle name="Normal 2 2 4 2 4 5" xfId="5083" xr:uid="{A3A9E2AA-4F4D-465A-B580-3F74DCCEDF9C}"/>
    <cellStyle name="Normal 2 2 4 2 4 5 2" xfId="14380" xr:uid="{35F31F88-1FDD-459C-8290-8E093FA91295}"/>
    <cellStyle name="Normal 2 2 4 2 4 6" xfId="6833" xr:uid="{A7E96CBD-4BE6-4DB3-8A5F-607C9832827D}"/>
    <cellStyle name="Normal 2 2 4 2 4 6 2" xfId="17213" xr:uid="{47CC1DFF-70A8-4A45-B4CD-64C88620F661}"/>
    <cellStyle name="Normal 2 2 4 2 4 7" xfId="9666" xr:uid="{8C2793AA-1772-4408-B90E-B93D6CE30AD9}"/>
    <cellStyle name="Normal 2 2 4 2 4 7 2" xfId="20046" xr:uid="{D8D64D40-46D3-455B-8DC8-0F62A5372256}"/>
    <cellStyle name="Normal 2 2 4 2 4 8" xfId="25418" xr:uid="{09A46CB1-6C09-4A09-B6F6-4AA5BB78A2F2}"/>
    <cellStyle name="Normal 2 2 4 2 4 9" xfId="12713" xr:uid="{B0B5D202-6FFA-450B-BFB2-710CF2322D3C}"/>
    <cellStyle name="Normal 2 2 4 2 5" xfId="3161" xr:uid="{00000000-0005-0000-0000-0000C9030000}"/>
    <cellStyle name="Normal 2 2 4 2 5 2" xfId="4456" xr:uid="{6B641034-A6D4-477C-91CE-CECB14E4E9B0}"/>
    <cellStyle name="Normal 2 2 4 2 5 2 2" xfId="9228" xr:uid="{C88BDFF1-AD84-40D9-A63B-ED38DE18688B}"/>
    <cellStyle name="Normal 2 2 4 2 5 2 2 2" xfId="29219" xr:uid="{EFD13CD5-DA52-4A0A-9C16-F47348A3E03C}"/>
    <cellStyle name="Normal 2 2 4 2 5 2 2 3" xfId="19608" xr:uid="{A011B15C-1D8B-4917-8231-B758BEDC2B86}"/>
    <cellStyle name="Normal 2 2 4 2 5 2 3" xfId="12061" xr:uid="{C4E6AA50-CE78-4A94-9EA7-BD5DCB6D4CA9}"/>
    <cellStyle name="Normal 2 2 4 2 5 2 3 2" xfId="22441" xr:uid="{0DDA0262-690B-4EDE-AB00-49E8CA5E6D27}"/>
    <cellStyle name="Normal 2 2 4 2 5 2 4" xfId="24973" xr:uid="{7E25945D-41CB-4E5A-820E-5BAA229DBC97}"/>
    <cellStyle name="Normal 2 2 4 2 5 2 5" xfId="16775" xr:uid="{9A0B81B3-A948-4C12-ADFB-C3421C8B185C}"/>
    <cellStyle name="Normal 2 2 4 2 5 3" xfId="6219" xr:uid="{2F6E5A96-78D7-44C5-8D92-FCCC456F2684}"/>
    <cellStyle name="Normal 2 2 4 2 5 3 2" xfId="27354" xr:uid="{2D6D48EF-4F10-496B-AACA-4573B8589BBF}"/>
    <cellStyle name="Normal 2 2 4 2 5 3 3" xfId="15788" xr:uid="{86AD331C-9AB0-47A8-9A7A-C7486D49AB31}"/>
    <cellStyle name="Normal 2 2 4 2 5 4" xfId="8241" xr:uid="{5FCE930C-43B9-4DD9-825D-6CC12983D69F}"/>
    <cellStyle name="Normal 2 2 4 2 5 4 2" xfId="18621" xr:uid="{EB21A1C8-EB3C-49AA-AEEF-D47868D4CBE2}"/>
    <cellStyle name="Normal 2 2 4 2 5 5" xfId="11074" xr:uid="{B9F1B30D-3D24-42D5-9386-700A96C32E84}"/>
    <cellStyle name="Normal 2 2 4 2 5 5 2" xfId="21454" xr:uid="{4A0EA96A-E493-482C-B1B6-29177EC8A5F8}"/>
    <cellStyle name="Normal 2 2 4 2 5 6" xfId="24407" xr:uid="{D7B92CD4-E5ED-4ECE-8101-81AC5355AB1B}"/>
    <cellStyle name="Normal 2 2 4 2 5 7" xfId="13696" xr:uid="{C1337A35-F0AE-4195-88CB-6C0A47B6366C}"/>
    <cellStyle name="Normal 2 2 4 2 6" xfId="2898" xr:uid="{00000000-0005-0000-0000-0000CA030000}"/>
    <cellStyle name="Normal 2 2 4 2 6 2" xfId="6084" xr:uid="{EBE5517C-7808-4345-9A38-9B97D2A6E130}"/>
    <cellStyle name="Normal 2 2 4 2 6 2 2" xfId="27218" xr:uid="{717C1686-189F-4691-8E58-D1CBE5560D47}"/>
    <cellStyle name="Normal 2 2 4 2 6 2 3" xfId="15562" xr:uid="{0116A452-050C-46B3-8C7C-E99748F1BBC9}"/>
    <cellStyle name="Normal 2 2 4 2 6 3" xfId="8015" xr:uid="{DE012C2A-BD69-42B9-9D9B-D2DB0780C457}"/>
    <cellStyle name="Normal 2 2 4 2 6 3 2" xfId="18395" xr:uid="{92588661-0624-4D50-9828-761A157D2C29}"/>
    <cellStyle name="Normal 2 2 4 2 6 4" xfId="10848" xr:uid="{B3F965D0-CCBC-4392-964E-DF1BA2897A48}"/>
    <cellStyle name="Normal 2 2 4 2 6 4 2" xfId="21228" xr:uid="{EB95EE1A-66C9-44EE-8B7C-5F37544274F5}"/>
    <cellStyle name="Normal 2 2 4 2 6 5" xfId="24441" xr:uid="{560D1163-7E8A-40FB-997E-B3319AA422B3}"/>
    <cellStyle name="Normal 2 2 4 2 6 6" xfId="13411" xr:uid="{FF272E99-C8F8-4F05-B531-C8983C3D0D16}"/>
    <cellStyle name="Normal 2 2 4 2 7" xfId="2496" xr:uid="{00000000-0005-0000-0000-0000CB030000}"/>
    <cellStyle name="Normal 2 2 4 2 7 2" xfId="5779" xr:uid="{31309030-C44A-4DF6-A717-986C7DE4CB36}"/>
    <cellStyle name="Normal 2 2 4 2 7 2 2" xfId="25948" xr:uid="{33378617-B315-4FCA-B3E9-D33061B3F3C3}"/>
    <cellStyle name="Normal 2 2 4 2 7 2 3" xfId="15168" xr:uid="{B3326B84-62F2-4589-89AE-E1C741FC3BA2}"/>
    <cellStyle name="Normal 2 2 4 2 7 3" xfId="7621" xr:uid="{1419194F-CCE5-4A12-98E7-D2CF81EE53EF}"/>
    <cellStyle name="Normal 2 2 4 2 7 3 2" xfId="18001" xr:uid="{9656D95C-BB17-4E84-BA1F-034D72243BE1}"/>
    <cellStyle name="Normal 2 2 4 2 7 4" xfId="10454" xr:uid="{30E631D4-416A-455F-8A36-835A7E61AA0A}"/>
    <cellStyle name="Normal 2 2 4 2 7 4 2" xfId="20834" xr:uid="{E5F4A594-FA20-459E-8207-87DD2B6963ED}"/>
    <cellStyle name="Normal 2 2 4 2 7 5" xfId="24471" xr:uid="{2D345C72-3362-4EE5-AD33-91830D3EE00C}"/>
    <cellStyle name="Normal 2 2 4 2 7 6" xfId="12884" xr:uid="{D2242D32-BCD5-49B5-BD4D-6B412D8A36D1}"/>
    <cellStyle name="Normal 2 2 4 2 8" xfId="2190" xr:uid="{00000000-0005-0000-0000-0000B4030000}"/>
    <cellStyle name="Normal 2 2 4 2 8 2" xfId="7317" xr:uid="{360FC0EA-CF34-4040-B06B-83B5FB05D733}"/>
    <cellStyle name="Normal 2 2 4 2 8 2 2" xfId="17697" xr:uid="{73699C6E-C478-4F6B-AC38-229215922BFB}"/>
    <cellStyle name="Normal 2 2 4 2 8 3" xfId="10150" xr:uid="{44C70DFB-C5E9-4553-9F0F-622C6C402CB7}"/>
    <cellStyle name="Normal 2 2 4 2 8 3 2" xfId="20530" xr:uid="{55398FB5-6050-4E90-997B-8A9B9EFCAA27}"/>
    <cellStyle name="Normal 2 2 4 2 8 4" xfId="23006" xr:uid="{B66B3ADA-BFAF-45E3-B609-DABEFAC8AE24}"/>
    <cellStyle name="Normal 2 2 4 2 8 5" xfId="14864" xr:uid="{7B5D2042-9F94-4749-83CE-20242B6C78AA}"/>
    <cellStyle name="Normal 2 2 4 2 9" xfId="3928" xr:uid="{77B8B384-9D18-403A-B06F-12A51804B35C}"/>
    <cellStyle name="Normal 2 2 4 2 9 2" xfId="8760" xr:uid="{7755C901-2831-4F5A-B0A4-12186FA7A94A}"/>
    <cellStyle name="Normal 2 2 4 2 9 2 2" xfId="19140" xr:uid="{0FC10658-EF09-4DDA-992A-E98D96F8C54B}"/>
    <cellStyle name="Normal 2 2 4 2 9 3" xfId="11593" xr:uid="{D51FF9B7-F4D6-460B-9746-17D7FB36CD54}"/>
    <cellStyle name="Normal 2 2 4 2 9 3 2" xfId="21973" xr:uid="{0EE2E39E-C03E-4DE9-A76D-BA6523F548F1}"/>
    <cellStyle name="Normal 2 2 4 2 9 4" xfId="16307" xr:uid="{65EC3690-704E-47BD-A65D-BDEBD001C6C1}"/>
    <cellStyle name="Normal 2 2 4 3" xfId="730" xr:uid="{00000000-0005-0000-0000-000086040000}"/>
    <cellStyle name="Normal 2 2 4 3 10" xfId="5084" xr:uid="{3059EF97-232C-42F5-8B53-D6134C3313AA}"/>
    <cellStyle name="Normal 2 2 4 3 10 2" xfId="14381" xr:uid="{0AA44285-8348-4AEA-B139-0B4B710CF248}"/>
    <cellStyle name="Normal 2 2 4 3 11" xfId="6834" xr:uid="{A5F7D9AC-56F7-4DE8-8E78-E478BFFA8DE0}"/>
    <cellStyle name="Normal 2 2 4 3 11 2" xfId="17214" xr:uid="{ED8F7ACA-68F6-4A91-8D3B-A144DEAE3E6C}"/>
    <cellStyle name="Normal 2 2 4 3 12" xfId="9667" xr:uid="{3E967C1F-FC5E-4FFA-9158-E0CE5F932165}"/>
    <cellStyle name="Normal 2 2 4 3 12 2" xfId="20047" xr:uid="{71C901C3-1818-438E-A876-F2F1AAA5B5D5}"/>
    <cellStyle name="Normal 2 2 4 3 13" xfId="23261" xr:uid="{0686F330-0275-48BC-8744-E0DB747F821D}"/>
    <cellStyle name="Normal 2 2 4 3 14" xfId="12459" xr:uid="{10887C6C-5FAB-40D5-82E6-32A4C52AAFD2}"/>
    <cellStyle name="Normal 2 2 4 3 2" xfId="731" xr:uid="{00000000-0005-0000-0000-000087040000}"/>
    <cellStyle name="Normal 2 2 4 3 2 10" xfId="9668" xr:uid="{21E94FA6-12AC-4D04-852F-FC1D262DD70B}"/>
    <cellStyle name="Normal 2 2 4 3 2 10 2" xfId="20048" xr:uid="{FB4673F3-C970-4EDA-9105-0CBDA575E2D7}"/>
    <cellStyle name="Normal 2 2 4 3 2 11" xfId="25102" xr:uid="{E8DEBEDF-D8F1-4968-9CE0-0C098C4223E3}"/>
    <cellStyle name="Normal 2 2 4 3 2 12" xfId="12556" xr:uid="{916C9A0D-AFD0-49AF-B15E-B62E35C99B0A}"/>
    <cellStyle name="Normal 2 2 4 3 2 2" xfId="732" xr:uid="{00000000-0005-0000-0000-000088040000}"/>
    <cellStyle name="Normal 2 2 4 3 2 2 2" xfId="3163" xr:uid="{00000000-0005-0000-0000-0000CF030000}"/>
    <cellStyle name="Normal 2 2 4 3 2 2 2 2" xfId="6221" xr:uid="{26C0A590-91FA-45F9-A1D0-B827B251085C}"/>
    <cellStyle name="Normal 2 2 4 3 2 2 2 2 2" xfId="27919" xr:uid="{71FF5FC3-1A8D-4D83-8D2D-16C36B6F2A51}"/>
    <cellStyle name="Normal 2 2 4 3 2 2 2 2 3" xfId="26133" xr:uid="{2EC56C41-CD9A-40C7-8937-ADB7A313DE94}"/>
    <cellStyle name="Normal 2 2 4 3 2 2 2 2 4" xfId="15790" xr:uid="{6AB1EC09-C0CB-4409-AFEE-D27033E15864}"/>
    <cellStyle name="Normal 2 2 4 3 2 2 2 3" xfId="8243" xr:uid="{5D4BDDD8-1A86-4178-9196-CFA33212C2B7}"/>
    <cellStyle name="Normal 2 2 4 3 2 2 2 3 2" xfId="28874" xr:uid="{2F29D525-AAE6-4F18-9BED-6F63C9836854}"/>
    <cellStyle name="Normal 2 2 4 3 2 2 2 3 3" xfId="18623" xr:uid="{CA78F776-1862-4665-9DBB-ECE0D2A7B947}"/>
    <cellStyle name="Normal 2 2 4 3 2 2 2 4" xfId="11076" xr:uid="{3A9C77D3-6F36-47E7-A8B7-BA68FE6F2D21}"/>
    <cellStyle name="Normal 2 2 4 3 2 2 2 4 2" xfId="21456" xr:uid="{C628A8E1-27CF-4C5A-A9DA-61E218083264}"/>
    <cellStyle name="Normal 2 2 4 3 2 2 2 5" xfId="24081" xr:uid="{FCB705DE-50A7-4201-ABC1-427567871AAC}"/>
    <cellStyle name="Normal 2 2 4 3 2 2 2 6" xfId="13698" xr:uid="{02A6371B-FBDA-487C-A6D8-975E10908147}"/>
    <cellStyle name="Normal 2 2 4 3 2 2 3" xfId="4292" xr:uid="{07B1601E-3DBF-46BB-A7DD-195EEEFD7FD4}"/>
    <cellStyle name="Normal 2 2 4 3 2 2 3 2" xfId="9064" xr:uid="{B4CD8E1A-C4F3-41B5-AC9E-993474979B09}"/>
    <cellStyle name="Normal 2 2 4 3 2 2 3 2 2" xfId="29107" xr:uid="{A3F9DD3E-5183-4DC5-81BE-2027DB9938ED}"/>
    <cellStyle name="Normal 2 2 4 3 2 2 3 2 3" xfId="19444" xr:uid="{70809F72-09CB-4299-B6CD-9816DE603F43}"/>
    <cellStyle name="Normal 2 2 4 3 2 2 3 3" xfId="11897" xr:uid="{6E20FC59-DBAC-4007-ADEC-AEFDF951EBC9}"/>
    <cellStyle name="Normal 2 2 4 3 2 2 3 3 2" xfId="22277" xr:uid="{5E705BC8-1D4A-42C8-A708-7B83689B7053}"/>
    <cellStyle name="Normal 2 2 4 3 2 2 3 4" xfId="24211" xr:uid="{078D9B0D-52F5-423F-9549-99DB14E66069}"/>
    <cellStyle name="Normal 2 2 4 3 2 2 3 5" xfId="16611" xr:uid="{E42C96D1-F37F-4BD6-A47D-C7EAF8855C14}"/>
    <cellStyle name="Normal 2 2 4 3 2 2 4" xfId="5086" xr:uid="{3A477A92-907E-4C46-A096-06F2EB0A805D}"/>
    <cellStyle name="Normal 2 2 4 3 2 2 4 2" xfId="26034" xr:uid="{B14913F4-850F-4665-B7F3-26E7E7B342A5}"/>
    <cellStyle name="Normal 2 2 4 3 2 2 4 3" xfId="14383" xr:uid="{C0F55250-55D9-4CCC-9FBC-E1E474279F8C}"/>
    <cellStyle name="Normal 2 2 4 3 2 2 5" xfId="6836" xr:uid="{7FD871C6-3A32-474F-B802-222A10471E41}"/>
    <cellStyle name="Normal 2 2 4 3 2 2 5 2" xfId="17216" xr:uid="{3F6631FC-741E-4F25-8958-635B0FBD3528}"/>
    <cellStyle name="Normal 2 2 4 3 2 2 6" xfId="9669" xr:uid="{2AE24CB6-BC9C-457B-845A-8D006269537F}"/>
    <cellStyle name="Normal 2 2 4 3 2 2 6 2" xfId="20049" xr:uid="{15CCDE29-825B-47FF-BC5E-09ACEDA7BD60}"/>
    <cellStyle name="Normal 2 2 4 3 2 2 7" xfId="23932" xr:uid="{30C65FB4-58DF-4101-9415-A1C3411180C9}"/>
    <cellStyle name="Normal 2 2 4 3 2 2 8" xfId="13154" xr:uid="{3BD4FE24-3675-48D9-8C8D-3DA74E8F242A}"/>
    <cellStyle name="Normal 2 2 4 3 2 3" xfId="3164" xr:uid="{00000000-0005-0000-0000-0000D0030000}"/>
    <cellStyle name="Normal 2 2 4 3 2 3 2" xfId="4457" xr:uid="{6ECB643E-2057-4553-BD8F-AD024F4885D9}"/>
    <cellStyle name="Normal 2 2 4 3 2 3 2 2" xfId="9229" xr:uid="{C6B779D1-C9C9-4636-9F77-87A507038BD4}"/>
    <cellStyle name="Normal 2 2 4 3 2 3 2 2 2" xfId="29220" xr:uid="{0A5239C5-AA28-4786-9D59-A31E79F75B9B}"/>
    <cellStyle name="Normal 2 2 4 3 2 3 2 2 3" xfId="19609" xr:uid="{60571E30-4C62-4014-95CE-71B2BFD014CF}"/>
    <cellStyle name="Normal 2 2 4 3 2 3 2 3" xfId="12062" xr:uid="{F18DABCF-FD8C-4ED6-953F-84B87DD582E5}"/>
    <cellStyle name="Normal 2 2 4 3 2 3 2 3 2" xfId="22442" xr:uid="{08847699-7074-47A9-9945-C533DCEE5CE8}"/>
    <cellStyle name="Normal 2 2 4 3 2 3 2 4" xfId="25230" xr:uid="{936D4E5A-43D0-4F27-97DE-9C79FE9E276F}"/>
    <cellStyle name="Normal 2 2 4 3 2 3 2 5" xfId="16776" xr:uid="{9B509FC5-8E86-487F-9EE2-EFDB4623DC6F}"/>
    <cellStyle name="Normal 2 2 4 3 2 3 3" xfId="6222" xr:uid="{E9024C08-908A-402F-BF49-66143836B8BE}"/>
    <cellStyle name="Normal 2 2 4 3 2 3 3 2" xfId="28666" xr:uid="{BAEA2FF9-2083-431A-B9C8-6DF3E29FB3EA}"/>
    <cellStyle name="Normal 2 2 4 3 2 3 3 3" xfId="15791" xr:uid="{36C048B4-878F-420D-93AA-2CBD17EAFC20}"/>
    <cellStyle name="Normal 2 2 4 3 2 3 4" xfId="8244" xr:uid="{05B8AE77-5A94-4141-9021-064B6755F9FA}"/>
    <cellStyle name="Normal 2 2 4 3 2 3 4 2" xfId="18624" xr:uid="{C9A2A75F-CEF3-4DA5-8DA3-C2DFDC1C974C}"/>
    <cellStyle name="Normal 2 2 4 3 2 3 5" xfId="11077" xr:uid="{473B2FDE-74B4-4F4D-8BC1-D967B6573F60}"/>
    <cellStyle name="Normal 2 2 4 3 2 3 5 2" xfId="21457" xr:uid="{1F7EAFA3-0ACB-40E8-BBDD-8F323DBAB262}"/>
    <cellStyle name="Normal 2 2 4 3 2 3 6" xfId="23445" xr:uid="{D763C4D2-87C6-46B4-B78A-F133E50DE6EB}"/>
    <cellStyle name="Normal 2 2 4 3 2 3 7" xfId="13699" xr:uid="{FCE565A6-FF94-4CFE-B2D9-64C5F9FDD6F7}"/>
    <cellStyle name="Normal 2 2 4 3 2 4" xfId="3162" xr:uid="{00000000-0005-0000-0000-0000D1030000}"/>
    <cellStyle name="Normal 2 2 4 3 2 4 2" xfId="6220" xr:uid="{DDD380AD-F8A6-4E82-ABDB-A89D39D39C8A}"/>
    <cellStyle name="Normal 2 2 4 3 2 4 2 2" xfId="28523" xr:uid="{7BCE47EA-961D-45CB-B9BB-D5D815E0D30C}"/>
    <cellStyle name="Normal 2 2 4 3 2 4 2 3" xfId="15789" xr:uid="{4DD44714-6D4E-4029-AB9C-DD35E6BB20E8}"/>
    <cellStyle name="Normal 2 2 4 3 2 4 3" xfId="8242" xr:uid="{A2823BCA-1871-45A0-8C28-B3B038F07FFC}"/>
    <cellStyle name="Normal 2 2 4 3 2 4 3 2" xfId="18622" xr:uid="{E72ED07E-6DE5-4280-B557-A205A74D5352}"/>
    <cellStyle name="Normal 2 2 4 3 2 4 4" xfId="11075" xr:uid="{5C806EF6-2EF1-4031-A31C-D976D50AEC63}"/>
    <cellStyle name="Normal 2 2 4 3 2 4 4 2" xfId="21455" xr:uid="{31F5F408-FA18-44E7-BE38-79B696F04B1E}"/>
    <cellStyle name="Normal 2 2 4 3 2 4 5" xfId="23170" xr:uid="{215FB270-2EB6-4081-84EF-9B9CB09BD67D}"/>
    <cellStyle name="Normal 2 2 4 3 2 4 6" xfId="13697" xr:uid="{D216EE99-5BF9-44A0-8CE3-DF3BDD6A932E}"/>
    <cellStyle name="Normal 2 2 4 3 2 5" xfId="2533" xr:uid="{00000000-0005-0000-0000-0000D2030000}"/>
    <cellStyle name="Normal 2 2 4 3 2 5 2" xfId="5807" xr:uid="{ABA7F4F9-1855-49AC-8957-1FEA0DC3DB39}"/>
    <cellStyle name="Normal 2 2 4 3 2 5 2 2" xfId="26055" xr:uid="{226B60CD-1EE2-4CC0-9990-7A820F86F183}"/>
    <cellStyle name="Normal 2 2 4 3 2 5 2 3" xfId="15205" xr:uid="{7DB3FF16-ACC1-4DD9-A040-1F9A32834FEB}"/>
    <cellStyle name="Normal 2 2 4 3 2 5 3" xfId="7658" xr:uid="{36F3AEF2-E753-4C43-9BA9-54DAC791480F}"/>
    <cellStyle name="Normal 2 2 4 3 2 5 3 2" xfId="18038" xr:uid="{EF43BF01-89A1-4F33-8776-E57D1EA73B9D}"/>
    <cellStyle name="Normal 2 2 4 3 2 5 4" xfId="10491" xr:uid="{6641D8B0-3129-44AC-AF93-12FF2A7D8237}"/>
    <cellStyle name="Normal 2 2 4 3 2 5 4 2" xfId="20871" xr:uid="{DF1F54C4-01C1-4352-B717-6C4D25DB9831}"/>
    <cellStyle name="Normal 2 2 4 3 2 5 5" xfId="24189" xr:uid="{1EDD6420-E7E5-4A43-BDEA-F70068981CA2}"/>
    <cellStyle name="Normal 2 2 4 3 2 5 6" xfId="12921" xr:uid="{4173A2E7-EB72-49EC-BEA0-01AEA58AE056}"/>
    <cellStyle name="Normal 2 2 4 3 2 6" xfId="2322" xr:uid="{00000000-0005-0000-0000-0000CD030000}"/>
    <cellStyle name="Normal 2 2 4 3 2 6 2" xfId="7449" xr:uid="{EBC63B61-750D-47DC-9110-0E2E94C4DDE8}"/>
    <cellStyle name="Normal 2 2 4 3 2 6 2 2" xfId="17829" xr:uid="{60A00CEB-4AA0-4D5F-80AA-A7BD95F2B89C}"/>
    <cellStyle name="Normal 2 2 4 3 2 6 3" xfId="10282" xr:uid="{85809369-768D-4E58-B75D-2168E11307D9}"/>
    <cellStyle name="Normal 2 2 4 3 2 6 3 2" xfId="20662" xr:uid="{7E852C4D-A675-4788-8064-88E8ECC07D92}"/>
    <cellStyle name="Normal 2 2 4 3 2 6 4" xfId="24216" xr:uid="{21A06A83-CF38-4707-A922-B96C499715B5}"/>
    <cellStyle name="Normal 2 2 4 3 2 6 5" xfId="14996" xr:uid="{F334D071-8667-43E8-8B44-C2FC25DB8516}"/>
    <cellStyle name="Normal 2 2 4 3 2 7" xfId="3841" xr:uid="{69D28288-5F70-4C1A-912E-84318F7A6C44}"/>
    <cellStyle name="Normal 2 2 4 3 2 7 2" xfId="8674" xr:uid="{F72F5C99-3A99-48D9-9A4B-CC2AEA1465DE}"/>
    <cellStyle name="Normal 2 2 4 3 2 7 2 2" xfId="19054" xr:uid="{86FE62B0-B63C-4434-8AB8-6DFE92940595}"/>
    <cellStyle name="Normal 2 2 4 3 2 7 3" xfId="11507" xr:uid="{6011C382-14FA-4577-95CC-BF29326EA706}"/>
    <cellStyle name="Normal 2 2 4 3 2 7 3 2" xfId="21887" xr:uid="{E5EB3F4E-A042-4209-AFBC-A3D59D5E05A5}"/>
    <cellStyle name="Normal 2 2 4 3 2 7 4" xfId="16221" xr:uid="{EC9B803B-DB72-4E56-ABCF-8BA68EF9B496}"/>
    <cellStyle name="Normal 2 2 4 3 2 8" xfId="5085" xr:uid="{1E76D4DE-19AD-44C1-8278-CC2A700AC1A1}"/>
    <cellStyle name="Normal 2 2 4 3 2 8 2" xfId="14382" xr:uid="{9DD4F671-417E-4F42-B947-374FF1773813}"/>
    <cellStyle name="Normal 2 2 4 3 2 9" xfId="6835" xr:uid="{5FDD0368-EF99-43F3-B5FE-42391F0DB1E2}"/>
    <cellStyle name="Normal 2 2 4 3 2 9 2" xfId="17215" xr:uid="{A514DBD5-8E02-4554-AA8F-41A4D07D35F6}"/>
    <cellStyle name="Normal 2 2 4 3 3" xfId="733" xr:uid="{00000000-0005-0000-0000-000089040000}"/>
    <cellStyle name="Normal 2 2 4 3 3 10" xfId="22850" xr:uid="{CEC1A341-924B-422F-8F57-0FC5F69460C1}"/>
    <cellStyle name="Normal 2 2 4 3 3 11" xfId="12714" xr:uid="{821D4DDC-A1CE-48F9-A986-7F81534829F1}"/>
    <cellStyle name="Normal 2 2 4 3 3 2" xfId="2724" xr:uid="{00000000-0005-0000-0000-0000D4030000}"/>
    <cellStyle name="Normal 2 2 4 3 3 2 2" xfId="3166" xr:uid="{00000000-0005-0000-0000-0000D5030000}"/>
    <cellStyle name="Normal 2 2 4 3 3 2 2 2" xfId="6224" xr:uid="{283A9E77-7630-4E85-B3E3-382FA161C6A3}"/>
    <cellStyle name="Normal 2 2 4 3 3 2 2 2 2" xfId="27992" xr:uid="{50DC885E-21A8-4DF1-BE95-A351E47FAAAE}"/>
    <cellStyle name="Normal 2 2 4 3 3 2 2 2 3" xfId="15793" xr:uid="{7D2BD9E7-1380-4EEF-B550-3E5D22FB4D1A}"/>
    <cellStyle name="Normal 2 2 4 3 3 2 2 3" xfId="8246" xr:uid="{ACFA4F86-5619-49E0-BE79-C658653E8ED8}"/>
    <cellStyle name="Normal 2 2 4 3 3 2 2 3 2" xfId="18626" xr:uid="{171EB711-32D2-4306-8780-2AAE1FAC0DF7}"/>
    <cellStyle name="Normal 2 2 4 3 3 2 2 4" xfId="11079" xr:uid="{270972CF-11F5-4D55-8A19-0A683006258D}"/>
    <cellStyle name="Normal 2 2 4 3 3 2 2 4 2" xfId="21459" xr:uid="{2F457793-A942-4A5E-80D2-59400D3A6DA1}"/>
    <cellStyle name="Normal 2 2 4 3 3 2 2 5" xfId="24772" xr:uid="{3079E039-2E5E-47E5-B7DB-68754BE3B129}"/>
    <cellStyle name="Normal 2 2 4 3 3 2 2 6" xfId="13701" xr:uid="{D2C1D659-440D-4D93-A0F9-F37D81F65679}"/>
    <cellStyle name="Normal 2 2 4 3 3 2 3" xfId="4293" xr:uid="{191A8EF1-D13D-4414-A376-D351141EE398}"/>
    <cellStyle name="Normal 2 2 4 3 3 2 3 2" xfId="9065" xr:uid="{6DB2C5DE-ED2A-425C-BF46-83DAAF4958F7}"/>
    <cellStyle name="Normal 2 2 4 3 3 2 3 2 2" xfId="29108" xr:uid="{14F8D509-7648-489D-A2C1-DB7949934A4C}"/>
    <cellStyle name="Normal 2 2 4 3 3 2 3 2 3" xfId="19445" xr:uid="{0DA404BA-7113-452E-8E1F-995F73F6052B}"/>
    <cellStyle name="Normal 2 2 4 3 3 2 3 3" xfId="11898" xr:uid="{3079DFBF-0BA1-4C9C-9B1C-E8940662EB4F}"/>
    <cellStyle name="Normal 2 2 4 3 3 2 3 3 2" xfId="22278" xr:uid="{05F3A403-F906-4885-B14E-FE3B95731D51}"/>
    <cellStyle name="Normal 2 2 4 3 3 2 3 4" xfId="23403" xr:uid="{A48E663D-0C61-47F3-938C-93FDD88C7C7F}"/>
    <cellStyle name="Normal 2 2 4 3 3 2 3 5" xfId="16612" xr:uid="{76D81495-0662-4D09-AC35-D3BE53AB8C7E}"/>
    <cellStyle name="Normal 2 2 4 3 3 2 4" xfId="5942" xr:uid="{DD9D754C-CD03-4D8D-99F5-3776484004E2}"/>
    <cellStyle name="Normal 2 2 4 3 3 2 4 2" xfId="28032" xr:uid="{FE2E8B85-9DB5-48A5-84A3-EDCC66B0F52C}"/>
    <cellStyle name="Normal 2 2 4 3 3 2 4 3" xfId="15395" xr:uid="{006CE858-8570-4565-AC38-80D34CDD1B77}"/>
    <cellStyle name="Normal 2 2 4 3 3 2 5" xfId="7848" xr:uid="{9CA07D88-C91C-4916-8575-D646B4667FCC}"/>
    <cellStyle name="Normal 2 2 4 3 3 2 5 2" xfId="18228" xr:uid="{21F92027-9D25-4378-9D33-35634CB8166B}"/>
    <cellStyle name="Normal 2 2 4 3 3 2 6" xfId="10681" xr:uid="{5C66D779-9D41-4548-BFEF-07C570BC3BA8}"/>
    <cellStyle name="Normal 2 2 4 3 3 2 6 2" xfId="21061" xr:uid="{E15CF1AE-71E8-4D9B-A044-EE6DD83F58CC}"/>
    <cellStyle name="Normal 2 2 4 3 3 2 7" xfId="22840" xr:uid="{72C6AD08-1003-4FE9-976D-CFB249A8A42C}"/>
    <cellStyle name="Normal 2 2 4 3 3 2 8" xfId="13155" xr:uid="{F75B8599-18D7-4F1D-AE74-0C7B4E013C69}"/>
    <cellStyle name="Normal 2 2 4 3 3 3" xfId="3167" xr:uid="{00000000-0005-0000-0000-0000D6030000}"/>
    <cellStyle name="Normal 2 2 4 3 3 3 2" xfId="4458" xr:uid="{A3B66D1A-ABAB-4E21-BEC4-DEE2A14EAF2C}"/>
    <cellStyle name="Normal 2 2 4 3 3 3 2 2" xfId="9230" xr:uid="{FE138AC9-67BB-417E-8BD0-B6614706E5F3}"/>
    <cellStyle name="Normal 2 2 4 3 3 3 2 2 2" xfId="29221" xr:uid="{8AF273BF-B452-4F75-A237-9E2096E8BFE2}"/>
    <cellStyle name="Normal 2 2 4 3 3 3 2 2 3" xfId="19610" xr:uid="{331115A6-9939-4BD6-A159-B320B65B8266}"/>
    <cellStyle name="Normal 2 2 4 3 3 3 2 3" xfId="12063" xr:uid="{6E2E4BDD-099B-4693-A400-2D4A93C14353}"/>
    <cellStyle name="Normal 2 2 4 3 3 3 2 3 2" xfId="22443" xr:uid="{0DAF4A85-5470-4DB3-BC38-503C5C360503}"/>
    <cellStyle name="Normal 2 2 4 3 3 3 2 4" xfId="25797" xr:uid="{2A946675-A47E-4F59-B65E-4319D4DA4E8C}"/>
    <cellStyle name="Normal 2 2 4 3 3 3 2 5" xfId="16777" xr:uid="{EAFD58DF-5A4C-44DD-A876-798163A7FC31}"/>
    <cellStyle name="Normal 2 2 4 3 3 3 3" xfId="6225" xr:uid="{DE7F496F-0F4D-41B7-9F34-CC358E61B5F6}"/>
    <cellStyle name="Normal 2 2 4 3 3 3 3 2" xfId="28728" xr:uid="{C5DFB8F9-E611-4B43-91C9-0CE06620CFAC}"/>
    <cellStyle name="Normal 2 2 4 3 3 3 3 3" xfId="15794" xr:uid="{B7C6DBD8-325B-48E4-B648-5FA4E1C65FB1}"/>
    <cellStyle name="Normal 2 2 4 3 3 3 4" xfId="8247" xr:uid="{0B9B40C3-93CA-40D3-9465-97B46D9B4F09}"/>
    <cellStyle name="Normal 2 2 4 3 3 3 4 2" xfId="18627" xr:uid="{98E2589F-7DF8-4E91-9ED6-8316ED8072AA}"/>
    <cellStyle name="Normal 2 2 4 3 3 3 5" xfId="11080" xr:uid="{E4D218ED-BE0A-467A-BD31-7FAB60C1D2D9}"/>
    <cellStyle name="Normal 2 2 4 3 3 3 5 2" xfId="21460" xr:uid="{A40EF03E-A29D-42C7-9CBB-E1C1D1AF4BCA}"/>
    <cellStyle name="Normal 2 2 4 3 3 3 6" xfId="25492" xr:uid="{C59BF053-2A90-4F10-83E3-74DA0261C7A4}"/>
    <cellStyle name="Normal 2 2 4 3 3 3 7" xfId="13702" xr:uid="{16435DC8-AC74-4B76-BF49-7459A28D3542}"/>
    <cellStyle name="Normal 2 2 4 3 3 4" xfId="3165" xr:uid="{00000000-0005-0000-0000-0000D7030000}"/>
    <cellStyle name="Normal 2 2 4 3 3 4 2" xfId="6223" xr:uid="{D1BB231E-944E-4CD7-9320-0D3458026B6E}"/>
    <cellStyle name="Normal 2 2 4 3 3 4 2 2" xfId="28588" xr:uid="{9A57680E-5D61-4F34-A2B4-F3338BCBFC38}"/>
    <cellStyle name="Normal 2 2 4 3 3 4 2 3" xfId="15792" xr:uid="{6D13F63D-7DAD-476A-8C9C-F3576C8D746C}"/>
    <cellStyle name="Normal 2 2 4 3 3 4 3" xfId="8245" xr:uid="{6D920A5E-3220-4E74-9932-CCACE8C593F1}"/>
    <cellStyle name="Normal 2 2 4 3 3 4 3 2" xfId="18625" xr:uid="{A6AE1770-21CF-43EE-870E-D28640A55474}"/>
    <cellStyle name="Normal 2 2 4 3 3 4 4" xfId="11078" xr:uid="{8E6CA02C-A105-4C6B-9239-667DDF682A05}"/>
    <cellStyle name="Normal 2 2 4 3 3 4 4 2" xfId="21458" xr:uid="{C4A6AC0A-A935-4842-89AA-29282D55441C}"/>
    <cellStyle name="Normal 2 2 4 3 3 4 5" xfId="24046" xr:uid="{CD5376F9-06E6-4DA5-A04A-7F331A2D8C16}"/>
    <cellStyle name="Normal 2 2 4 3 3 4 6" xfId="13700" xr:uid="{260C9978-BE48-4395-8152-B9EBF5CDF420}"/>
    <cellStyle name="Normal 2 2 4 3 3 5" xfId="2635" xr:uid="{00000000-0005-0000-0000-0000D8030000}"/>
    <cellStyle name="Normal 2 2 4 3 3 5 2" xfId="5897" xr:uid="{62BB0CE7-C56D-499D-8000-CF4A2E9AB2A8}"/>
    <cellStyle name="Normal 2 2 4 3 3 5 2 2" xfId="26640" xr:uid="{8016F2D5-18E9-42FC-B1B3-1F0EE505FE60}"/>
    <cellStyle name="Normal 2 2 4 3 3 5 2 3" xfId="15307" xr:uid="{91C83F88-50C8-4F96-8471-6B29CE261260}"/>
    <cellStyle name="Normal 2 2 4 3 3 5 3" xfId="7760" xr:uid="{956AF1D3-332F-4758-9A6A-C84F119C9CF1}"/>
    <cellStyle name="Normal 2 2 4 3 3 5 3 2" xfId="18140" xr:uid="{2203E712-C440-49BB-A583-8188FADBEACF}"/>
    <cellStyle name="Normal 2 2 4 3 3 5 4" xfId="10593" xr:uid="{0DED0F32-A4AF-4497-AA27-66ED0B92261A}"/>
    <cellStyle name="Normal 2 2 4 3 3 5 4 2" xfId="20973" xr:uid="{38DB6BB6-B8C3-4AED-B2C2-12D996747E28}"/>
    <cellStyle name="Normal 2 2 4 3 3 5 5" xfId="23456" xr:uid="{7F77F9B4-6556-4DF9-87F8-804E4AA5F2C7}"/>
    <cellStyle name="Normal 2 2 4 3 3 5 6" xfId="13024" xr:uid="{4C4C2593-02AF-44F4-AE3C-9D78009787D3}"/>
    <cellStyle name="Normal 2 2 4 3 3 6" xfId="4158" xr:uid="{EBDB3A89-EBAD-4B1E-8181-2FF9550A4D1D}"/>
    <cellStyle name="Normal 2 2 4 3 3 6 2" xfId="8930" xr:uid="{9F1ADC49-7665-460F-8E15-004CC432AD29}"/>
    <cellStyle name="Normal 2 2 4 3 3 6 2 2" xfId="19310" xr:uid="{918BD120-0F49-4AAE-BD85-BDF44CF56A20}"/>
    <cellStyle name="Normal 2 2 4 3 3 6 3" xfId="11763" xr:uid="{DAA9725E-3634-43D0-8915-9B847C77881D}"/>
    <cellStyle name="Normal 2 2 4 3 3 6 3 2" xfId="22143" xr:uid="{61EE808C-906E-44FF-AF90-16BEFB93B86B}"/>
    <cellStyle name="Normal 2 2 4 3 3 6 4" xfId="23581" xr:uid="{D4DB859A-A753-4FF2-855A-E2B4FD3C926C}"/>
    <cellStyle name="Normal 2 2 4 3 3 6 5" xfId="16477" xr:uid="{69E73FD2-9FCF-4424-A9F5-91CF56A87E55}"/>
    <cellStyle name="Normal 2 2 4 3 3 7" xfId="5087" xr:uid="{5B35F721-CC05-4F6C-9E95-39FAFC246746}"/>
    <cellStyle name="Normal 2 2 4 3 3 7 2" xfId="14384" xr:uid="{8A5093C6-FEA8-4D14-8BBC-0D67C682D0B7}"/>
    <cellStyle name="Normal 2 2 4 3 3 8" xfId="6837" xr:uid="{D426F11E-EFF8-43D8-9175-D5D65ABAE0C9}"/>
    <cellStyle name="Normal 2 2 4 3 3 8 2" xfId="17217" xr:uid="{3F6B70EE-BA74-4290-B633-7DA248AF6262}"/>
    <cellStyle name="Normal 2 2 4 3 3 9" xfId="9670" xr:uid="{229FE26D-1023-4A4D-A1C7-4055EDE62281}"/>
    <cellStyle name="Normal 2 2 4 3 3 9 2" xfId="20050" xr:uid="{504CD759-BF66-4E2B-81BB-E4A7ACAF66AE}"/>
    <cellStyle name="Normal 2 2 4 3 4" xfId="734" xr:uid="{00000000-0005-0000-0000-00008A040000}"/>
    <cellStyle name="Normal 2 2 4 3 4 2" xfId="3168" xr:uid="{00000000-0005-0000-0000-0000DA030000}"/>
    <cellStyle name="Normal 2 2 4 3 4 2 2" xfId="6226" xr:uid="{F765A875-AD5D-4C75-89E3-B8DA94E1753C}"/>
    <cellStyle name="Normal 2 2 4 3 4 2 2 2" xfId="27652" xr:uid="{252BA372-D21C-4DDE-845C-77AD841EC16F}"/>
    <cellStyle name="Normal 2 2 4 3 4 2 2 3" xfId="15795" xr:uid="{C271E321-8DC5-4A7F-A305-A8B025AB3CFA}"/>
    <cellStyle name="Normal 2 2 4 3 4 2 3" xfId="8248" xr:uid="{F9E7A9E0-7922-4E92-B3B1-BCBF9E3E4303}"/>
    <cellStyle name="Normal 2 2 4 3 4 2 3 2" xfId="18628" xr:uid="{14EFE4A3-625C-4E93-9608-332A8C3FB2D8}"/>
    <cellStyle name="Normal 2 2 4 3 4 2 4" xfId="11081" xr:uid="{1772275B-840F-4255-B9C0-A38062491EBD}"/>
    <cellStyle name="Normal 2 2 4 3 4 2 4 2" xfId="21461" xr:uid="{75EB25FD-3545-4591-BFCE-C128F8B5B590}"/>
    <cellStyle name="Normal 2 2 4 3 4 2 5" xfId="25442" xr:uid="{0FDC8DA2-1FDB-42FF-A72C-C284E265754E}"/>
    <cellStyle name="Normal 2 2 4 3 4 2 6" xfId="13703" xr:uid="{F6DEB117-66E8-499B-B0B1-CCEB661EEE63}"/>
    <cellStyle name="Normal 2 2 4 3 4 3" xfId="4291" xr:uid="{8FE3214D-0C93-4573-8449-E1F34DDE5BD5}"/>
    <cellStyle name="Normal 2 2 4 3 4 3 2" xfId="9063" xr:uid="{0BD680EC-C15A-44A0-B8A1-9EC9551196AE}"/>
    <cellStyle name="Normal 2 2 4 3 4 3 2 2" xfId="29106" xr:uid="{01535E38-C64E-4233-98FB-B5D4783F9A11}"/>
    <cellStyle name="Normal 2 2 4 3 4 3 2 3" xfId="19443" xr:uid="{C66CE573-D87F-454F-954C-3B2403130A23}"/>
    <cellStyle name="Normal 2 2 4 3 4 3 3" xfId="11896" xr:uid="{0B621841-4F60-43DF-AEA9-E96B25EAD65C}"/>
    <cellStyle name="Normal 2 2 4 3 4 3 3 2" xfId="22276" xr:uid="{F722B16E-420E-433B-A2F1-B35E3F8D8419}"/>
    <cellStyle name="Normal 2 2 4 3 4 3 4" xfId="24055" xr:uid="{B7A6E8F8-963B-4542-AE20-F86B07C14093}"/>
    <cellStyle name="Normal 2 2 4 3 4 3 5" xfId="16610" xr:uid="{72FC3F5F-D786-4274-B916-7A1DE5DB92F0}"/>
    <cellStyle name="Normal 2 2 4 3 4 4" xfId="5088" xr:uid="{32400931-A755-4571-8CFB-4E7888B43E28}"/>
    <cellStyle name="Normal 2 2 4 3 4 4 2" xfId="25992" xr:uid="{ACBC17BC-C7E8-4069-96E2-D4C9843552E4}"/>
    <cellStyle name="Normal 2 2 4 3 4 4 3" xfId="14385" xr:uid="{E71C67FA-F036-4B07-BE10-90BE2A0DC57B}"/>
    <cellStyle name="Normal 2 2 4 3 4 5" xfId="6838" xr:uid="{743F0839-4154-49FB-9931-1B978FDCB5B8}"/>
    <cellStyle name="Normal 2 2 4 3 4 5 2" xfId="17218" xr:uid="{CC654FD3-7F6F-4CE3-AB06-365691A9C31D}"/>
    <cellStyle name="Normal 2 2 4 3 4 6" xfId="9671" xr:uid="{23F114A4-73CC-46AA-B1BA-3A9024C67ADE}"/>
    <cellStyle name="Normal 2 2 4 3 4 6 2" xfId="20051" xr:uid="{995F1059-4563-486E-8E48-36CEC19249FA}"/>
    <cellStyle name="Normal 2 2 4 3 4 7" xfId="22636" xr:uid="{D76B0BC6-086A-49B4-AEE8-35486397A193}"/>
    <cellStyle name="Normal 2 2 4 3 4 8" xfId="13153" xr:uid="{A44FE865-5114-4C35-AA07-460B5DC8D787}"/>
    <cellStyle name="Normal 2 2 4 3 5" xfId="3169" xr:uid="{00000000-0005-0000-0000-0000DB030000}"/>
    <cellStyle name="Normal 2 2 4 3 5 2" xfId="4459" xr:uid="{A7E8F2A0-1A9E-4351-95CD-840EC1E9532B}"/>
    <cellStyle name="Normal 2 2 4 3 5 2 2" xfId="9231" xr:uid="{18D99DF7-3BD0-4B50-BD75-630CF73A79CC}"/>
    <cellStyle name="Normal 2 2 4 3 5 2 2 2" xfId="29222" xr:uid="{E22BA9C0-9FD8-419E-B824-741B3992A7A8}"/>
    <cellStyle name="Normal 2 2 4 3 5 2 2 3" xfId="19611" xr:uid="{14632DB7-C0D0-4E92-84C5-DD4D7D85F85E}"/>
    <cellStyle name="Normal 2 2 4 3 5 2 3" xfId="12064" xr:uid="{46BB92DB-6717-432F-ABD5-4E0498B9D351}"/>
    <cellStyle name="Normal 2 2 4 3 5 2 3 2" xfId="22444" xr:uid="{0A983757-ACA6-413B-9634-1998C8620852}"/>
    <cellStyle name="Normal 2 2 4 3 5 2 4" xfId="24500" xr:uid="{9874B245-46F0-47C8-877E-A0913D95DC47}"/>
    <cellStyle name="Normal 2 2 4 3 5 2 5" xfId="16778" xr:uid="{D9942624-64F7-417B-914D-73D09C077FEA}"/>
    <cellStyle name="Normal 2 2 4 3 5 3" xfId="6227" xr:uid="{786F0283-56BA-4908-B9F1-768636A77512}"/>
    <cellStyle name="Normal 2 2 4 3 5 3 2" xfId="28709" xr:uid="{1A9481AB-DA64-4F93-AD07-123AD50A6859}"/>
    <cellStyle name="Normal 2 2 4 3 5 3 3" xfId="15796" xr:uid="{D1E980AD-606F-4342-86C9-8FEE9A6FACDD}"/>
    <cellStyle name="Normal 2 2 4 3 5 4" xfId="8249" xr:uid="{C90F7A24-9FBA-487D-AF08-BD1BF8141DA6}"/>
    <cellStyle name="Normal 2 2 4 3 5 4 2" xfId="18629" xr:uid="{772EEA65-F09B-4057-AA8F-66787CA6DE2B}"/>
    <cellStyle name="Normal 2 2 4 3 5 5" xfId="11082" xr:uid="{7777D272-64CE-4AF5-ACCE-67D91FE724FC}"/>
    <cellStyle name="Normal 2 2 4 3 5 5 2" xfId="21462" xr:uid="{68DE7F88-1841-45E8-AE14-E8F4270E1C02}"/>
    <cellStyle name="Normal 2 2 4 3 5 6" xfId="23246" xr:uid="{1A8E6B69-D674-41BB-8D4F-1D37C186CCAE}"/>
    <cellStyle name="Normal 2 2 4 3 5 7" xfId="13704" xr:uid="{C70487F3-D881-498F-AEFF-3A3A2A4CC828}"/>
    <cellStyle name="Normal 2 2 4 3 6" xfId="2899" xr:uid="{00000000-0005-0000-0000-0000DC030000}"/>
    <cellStyle name="Normal 2 2 4 3 6 2" xfId="6085" xr:uid="{721C9F81-308C-4576-9F13-26A23769E380}"/>
    <cellStyle name="Normal 2 2 4 3 6 2 2" xfId="26677" xr:uid="{6C3AFA53-08E6-4398-8B42-461EB10A00D7}"/>
    <cellStyle name="Normal 2 2 4 3 6 2 3" xfId="15563" xr:uid="{6EB646C2-8E39-45A2-A1BE-1D02DF27C226}"/>
    <cellStyle name="Normal 2 2 4 3 6 3" xfId="8016" xr:uid="{E62F5643-2379-4F03-A954-5FF9A89A6BD8}"/>
    <cellStyle name="Normal 2 2 4 3 6 3 2" xfId="18396" xr:uid="{A4B6F157-D342-440E-B036-7B2EAC7F9A40}"/>
    <cellStyle name="Normal 2 2 4 3 6 4" xfId="10849" xr:uid="{7399136D-4BB7-453E-A24C-41AB2F2B9B22}"/>
    <cellStyle name="Normal 2 2 4 3 6 4 2" xfId="21229" xr:uid="{F56AD850-DA58-4CAD-8B2B-3BC657B32D3B}"/>
    <cellStyle name="Normal 2 2 4 3 6 5" xfId="23973" xr:uid="{BAA059BC-4F05-4B08-BCBD-4C43B9653F5C}"/>
    <cellStyle name="Normal 2 2 4 3 6 6" xfId="13412" xr:uid="{0282C8A2-5254-48F9-A77A-D9F531691BCF}"/>
    <cellStyle name="Normal 2 2 4 3 7" xfId="2473" xr:uid="{00000000-0005-0000-0000-0000DD030000}"/>
    <cellStyle name="Normal 2 2 4 3 7 2" xfId="5761" xr:uid="{E9BE1DA1-DBA2-4014-8E90-C38580891186}"/>
    <cellStyle name="Normal 2 2 4 3 7 2 2" xfId="26692" xr:uid="{2F085963-6914-4139-93C2-DA39799FBB75}"/>
    <cellStyle name="Normal 2 2 4 3 7 2 3" xfId="15145" xr:uid="{9D9274B6-6C14-4F48-90BA-E8B9130846BB}"/>
    <cellStyle name="Normal 2 2 4 3 7 3" xfId="7598" xr:uid="{97A10F47-C951-4780-B3AC-EEC53232A638}"/>
    <cellStyle name="Normal 2 2 4 3 7 3 2" xfId="17978" xr:uid="{2F4E08D7-AEDE-4897-910E-BE435BD2055E}"/>
    <cellStyle name="Normal 2 2 4 3 7 4" xfId="10431" xr:uid="{90229D57-D9CB-45C4-8AA0-C4C1BA53C2D0}"/>
    <cellStyle name="Normal 2 2 4 3 7 4 2" xfId="20811" xr:uid="{8C9E56C3-8CD4-42F2-A2EE-76EF8AE49452}"/>
    <cellStyle name="Normal 2 2 4 3 7 5" xfId="24639" xr:uid="{7006987F-CAD0-4C27-B8F6-1490B33C32DC}"/>
    <cellStyle name="Normal 2 2 4 3 7 6" xfId="12861" xr:uid="{4BB0C8D0-896F-4E30-AEED-A30F35DB3449}"/>
    <cellStyle name="Normal 2 2 4 3 8" xfId="2227" xr:uid="{00000000-0005-0000-0000-0000CC030000}"/>
    <cellStyle name="Normal 2 2 4 3 8 2" xfId="7354" xr:uid="{3703A4EB-E5A2-4E60-9790-DAA32FC67703}"/>
    <cellStyle name="Normal 2 2 4 3 8 2 2" xfId="17734" xr:uid="{AFD9C0FC-9699-4AA0-BFC7-96EE8C9102E1}"/>
    <cellStyle name="Normal 2 2 4 3 8 3" xfId="10187" xr:uid="{391BB5C4-3327-4B7B-9CC3-9E49E9F77817}"/>
    <cellStyle name="Normal 2 2 4 3 8 3 2" xfId="20567" xr:uid="{C66D681E-6CE6-4C34-A08C-E125C0AFF35A}"/>
    <cellStyle name="Normal 2 2 4 3 8 4" xfId="22687" xr:uid="{3E1D6A12-F790-4E46-9D60-D48E9354A353}"/>
    <cellStyle name="Normal 2 2 4 3 8 5" xfId="14901" xr:uid="{432BE09B-3005-4858-B500-D103BC86683B}"/>
    <cellStyle name="Normal 2 2 4 3 9" xfId="3929" xr:uid="{919A12B1-4137-4860-A862-349BD11EA352}"/>
    <cellStyle name="Normal 2 2 4 3 9 2" xfId="8761" xr:uid="{1BFF0860-7DAD-475B-B81C-9B65EDD2C12C}"/>
    <cellStyle name="Normal 2 2 4 3 9 2 2" xfId="19141" xr:uid="{6AF730A1-901B-4D46-9712-27810397D962}"/>
    <cellStyle name="Normal 2 2 4 3 9 3" xfId="11594" xr:uid="{30C9F86E-86E8-428B-9D69-7DBCB6D0302A}"/>
    <cellStyle name="Normal 2 2 4 3 9 3 2" xfId="21974" xr:uid="{B51407AE-2834-4D48-8935-E425B1104D1C}"/>
    <cellStyle name="Normal 2 2 4 3 9 4" xfId="16308" xr:uid="{F4E5DDAE-A54A-4B36-9712-699A36CED190}"/>
    <cellStyle name="Normal 2 2 4 4" xfId="735" xr:uid="{00000000-0005-0000-0000-00008B040000}"/>
    <cellStyle name="Normal 2 2 4 4 10" xfId="6839" xr:uid="{28E152B5-AE39-489A-B309-331A96C0A255}"/>
    <cellStyle name="Normal 2 2 4 4 10 2" xfId="17219" xr:uid="{545D8353-8C47-48D3-B99A-6799A551D911}"/>
    <cellStyle name="Normal 2 2 4 4 11" xfId="9672" xr:uid="{375B2FCE-377B-45C3-AA64-AB54FCC926ED}"/>
    <cellStyle name="Normal 2 2 4 4 11 2" xfId="20052" xr:uid="{2833EED9-B22B-4674-B971-DA744A19D722}"/>
    <cellStyle name="Normal 2 2 4 4 12" xfId="24561" xr:uid="{25EF1B4A-AE7B-4986-BFCC-578FB69DF156}"/>
    <cellStyle name="Normal 2 2 4 4 13" xfId="12439" xr:uid="{8FD132CF-49B9-4D59-B19E-4F98B9EEF700}"/>
    <cellStyle name="Normal 2 2 4 4 2" xfId="736" xr:uid="{00000000-0005-0000-0000-00008C040000}"/>
    <cellStyle name="Normal 2 2 4 4 2 10" xfId="9673" xr:uid="{3BFC7526-DD24-4E69-9046-08DF5964D0A5}"/>
    <cellStyle name="Normal 2 2 4 4 2 10 2" xfId="20053" xr:uid="{C659AD71-50E7-4B96-A55A-6EAFD912C79B}"/>
    <cellStyle name="Normal 2 2 4 4 2 11" xfId="22977" xr:uid="{E6A87204-66AD-471C-B620-94F1D2F34A2C}"/>
    <cellStyle name="Normal 2 2 4 4 2 12" xfId="12557" xr:uid="{C066DA0B-B2D7-417F-91E9-ED7F4213738E}"/>
    <cellStyle name="Normal 2 2 4 4 2 2" xfId="737" xr:uid="{00000000-0005-0000-0000-00008D040000}"/>
    <cellStyle name="Normal 2 2 4 4 2 2 2" xfId="3171" xr:uid="{00000000-0005-0000-0000-0000E1030000}"/>
    <cellStyle name="Normal 2 2 4 4 2 2 2 2" xfId="6229" xr:uid="{28483858-44C1-4E3F-8A77-72DA8029C5FF}"/>
    <cellStyle name="Normal 2 2 4 4 2 2 2 2 2" xfId="26629" xr:uid="{F68FBF4F-FD62-45F7-BEB2-2162511B2A4A}"/>
    <cellStyle name="Normal 2 2 4 4 2 2 2 2 3" xfId="26842" xr:uid="{29F33F5A-D940-43A5-B931-C0B501CA0DFB}"/>
    <cellStyle name="Normal 2 2 4 4 2 2 2 2 4" xfId="15798" xr:uid="{A5AD9C89-0101-4674-9F23-FAD9E24D6C49}"/>
    <cellStyle name="Normal 2 2 4 4 2 2 2 3" xfId="8251" xr:uid="{EA17EB81-A2CD-4CFC-9A22-7861201794A2}"/>
    <cellStyle name="Normal 2 2 4 4 2 2 2 3 2" xfId="28875" xr:uid="{6A9856E1-AF8C-46F2-BDC0-2C18C8A0E367}"/>
    <cellStyle name="Normal 2 2 4 4 2 2 2 3 3" xfId="18631" xr:uid="{CB26F624-9167-4FB8-8C0A-A16311834941}"/>
    <cellStyle name="Normal 2 2 4 4 2 2 2 4" xfId="11084" xr:uid="{D5A6ADFE-07E2-4619-9C63-BE5376FD203F}"/>
    <cellStyle name="Normal 2 2 4 4 2 2 2 4 2" xfId="21464" xr:uid="{970BFC75-E9CB-4FA0-9E55-2B4CBB770332}"/>
    <cellStyle name="Normal 2 2 4 4 2 2 2 5" xfId="24197" xr:uid="{C7F805C5-CD1D-4343-97B2-CB2904B30195}"/>
    <cellStyle name="Normal 2 2 4 4 2 2 2 6" xfId="13706" xr:uid="{A5BA1D42-DFBB-45CE-BE54-1C46C308C69F}"/>
    <cellStyle name="Normal 2 2 4 4 2 2 3" xfId="4294" xr:uid="{B78048BC-5451-4B7A-817E-666FB94357DB}"/>
    <cellStyle name="Normal 2 2 4 4 2 2 3 2" xfId="9066" xr:uid="{6D823A29-95CE-49AD-8A19-4E3316CFECDD}"/>
    <cellStyle name="Normal 2 2 4 4 2 2 3 2 2" xfId="29109" xr:uid="{80E5DA21-8A94-4D4F-97C7-ED19F16C6CFA}"/>
    <cellStyle name="Normal 2 2 4 4 2 2 3 2 3" xfId="19446" xr:uid="{7BDF0715-D175-494C-89C1-DFD8CC93A86B}"/>
    <cellStyle name="Normal 2 2 4 4 2 2 3 3" xfId="11899" xr:uid="{D5290866-D956-4FC8-A108-398E0DC7BF46}"/>
    <cellStyle name="Normal 2 2 4 4 2 2 3 3 2" xfId="22279" xr:uid="{07DD412E-235B-4C27-8074-60D13736BCAE}"/>
    <cellStyle name="Normal 2 2 4 4 2 2 3 4" xfId="23557" xr:uid="{31DD1FEC-DA3E-4CE7-92F5-5A971C3426DB}"/>
    <cellStyle name="Normal 2 2 4 4 2 2 3 5" xfId="16613" xr:uid="{B3538216-F715-4E68-92E2-D0880EF9D01A}"/>
    <cellStyle name="Normal 2 2 4 4 2 2 4" xfId="5091" xr:uid="{A7E355CD-0E3F-483B-8272-C414E2582F77}"/>
    <cellStyle name="Normal 2 2 4 4 2 2 4 2" xfId="28347" xr:uid="{1F9C6DE4-285B-433E-ABC7-AB854B8CE204}"/>
    <cellStyle name="Normal 2 2 4 4 2 2 4 3" xfId="14388" xr:uid="{8F3ACA04-E0A2-4A7C-9BAF-CB8955CED3E7}"/>
    <cellStyle name="Normal 2 2 4 4 2 2 5" xfId="6841" xr:uid="{27A434D6-B15F-479D-8681-5FD22A29BD41}"/>
    <cellStyle name="Normal 2 2 4 4 2 2 5 2" xfId="17221" xr:uid="{7DACB67C-6280-4D98-AE9B-103BD5B2E4C6}"/>
    <cellStyle name="Normal 2 2 4 4 2 2 6" xfId="9674" xr:uid="{A63E5426-E54D-43DB-A7BC-9F51459C7F64}"/>
    <cellStyle name="Normal 2 2 4 4 2 2 6 2" xfId="20054" xr:uid="{7E576224-A64A-4141-A23B-26DE3D63FC1E}"/>
    <cellStyle name="Normal 2 2 4 4 2 2 7" xfId="24606" xr:uid="{6502A045-E6C0-4438-BBD3-91DDBCE38B90}"/>
    <cellStyle name="Normal 2 2 4 4 2 2 8" xfId="13157" xr:uid="{7D679ACC-1F21-451F-ADC2-8A62E12A3398}"/>
    <cellStyle name="Normal 2 2 4 4 2 3" xfId="3172" xr:uid="{00000000-0005-0000-0000-0000E2030000}"/>
    <cellStyle name="Normal 2 2 4 4 2 3 2" xfId="4460" xr:uid="{206E568B-39CE-49B8-A61D-88EAA7919F7B}"/>
    <cellStyle name="Normal 2 2 4 4 2 3 2 2" xfId="9232" xr:uid="{1A3D5F21-CB49-4A3A-A819-33CD3F4A69BE}"/>
    <cellStyle name="Normal 2 2 4 4 2 3 2 2 2" xfId="29223" xr:uid="{C5C5F167-7233-41BA-87B4-0D2E75CFCF78}"/>
    <cellStyle name="Normal 2 2 4 4 2 3 2 2 3" xfId="19612" xr:uid="{45C39F80-5D95-41FF-B5DC-CEAC240300DA}"/>
    <cellStyle name="Normal 2 2 4 4 2 3 2 3" xfId="12065" xr:uid="{CAC07F2A-261C-4026-8C42-16192BB18E61}"/>
    <cellStyle name="Normal 2 2 4 4 2 3 2 3 2" xfId="22445" xr:uid="{0D19F29F-C64F-4AB4-A9FA-5F1CB9F70B30}"/>
    <cellStyle name="Normal 2 2 4 4 2 3 2 4" xfId="25708" xr:uid="{CDD8DDAB-9853-4B47-9D8E-6575E6953A69}"/>
    <cellStyle name="Normal 2 2 4 4 2 3 2 5" xfId="16779" xr:uid="{D8059488-2B45-405D-BE6E-2374BE30BFD3}"/>
    <cellStyle name="Normal 2 2 4 4 2 3 3" xfId="6230" xr:uid="{08C8D671-59C1-428E-8055-31CC7FE6F58E}"/>
    <cellStyle name="Normal 2 2 4 4 2 3 3 2" xfId="28544" xr:uid="{69B8F7CE-7389-4D99-BB44-AA1DB0CA353B}"/>
    <cellStyle name="Normal 2 2 4 4 2 3 3 3" xfId="15799" xr:uid="{31E4AAF4-9475-4707-9055-F536DB87E085}"/>
    <cellStyle name="Normal 2 2 4 4 2 3 4" xfId="8252" xr:uid="{E2929E5E-5C0D-4279-A283-F6F09470487D}"/>
    <cellStyle name="Normal 2 2 4 4 2 3 4 2" xfId="18632" xr:uid="{72CAC696-7E23-4B15-A05B-BFFCC84A86BF}"/>
    <cellStyle name="Normal 2 2 4 4 2 3 5" xfId="11085" xr:uid="{E6A5E95A-552F-40B6-ADF3-CA7A9476BEF6}"/>
    <cellStyle name="Normal 2 2 4 4 2 3 5 2" xfId="21465" xr:uid="{3CBB2F69-656D-4544-B4C3-B125B898FB5A}"/>
    <cellStyle name="Normal 2 2 4 4 2 3 6" xfId="23324" xr:uid="{9D4E033E-345B-42B5-B5CB-51D18B8300A9}"/>
    <cellStyle name="Normal 2 2 4 4 2 3 7" xfId="13707" xr:uid="{F5BDEA87-72D8-49AF-A594-3A3AAA66B1AB}"/>
    <cellStyle name="Normal 2 2 4 4 2 4" xfId="3170" xr:uid="{00000000-0005-0000-0000-0000E3030000}"/>
    <cellStyle name="Normal 2 2 4 4 2 4 2" xfId="6228" xr:uid="{7A8CD3BE-398A-42F4-A00C-D6C2D1FC6424}"/>
    <cellStyle name="Normal 2 2 4 4 2 4 2 2" xfId="25981" xr:uid="{D3AEFA4E-ED85-4369-801C-35C170119C43}"/>
    <cellStyle name="Normal 2 2 4 4 2 4 2 3" xfId="15797" xr:uid="{8B3D8C03-4B28-4701-9BC0-E0492329EE37}"/>
    <cellStyle name="Normal 2 2 4 4 2 4 3" xfId="8250" xr:uid="{AB654E16-B54B-4650-90D7-33C4D165A2E9}"/>
    <cellStyle name="Normal 2 2 4 4 2 4 3 2" xfId="18630" xr:uid="{FB553D22-0586-41D1-9388-C2CFE5E3579F}"/>
    <cellStyle name="Normal 2 2 4 4 2 4 4" xfId="11083" xr:uid="{EBC68E25-6416-4CAF-9284-4652454ED3F0}"/>
    <cellStyle name="Normal 2 2 4 4 2 4 4 2" xfId="21463" xr:uid="{D2FA66C1-030A-474F-9AA7-D466EA909659}"/>
    <cellStyle name="Normal 2 2 4 4 2 4 5" xfId="25314" xr:uid="{FBF2EB05-6896-4ABA-8B70-A39F5D34AFF2}"/>
    <cellStyle name="Normal 2 2 4 4 2 4 6" xfId="13705" xr:uid="{A141E574-1CE7-4677-80BB-24E6647DC336}"/>
    <cellStyle name="Normal 2 2 4 4 2 5" xfId="2616" xr:uid="{00000000-0005-0000-0000-0000E4030000}"/>
    <cellStyle name="Normal 2 2 4 4 2 5 2" xfId="5878" xr:uid="{D5067EBC-2A76-4582-98EF-85BF08AF765B}"/>
    <cellStyle name="Normal 2 2 4 4 2 5 2 2" xfId="28435" xr:uid="{78BEE00F-E4A4-4E20-A307-8FA1AF518F42}"/>
    <cellStyle name="Normal 2 2 4 4 2 5 2 3" xfId="15288" xr:uid="{E64DD205-EBA4-4437-B2D1-7E44E853D800}"/>
    <cellStyle name="Normal 2 2 4 4 2 5 3" xfId="7741" xr:uid="{3A682AFA-68B6-4AFA-9A6D-47E07CDE9E29}"/>
    <cellStyle name="Normal 2 2 4 4 2 5 3 2" xfId="18121" xr:uid="{DA12A73C-0C85-4C00-BF7D-3AC985E434BE}"/>
    <cellStyle name="Normal 2 2 4 4 2 5 4" xfId="10574" xr:uid="{EB98CB3D-7C11-4696-A1B8-69BB39AE169F}"/>
    <cellStyle name="Normal 2 2 4 4 2 5 4 2" xfId="20954" xr:uid="{B9F55497-735C-4CA6-AB2E-7F06AE06D658}"/>
    <cellStyle name="Normal 2 2 4 4 2 5 5" xfId="22925" xr:uid="{FBF42E42-30A9-4E67-99A3-8762FB36C74C}"/>
    <cellStyle name="Normal 2 2 4 4 2 5 6" xfId="13004" xr:uid="{0FFE5BC1-EEF7-4CA9-99AE-BA56E8A0DB3C}"/>
    <cellStyle name="Normal 2 2 4 4 2 6" xfId="2323" xr:uid="{00000000-0005-0000-0000-0000DF030000}"/>
    <cellStyle name="Normal 2 2 4 4 2 6 2" xfId="7450" xr:uid="{4B0A431F-81C3-424A-A1B9-5117ACAEBDC8}"/>
    <cellStyle name="Normal 2 2 4 4 2 6 2 2" xfId="17830" xr:uid="{EFDE1C88-A96F-4916-9785-960F88FC2CBC}"/>
    <cellStyle name="Normal 2 2 4 4 2 6 3" xfId="10283" xr:uid="{7D74A021-2C68-4F3D-A581-08CB0E0A0611}"/>
    <cellStyle name="Normal 2 2 4 4 2 6 3 2" xfId="20663" xr:uid="{F7A794A6-9A2D-435D-B820-48BFFCEB7CE0}"/>
    <cellStyle name="Normal 2 2 4 4 2 6 4" xfId="23255" xr:uid="{9A66368B-EDE4-4098-AAA0-B4C9A195FC3E}"/>
    <cellStyle name="Normal 2 2 4 4 2 6 5" xfId="14997" xr:uid="{F2C71A4D-B904-43C0-9BE3-6AB71E559423}"/>
    <cellStyle name="Normal 2 2 4 4 2 7" xfId="3842" xr:uid="{947E7DE4-2AAA-4678-93E2-AD134211222F}"/>
    <cellStyle name="Normal 2 2 4 4 2 7 2" xfId="8675" xr:uid="{921DFA96-96AF-4640-8753-FDF66440E028}"/>
    <cellStyle name="Normal 2 2 4 4 2 7 2 2" xfId="19055" xr:uid="{A60E6FFB-625D-48EC-84F9-98E7D2FBDBCE}"/>
    <cellStyle name="Normal 2 2 4 4 2 7 3" xfId="11508" xr:uid="{306D5514-044E-4B24-9269-02C4A23F0CA7}"/>
    <cellStyle name="Normal 2 2 4 4 2 7 3 2" xfId="21888" xr:uid="{D358F6F4-2044-41F4-8D7C-2D7523119D31}"/>
    <cellStyle name="Normal 2 2 4 4 2 7 4" xfId="16222" xr:uid="{048821DA-2C2B-425F-A0C8-D1A6C2D0C089}"/>
    <cellStyle name="Normal 2 2 4 4 2 8" xfId="5090" xr:uid="{D0EDA893-E636-4BBD-A856-E9E961EA5291}"/>
    <cellStyle name="Normal 2 2 4 4 2 8 2" xfId="14387" xr:uid="{C1DB47FF-B6D8-4A8D-9198-86547AE6E118}"/>
    <cellStyle name="Normal 2 2 4 4 2 9" xfId="6840" xr:uid="{685711C8-C591-421C-B3CA-6A7FEE7F9503}"/>
    <cellStyle name="Normal 2 2 4 4 2 9 2" xfId="17220" xr:uid="{0FC4E765-EF25-4FCB-9B58-82CAA5A6E735}"/>
    <cellStyle name="Normal 2 2 4 4 3" xfId="738" xr:uid="{00000000-0005-0000-0000-00008E040000}"/>
    <cellStyle name="Normal 2 2 4 4 3 2" xfId="3173" xr:uid="{00000000-0005-0000-0000-0000E6030000}"/>
    <cellStyle name="Normal 2 2 4 4 3 2 2" xfId="6231" xr:uid="{AEC9A15C-3897-45C6-A6F6-566F78D89093}"/>
    <cellStyle name="Normal 2 2 4 4 3 2 2 2" xfId="22741" xr:uid="{6081BA4B-B5AC-4CC6-86A4-23ADDB668E10}"/>
    <cellStyle name="Normal 2 2 4 4 3 2 2 3" xfId="28526" xr:uid="{6F0C2A27-5F8A-46A2-8A97-B32FBBF4D23E}"/>
    <cellStyle name="Normal 2 2 4 4 3 2 2 4" xfId="15800" xr:uid="{5DC77F8C-E6CC-42D2-AD15-C46239C9D594}"/>
    <cellStyle name="Normal 2 2 4 4 3 2 3" xfId="8253" xr:uid="{76509527-AEFC-4E16-9C04-BC9A58BF4955}"/>
    <cellStyle name="Normal 2 2 4 4 3 2 3 2" xfId="28876" xr:uid="{703DB7FC-9B0D-4086-90F4-6A8EB493AF8D}"/>
    <cellStyle name="Normal 2 2 4 4 3 2 3 3" xfId="18633" xr:uid="{4F120A83-0BE0-4DD3-8F4D-E57898805FD9}"/>
    <cellStyle name="Normal 2 2 4 4 3 2 4" xfId="11086" xr:uid="{25EEAC75-C747-4A62-B492-2FEC2383350C}"/>
    <cellStyle name="Normal 2 2 4 4 3 2 4 2" xfId="21466" xr:uid="{98B0BAF0-C3C1-4180-948A-1FE152978A3A}"/>
    <cellStyle name="Normal 2 2 4 4 3 2 5" xfId="25380" xr:uid="{EAAEC73E-2C23-4EAA-A9FA-4A9B618A51FE}"/>
    <cellStyle name="Normal 2 2 4 4 3 2 6" xfId="13708" xr:uid="{D6198460-BA57-4E25-AFE3-6D78E63DA367}"/>
    <cellStyle name="Normal 2 2 4 4 3 3" xfId="2725" xr:uid="{00000000-0005-0000-0000-0000E7030000}"/>
    <cellStyle name="Normal 2 2 4 4 3 3 2" xfId="5943" xr:uid="{1D18FA06-C285-4FCE-840F-7726D08ADCD2}"/>
    <cellStyle name="Normal 2 2 4 4 3 3 2 2" xfId="26395" xr:uid="{94948FCC-21DF-42DA-85D0-CEB2759B487D}"/>
    <cellStyle name="Normal 2 2 4 4 3 3 2 3" xfId="15396" xr:uid="{CB4508A2-3CF1-4781-8474-19DB3C944215}"/>
    <cellStyle name="Normal 2 2 4 4 3 3 3" xfId="7849" xr:uid="{6F51C793-BD92-48F4-A945-480DC939EE0B}"/>
    <cellStyle name="Normal 2 2 4 4 3 3 3 2" xfId="18229" xr:uid="{28ED8F68-5017-45AB-BBB2-6724396EAE2B}"/>
    <cellStyle name="Normal 2 2 4 4 3 3 4" xfId="10682" xr:uid="{C1DBEED9-84A2-4584-B432-2CEA05179ADD}"/>
    <cellStyle name="Normal 2 2 4 4 3 3 4 2" xfId="21062" xr:uid="{5755DDD9-E6B6-4AF8-B733-F8A0ABFA8A56}"/>
    <cellStyle name="Normal 2 2 4 4 3 3 5" xfId="22713" xr:uid="{5480C5DC-370B-4D68-9340-99542CB2E27A}"/>
    <cellStyle name="Normal 2 2 4 4 3 3 6" xfId="13156" xr:uid="{E550B2BD-17F8-4B9E-99E9-C720BDB97E52}"/>
    <cellStyle name="Normal 2 2 4 4 3 4" xfId="4159" xr:uid="{29B70EA5-493F-4A4C-9AAB-F0745EE8E9C7}"/>
    <cellStyle name="Normal 2 2 4 4 3 4 2" xfId="8931" xr:uid="{D286C9A1-A09B-41DF-BD14-9BE972AF9677}"/>
    <cellStyle name="Normal 2 2 4 4 3 4 2 2" xfId="29028" xr:uid="{15C43BBA-81D1-46D9-B219-8D124E42713E}"/>
    <cellStyle name="Normal 2 2 4 4 3 4 2 3" xfId="19311" xr:uid="{74B98875-B4D2-4C85-9BB9-F5B64AEA1AE7}"/>
    <cellStyle name="Normal 2 2 4 4 3 4 3" xfId="11764" xr:uid="{0740932C-0657-4FC7-B42C-4FD43BF391C4}"/>
    <cellStyle name="Normal 2 2 4 4 3 4 3 2" xfId="22144" xr:uid="{40862A5D-22C5-4F91-A67F-625D5BF41BAB}"/>
    <cellStyle name="Normal 2 2 4 4 3 4 4" xfId="25285" xr:uid="{28EB06E8-35D9-41B7-A6ED-F6C5216ED081}"/>
    <cellStyle name="Normal 2 2 4 4 3 4 5" xfId="16478" xr:uid="{E6F72420-9E7F-4453-884B-C72A8488B5AE}"/>
    <cellStyle name="Normal 2 2 4 4 3 5" xfId="5092" xr:uid="{99BB098F-49B2-4E54-9FAD-ED4856CBD1C3}"/>
    <cellStyle name="Normal 2 2 4 4 3 5 2" xfId="26628" xr:uid="{342A50DA-C48E-47AB-B5E9-871F17FA607B}"/>
    <cellStyle name="Normal 2 2 4 4 3 5 3" xfId="14389" xr:uid="{4060603D-95A6-41B6-8D68-D0F790E76ABE}"/>
    <cellStyle name="Normal 2 2 4 4 3 6" xfId="6842" xr:uid="{A608F365-6CB5-4AB0-A40B-A32EF0CB4174}"/>
    <cellStyle name="Normal 2 2 4 4 3 6 2" xfId="17222" xr:uid="{B9833EDB-AB48-4EAA-A136-B57BDA372475}"/>
    <cellStyle name="Normal 2 2 4 4 3 7" xfId="9675" xr:uid="{70768092-000C-4A45-887B-BF38241F6CC5}"/>
    <cellStyle name="Normal 2 2 4 4 3 7 2" xfId="20055" xr:uid="{E51A2E36-A471-40DE-AD4A-FD5DACC39447}"/>
    <cellStyle name="Normal 2 2 4 4 3 8" xfId="24222" xr:uid="{97AFD24C-F5A5-4F00-A96B-8C0B6F5D2221}"/>
    <cellStyle name="Normal 2 2 4 4 3 9" xfId="12715" xr:uid="{90A98170-6759-44D3-B540-5133EB0A3B85}"/>
    <cellStyle name="Normal 2 2 4 4 4" xfId="739" xr:uid="{00000000-0005-0000-0000-00008F040000}"/>
    <cellStyle name="Normal 2 2 4 4 4 2" xfId="4461" xr:uid="{6F61A1E0-1820-47C0-8C47-577AD9F9DAA3}"/>
    <cellStyle name="Normal 2 2 4 4 4 2 2" xfId="9233" xr:uid="{A475B121-84BE-42D6-8C27-FE2A6C61BCED}"/>
    <cellStyle name="Normal 2 2 4 4 4 2 2 2" xfId="29224" xr:uid="{59D8F497-75E7-40C8-AF91-B75815CA8E29}"/>
    <cellStyle name="Normal 2 2 4 4 4 2 2 3" xfId="19613" xr:uid="{93627C9A-A0A8-4554-A245-32AB4D560D98}"/>
    <cellStyle name="Normal 2 2 4 4 4 2 3" xfId="12066" xr:uid="{56BFEA34-C594-4E40-A4DD-2B246337596B}"/>
    <cellStyle name="Normal 2 2 4 4 4 2 3 2" xfId="22446" xr:uid="{D7AAE023-1B66-4B7F-81B1-4A58E6793B0E}"/>
    <cellStyle name="Normal 2 2 4 4 4 2 4" xfId="23549" xr:uid="{33069559-9E77-4F89-B51A-34DF942CEC6A}"/>
    <cellStyle name="Normal 2 2 4 4 4 2 5" xfId="16780" xr:uid="{8F563E49-31CF-455A-AC24-7F91AAF4F63D}"/>
    <cellStyle name="Normal 2 2 4 4 4 3" xfId="5093" xr:uid="{BC1CB8FF-8F1B-4BA9-89E8-303B964FCFE1}"/>
    <cellStyle name="Normal 2 2 4 4 4 3 2" xfId="27346" xr:uid="{8891E6CB-1C64-47CC-BF55-882F285C3294}"/>
    <cellStyle name="Normal 2 2 4 4 4 3 3" xfId="14390" xr:uid="{DBE931C6-EF20-4F7B-9979-8672A3D304C5}"/>
    <cellStyle name="Normal 2 2 4 4 4 4" xfId="6843" xr:uid="{8ED7317D-AE72-42E4-B033-B26F442A5557}"/>
    <cellStyle name="Normal 2 2 4 4 4 4 2" xfId="17223" xr:uid="{EC7E73AB-B357-411A-A1A2-1AA9324CFAF6}"/>
    <cellStyle name="Normal 2 2 4 4 4 5" xfId="9676" xr:uid="{8C46AFBD-24F4-42A2-87E9-FE63B2E36246}"/>
    <cellStyle name="Normal 2 2 4 4 4 5 2" xfId="20056" xr:uid="{579A9DD2-1D03-428F-9B67-C7794496F86F}"/>
    <cellStyle name="Normal 2 2 4 4 4 6" xfId="23777" xr:uid="{1B0A001D-86C2-4545-920E-AA84E3F3E29E}"/>
    <cellStyle name="Normal 2 2 4 4 4 7" xfId="13709" xr:uid="{1BC04112-A3D0-415F-BFA2-2A66E4C563F2}"/>
    <cellStyle name="Normal 2 2 4 4 5" xfId="2900" xr:uid="{00000000-0005-0000-0000-0000E9030000}"/>
    <cellStyle name="Normal 2 2 4 4 5 2" xfId="6086" xr:uid="{0DE3E1DB-7D7E-48D0-8C45-8CE4F344C2D7}"/>
    <cellStyle name="Normal 2 2 4 4 5 2 2" xfId="24192" xr:uid="{96DA388D-9760-4F77-B463-9718C34830DD}"/>
    <cellStyle name="Normal 2 2 4 4 5 2 3" xfId="26081" xr:uid="{CA8D3603-B7B2-424A-9666-F2140B681E26}"/>
    <cellStyle name="Normal 2 2 4 4 5 2 4" xfId="15564" xr:uid="{91910D66-2E8E-4E05-ABB7-E81FEB359B34}"/>
    <cellStyle name="Normal 2 2 4 4 5 3" xfId="8017" xr:uid="{A502F691-3D0E-4563-87E2-CC79587729B7}"/>
    <cellStyle name="Normal 2 2 4 4 5 3 2" xfId="28592" xr:uid="{31974CD5-239E-45A9-ABE3-300A149574EA}"/>
    <cellStyle name="Normal 2 2 4 4 5 3 3" xfId="18397" xr:uid="{D5D7E922-CF7E-4602-BF0D-8428E385B66F}"/>
    <cellStyle name="Normal 2 2 4 4 5 4" xfId="10850" xr:uid="{22AD69CC-79E4-474F-8BA8-6928D1F6475C}"/>
    <cellStyle name="Normal 2 2 4 4 5 4 2" xfId="21230" xr:uid="{1DE5C62F-DDBE-4826-86D7-DE5A8EB1D5F3}"/>
    <cellStyle name="Normal 2 2 4 4 5 5" xfId="23198" xr:uid="{8EF9A2B9-BA47-4481-A01F-091A99849719}"/>
    <cellStyle name="Normal 2 2 4 4 5 6" xfId="13413" xr:uid="{F71E976F-F2E4-4870-8EC4-0698440CD54D}"/>
    <cellStyle name="Normal 2 2 4 4 6" xfId="2453" xr:uid="{00000000-0005-0000-0000-0000EA030000}"/>
    <cellStyle name="Normal 2 2 4 4 6 2" xfId="5745" xr:uid="{503F4DAD-0739-4D22-B301-05F69B020E1D}"/>
    <cellStyle name="Normal 2 2 4 4 6 2 2" xfId="27114" xr:uid="{BFE77B4D-3671-486C-BE5C-A397C96854F0}"/>
    <cellStyle name="Normal 2 2 4 4 6 2 3" xfId="15125" xr:uid="{45328C7B-52DA-487E-AA36-56D91EE4B36C}"/>
    <cellStyle name="Normal 2 2 4 4 6 3" xfId="7578" xr:uid="{BC637505-56DC-4566-8575-6501DB897D14}"/>
    <cellStyle name="Normal 2 2 4 4 6 3 2" xfId="17958" xr:uid="{ADF89247-8533-412A-987F-7361408CF1DC}"/>
    <cellStyle name="Normal 2 2 4 4 6 4" xfId="10411" xr:uid="{0F209FF0-DB3D-4705-B36C-8B8EA8D305DD}"/>
    <cellStyle name="Normal 2 2 4 4 6 4 2" xfId="20791" xr:uid="{55AE9076-243B-47F8-9ABF-68A36C6388D7}"/>
    <cellStyle name="Normal 2 2 4 4 6 5" xfId="23700" xr:uid="{8742C3B2-0416-4933-B98B-59B351F99F24}"/>
    <cellStyle name="Normal 2 2 4 4 6 6" xfId="12841" xr:uid="{4A6421B6-61C8-4996-A67A-A4F3D90FA67B}"/>
    <cellStyle name="Normal 2 2 4 4 7" xfId="2207" xr:uid="{00000000-0005-0000-0000-0000DE030000}"/>
    <cellStyle name="Normal 2 2 4 4 7 2" xfId="7334" xr:uid="{1A31971A-39F5-4EEA-94AD-C4849A017D9D}"/>
    <cellStyle name="Normal 2 2 4 4 7 2 2" xfId="17714" xr:uid="{8C7E7CA6-E30D-4C36-8BF4-F0A980FDE0A3}"/>
    <cellStyle name="Normal 2 2 4 4 7 3" xfId="10167" xr:uid="{A1DCAF1F-9C89-4E06-8EF8-FD3DFCB86A49}"/>
    <cellStyle name="Normal 2 2 4 4 7 3 2" xfId="20547" xr:uid="{A74C7EDB-A006-4F72-9768-DFAC23401C5D}"/>
    <cellStyle name="Normal 2 2 4 4 7 4" xfId="24286" xr:uid="{9DF97B59-32B7-41EC-B282-0F0F5F95B48F}"/>
    <cellStyle name="Normal 2 2 4 4 7 5" xfId="14881" xr:uid="{3A5D5290-DD44-4C7C-A76B-F57BA77A82DD}"/>
    <cellStyle name="Normal 2 2 4 4 8" xfId="3930" xr:uid="{962AD314-BF12-439C-AB49-0651A687A10E}"/>
    <cellStyle name="Normal 2 2 4 4 8 2" xfId="8762" xr:uid="{1DDDB41C-94D2-4D16-B145-A71EDBC318ED}"/>
    <cellStyle name="Normal 2 2 4 4 8 2 2" xfId="19142" xr:uid="{B9DF84F6-C140-40B7-8AC4-2AFD6A35CE40}"/>
    <cellStyle name="Normal 2 2 4 4 8 3" xfId="11595" xr:uid="{346BA0A1-AE22-4C9D-BDCA-F68E6E6D2258}"/>
    <cellStyle name="Normal 2 2 4 4 8 3 2" xfId="21975" xr:uid="{1F59A14C-F2DF-4B34-BFEE-2FA3B6A69306}"/>
    <cellStyle name="Normal 2 2 4 4 8 4" xfId="16309" xr:uid="{C9490936-9543-4F9B-AF22-D5AD73F04C32}"/>
    <cellStyle name="Normal 2 2 4 4 9" xfId="5089" xr:uid="{492C6885-DC44-4B48-8499-F1090CC0D711}"/>
    <cellStyle name="Normal 2 2 4 4 9 2" xfId="14386" xr:uid="{BE6675D0-FABD-4AB3-B1BD-5D214A7BDEDB}"/>
    <cellStyle name="Normal 2 2 4 5" xfId="740" xr:uid="{00000000-0005-0000-0000-000090040000}"/>
    <cellStyle name="Normal 2 2 4 5 10" xfId="9677" xr:uid="{7B97F55A-82F5-48A1-B2B1-D2BF92C5B64F}"/>
    <cellStyle name="Normal 2 2 4 5 10 2" xfId="20057" xr:uid="{F8D046E5-C5AA-4AD2-B070-1DC81C413E00}"/>
    <cellStyle name="Normal 2 2 4 5 11" xfId="23717" xr:uid="{0951A431-4C8C-4F89-9420-DA73C96B3141}"/>
    <cellStyle name="Normal 2 2 4 5 12" xfId="12558" xr:uid="{A3E7AC24-E3A9-43E8-9E59-4A513FD1FF03}"/>
    <cellStyle name="Normal 2 2 4 5 2" xfId="741" xr:uid="{00000000-0005-0000-0000-000091040000}"/>
    <cellStyle name="Normal 2 2 4 5 2 2" xfId="742" xr:uid="{00000000-0005-0000-0000-000092040000}"/>
    <cellStyle name="Normal 2 2 4 5 2 2 2" xfId="5096" xr:uid="{28570D24-0A6D-4749-B208-79CEBAAD5853}"/>
    <cellStyle name="Normal 2 2 4 5 2 2 2 2" xfId="22828" xr:uid="{3F0B452C-4939-41CA-93D5-5DD1126CB3F3}"/>
    <cellStyle name="Normal 2 2 4 5 2 2 2 3" xfId="27049" xr:uid="{40ECDCAF-293A-4154-9A21-1B16E386C4EF}"/>
    <cellStyle name="Normal 2 2 4 5 2 2 2 4" xfId="14393" xr:uid="{044275AE-12C9-498C-A003-DE8E34E87906}"/>
    <cellStyle name="Normal 2 2 4 5 2 2 3" xfId="6846" xr:uid="{5C17A478-D5DD-465B-8874-B8ED2426D041}"/>
    <cellStyle name="Normal 2 2 4 5 2 2 3 2" xfId="27588" xr:uid="{0D63F2D4-6085-471C-84A3-B300ED17C07C}"/>
    <cellStyle name="Normal 2 2 4 5 2 2 3 3" xfId="27221" xr:uid="{B0C46705-ED62-4E14-84D2-519B282BDCEB}"/>
    <cellStyle name="Normal 2 2 4 5 2 2 3 4" xfId="17226" xr:uid="{5459CE37-F0C5-45CB-96A5-25B619B06C47}"/>
    <cellStyle name="Normal 2 2 4 5 2 2 4" xfId="9679" xr:uid="{F042A46C-D0F9-41D4-B2A4-92CD80D95D32}"/>
    <cellStyle name="Normal 2 2 4 5 2 2 4 2" xfId="29391" xr:uid="{03658FA6-7EE1-4353-BE74-76B87C1AADA6}"/>
    <cellStyle name="Normal 2 2 4 5 2 2 4 3" xfId="20059" xr:uid="{AA542A39-720A-4635-9083-45EE6A0A5CC6}"/>
    <cellStyle name="Normal 2 2 4 5 2 2 5" xfId="24815" xr:uid="{7B2739E9-5973-4F5C-B8B6-6B73C0D1F165}"/>
    <cellStyle name="Normal 2 2 4 5 2 2 6" xfId="13710" xr:uid="{BB7E1BB1-AB4F-42E9-8D62-F17FCEEBCD35}"/>
    <cellStyle name="Normal 2 2 4 5 2 3" xfId="2726" xr:uid="{00000000-0005-0000-0000-0000EE030000}"/>
    <cellStyle name="Normal 2 2 4 5 2 3 2" xfId="5944" xr:uid="{F6D38D51-2623-49A2-8808-D5BB8AFFFF61}"/>
    <cellStyle name="Normal 2 2 4 5 2 3 2 2" xfId="27892" xr:uid="{C21BDB48-8823-42E7-92C5-9B8DB0D560C7}"/>
    <cellStyle name="Normal 2 2 4 5 2 3 2 3" xfId="15397" xr:uid="{D2D9347C-04B5-4346-BDEB-C692AA8CA9FE}"/>
    <cellStyle name="Normal 2 2 4 5 2 3 3" xfId="7850" xr:uid="{0E5FCDA9-E4F7-4688-9D9D-88255B9DD5EA}"/>
    <cellStyle name="Normal 2 2 4 5 2 3 3 2" xfId="18230" xr:uid="{592C8A09-FE5B-4460-B472-67C1E3085872}"/>
    <cellStyle name="Normal 2 2 4 5 2 3 4" xfId="10683" xr:uid="{0AD2B235-01AE-4C19-A4B6-DE626B8E454A}"/>
    <cellStyle name="Normal 2 2 4 5 2 3 4 2" xfId="21063" xr:uid="{C7884267-B29B-4974-A01D-909FDF74F5FF}"/>
    <cellStyle name="Normal 2 2 4 5 2 3 5" xfId="23435" xr:uid="{7FF78EF0-3EB3-4DE3-AF88-1356CDB6B359}"/>
    <cellStyle name="Normal 2 2 4 5 2 3 6" xfId="13158" xr:uid="{928D3D76-F08C-4966-BB9A-B6A8880D2C25}"/>
    <cellStyle name="Normal 2 2 4 5 2 4" xfId="4160" xr:uid="{B1CB9D71-BC6D-4295-8292-81C516C3D8E2}"/>
    <cellStyle name="Normal 2 2 4 5 2 4 2" xfId="8932" xr:uid="{24CA900A-4291-437F-8DED-6E64B2BD93DE}"/>
    <cellStyle name="Normal 2 2 4 5 2 4 2 2" xfId="29029" xr:uid="{8CBEBEA7-7A2E-4712-A5A6-92EFD5340060}"/>
    <cellStyle name="Normal 2 2 4 5 2 4 2 3" xfId="19312" xr:uid="{A48A11BB-1DD6-48D0-8C40-08BE5F1C595A}"/>
    <cellStyle name="Normal 2 2 4 5 2 4 3" xfId="11765" xr:uid="{11E6FCD9-830F-4F75-828E-70B88D2E995E}"/>
    <cellStyle name="Normal 2 2 4 5 2 4 3 2" xfId="22145" xr:uid="{18C0C716-41DF-4A62-A6BD-470B2DC2FC54}"/>
    <cellStyle name="Normal 2 2 4 5 2 4 4" xfId="23251" xr:uid="{A98E546F-C340-48AF-A43B-C807C1E05AE5}"/>
    <cellStyle name="Normal 2 2 4 5 2 4 5" xfId="16479" xr:uid="{831B71F9-BF95-4D3F-94C0-484719694836}"/>
    <cellStyle name="Normal 2 2 4 5 2 5" xfId="5095" xr:uid="{C3E2C19F-B5DD-4E01-9FC4-5993F6DA318B}"/>
    <cellStyle name="Normal 2 2 4 5 2 5 2" xfId="27951" xr:uid="{354E6BC2-73E2-4260-9F97-02018A60A75D}"/>
    <cellStyle name="Normal 2 2 4 5 2 5 3" xfId="14392" xr:uid="{3808A8A3-344F-438D-9BA1-44B18E74A88D}"/>
    <cellStyle name="Normal 2 2 4 5 2 6" xfId="6845" xr:uid="{073BA752-4158-4AD7-89AD-6E1F88147547}"/>
    <cellStyle name="Normal 2 2 4 5 2 6 2" xfId="17225" xr:uid="{C01ACFD6-2AA5-47C1-8013-9A69BB6E227F}"/>
    <cellStyle name="Normal 2 2 4 5 2 7" xfId="9678" xr:uid="{9BFC9367-57A4-4BCF-A13E-1EAB9A6C3750}"/>
    <cellStyle name="Normal 2 2 4 5 2 7 2" xfId="20058" xr:uid="{B015A7D0-F84B-4715-B46E-0B42B8A584F1}"/>
    <cellStyle name="Normal 2 2 4 5 2 8" xfId="23516" xr:uid="{582BBEEB-E589-4F88-A671-E0E3D0B20B5B}"/>
    <cellStyle name="Normal 2 2 4 5 2 9" xfId="12716" xr:uid="{23A72284-53DE-4592-B12C-9935660E9B4E}"/>
    <cellStyle name="Normal 2 2 4 5 3" xfId="743" xr:uid="{00000000-0005-0000-0000-000093040000}"/>
    <cellStyle name="Normal 2 2 4 5 3 2" xfId="4462" xr:uid="{543D7010-EC11-4C5C-8823-CA07FA97EBB6}"/>
    <cellStyle name="Normal 2 2 4 5 3 2 2" xfId="9234" xr:uid="{7946EBE5-C8A6-4AFC-8C75-BE85067E2889}"/>
    <cellStyle name="Normal 2 2 4 5 3 2 2 2" xfId="29225" xr:uid="{F16FFD0B-9C8F-427B-A9D0-CB334C7BBE3E}"/>
    <cellStyle name="Normal 2 2 4 5 3 2 2 3" xfId="19614" xr:uid="{34AB9D2E-E36C-4407-B65D-071BC5B859E2}"/>
    <cellStyle name="Normal 2 2 4 5 3 2 3" xfId="12067" xr:uid="{F638B181-2765-4D51-AF81-82FD5E72D1B3}"/>
    <cellStyle name="Normal 2 2 4 5 3 2 3 2" xfId="22447" xr:uid="{985CFABC-40AE-4CB2-A002-79B451F3F5B4}"/>
    <cellStyle name="Normal 2 2 4 5 3 2 4" xfId="25423" xr:uid="{36EB2C9D-BC28-4930-9B0C-930F3B5E4937}"/>
    <cellStyle name="Normal 2 2 4 5 3 2 5" xfId="16781" xr:uid="{378EFF27-069C-46B2-B917-7EE7243E536F}"/>
    <cellStyle name="Normal 2 2 4 5 3 3" xfId="5097" xr:uid="{5B0E600D-0395-4FA7-A923-CC03DBD41799}"/>
    <cellStyle name="Normal 2 2 4 5 3 3 2" xfId="24760" xr:uid="{7AFC624E-A7DB-4CFC-A0E7-45DF82D9EB1C}"/>
    <cellStyle name="Normal 2 2 4 5 3 3 3" xfId="26846" xr:uid="{04416A7C-E78A-4D80-A1F5-694BE8817E89}"/>
    <cellStyle name="Normal 2 2 4 5 3 3 4" xfId="14394" xr:uid="{78695938-377C-4D3D-89A4-72AE6A0619ED}"/>
    <cellStyle name="Normal 2 2 4 5 3 4" xfId="6847" xr:uid="{DBAE9308-A02F-41C9-9F77-0D2FBCB348CD}"/>
    <cellStyle name="Normal 2 2 4 5 3 4 2" xfId="25704" xr:uid="{02CD26FC-D72B-46A9-8F6F-D52FC0B4806E}"/>
    <cellStyle name="Normal 2 2 4 5 3 4 3" xfId="27987" xr:uid="{1CFA8BB8-A730-464D-86F9-BF569D84CD9B}"/>
    <cellStyle name="Normal 2 2 4 5 3 4 4" xfId="17227" xr:uid="{A3C3C419-C14C-4BC4-AB63-49466C8B3622}"/>
    <cellStyle name="Normal 2 2 4 5 3 5" xfId="9680" xr:uid="{1751C3CC-0E75-4446-BCE1-1D486883D5E6}"/>
    <cellStyle name="Normal 2 2 4 5 3 5 2" xfId="29392" xr:uid="{49D9377F-5AA3-4BEE-A998-76104D0D30A7}"/>
    <cellStyle name="Normal 2 2 4 5 3 5 3" xfId="20060" xr:uid="{B0E31A0F-1173-4255-BCF9-CC90A97B1F69}"/>
    <cellStyle name="Normal 2 2 4 5 3 6" xfId="23277" xr:uid="{2799481D-DDCC-406B-BD0B-987BBCF4D72E}"/>
    <cellStyle name="Normal 2 2 4 5 3 7" xfId="13711" xr:uid="{857D0E4E-899C-4861-BC16-BDE19717E27D}"/>
    <cellStyle name="Normal 2 2 4 5 4" xfId="744" xr:uid="{00000000-0005-0000-0000-000094040000}"/>
    <cellStyle name="Normal 2 2 4 5 4 2" xfId="5098" xr:uid="{7EB87CF0-2C76-4CBC-B6CB-9049E5B4F660}"/>
    <cellStyle name="Normal 2 2 4 5 4 2 2" xfId="25170" xr:uid="{8D1AEB1C-7266-473D-A268-862F58BB468B}"/>
    <cellStyle name="Normal 2 2 4 5 4 2 3" xfId="28703" xr:uid="{09FC95F5-B032-4D86-9861-23E1B2AAB4FE}"/>
    <cellStyle name="Normal 2 2 4 5 4 2 4" xfId="14395" xr:uid="{B85F9BC3-E33B-4029-A728-5A5C01794323}"/>
    <cellStyle name="Normal 2 2 4 5 4 3" xfId="6848" xr:uid="{3DBE0692-25D7-47D1-84E5-78018D02E7FB}"/>
    <cellStyle name="Normal 2 2 4 5 4 3 2" xfId="26915" xr:uid="{CDD2B155-591B-40A3-A0FB-D2C641F48F48}"/>
    <cellStyle name="Normal 2 2 4 5 4 3 3" xfId="17228" xr:uid="{CF9DB049-2E4F-4FB7-8079-18014F18DA3D}"/>
    <cellStyle name="Normal 2 2 4 5 4 4" xfId="9681" xr:uid="{9FB6C89D-5A91-4333-B754-32C018CC61CB}"/>
    <cellStyle name="Normal 2 2 4 5 4 4 2" xfId="20061" xr:uid="{A49A9189-74E2-42E8-AB4E-E0A6EA5B4F59}"/>
    <cellStyle name="Normal 2 2 4 5 4 5" xfId="25298" xr:uid="{3BEF782F-789F-43ED-B5D0-E737472780A8}"/>
    <cellStyle name="Normal 2 2 4 5 4 6" xfId="13414" xr:uid="{D770B22A-6255-463E-A8D4-F5BD124F57B7}"/>
    <cellStyle name="Normal 2 2 4 5 5" xfId="2513" xr:uid="{00000000-0005-0000-0000-0000F1030000}"/>
    <cellStyle name="Normal 2 2 4 5 5 2" xfId="5791" xr:uid="{61229B4B-7D35-441F-9C05-74043052A51A}"/>
    <cellStyle name="Normal 2 2 4 5 5 2 2" xfId="26902" xr:uid="{AB113FE4-F214-4508-B776-1E5A01F008CF}"/>
    <cellStyle name="Normal 2 2 4 5 5 2 3" xfId="15185" xr:uid="{C63419A0-6CF0-45AE-B6CA-A8578A0CB174}"/>
    <cellStyle name="Normal 2 2 4 5 5 3" xfId="7638" xr:uid="{E39053B9-93D2-44E9-A498-C40D0CF96456}"/>
    <cellStyle name="Normal 2 2 4 5 5 3 2" xfId="18018" xr:uid="{1ED545CA-255A-4438-8465-B120DDBB1034}"/>
    <cellStyle name="Normal 2 2 4 5 5 4" xfId="10471" xr:uid="{A8E0CB94-435A-412C-AF33-2EC7A9517F51}"/>
    <cellStyle name="Normal 2 2 4 5 5 4 2" xfId="20851" xr:uid="{9F14E22E-44B6-4D2B-A0FC-A873ECC1D32D}"/>
    <cellStyle name="Normal 2 2 4 5 5 5" xfId="22736" xr:uid="{494A08E6-C05E-47AB-B77E-5A9E143FB3F9}"/>
    <cellStyle name="Normal 2 2 4 5 5 6" xfId="12901" xr:uid="{6812ADF2-3DA3-4AB6-B7CB-FB1116E3258B}"/>
    <cellStyle name="Normal 2 2 4 5 6" xfId="2324" xr:uid="{00000000-0005-0000-0000-0000EB030000}"/>
    <cellStyle name="Normal 2 2 4 5 6 2" xfId="7451" xr:uid="{F41C4F13-5347-4957-9A27-118AF936526E}"/>
    <cellStyle name="Normal 2 2 4 5 6 2 2" xfId="28374" xr:uid="{273C0756-2776-4BA1-959B-4C4F49D88BF9}"/>
    <cellStyle name="Normal 2 2 4 5 6 2 3" xfId="17831" xr:uid="{90CB542C-D474-473F-A9E1-74BA300B9FCB}"/>
    <cellStyle name="Normal 2 2 4 5 6 3" xfId="10284" xr:uid="{E33EA191-46E5-476C-8E41-FE5C7F3751EE}"/>
    <cellStyle name="Normal 2 2 4 5 6 3 2" xfId="20664" xr:uid="{809E6F6C-1E7F-42AB-9E97-32FCE6D8504F}"/>
    <cellStyle name="Normal 2 2 4 5 6 4" xfId="24176" xr:uid="{CA1C02D9-C18B-435F-9838-57D8C1FCB386}"/>
    <cellStyle name="Normal 2 2 4 5 6 5" xfId="14998" xr:uid="{15C86A47-CAD9-4DF2-894C-75F8E206E539}"/>
    <cellStyle name="Normal 2 2 4 5 7" xfId="3931" xr:uid="{92C6F550-D67D-4D22-B4F4-71D3B594C79A}"/>
    <cellStyle name="Normal 2 2 4 5 7 2" xfId="8763" xr:uid="{F5E22FFD-B196-431C-BB9C-3E3F3A5ED9C4}"/>
    <cellStyle name="Normal 2 2 4 5 7 2 2" xfId="19143" xr:uid="{1A0B5E1F-9C62-46C2-AC7E-A68903DE8D29}"/>
    <cellStyle name="Normal 2 2 4 5 7 3" xfId="11596" xr:uid="{C8932BFE-8894-4946-9B20-BA1522CD46DA}"/>
    <cellStyle name="Normal 2 2 4 5 7 3 2" xfId="21976" xr:uid="{37AA7A53-86F3-43A6-85AE-B014BFE186E5}"/>
    <cellStyle name="Normal 2 2 4 5 7 4" xfId="28525" xr:uid="{51A23BEE-B27A-4184-A621-0A37B2EBE4D2}"/>
    <cellStyle name="Normal 2 2 4 5 7 5" xfId="16310" xr:uid="{19324787-BDE0-43D5-A9BC-938202896513}"/>
    <cellStyle name="Normal 2 2 4 5 8" xfId="5094" xr:uid="{E495AB42-427E-401E-938A-EA0A6B689707}"/>
    <cellStyle name="Normal 2 2 4 5 8 2" xfId="14391" xr:uid="{E71EFFA8-FE06-4932-8A74-650685A0237C}"/>
    <cellStyle name="Normal 2 2 4 5 9" xfId="6844" xr:uid="{EF6F5DF1-233C-43E7-8B22-AE589CEA1C77}"/>
    <cellStyle name="Normal 2 2 4 5 9 2" xfId="17224" xr:uid="{9665B699-C701-4FD8-A7AF-CFE727F32265}"/>
    <cellStyle name="Normal 2 2 4 6" xfId="745" xr:uid="{00000000-0005-0000-0000-000095040000}"/>
    <cellStyle name="Normal 2 2 4 6 10" xfId="9682" xr:uid="{408595D7-41CC-42B1-A421-11E52BBA95A2}"/>
    <cellStyle name="Normal 2 2 4 6 10 2" xfId="20062" xr:uid="{1F6FFD65-21B2-4ACC-BD36-251E90851B36}"/>
    <cellStyle name="Normal 2 2 4 6 11" xfId="24516" xr:uid="{CB15B39F-AAF7-4C08-91FD-C1E8B4B1E228}"/>
    <cellStyle name="Normal 2 2 4 6 12" xfId="12559" xr:uid="{84174D08-5A5E-4135-99CB-28BAF4EDF7AB}"/>
    <cellStyle name="Normal 2 2 4 6 2" xfId="746" xr:uid="{00000000-0005-0000-0000-000096040000}"/>
    <cellStyle name="Normal 2 2 4 6 2 2" xfId="747" xr:uid="{00000000-0005-0000-0000-000097040000}"/>
    <cellStyle name="Normal 2 2 4 6 2 2 2" xfId="5101" xr:uid="{65E64113-2928-481F-BA28-D79E0828D443}"/>
    <cellStyle name="Normal 2 2 4 6 2 2 2 2" xfId="24768" xr:uid="{E979248C-F30D-44A0-A701-C30CB53BFF2E}"/>
    <cellStyle name="Normal 2 2 4 6 2 2 2 3" xfId="27789" xr:uid="{1D847D1A-DDC9-458B-A302-6CBC445D8C64}"/>
    <cellStyle name="Normal 2 2 4 6 2 2 2 4" xfId="14398" xr:uid="{0D728C46-3C6A-4464-9C82-F07151C98568}"/>
    <cellStyle name="Normal 2 2 4 6 2 2 3" xfId="6851" xr:uid="{0B664914-040C-4665-956D-86BF111E755C}"/>
    <cellStyle name="Normal 2 2 4 6 2 2 3 2" xfId="27590" xr:uid="{6A89B77E-4289-4DA1-944E-CB57D2DAA56D}"/>
    <cellStyle name="Normal 2 2 4 6 2 2 3 3" xfId="26266" xr:uid="{EC9512CA-C58B-4D06-99AC-3C5FD4248845}"/>
    <cellStyle name="Normal 2 2 4 6 2 2 3 4" xfId="17231" xr:uid="{B2A6C6E6-82B8-4283-9B95-5C54C6FF9011}"/>
    <cellStyle name="Normal 2 2 4 6 2 2 4" xfId="9684" xr:uid="{ECF8B02D-BFC9-4E55-948F-51C97DFF27FF}"/>
    <cellStyle name="Normal 2 2 4 6 2 2 4 2" xfId="29393" xr:uid="{88881E2F-0548-4190-8AF6-A4882BDCE985}"/>
    <cellStyle name="Normal 2 2 4 6 2 2 4 3" xfId="20064" xr:uid="{B31E253D-8024-4A47-AFDB-25E18C2B9E79}"/>
    <cellStyle name="Normal 2 2 4 6 2 2 5" xfId="24901" xr:uid="{3B3188CC-9711-4848-B304-6AC79D714848}"/>
    <cellStyle name="Normal 2 2 4 6 2 2 6" xfId="13712" xr:uid="{19CF3CF2-897B-40BC-9648-B06F6E9BB3B7}"/>
    <cellStyle name="Normal 2 2 4 6 2 3" xfId="2727" xr:uid="{00000000-0005-0000-0000-0000F5030000}"/>
    <cellStyle name="Normal 2 2 4 6 2 3 2" xfId="5945" xr:uid="{097181E5-E9EF-4068-A7B0-C2E9A0CE2964}"/>
    <cellStyle name="Normal 2 2 4 6 2 3 2 2" xfId="25922" xr:uid="{33E1FBD7-6340-4522-A1AA-5C3BA1F6A282}"/>
    <cellStyle name="Normal 2 2 4 6 2 3 2 3" xfId="15398" xr:uid="{DBB5A473-A32C-402B-B3B4-21588613500B}"/>
    <cellStyle name="Normal 2 2 4 6 2 3 3" xfId="7851" xr:uid="{9C6DD874-62BE-43DA-90E7-F209C302BF99}"/>
    <cellStyle name="Normal 2 2 4 6 2 3 3 2" xfId="18231" xr:uid="{639DEB33-012B-46D6-8F0F-91E06600082D}"/>
    <cellStyle name="Normal 2 2 4 6 2 3 4" xfId="10684" xr:uid="{E1C6315D-D5CA-4D48-B7FC-14D7D3071883}"/>
    <cellStyle name="Normal 2 2 4 6 2 3 4 2" xfId="21064" xr:uid="{D5C3D8F6-159B-4B67-8E32-3A911C78227A}"/>
    <cellStyle name="Normal 2 2 4 6 2 3 5" xfId="23800" xr:uid="{FA297568-3CB1-411A-AC70-981E9323BBE1}"/>
    <cellStyle name="Normal 2 2 4 6 2 3 6" xfId="13159" xr:uid="{24E3AC71-5FC0-4017-AF6F-8D84BF9CF3A7}"/>
    <cellStyle name="Normal 2 2 4 6 2 4" xfId="4161" xr:uid="{03476FED-558C-4760-B4EB-47358C077E06}"/>
    <cellStyle name="Normal 2 2 4 6 2 4 2" xfId="8933" xr:uid="{6A46078A-F71C-4CA8-8D27-B8BA2ACF1924}"/>
    <cellStyle name="Normal 2 2 4 6 2 4 2 2" xfId="29030" xr:uid="{970C6B59-BE74-4C8C-AE0B-C6EBFC61C049}"/>
    <cellStyle name="Normal 2 2 4 6 2 4 2 3" xfId="19313" xr:uid="{402AEF9B-3CED-4965-897A-F23E5F30F708}"/>
    <cellStyle name="Normal 2 2 4 6 2 4 3" xfId="11766" xr:uid="{DDF0B2F5-943A-4FA8-AAE5-0E74BDEE1E97}"/>
    <cellStyle name="Normal 2 2 4 6 2 4 3 2" xfId="22146" xr:uid="{7496990B-87AF-4E35-B2B5-7886D0C741E7}"/>
    <cellStyle name="Normal 2 2 4 6 2 4 4" xfId="24041" xr:uid="{11263EB5-1908-4096-94F6-39CED5DCE089}"/>
    <cellStyle name="Normal 2 2 4 6 2 4 5" xfId="16480" xr:uid="{763711D8-4B1F-48E5-8D67-CFB6C4EF2B1A}"/>
    <cellStyle name="Normal 2 2 4 6 2 5" xfId="5100" xr:uid="{5B0DE48B-48A5-4772-851F-D348BCBE3BC1}"/>
    <cellStyle name="Normal 2 2 4 6 2 5 2" xfId="27308" xr:uid="{C233E342-3D47-450D-A863-7E068B132F55}"/>
    <cellStyle name="Normal 2 2 4 6 2 5 3" xfId="14397" xr:uid="{DE79CD2B-93A7-4E8F-A966-F54B37EC6E8A}"/>
    <cellStyle name="Normal 2 2 4 6 2 6" xfId="6850" xr:uid="{650B39C0-4DC4-488C-B526-156F8448FE1F}"/>
    <cellStyle name="Normal 2 2 4 6 2 6 2" xfId="17230" xr:uid="{9E3FA734-3C77-41FD-BC5E-8E9D32E8977C}"/>
    <cellStyle name="Normal 2 2 4 6 2 7" xfId="9683" xr:uid="{750A2031-CD1B-490F-8E57-185A083316C3}"/>
    <cellStyle name="Normal 2 2 4 6 2 7 2" xfId="20063" xr:uid="{5CA5386B-9504-433E-91B6-CD51CEFBCFA7}"/>
    <cellStyle name="Normal 2 2 4 6 2 8" xfId="25196" xr:uid="{D47530D6-7C98-4AEE-A645-55465B1523EE}"/>
    <cellStyle name="Normal 2 2 4 6 2 9" xfId="12717" xr:uid="{0C09109B-2439-474B-A7A8-61D74E5FE4F9}"/>
    <cellStyle name="Normal 2 2 4 6 3" xfId="748" xr:uid="{00000000-0005-0000-0000-000098040000}"/>
    <cellStyle name="Normal 2 2 4 6 3 2" xfId="4463" xr:uid="{7330F69A-9662-402D-84C8-CE37C86C70B6}"/>
    <cellStyle name="Normal 2 2 4 6 3 2 2" xfId="9235" xr:uid="{F66737E9-F7B4-415B-AAFF-680329B87C7D}"/>
    <cellStyle name="Normal 2 2 4 6 3 2 2 2" xfId="29226" xr:uid="{25CC22C7-AD63-407B-917E-350BC90BCFCC}"/>
    <cellStyle name="Normal 2 2 4 6 3 2 2 3" xfId="19615" xr:uid="{7D092387-7A31-4587-93AD-E53A488CE09F}"/>
    <cellStyle name="Normal 2 2 4 6 3 2 3" xfId="12068" xr:uid="{F25645DE-D19B-4823-A2C9-21182D451357}"/>
    <cellStyle name="Normal 2 2 4 6 3 2 3 2" xfId="22448" xr:uid="{DE7A291A-C6FA-49E4-A648-15B5868CA022}"/>
    <cellStyle name="Normal 2 2 4 6 3 2 4" xfId="25629" xr:uid="{961A35DF-A680-458F-BDFC-15EA7762F7C6}"/>
    <cellStyle name="Normal 2 2 4 6 3 2 5" xfId="16782" xr:uid="{45304DF5-304B-40CE-8DD6-527F6694A510}"/>
    <cellStyle name="Normal 2 2 4 6 3 3" xfId="5102" xr:uid="{E152507B-B35A-48CB-BE11-9449DAD2C94A}"/>
    <cellStyle name="Normal 2 2 4 6 3 3 2" xfId="26787" xr:uid="{6ACD856D-043C-4264-863E-20ED6A935079}"/>
    <cellStyle name="Normal 2 2 4 6 3 3 3" xfId="28606" xr:uid="{CA3D05CE-942F-439B-9CF4-61BD721E077E}"/>
    <cellStyle name="Normal 2 2 4 6 3 3 4" xfId="14399" xr:uid="{DA712E4B-0D62-4FAB-BC0F-DD6102EBE473}"/>
    <cellStyle name="Normal 2 2 4 6 3 4" xfId="6852" xr:uid="{96C93305-6539-4C43-96C2-490DD1F7C22A}"/>
    <cellStyle name="Normal 2 2 4 6 3 4 2" xfId="26750" xr:uid="{364AD7D8-C916-4CA7-AEF0-0AEA75DC43B4}"/>
    <cellStyle name="Normal 2 2 4 6 3 4 3" xfId="26456" xr:uid="{2092BBCB-E2F2-4FEF-9B78-6423CD5EF474}"/>
    <cellStyle name="Normal 2 2 4 6 3 4 4" xfId="17232" xr:uid="{CEB8FDED-9EE5-49A8-92B0-E51BA542DA1A}"/>
    <cellStyle name="Normal 2 2 4 6 3 5" xfId="9685" xr:uid="{B907490F-0F92-4428-AF5C-CC9B08CE2475}"/>
    <cellStyle name="Normal 2 2 4 6 3 5 2" xfId="29394" xr:uid="{467430A6-D7E5-446B-968E-BBF14BBD1DC5}"/>
    <cellStyle name="Normal 2 2 4 6 3 5 3" xfId="20065" xr:uid="{37F73F47-AB18-498A-819F-4C4909409898}"/>
    <cellStyle name="Normal 2 2 4 6 3 6" xfId="23948" xr:uid="{4ED4925B-2F87-4160-AB4C-8081076A4EFF}"/>
    <cellStyle name="Normal 2 2 4 6 3 7" xfId="13713" xr:uid="{5C44CE8F-0823-40A9-944C-F0638CEADC5A}"/>
    <cellStyle name="Normal 2 2 4 6 4" xfId="749" xr:uid="{00000000-0005-0000-0000-000099040000}"/>
    <cellStyle name="Normal 2 2 4 6 4 2" xfId="5103" xr:uid="{CB0DDAC2-3BDC-4EBC-826D-3D10D9F4216E}"/>
    <cellStyle name="Normal 2 2 4 6 4 2 2" xfId="23259" xr:uid="{A37EABCB-3C05-4388-B83B-6F7F0B1D503D}"/>
    <cellStyle name="Normal 2 2 4 6 4 2 3" xfId="27398" xr:uid="{706743A4-1EA8-4D2D-A03F-A7D92C4AF5D7}"/>
    <cellStyle name="Normal 2 2 4 6 4 2 4" xfId="14400" xr:uid="{0A8DEE1E-2232-4BB7-816A-E83C3A045AC9}"/>
    <cellStyle name="Normal 2 2 4 6 4 3" xfId="6853" xr:uid="{B5DFA1EF-242D-49FA-913E-D8FFA076E054}"/>
    <cellStyle name="Normal 2 2 4 6 4 3 2" xfId="27121" xr:uid="{A4D89A8C-4198-4AAB-9EEE-F4B4DE912F96}"/>
    <cellStyle name="Normal 2 2 4 6 4 3 3" xfId="17233" xr:uid="{0A98C1B7-B01A-4358-89A1-5B9E85B29CC6}"/>
    <cellStyle name="Normal 2 2 4 6 4 4" xfId="9686" xr:uid="{E5525FD3-D61F-4547-A6E1-6E33C8E543F0}"/>
    <cellStyle name="Normal 2 2 4 6 4 4 2" xfId="20066" xr:uid="{04AB415C-7312-4AD5-97CC-F7293E8F944B}"/>
    <cellStyle name="Normal 2 2 4 6 4 5" xfId="23322" xr:uid="{8246FBCD-0BAF-41D1-92FD-9938F93EC46A}"/>
    <cellStyle name="Normal 2 2 4 6 4 6" xfId="13415" xr:uid="{4CACB45E-42BB-480A-8E48-8F7400E53665}"/>
    <cellStyle name="Normal 2 2 4 6 5" xfId="2576" xr:uid="{00000000-0005-0000-0000-0000F8030000}"/>
    <cellStyle name="Normal 2 2 4 6 5 2" xfId="5841" xr:uid="{D55F8470-9350-4F88-81CE-34F8E67365BC}"/>
    <cellStyle name="Normal 2 2 4 6 5 2 2" xfId="27906" xr:uid="{CD0810B1-AF7E-4A50-89DB-B411BEB470A4}"/>
    <cellStyle name="Normal 2 2 4 6 5 2 3" xfId="15248" xr:uid="{6E0253C7-F98E-4082-8F5A-D233E96C0250}"/>
    <cellStyle name="Normal 2 2 4 6 5 3" xfId="7701" xr:uid="{A9121AD8-9572-486C-ABD9-3BE1DA4E1649}"/>
    <cellStyle name="Normal 2 2 4 6 5 3 2" xfId="18081" xr:uid="{171B1402-D0A5-4AE5-B492-E52ECE4AF0E1}"/>
    <cellStyle name="Normal 2 2 4 6 5 4" xfId="10534" xr:uid="{938E4951-2C90-4BBF-B998-927A9BEA4420}"/>
    <cellStyle name="Normal 2 2 4 6 5 4 2" xfId="20914" xr:uid="{AD8DB3CC-8555-4B5B-B0A9-45C6797B4CED}"/>
    <cellStyle name="Normal 2 2 4 6 5 5" xfId="25386" xr:uid="{AC43E61B-4C90-4F5B-82B0-896CBC252D0C}"/>
    <cellStyle name="Normal 2 2 4 6 5 6" xfId="12964" xr:uid="{CFBB2030-7CEA-4E30-8F61-C5FFD0B0D402}"/>
    <cellStyle name="Normal 2 2 4 6 6" xfId="2325" xr:uid="{00000000-0005-0000-0000-0000F2030000}"/>
    <cellStyle name="Normal 2 2 4 6 6 2" xfId="7452" xr:uid="{ABE5D2F9-96EB-45E4-A55C-169970B161FA}"/>
    <cellStyle name="Normal 2 2 4 6 6 2 2" xfId="28386" xr:uid="{9315E1BC-311A-4EF1-BCA4-B5609EB70199}"/>
    <cellStyle name="Normal 2 2 4 6 6 2 3" xfId="17832" xr:uid="{7B1AE74E-8CC0-4110-8D46-82545F55D897}"/>
    <cellStyle name="Normal 2 2 4 6 6 3" xfId="10285" xr:uid="{C18AD641-BFF8-49C0-91EB-9BD0A2E611B2}"/>
    <cellStyle name="Normal 2 2 4 6 6 3 2" xfId="20665" xr:uid="{9645759D-6B02-4C27-B4E3-7151ADFD3856}"/>
    <cellStyle name="Normal 2 2 4 6 6 4" xfId="23909" xr:uid="{726C56AC-C7AD-4BB8-94D0-7C28A14E31C1}"/>
    <cellStyle name="Normal 2 2 4 6 6 5" xfId="14999" xr:uid="{0576DE7E-BB35-4999-BF7F-F6F4FD5AD241}"/>
    <cellStyle name="Normal 2 2 4 6 7" xfId="3932" xr:uid="{0253A996-D2CD-4E24-B041-2E924C7EE5D0}"/>
    <cellStyle name="Normal 2 2 4 6 7 2" xfId="8764" xr:uid="{79901FCA-833D-4A54-A8C2-616BBA1A916D}"/>
    <cellStyle name="Normal 2 2 4 6 7 2 2" xfId="19144" xr:uid="{7A5BCC12-6465-4CF0-820E-1300D5C2642E}"/>
    <cellStyle name="Normal 2 2 4 6 7 3" xfId="11597" xr:uid="{B37C41D0-DA10-479B-896A-EAC3E6365F6A}"/>
    <cellStyle name="Normal 2 2 4 6 7 3 2" xfId="21977" xr:uid="{34BF8363-34E8-4710-919C-B5437A143794}"/>
    <cellStyle name="Normal 2 2 4 6 7 4" xfId="27569" xr:uid="{680FC575-4081-4D11-A822-875D2B12E9FE}"/>
    <cellStyle name="Normal 2 2 4 6 7 5" xfId="16311" xr:uid="{E949FF74-B171-4799-B296-50C791561D41}"/>
    <cellStyle name="Normal 2 2 4 6 8" xfId="5099" xr:uid="{936B60CE-480B-492E-B494-E803B02EA797}"/>
    <cellStyle name="Normal 2 2 4 6 8 2" xfId="14396" xr:uid="{9C8D84A7-D29E-4AF2-A394-686938E6A0F1}"/>
    <cellStyle name="Normal 2 2 4 6 9" xfId="6849" xr:uid="{BA243AF1-8DCD-4A81-B9F9-E559A354E78C}"/>
    <cellStyle name="Normal 2 2 4 6 9 2" xfId="17229" xr:uid="{8FB6BE78-4246-48EC-8844-40F41EE1961D}"/>
    <cellStyle name="Normal 2 2 4 7" xfId="750" xr:uid="{00000000-0005-0000-0000-00009A040000}"/>
    <cellStyle name="Normal 2 2 4 7 10" xfId="12560" xr:uid="{A84CC9C2-4F32-46FF-9BD2-C66250EB10AB}"/>
    <cellStyle name="Normal 2 2 4 7 2" xfId="751" xr:uid="{00000000-0005-0000-0000-00009B040000}"/>
    <cellStyle name="Normal 2 2 4 7 2 2" xfId="2901" xr:uid="{00000000-0005-0000-0000-0000FB030000}"/>
    <cellStyle name="Normal 2 2 4 7 2 2 2" xfId="6087" xr:uid="{D1672633-0CE3-4AB2-A8FB-213FF68619D0}"/>
    <cellStyle name="Normal 2 2 4 7 2 2 2 2" xfId="28557" xr:uid="{1C959889-FC8B-40DE-87FE-7ED0C4F8199F}"/>
    <cellStyle name="Normal 2 2 4 7 2 2 2 3" xfId="25908" xr:uid="{8F001275-F335-426A-9D11-0BBF99DBB86A}"/>
    <cellStyle name="Normal 2 2 4 7 2 2 2 4" xfId="15565" xr:uid="{11654B7D-CF22-487E-8E64-0975FA9828A7}"/>
    <cellStyle name="Normal 2 2 4 7 2 2 3" xfId="8018" xr:uid="{57DD36D5-239A-471A-9BDF-6CC9F7686FDD}"/>
    <cellStyle name="Normal 2 2 4 7 2 2 3 2" xfId="28022" xr:uid="{8BBA0471-8E5E-4401-9D22-993FEB5F0484}"/>
    <cellStyle name="Normal 2 2 4 7 2 2 3 3" xfId="18398" xr:uid="{3DD4EEF6-6F14-4ABE-A655-83DBE3966C3E}"/>
    <cellStyle name="Normal 2 2 4 7 2 2 4" xfId="10851" xr:uid="{99237510-E4FF-4E57-97D3-E22A69F1C28A}"/>
    <cellStyle name="Normal 2 2 4 7 2 2 4 2" xfId="21231" xr:uid="{A9BE7BEC-33A2-4079-9BCD-3155E9C924BF}"/>
    <cellStyle name="Normal 2 2 4 7 2 2 5" xfId="24190" xr:uid="{40880786-28E2-462C-9CA3-3461A9983DB4}"/>
    <cellStyle name="Normal 2 2 4 7 2 2 6" xfId="13416" xr:uid="{040DB001-46ED-4B9D-8CF8-263D3E06FB8D}"/>
    <cellStyle name="Normal 2 2 4 7 2 3" xfId="5105" xr:uid="{D98481B5-F162-4968-90DE-896C1D2C6025}"/>
    <cellStyle name="Normal 2 2 4 7 2 3 2" xfId="24034" xr:uid="{DF5802CA-525D-42F7-B9C3-76DCA748B93A}"/>
    <cellStyle name="Normal 2 2 4 7 2 3 3" xfId="27986" xr:uid="{5100A763-53F0-49D1-8206-EE3B8D33A67D}"/>
    <cellStyle name="Normal 2 2 4 7 2 3 4" xfId="14402" xr:uid="{3B12B2D5-3771-43FB-A972-AAB3FD3F98C8}"/>
    <cellStyle name="Normal 2 2 4 7 2 4" xfId="6855" xr:uid="{0549BF0E-63BE-483D-A9FB-AB3A68DEAA03}"/>
    <cellStyle name="Normal 2 2 4 7 2 4 2" xfId="27449" xr:uid="{AAD5E344-5403-489D-A80B-AF9E9410FA21}"/>
    <cellStyle name="Normal 2 2 4 7 2 4 3" xfId="27004" xr:uid="{EDE1D26F-F4E3-4F0A-BF3A-52D293CDBC9A}"/>
    <cellStyle name="Normal 2 2 4 7 2 4 4" xfId="17235" xr:uid="{FF016738-F27F-417C-9A78-EE27EFA00488}"/>
    <cellStyle name="Normal 2 2 4 7 2 5" xfId="9688" xr:uid="{32686D98-33B7-44AC-A821-CBA9D2EC8E01}"/>
    <cellStyle name="Normal 2 2 4 7 2 5 2" xfId="29395" xr:uid="{219DDE4D-DA0C-4DBC-9B95-FB5CABE03346}"/>
    <cellStyle name="Normal 2 2 4 7 2 5 3" xfId="20068" xr:uid="{8D6D179A-7B7C-4245-8DB9-466670454DA9}"/>
    <cellStyle name="Normal 2 2 4 7 2 6" xfId="24970" xr:uid="{993EE3C4-9623-472B-9DED-747B919991F0}"/>
    <cellStyle name="Normal 2 2 4 7 2 7" xfId="12718" xr:uid="{0ACD6325-E9C2-4870-A3E4-0E7A76B61CA1}"/>
    <cellStyle name="Normal 2 2 4 7 3" xfId="752" xr:uid="{00000000-0005-0000-0000-00009C040000}"/>
    <cellStyle name="Normal 2 2 4 7 3 2" xfId="5106" xr:uid="{6DFF040E-53E1-4A1F-8A2D-959BB37C925D}"/>
    <cellStyle name="Normal 2 2 4 7 3 2 2" xfId="26352" xr:uid="{84FE70B8-6F80-491C-810F-162E111B6F84}"/>
    <cellStyle name="Normal 2 2 4 7 3 2 3" xfId="27428" xr:uid="{8D815429-2118-436E-97A4-6696CCB56EBD}"/>
    <cellStyle name="Normal 2 2 4 7 3 2 4" xfId="14403" xr:uid="{46FAE356-2463-45C2-9F99-83C39A793B2C}"/>
    <cellStyle name="Normal 2 2 4 7 3 3" xfId="6856" xr:uid="{0104E5D0-EAD1-494C-8920-B169FB26914C}"/>
    <cellStyle name="Normal 2 2 4 7 3 3 2" xfId="28193" xr:uid="{3B2F3915-BA7C-4299-9E7C-AD048CB937BF}"/>
    <cellStyle name="Normal 2 2 4 7 3 3 3" xfId="27547" xr:uid="{84180369-05F0-4732-BF96-E7CD61F19DBF}"/>
    <cellStyle name="Normal 2 2 4 7 3 3 4" xfId="17236" xr:uid="{8C3EA7D5-E4C3-4EDA-B41A-C9B21AC8D6C7}"/>
    <cellStyle name="Normal 2 2 4 7 3 4" xfId="9689" xr:uid="{E81C82B7-49CF-418D-B5C5-654A059558DA}"/>
    <cellStyle name="Normal 2 2 4 7 3 4 2" xfId="29396" xr:uid="{E8F08881-EDF5-4928-807A-49C24B182F27}"/>
    <cellStyle name="Normal 2 2 4 7 3 4 3" xfId="20069" xr:uid="{4F83EB01-C14C-4467-B242-A37FE080BB95}"/>
    <cellStyle name="Normal 2 2 4 7 3 5" xfId="22737" xr:uid="{BC95FB77-84E7-4FB9-A22D-855689978816}"/>
    <cellStyle name="Normal 2 2 4 7 3 6" xfId="13160" xr:uid="{EE48FD3A-1578-401E-AB50-98362CF46FCB}"/>
    <cellStyle name="Normal 2 2 4 7 4" xfId="2326" xr:uid="{00000000-0005-0000-0000-0000F9030000}"/>
    <cellStyle name="Normal 2 2 4 7 4 2" xfId="7453" xr:uid="{8E9AB872-5246-43FE-8812-B115D7DEFFA9}"/>
    <cellStyle name="Normal 2 2 4 7 4 2 2" xfId="26379" xr:uid="{F2632576-B911-4F69-AB59-34812F4BAA8C}"/>
    <cellStyle name="Normal 2 2 4 7 4 2 3" xfId="17833" xr:uid="{A38E2EDF-F0E9-4CBD-874D-0A76FC2AD407}"/>
    <cellStyle name="Normal 2 2 4 7 4 3" xfId="10286" xr:uid="{D29B55B2-216A-4C7A-AEE1-F71C550B6FB5}"/>
    <cellStyle name="Normal 2 2 4 7 4 3 2" xfId="20666" xr:uid="{D21C6EAF-4364-4EAB-909B-E7E99C6B2204}"/>
    <cellStyle name="Normal 2 2 4 7 4 4" xfId="24484" xr:uid="{E4B9A227-3D1F-4501-A43D-61031628010D}"/>
    <cellStyle name="Normal 2 2 4 7 4 5" xfId="15000" xr:uid="{7FCD3262-D20A-4297-8866-420DDA1C7A3D}"/>
    <cellStyle name="Normal 2 2 4 7 5" xfId="3933" xr:uid="{6EC19484-4BD6-4EB8-AE32-A39D25AD16FE}"/>
    <cellStyle name="Normal 2 2 4 7 5 2" xfId="8765" xr:uid="{73754C41-612A-41E8-901E-AB6FE2BAD6E8}"/>
    <cellStyle name="Normal 2 2 4 7 5 2 2" xfId="28979" xr:uid="{5E864213-EB0E-43D1-8F38-0874B8514DC9}"/>
    <cellStyle name="Normal 2 2 4 7 5 2 3" xfId="19145" xr:uid="{0803944F-164E-4F60-86C8-BC780592A3B2}"/>
    <cellStyle name="Normal 2 2 4 7 5 3" xfId="11598" xr:uid="{4BF4557A-146A-4BA6-A272-B8239517D366}"/>
    <cellStyle name="Normal 2 2 4 7 5 3 2" xfId="21978" xr:uid="{D6CE5784-B309-46E9-A25F-6CC6D18AF4D3}"/>
    <cellStyle name="Normal 2 2 4 7 5 4" xfId="24986" xr:uid="{5C974657-1934-4805-A930-68EAF4AC1099}"/>
    <cellStyle name="Normal 2 2 4 7 5 5" xfId="16312" xr:uid="{CFD910A6-E944-44FE-8E2F-5EA777801BBF}"/>
    <cellStyle name="Normal 2 2 4 7 6" xfId="5104" xr:uid="{1932CE5B-C50B-4EFF-B7CB-A9E5A022477B}"/>
    <cellStyle name="Normal 2 2 4 7 6 2" xfId="25953" xr:uid="{CFF717FA-05AD-46D8-850B-8D2E58D40A8C}"/>
    <cellStyle name="Normal 2 2 4 7 6 3" xfId="26675" xr:uid="{E111098F-AFA7-4CCE-962C-37AF717C404E}"/>
    <cellStyle name="Normal 2 2 4 7 6 4" xfId="14401" xr:uid="{4822C81E-E503-4DF6-BFA4-3B9CB28E8070}"/>
    <cellStyle name="Normal 2 2 4 7 7" xfId="6854" xr:uid="{32ECFB42-B472-461E-8E4D-3BD3B487A936}"/>
    <cellStyle name="Normal 2 2 4 7 7 2" xfId="28249" xr:uid="{5AA28F78-518E-4557-8FBE-A496E111D902}"/>
    <cellStyle name="Normal 2 2 4 7 7 3" xfId="17234" xr:uid="{C6000307-F52C-4BEB-8329-8F3EDA3EC909}"/>
    <cellStyle name="Normal 2 2 4 7 8" xfId="9687" xr:uid="{97413759-2B48-47AD-8755-4FCAB4A43997}"/>
    <cellStyle name="Normal 2 2 4 7 8 2" xfId="20067" xr:uid="{0B0C9FF6-EA2E-49C2-9A07-C6CE92A892D8}"/>
    <cellStyle name="Normal 2 2 4 7 9" xfId="23330" xr:uid="{7DDB72A9-D38E-4403-BED6-3B8168EA25EF}"/>
    <cellStyle name="Normal 2 2 4 8" xfId="753" xr:uid="{00000000-0005-0000-0000-00009D040000}"/>
    <cellStyle name="Normal 2 2 4 8 10" xfId="12561" xr:uid="{32CA0D4E-5782-4605-83FA-ACC72F4C4BB5}"/>
    <cellStyle name="Normal 2 2 4 8 2" xfId="754" xr:uid="{00000000-0005-0000-0000-00009E040000}"/>
    <cellStyle name="Normal 2 2 4 8 2 2" xfId="2902" xr:uid="{00000000-0005-0000-0000-0000FF030000}"/>
    <cellStyle name="Normal 2 2 4 8 2 2 2" xfId="6088" xr:uid="{81B93BA7-0481-43DF-A36F-5CE48CEFE222}"/>
    <cellStyle name="Normal 2 2 4 8 2 2 2 2" xfId="28698" xr:uid="{92825357-97A2-4968-B35F-509D1BC4CA4A}"/>
    <cellStyle name="Normal 2 2 4 8 2 2 2 3" xfId="26406" xr:uid="{532AA994-CE39-44C3-B884-43433BD34ECF}"/>
    <cellStyle name="Normal 2 2 4 8 2 2 2 4" xfId="15566" xr:uid="{F62F46BC-FB1C-4F80-9C66-FB1016B78BB6}"/>
    <cellStyle name="Normal 2 2 4 8 2 2 3" xfId="8019" xr:uid="{C4477A8C-5ABF-4DE9-8D04-8E42E0273B2E}"/>
    <cellStyle name="Normal 2 2 4 8 2 2 3 2" xfId="27318" xr:uid="{5A2A4D99-7821-4384-B91B-B843AC2D5F05}"/>
    <cellStyle name="Normal 2 2 4 8 2 2 3 3" xfId="18399" xr:uid="{1AC00D83-D570-4BD7-A53C-D34C9487E60D}"/>
    <cellStyle name="Normal 2 2 4 8 2 2 4" xfId="10852" xr:uid="{69F8C10D-76FA-4BF2-806D-375BB6610C29}"/>
    <cellStyle name="Normal 2 2 4 8 2 2 4 2" xfId="21232" xr:uid="{4812ECD6-E7A3-4616-96F3-94220565C236}"/>
    <cellStyle name="Normal 2 2 4 8 2 2 5" xfId="23890" xr:uid="{D0A8F8A3-A91C-43D7-BE81-33053183A953}"/>
    <cellStyle name="Normal 2 2 4 8 2 2 6" xfId="13417" xr:uid="{AE453CB6-F32A-46A0-AF95-91789D4EACC5}"/>
    <cellStyle name="Normal 2 2 4 8 2 3" xfId="5108" xr:uid="{DB813F9E-A43F-4C2F-87C4-F8B6A7E453A0}"/>
    <cellStyle name="Normal 2 2 4 8 2 3 2" xfId="25413" xr:uid="{D93FA058-6584-4C89-85BD-BA2574BF9E41}"/>
    <cellStyle name="Normal 2 2 4 8 2 3 3" xfId="28725" xr:uid="{85FE7ED1-616F-433E-9200-FABB160D4E56}"/>
    <cellStyle name="Normal 2 2 4 8 2 3 4" xfId="14405" xr:uid="{9583504A-261F-452C-B37E-3EC77A52BE3A}"/>
    <cellStyle name="Normal 2 2 4 8 2 4" xfId="6858" xr:uid="{94890C13-01D7-42A6-8830-61704C453C5F}"/>
    <cellStyle name="Normal 2 2 4 8 2 4 2" xfId="27561" xr:uid="{718D7577-4391-44FA-92D4-A012F591A01E}"/>
    <cellStyle name="Normal 2 2 4 8 2 4 3" xfId="27911" xr:uid="{33DDC1B7-9348-4346-B1B0-344D7FE5F0FB}"/>
    <cellStyle name="Normal 2 2 4 8 2 4 4" xfId="17238" xr:uid="{6A192F55-26CB-42A8-BB47-F8AB6CE2A948}"/>
    <cellStyle name="Normal 2 2 4 8 2 5" xfId="9691" xr:uid="{162645F1-BB41-405B-B2CF-FF2F251B15CD}"/>
    <cellStyle name="Normal 2 2 4 8 2 5 2" xfId="29397" xr:uid="{4A2FDDC8-5FE2-4D91-BB6F-DD067E5803D9}"/>
    <cellStyle name="Normal 2 2 4 8 2 5 3" xfId="20071" xr:uid="{CAEC0F4D-14FE-4FD2-BFAD-BCA0517ECD87}"/>
    <cellStyle name="Normal 2 2 4 8 2 6" xfId="24470" xr:uid="{D161FA43-D894-4061-AB2A-055B1184F6CC}"/>
    <cellStyle name="Normal 2 2 4 8 2 7" xfId="12719" xr:uid="{FD9DC352-557C-433E-B437-1B8BFAAF289D}"/>
    <cellStyle name="Normal 2 2 4 8 3" xfId="755" xr:uid="{00000000-0005-0000-0000-00009F040000}"/>
    <cellStyle name="Normal 2 2 4 8 3 2" xfId="5109" xr:uid="{377D69C9-5980-4DCB-B509-CAA57B5EF02B}"/>
    <cellStyle name="Normal 2 2 4 8 3 2 2" xfId="26077" xr:uid="{95AB3D3C-9692-44B1-AF1E-6003C00932B8}"/>
    <cellStyle name="Normal 2 2 4 8 3 2 3" xfId="28146" xr:uid="{AD91A6B3-3953-4D80-A3E5-56B33553AFE7}"/>
    <cellStyle name="Normal 2 2 4 8 3 2 4" xfId="14406" xr:uid="{A64939D6-7287-473F-83B0-154E8AA00CB4}"/>
    <cellStyle name="Normal 2 2 4 8 3 3" xfId="6859" xr:uid="{C5819798-7282-4495-AAAC-B34BD4D1EC1A}"/>
    <cellStyle name="Normal 2 2 4 8 3 3 2" xfId="26200" xr:uid="{F5C1E2EA-1320-42F9-A928-DFA42DC4D993}"/>
    <cellStyle name="Normal 2 2 4 8 3 3 3" xfId="27050" xr:uid="{4CBDBB3E-B16F-4122-95DB-FB0230654273}"/>
    <cellStyle name="Normal 2 2 4 8 3 3 4" xfId="17239" xr:uid="{A9986669-67E2-4138-90B3-6B303C2C7A93}"/>
    <cellStyle name="Normal 2 2 4 8 3 4" xfId="9692" xr:uid="{89BF3469-FD50-4158-B4DE-22359512A4C9}"/>
    <cellStyle name="Normal 2 2 4 8 3 4 2" xfId="29398" xr:uid="{BC80927C-0D6B-4EBF-9C1D-CAF9BC19A970}"/>
    <cellStyle name="Normal 2 2 4 8 3 4 3" xfId="20072" xr:uid="{9A90E804-665D-4ABF-BC26-00F32193523D}"/>
    <cellStyle name="Normal 2 2 4 8 3 5" xfId="22752" xr:uid="{8E5F7FD4-D4A3-4B56-BA6F-D16D7596C1D6}"/>
    <cellStyle name="Normal 2 2 4 8 3 6" xfId="13161" xr:uid="{C96E85DF-4609-4107-9437-3CE665E8D6FB}"/>
    <cellStyle name="Normal 2 2 4 8 4" xfId="2327" xr:uid="{00000000-0005-0000-0000-0000FD030000}"/>
    <cellStyle name="Normal 2 2 4 8 4 2" xfId="7454" xr:uid="{CC01D233-5639-4770-B1B2-D7BEA0CB8A60}"/>
    <cellStyle name="Normal 2 2 4 8 4 2 2" xfId="28659" xr:uid="{9C509E5B-75A2-410B-8ACF-64CE025ECF08}"/>
    <cellStyle name="Normal 2 2 4 8 4 2 3" xfId="17834" xr:uid="{E9D564C4-3480-4820-869A-E019842F16F6}"/>
    <cellStyle name="Normal 2 2 4 8 4 3" xfId="10287" xr:uid="{FFF21E9B-8D36-4EEB-9BA8-897C39CC07D9}"/>
    <cellStyle name="Normal 2 2 4 8 4 3 2" xfId="20667" xr:uid="{3E92D07A-643F-4BF0-B8C9-2F88F38F9764}"/>
    <cellStyle name="Normal 2 2 4 8 4 4" xfId="22847" xr:uid="{CD8555F5-3FF8-4616-ABB3-C682723A45B7}"/>
    <cellStyle name="Normal 2 2 4 8 4 5" xfId="15001" xr:uid="{C3274E2A-2A7D-4E42-AB32-C9AB31EABB58}"/>
    <cellStyle name="Normal 2 2 4 8 5" xfId="3934" xr:uid="{7361772D-B82B-4655-AEBF-51CF7CC244A8}"/>
    <cellStyle name="Normal 2 2 4 8 5 2" xfId="8766" xr:uid="{1B34E587-146B-4D91-9943-0CE61867449D}"/>
    <cellStyle name="Normal 2 2 4 8 5 2 2" xfId="28980" xr:uid="{F700DE6E-3B5A-47B5-946D-75009DB66DEE}"/>
    <cellStyle name="Normal 2 2 4 8 5 2 3" xfId="19146" xr:uid="{6660985C-A164-46AD-9112-35152CED6F8B}"/>
    <cellStyle name="Normal 2 2 4 8 5 3" xfId="11599" xr:uid="{33878D3A-3CD1-4E46-BB49-6C4AF87F9BFA}"/>
    <cellStyle name="Normal 2 2 4 8 5 3 2" xfId="21979" xr:uid="{9B7005BD-4C6A-41F0-922D-4033D90161AE}"/>
    <cellStyle name="Normal 2 2 4 8 5 4" xfId="25698" xr:uid="{6F10DFCA-DA95-48F8-8245-4C0B4D79A6CC}"/>
    <cellStyle name="Normal 2 2 4 8 5 5" xfId="16313" xr:uid="{0648896E-AFE5-4D58-A04A-4BCBF2A07429}"/>
    <cellStyle name="Normal 2 2 4 8 6" xfId="5107" xr:uid="{B3B202DA-A825-4586-87CB-57A17D06604F}"/>
    <cellStyle name="Normal 2 2 4 8 6 2" xfId="27905" xr:uid="{CB558D48-4D54-4F06-9868-10E5E13B013B}"/>
    <cellStyle name="Normal 2 2 4 8 6 3" xfId="26334" xr:uid="{B8ED6CF3-EB6D-405D-8C03-E2FC62683F3B}"/>
    <cellStyle name="Normal 2 2 4 8 6 4" xfId="14404" xr:uid="{B7CF0047-6FBB-45CC-B3F0-FF59C62A227E}"/>
    <cellStyle name="Normal 2 2 4 8 7" xfId="6857" xr:uid="{6365EC70-1142-428C-B033-0EBE2A2CDFDD}"/>
    <cellStyle name="Normal 2 2 4 8 7 2" xfId="28355" xr:uid="{DB6B6716-5184-43BD-BF54-E77FEFAD1D61}"/>
    <cellStyle name="Normal 2 2 4 8 7 3" xfId="17237" xr:uid="{18307660-AD9E-4E68-9AE1-CE1582228D00}"/>
    <cellStyle name="Normal 2 2 4 8 8" xfId="9690" xr:uid="{D35338E7-E3BF-488C-9B96-0E426D4BB067}"/>
    <cellStyle name="Normal 2 2 4 8 8 2" xfId="20070" xr:uid="{E238607D-A999-410C-9B1F-8E45C7B8AB45}"/>
    <cellStyle name="Normal 2 2 4 8 9" xfId="22971" xr:uid="{470A2003-D823-4710-917B-A3E7D9677BC3}"/>
    <cellStyle name="Normal 2 2 4 9" xfId="756" xr:uid="{00000000-0005-0000-0000-0000A0040000}"/>
    <cellStyle name="Normal 2 2 4 9 10" xfId="12554" xr:uid="{E518C3B1-334A-48C5-97B6-33F18364A5D7}"/>
    <cellStyle name="Normal 2 2 4 9 2" xfId="3174" xr:uid="{00000000-0005-0000-0000-000002040000}"/>
    <cellStyle name="Normal 2 2 4 9 2 2" xfId="6232" xr:uid="{F11B47A3-29BA-4007-84ED-4D04D29243FF}"/>
    <cellStyle name="Normal 2 2 4 9 2 2 2" xfId="25471" xr:uid="{66CE10FF-534B-4058-AD42-86FF0E5150F5}"/>
    <cellStyle name="Normal 2 2 4 9 2 2 3" xfId="28553" xr:uid="{DBB1BED7-6F71-4177-A931-711059B9E7E8}"/>
    <cellStyle name="Normal 2 2 4 9 2 2 4" xfId="15801" xr:uid="{D42B7806-2D3F-478B-86CE-37D54FD41BB0}"/>
    <cellStyle name="Normal 2 2 4 9 2 3" xfId="8254" xr:uid="{DC7CC9B1-D11B-4AB3-BA19-2099136C6ABE}"/>
    <cellStyle name="Normal 2 2 4 9 2 3 2" xfId="25896" xr:uid="{0E6D1423-5BA7-497A-8427-0234468C11A4}"/>
    <cellStyle name="Normal 2 2 4 9 2 3 3" xfId="28877" xr:uid="{25103BBB-BA6D-4BC5-BCA9-573FB85F1229}"/>
    <cellStyle name="Normal 2 2 4 9 2 3 4" xfId="18634" xr:uid="{01BB0F42-6E7C-4EA8-843A-4DDBDEBD024A}"/>
    <cellStyle name="Normal 2 2 4 9 2 4" xfId="11087" xr:uid="{F8267ABE-FEC8-4907-861C-0E80C19C9250}"/>
    <cellStyle name="Normal 2 2 4 9 2 4 2" xfId="29477" xr:uid="{BFCF8B5F-2897-4238-9AA0-E4349DC440F1}"/>
    <cellStyle name="Normal 2 2 4 9 2 4 3" xfId="21467" xr:uid="{02DCB4AC-7C5C-4862-B4C6-2137C1902CAA}"/>
    <cellStyle name="Normal 2 2 4 9 2 5" xfId="22657" xr:uid="{297B4BD9-F56E-4583-A2FD-50AFFB11EFA4}"/>
    <cellStyle name="Normal 2 2 4 9 2 6" xfId="13714" xr:uid="{B3BA8438-2044-4664-9A77-ACFEBD73A3F1}"/>
    <cellStyle name="Normal 2 2 4 9 3" xfId="2719" xr:uid="{00000000-0005-0000-0000-000003040000}"/>
    <cellStyle name="Normal 2 2 4 9 3 2" xfId="5937" xr:uid="{DCDB52EA-7D99-46B2-B6AE-5B437DAEB77B}"/>
    <cellStyle name="Normal 2 2 4 9 3 2 2" xfId="28106" xr:uid="{18B84544-6330-406A-9B39-C37BAFA32D7D}"/>
    <cellStyle name="Normal 2 2 4 9 3 2 3" xfId="15390" xr:uid="{CF49331E-440E-4490-90AB-A18BEE1A3F78}"/>
    <cellStyle name="Normal 2 2 4 9 3 3" xfId="7843" xr:uid="{89E2FCC4-2FE5-4D3E-BC74-3FFCADC4B390}"/>
    <cellStyle name="Normal 2 2 4 9 3 3 2" xfId="18223" xr:uid="{0F3B74CA-F6A3-4C5E-9CB6-891631FCF951}"/>
    <cellStyle name="Normal 2 2 4 9 3 4" xfId="10676" xr:uid="{2240138A-8FBC-407C-ACF6-161590020600}"/>
    <cellStyle name="Normal 2 2 4 9 3 4 2" xfId="21056" xr:uid="{8ADC96C3-7F78-4A33-9374-D7B3B595A145}"/>
    <cellStyle name="Normal 2 2 4 9 3 5" xfId="25043" xr:uid="{30CE1CF7-3C44-4686-BDEA-A21661A9C3B7}"/>
    <cellStyle name="Normal 2 2 4 9 3 6" xfId="13148" xr:uid="{D78EDF1A-DC7E-48C9-AD0D-51AF5DA0C825}"/>
    <cellStyle name="Normal 2 2 4 9 4" xfId="2320" xr:uid="{00000000-0005-0000-0000-000001040000}"/>
    <cellStyle name="Normal 2 2 4 9 4 2" xfId="7447" xr:uid="{DD4C7D60-C1DB-4967-8A65-349B90B70183}"/>
    <cellStyle name="Normal 2 2 4 9 4 2 2" xfId="27681" xr:uid="{BF95B59C-2FB6-46F3-A249-F7A7EA766CAD}"/>
    <cellStyle name="Normal 2 2 4 9 4 2 3" xfId="17827" xr:uid="{EA3B48B4-99CB-47C7-BCA9-8CBD23268FE3}"/>
    <cellStyle name="Normal 2 2 4 9 4 3" xfId="10280" xr:uid="{1E96EA61-B737-40BF-BB3A-0DAEBF1F2C4D}"/>
    <cellStyle name="Normal 2 2 4 9 4 3 2" xfId="20660" xr:uid="{A6CD76C1-9D07-48C6-82E7-648741BFD668}"/>
    <cellStyle name="Normal 2 2 4 9 4 4" xfId="24887" xr:uid="{098D1425-3CDB-455F-A7CF-0202B9002F5C}"/>
    <cellStyle name="Normal 2 2 4 9 4 5" xfId="14994" xr:uid="{3FEC1276-0941-4814-BF81-AFC85F833821}"/>
    <cellStyle name="Normal 2 2 4 9 5" xfId="3839" xr:uid="{FFAC9B94-1C5B-429C-930C-E2E585B1E0C7}"/>
    <cellStyle name="Normal 2 2 4 9 5 2" xfId="8672" xr:uid="{56E4464B-8F43-4B7D-8495-D607D67A37A2}"/>
    <cellStyle name="Normal 2 2 4 9 5 2 2" xfId="19052" xr:uid="{80297E9C-B5A8-4096-90AD-E8825B091F10}"/>
    <cellStyle name="Normal 2 2 4 9 5 3" xfId="11505" xr:uid="{0FFD07DC-23BD-4249-B430-4FB1819A4BA3}"/>
    <cellStyle name="Normal 2 2 4 9 5 3 2" xfId="21885" xr:uid="{AC30304B-BE7E-4073-8F56-A5C3B71E510B}"/>
    <cellStyle name="Normal 2 2 4 9 5 4" xfId="28312" xr:uid="{0D037300-E5B8-434B-ADD3-5F09B3B49EBD}"/>
    <cellStyle name="Normal 2 2 4 9 5 5" xfId="16219" xr:uid="{B9BF5F2A-5EBB-44AF-A014-E34A439D5D92}"/>
    <cellStyle name="Normal 2 2 4 9 6" xfId="5110" xr:uid="{CDDD6C3D-CFBD-4AA7-A2A2-9913B4CEFDCC}"/>
    <cellStyle name="Normal 2 2 4 9 6 2" xfId="14407" xr:uid="{DAFBCF16-D0E3-424B-91D9-29AC84747C6C}"/>
    <cellStyle name="Normal 2 2 4 9 7" xfId="6860" xr:uid="{DBB49B0A-FB5F-4C51-80E3-08D7AEFC86E0}"/>
    <cellStyle name="Normal 2 2 4 9 7 2" xfId="17240" xr:uid="{38E01FB3-314A-4711-878B-E8567CF9DD09}"/>
    <cellStyle name="Normal 2 2 4 9 8" xfId="9693" xr:uid="{8F138781-26C2-47FC-828D-1FE9F015B37B}"/>
    <cellStyle name="Normal 2 2 4 9 8 2" xfId="20073" xr:uid="{A056445A-F138-42C2-995F-D975FAEFB282}"/>
    <cellStyle name="Normal 2 2 4 9 9" xfId="24854" xr:uid="{2E7C2F10-E7A5-4885-9DB5-EAF1D3CF4268}"/>
    <cellStyle name="Normal 2 2 5" xfId="757" xr:uid="{00000000-0005-0000-0000-0000A1040000}"/>
    <cellStyle name="Normal 2 2 5 10" xfId="5111" xr:uid="{CCECF284-14D1-41BD-A4F2-B21FA652AD07}"/>
    <cellStyle name="Normal 2 2 5 10 2" xfId="14408" xr:uid="{0D9E3353-2026-42E8-8E37-37AB3D376827}"/>
    <cellStyle name="Normal 2 2 5 11" xfId="6861" xr:uid="{AF9CC1EF-81A4-4414-BD8B-98D593304241}"/>
    <cellStyle name="Normal 2 2 5 11 2" xfId="17241" xr:uid="{50A895FB-7C5C-42AC-A530-6CE0651CEF88}"/>
    <cellStyle name="Normal 2 2 5 12" xfId="9694" xr:uid="{4C9D5DC4-3632-44D9-B759-AD41F0A1DFF4}"/>
    <cellStyle name="Normal 2 2 5 12 2" xfId="20074" xr:uid="{802EA5F1-5903-49D8-A4F3-894B0E83EE8B}"/>
    <cellStyle name="Normal 2 2 5 13" xfId="24581" xr:uid="{3168C4C5-4703-4372-BCB8-F31F4D4EF815}"/>
    <cellStyle name="Normal 2 2 5 14" xfId="12408" xr:uid="{B4FBA886-21B4-43EA-AFA5-F43F1DC89EB6}"/>
    <cellStyle name="Normal 2 2 5 2" xfId="758" xr:uid="{00000000-0005-0000-0000-0000A2040000}"/>
    <cellStyle name="Normal 2 2 5 2 10" xfId="6862" xr:uid="{8733B662-EA52-4ED5-90DB-9D2D09607590}"/>
    <cellStyle name="Normal 2 2 5 2 10 2" xfId="17242" xr:uid="{5EB252E4-C8A2-430F-8E14-70FF295AB9E8}"/>
    <cellStyle name="Normal 2 2 5 2 11" xfId="9695" xr:uid="{D3D6C01F-0E27-4EA5-89EB-B9E46088A3A1}"/>
    <cellStyle name="Normal 2 2 5 2 11 2" xfId="20075" xr:uid="{9066755D-AE40-4F1D-8E8D-D54DC228B706}"/>
    <cellStyle name="Normal 2 2 5 2 12" xfId="23681" xr:uid="{F921DEE3-B3C4-42BD-AD2F-47E9E6C51284}"/>
    <cellStyle name="Normal 2 2 5 2 13" xfId="12468" xr:uid="{7D13A686-8244-45D0-9961-3AED61D5F178}"/>
    <cellStyle name="Normal 2 2 5 2 2" xfId="759" xr:uid="{00000000-0005-0000-0000-0000A3040000}"/>
    <cellStyle name="Normal 2 2 5 2 2 10" xfId="9696" xr:uid="{4FA6C0C9-382C-43F6-9E7D-1507D2860F3A}"/>
    <cellStyle name="Normal 2 2 5 2 2 10 2" xfId="20076" xr:uid="{57A9011A-7790-414D-B768-B14EDCD469F7}"/>
    <cellStyle name="Normal 2 2 5 2 2 11" xfId="25289" xr:uid="{B3D9838B-C878-4BB8-8620-A2485B1D3ADD}"/>
    <cellStyle name="Normal 2 2 5 2 2 12" xfId="12563" xr:uid="{E62547C6-F14F-4E3B-968D-CBDC3AD4582E}"/>
    <cellStyle name="Normal 2 2 5 2 2 2" xfId="2730" xr:uid="{00000000-0005-0000-0000-000007040000}"/>
    <cellStyle name="Normal 2 2 5 2 2 2 2" xfId="3176" xr:uid="{00000000-0005-0000-0000-000008040000}"/>
    <cellStyle name="Normal 2 2 5 2 2 2 2 2" xfId="6234" xr:uid="{6C7EA008-DE5E-4CE5-8503-228F9FA94F3B}"/>
    <cellStyle name="Normal 2 2 5 2 2 2 2 2 2" xfId="26821" xr:uid="{E5236E6A-9039-4FE6-A4C3-ACE9611C49A7}"/>
    <cellStyle name="Normal 2 2 5 2 2 2 2 2 3" xfId="28686" xr:uid="{03302CF9-F315-4B2F-8E5C-4E48AD813A6C}"/>
    <cellStyle name="Normal 2 2 5 2 2 2 2 2 4" xfId="15803" xr:uid="{416905B0-8C34-4EAF-B2EE-83FB9633C06C}"/>
    <cellStyle name="Normal 2 2 5 2 2 2 2 3" xfId="8256" xr:uid="{E73053D0-DAB2-4621-8B69-8DD246C60620}"/>
    <cellStyle name="Normal 2 2 5 2 2 2 2 3 2" xfId="28878" xr:uid="{1ED4BFE3-FE82-4BDE-ACD6-1011F9A362EE}"/>
    <cellStyle name="Normal 2 2 5 2 2 2 2 3 3" xfId="18636" xr:uid="{EAC47606-B6CF-468A-A0B3-0B86DB72B3A4}"/>
    <cellStyle name="Normal 2 2 5 2 2 2 2 4" xfId="11089" xr:uid="{1B5921B0-042E-4BDB-A622-B64673E90D06}"/>
    <cellStyle name="Normal 2 2 5 2 2 2 2 4 2" xfId="21469" xr:uid="{BE9D713F-9234-4834-B38E-9DA48C0B1DD5}"/>
    <cellStyle name="Normal 2 2 5 2 2 2 2 5" xfId="24952" xr:uid="{DE9DE425-78CF-4FC1-AAED-4D4D739717D4}"/>
    <cellStyle name="Normal 2 2 5 2 2 2 2 6" xfId="13716" xr:uid="{473BE161-38AF-432F-8D97-A2AA2458A135}"/>
    <cellStyle name="Normal 2 2 5 2 2 2 3" xfId="4295" xr:uid="{B540126C-CBF3-438D-A163-D41348C34181}"/>
    <cellStyle name="Normal 2 2 5 2 2 2 3 2" xfId="9067" xr:uid="{097A9ECB-B1E7-4CAA-B99E-24633FBBF15E}"/>
    <cellStyle name="Normal 2 2 5 2 2 2 3 2 2" xfId="29110" xr:uid="{0E6D8B8B-E350-4037-A369-8C87D3BF7257}"/>
    <cellStyle name="Normal 2 2 5 2 2 2 3 2 3" xfId="19447" xr:uid="{09BAB93A-CF6E-4525-B161-0966E8B021AD}"/>
    <cellStyle name="Normal 2 2 5 2 2 2 3 3" xfId="11900" xr:uid="{722736AD-AB6E-4426-895F-29E7FBD1BDE2}"/>
    <cellStyle name="Normal 2 2 5 2 2 2 3 3 2" xfId="22280" xr:uid="{FAE00ADA-14AF-4963-8C68-F41B80685E82}"/>
    <cellStyle name="Normal 2 2 5 2 2 2 3 4" xfId="25486" xr:uid="{5EE46B0A-EC95-4442-9320-B0A68B5E9303}"/>
    <cellStyle name="Normal 2 2 5 2 2 2 3 5" xfId="16614" xr:uid="{8B60813B-16E3-44F0-9CE2-C44668E98EF0}"/>
    <cellStyle name="Normal 2 2 5 2 2 2 4" xfId="5948" xr:uid="{C3820229-FF72-433D-A0F7-E522322D9E73}"/>
    <cellStyle name="Normal 2 2 5 2 2 2 4 2" xfId="28214" xr:uid="{5C474A1A-0888-4F3F-9585-5D2B42AC5D88}"/>
    <cellStyle name="Normal 2 2 5 2 2 2 4 3" xfId="15401" xr:uid="{B27D4E90-C4DE-4AD3-905D-D5E865380096}"/>
    <cellStyle name="Normal 2 2 5 2 2 2 5" xfId="7854" xr:uid="{C7407326-E5BA-4D95-A4A5-F6DEF9D6133F}"/>
    <cellStyle name="Normal 2 2 5 2 2 2 5 2" xfId="18234" xr:uid="{C5529907-18E8-41F3-A2C9-7638948473D8}"/>
    <cellStyle name="Normal 2 2 5 2 2 2 6" xfId="10687" xr:uid="{238BFC77-4777-4A6A-9924-44C3C272C76A}"/>
    <cellStyle name="Normal 2 2 5 2 2 2 6 2" xfId="21067" xr:uid="{50CA46B1-4DF1-4410-A5D1-5FB3B1C07921}"/>
    <cellStyle name="Normal 2 2 5 2 2 2 7" xfId="23325" xr:uid="{FF8025E8-9FFF-439A-A830-11468EAB3B7A}"/>
    <cellStyle name="Normal 2 2 5 2 2 2 8" xfId="13164" xr:uid="{07BEF1A2-CBC1-4DD8-9A8D-F344C2B7F648}"/>
    <cellStyle name="Normal 2 2 5 2 2 3" xfId="3177" xr:uid="{00000000-0005-0000-0000-000009040000}"/>
    <cellStyle name="Normal 2 2 5 2 2 3 2" xfId="4464" xr:uid="{4CEFD531-6DC8-4933-A08C-FCC744DA5A7D}"/>
    <cellStyle name="Normal 2 2 5 2 2 3 2 2" xfId="9236" xr:uid="{D26C2B8C-A4B5-4B88-9F76-EDAFB6399D4B}"/>
    <cellStyle name="Normal 2 2 5 2 2 3 2 2 2" xfId="29227" xr:uid="{1699C1AA-992C-41F0-94E6-8A2847D9090B}"/>
    <cellStyle name="Normal 2 2 5 2 2 3 2 2 3" xfId="19616" xr:uid="{7A872625-E9BC-4B6B-A66A-768F15486530}"/>
    <cellStyle name="Normal 2 2 5 2 2 3 2 3" xfId="12069" xr:uid="{5B92F177-2D5A-4909-89B3-1C73C0386018}"/>
    <cellStyle name="Normal 2 2 5 2 2 3 2 3 2" xfId="22449" xr:uid="{B8DD0900-B2FD-4D9F-9C96-16C4454F04D0}"/>
    <cellStyle name="Normal 2 2 5 2 2 3 2 4" xfId="27759" xr:uid="{617BC2D3-3736-402C-A14E-BD8CBD267028}"/>
    <cellStyle name="Normal 2 2 5 2 2 3 2 5" xfId="16783" xr:uid="{730C0D24-B54F-46CD-A538-34245F353A95}"/>
    <cellStyle name="Normal 2 2 5 2 2 3 3" xfId="6235" xr:uid="{4AB8D882-A60E-4EB6-8AB6-7631DB8C0179}"/>
    <cellStyle name="Normal 2 2 5 2 2 3 3 2" xfId="27411" xr:uid="{980A3846-D16D-49B0-9460-EEEF04713EB5}"/>
    <cellStyle name="Normal 2 2 5 2 2 3 3 3" xfId="15804" xr:uid="{53818701-DBE8-4EBA-9F51-9F10AAAA5B50}"/>
    <cellStyle name="Normal 2 2 5 2 2 3 4" xfId="8257" xr:uid="{9FE62E0B-3EB9-4966-B5FF-89E32C42A46D}"/>
    <cellStyle name="Normal 2 2 5 2 2 3 4 2" xfId="18637" xr:uid="{8D0FD7B3-3FF0-4ABC-A03E-32CB9E2E3B29}"/>
    <cellStyle name="Normal 2 2 5 2 2 3 5" xfId="11090" xr:uid="{F5CF5724-7237-41E2-8A18-2E5F0F7CC5A2}"/>
    <cellStyle name="Normal 2 2 5 2 2 3 5 2" xfId="21470" xr:uid="{A6498B79-8411-461D-BCA2-11E829EA01DB}"/>
    <cellStyle name="Normal 2 2 5 2 2 3 6" xfId="25511" xr:uid="{5CE8895A-DF4B-402B-AFFE-D89B3D3DAB51}"/>
    <cellStyle name="Normal 2 2 5 2 2 3 7" xfId="13717" xr:uid="{FD766A7C-592C-47E0-BB04-00C6FFDE6298}"/>
    <cellStyle name="Normal 2 2 5 2 2 4" xfId="3175" xr:uid="{00000000-0005-0000-0000-00000A040000}"/>
    <cellStyle name="Normal 2 2 5 2 2 4 2" xfId="6233" xr:uid="{A7711E8B-4397-4BDF-AD2A-074ECE53391E}"/>
    <cellStyle name="Normal 2 2 5 2 2 4 2 2" xfId="28369" xr:uid="{29D270F5-A310-4F02-BDC3-4B9E04FD2489}"/>
    <cellStyle name="Normal 2 2 5 2 2 4 2 3" xfId="15802" xr:uid="{6E468B09-BEE9-40FD-A309-ADB821F82D1E}"/>
    <cellStyle name="Normal 2 2 5 2 2 4 3" xfId="8255" xr:uid="{251BCB6C-9C74-41F5-9B6B-3F6CAFBD93CF}"/>
    <cellStyle name="Normal 2 2 5 2 2 4 3 2" xfId="18635" xr:uid="{EF5D7492-E9DB-416E-A9DB-13FBFE58DFD6}"/>
    <cellStyle name="Normal 2 2 5 2 2 4 4" xfId="11088" xr:uid="{90EA8961-543F-4FB0-86DB-C3E86DA6626D}"/>
    <cellStyle name="Normal 2 2 5 2 2 4 4 2" xfId="21468" xr:uid="{9C0A8CDF-9C8B-41ED-A24F-4B4944E816AD}"/>
    <cellStyle name="Normal 2 2 5 2 2 4 5" xfId="25022" xr:uid="{4366B986-B845-4B6F-B510-64348E684793}"/>
    <cellStyle name="Normal 2 2 5 2 2 4 6" xfId="13715" xr:uid="{D3A59B73-7E2C-41A9-9415-9871974961BE}"/>
    <cellStyle name="Normal 2 2 5 2 2 5" xfId="2644" xr:uid="{00000000-0005-0000-0000-00000B040000}"/>
    <cellStyle name="Normal 2 2 5 2 2 5 2" xfId="5906" xr:uid="{8CFF2044-928E-480E-AD2D-F6E9AAAC0731}"/>
    <cellStyle name="Normal 2 2 5 2 2 5 2 2" xfId="28421" xr:uid="{1FD9D166-1B25-4F69-A805-625EE389A4BE}"/>
    <cellStyle name="Normal 2 2 5 2 2 5 2 3" xfId="15316" xr:uid="{18A76B74-A7D1-40B9-A7B0-E65FCB9E6200}"/>
    <cellStyle name="Normal 2 2 5 2 2 5 3" xfId="7769" xr:uid="{561B5177-5DB6-4A3B-825E-85C2A34917B5}"/>
    <cellStyle name="Normal 2 2 5 2 2 5 3 2" xfId="18149" xr:uid="{E1FBEE2C-F155-4914-BF20-642C45CD70E3}"/>
    <cellStyle name="Normal 2 2 5 2 2 5 4" xfId="10602" xr:uid="{F233F524-3D64-40B5-8F41-A03DCDCE408F}"/>
    <cellStyle name="Normal 2 2 5 2 2 5 4 2" xfId="20982" xr:uid="{31ACCF3E-F9A7-4066-89C7-55F5DE1A6DB4}"/>
    <cellStyle name="Normal 2 2 5 2 2 5 5" xfId="22783" xr:uid="{33145012-9A5C-4EC4-9195-06EAD766F625}"/>
    <cellStyle name="Normal 2 2 5 2 2 5 6" xfId="13033" xr:uid="{E4C07432-1FF4-4055-8D47-7BD5967CA77A}"/>
    <cellStyle name="Normal 2 2 5 2 2 6" xfId="2329" xr:uid="{00000000-0005-0000-0000-000006040000}"/>
    <cellStyle name="Normal 2 2 5 2 2 6 2" xfId="7456" xr:uid="{1D69DBE1-204C-4ECF-84F8-39E0D5C657C3}"/>
    <cellStyle name="Normal 2 2 5 2 2 6 2 2" xfId="17836" xr:uid="{B10D6174-85EF-4414-BBAB-3803E0FD227F}"/>
    <cellStyle name="Normal 2 2 5 2 2 6 3" xfId="10289" xr:uid="{A108CD46-B7BB-4A78-B200-90B98197F584}"/>
    <cellStyle name="Normal 2 2 5 2 2 6 3 2" xfId="20669" xr:uid="{3F335AC8-F248-40E3-B2E6-D5C7CB22C033}"/>
    <cellStyle name="Normal 2 2 5 2 2 6 4" xfId="24774" xr:uid="{ECEC4359-259E-46B9-9A69-007C76C810F6}"/>
    <cellStyle name="Normal 2 2 5 2 2 6 5" xfId="15003" xr:uid="{D26EB9C9-A5A5-477D-8DE0-CA9F13FAE740}"/>
    <cellStyle name="Normal 2 2 5 2 2 7" xfId="3844" xr:uid="{48B02B64-95AB-4344-A2CD-3FB4916A7BE5}"/>
    <cellStyle name="Normal 2 2 5 2 2 7 2" xfId="8677" xr:uid="{94182FF3-87BC-4970-866E-CF8CF44C640C}"/>
    <cellStyle name="Normal 2 2 5 2 2 7 2 2" xfId="19057" xr:uid="{3447AB07-9FBF-4ACC-9111-10A4D5F70B07}"/>
    <cellStyle name="Normal 2 2 5 2 2 7 3" xfId="11510" xr:uid="{09255C7F-7217-4B9F-835A-88A43471D589}"/>
    <cellStyle name="Normal 2 2 5 2 2 7 3 2" xfId="21890" xr:uid="{86631AE6-C195-44A2-8A24-1D1C23EBD51B}"/>
    <cellStyle name="Normal 2 2 5 2 2 7 4" xfId="16224" xr:uid="{49214307-4659-45B4-9EC9-267B3CE81593}"/>
    <cellStyle name="Normal 2 2 5 2 2 8" xfId="5113" xr:uid="{F208FDEE-D072-4013-8D23-5A573C8E96F9}"/>
    <cellStyle name="Normal 2 2 5 2 2 8 2" xfId="14410" xr:uid="{CE95EE3B-CB93-4FA1-937B-6ADAF05098A8}"/>
    <cellStyle name="Normal 2 2 5 2 2 9" xfId="6863" xr:uid="{7C961A93-00CF-4A06-9F89-0EF6C6954FC2}"/>
    <cellStyle name="Normal 2 2 5 2 2 9 2" xfId="17243" xr:uid="{061F0C92-2E17-4F32-9B76-AEC8DE8D16F6}"/>
    <cellStyle name="Normal 2 2 5 2 3" xfId="760" xr:uid="{00000000-0005-0000-0000-0000A4040000}"/>
    <cellStyle name="Normal 2 2 5 2 3 2" xfId="3178" xr:uid="{00000000-0005-0000-0000-00000D040000}"/>
    <cellStyle name="Normal 2 2 5 2 3 2 2" xfId="6236" xr:uid="{7671342D-DC81-4A3A-9A80-C9C93765E2A0}"/>
    <cellStyle name="Normal 2 2 5 2 3 2 2 2" xfId="28011" xr:uid="{836D8BCC-1643-4830-907A-7862E2C668B2}"/>
    <cellStyle name="Normal 2 2 5 2 3 2 2 3" xfId="26479" xr:uid="{F100F1D5-5B19-4463-88C4-B74EA0143188}"/>
    <cellStyle name="Normal 2 2 5 2 3 2 2 4" xfId="15805" xr:uid="{9A7420C0-E4AA-44DA-ADF1-7DE9403863C6}"/>
    <cellStyle name="Normal 2 2 5 2 3 2 3" xfId="8258" xr:uid="{62D90871-03EE-4C54-BC46-D5729DAE5598}"/>
    <cellStyle name="Normal 2 2 5 2 3 2 3 2" xfId="28879" xr:uid="{4DED0B6B-9FA7-428E-96F0-9B44709F3832}"/>
    <cellStyle name="Normal 2 2 5 2 3 2 3 3" xfId="18638" xr:uid="{8C043991-1422-48FE-8C4B-2DCA36E78D10}"/>
    <cellStyle name="Normal 2 2 5 2 3 2 4" xfId="11091" xr:uid="{7D7E4BE2-BBAA-4F30-B227-2DDFF530C835}"/>
    <cellStyle name="Normal 2 2 5 2 3 2 4 2" xfId="21471" xr:uid="{23A50764-7713-42B7-AEC4-7FBE9A4435EF}"/>
    <cellStyle name="Normal 2 2 5 2 3 2 5" xfId="24220" xr:uid="{E0AD114A-9F8E-40D5-A71A-77D28069D632}"/>
    <cellStyle name="Normal 2 2 5 2 3 2 6" xfId="13718" xr:uid="{E40BF5E5-F5FD-45EC-8EB9-E0C8C8215B51}"/>
    <cellStyle name="Normal 2 2 5 2 3 3" xfId="2729" xr:uid="{00000000-0005-0000-0000-00000E040000}"/>
    <cellStyle name="Normal 2 2 5 2 3 3 2" xfId="5947" xr:uid="{15D59BA5-CC2A-4E70-AD10-18DA53AE4161}"/>
    <cellStyle name="Normal 2 2 5 2 3 3 2 2" xfId="27792" xr:uid="{6C2AB6CC-99C9-4393-8A7D-2EDFD118096E}"/>
    <cellStyle name="Normal 2 2 5 2 3 3 2 3" xfId="15400" xr:uid="{045343DE-B0AD-4CB1-BF9A-5B9964515EE2}"/>
    <cellStyle name="Normal 2 2 5 2 3 3 3" xfId="7853" xr:uid="{772F91EC-9462-49A4-B389-FC5D9799408F}"/>
    <cellStyle name="Normal 2 2 5 2 3 3 3 2" xfId="18233" xr:uid="{0A418F78-E7EF-4788-BE47-6DD79556DB4F}"/>
    <cellStyle name="Normal 2 2 5 2 3 3 4" xfId="10686" xr:uid="{8E7377C0-6698-4826-BE3B-764718F6B425}"/>
    <cellStyle name="Normal 2 2 5 2 3 3 4 2" xfId="21066" xr:uid="{25B5D6BC-7AB1-4973-AC78-A67966B40E4C}"/>
    <cellStyle name="Normal 2 2 5 2 3 3 5" xfId="24652" xr:uid="{B06FAF1E-9418-4804-B577-50DC3162DCA1}"/>
    <cellStyle name="Normal 2 2 5 2 3 3 6" xfId="13163" xr:uid="{83653CA8-1C2D-40A3-92EC-1414155DCA11}"/>
    <cellStyle name="Normal 2 2 5 2 3 4" xfId="4163" xr:uid="{37F35E24-F25E-40F3-842E-05A5F5C821FF}"/>
    <cellStyle name="Normal 2 2 5 2 3 4 2" xfId="8935" xr:uid="{EE852AE6-BD3A-4388-979F-311F52C1B4F2}"/>
    <cellStyle name="Normal 2 2 5 2 3 4 2 2" xfId="29032" xr:uid="{09CF3D11-8BF7-4B74-86F0-175816DB2EB9}"/>
    <cellStyle name="Normal 2 2 5 2 3 4 2 3" xfId="19315" xr:uid="{61E1501E-80F9-43E8-90FB-EA5769F2F1A4}"/>
    <cellStyle name="Normal 2 2 5 2 3 4 3" xfId="11768" xr:uid="{645FA318-7E0B-4F97-B2B1-32A0D8564636}"/>
    <cellStyle name="Normal 2 2 5 2 3 4 3 2" xfId="22148" xr:uid="{01D11F82-CED9-4AE0-B555-D8C20066FC17}"/>
    <cellStyle name="Normal 2 2 5 2 3 4 4" xfId="23468" xr:uid="{0868E0E5-911A-40EB-80C8-8DFA30F6D1FE}"/>
    <cellStyle name="Normal 2 2 5 2 3 4 5" xfId="16482" xr:uid="{F8318EE4-F355-4469-A883-5CB5947B91E9}"/>
    <cellStyle name="Normal 2 2 5 2 3 5" xfId="5114" xr:uid="{0C8D7411-411D-41FE-AAD0-B2ED35D09B1B}"/>
    <cellStyle name="Normal 2 2 5 2 3 5 2" xfId="26314" xr:uid="{96BE5A80-2062-4778-88EA-486BBD1F3EA1}"/>
    <cellStyle name="Normal 2 2 5 2 3 5 3" xfId="14411" xr:uid="{2955E46F-4E4A-4AC8-8F0C-475FE29DF94B}"/>
    <cellStyle name="Normal 2 2 5 2 3 6" xfId="6864" xr:uid="{6BED6A0B-5C0A-47D5-93B7-CD5500CA60D4}"/>
    <cellStyle name="Normal 2 2 5 2 3 6 2" xfId="17244" xr:uid="{7DFF01D4-2C2B-4392-B67C-994F7FA3BE53}"/>
    <cellStyle name="Normal 2 2 5 2 3 7" xfId="9697" xr:uid="{52B0BC81-04F4-4B33-9979-ACDD4B8EB1D7}"/>
    <cellStyle name="Normal 2 2 5 2 3 7 2" xfId="20077" xr:uid="{804EB2CB-F995-411C-A8F4-63A50BC1B1A7}"/>
    <cellStyle name="Normal 2 2 5 2 3 8" xfId="24650" xr:uid="{70536A9A-7AC4-45C8-A6EB-22FA6F4C27D7}"/>
    <cellStyle name="Normal 2 2 5 2 3 9" xfId="12721" xr:uid="{41AC3D4C-B08B-4878-83C5-E040CF37AAA5}"/>
    <cellStyle name="Normal 2 2 5 2 4" xfId="3179" xr:uid="{00000000-0005-0000-0000-00000F040000}"/>
    <cellStyle name="Normal 2 2 5 2 4 2" xfId="4465" xr:uid="{C9E20F56-6F54-4390-8DD2-BD82F443448C}"/>
    <cellStyle name="Normal 2 2 5 2 4 2 2" xfId="9237" xr:uid="{035F2F7C-A2D9-4621-981B-9ED88B058A01}"/>
    <cellStyle name="Normal 2 2 5 2 4 2 2 2" xfId="29228" xr:uid="{107E6348-4C31-4C67-816C-E500DEB082EB}"/>
    <cellStyle name="Normal 2 2 5 2 4 2 2 3" xfId="19617" xr:uid="{5B0EC37C-C6A7-4038-B3E1-16AFA0F7A6D1}"/>
    <cellStyle name="Normal 2 2 5 2 4 2 3" xfId="12070" xr:uid="{AD1B2371-1AA9-485E-A275-3F371D70EB60}"/>
    <cellStyle name="Normal 2 2 5 2 4 2 3 2" xfId="22450" xr:uid="{D7A3B5AF-C478-480D-A941-A413733C6753}"/>
    <cellStyle name="Normal 2 2 5 2 4 2 4" xfId="23710" xr:uid="{DCADD72E-4C18-4FE0-BAF5-2D39FBD7A790}"/>
    <cellStyle name="Normal 2 2 5 2 4 2 5" xfId="16784" xr:uid="{2A9033E2-A0E7-4539-806B-2994D8C6B181}"/>
    <cellStyle name="Normal 2 2 5 2 4 3" xfId="6237" xr:uid="{B330333B-27B6-4FAC-8385-CEABC3B157EE}"/>
    <cellStyle name="Normal 2 2 5 2 4 3 2" xfId="26264" xr:uid="{0A0059EA-94E6-4777-9D1E-1CACCCD0996F}"/>
    <cellStyle name="Normal 2 2 5 2 4 3 3" xfId="15806" xr:uid="{31EC71FE-4301-4F53-9405-74A63B9BAF02}"/>
    <cellStyle name="Normal 2 2 5 2 4 4" xfId="8259" xr:uid="{BBE116D6-323F-4AE9-8026-4AC193136700}"/>
    <cellStyle name="Normal 2 2 5 2 4 4 2" xfId="18639" xr:uid="{466EF179-8029-4E30-A575-2104EAFAAAC3}"/>
    <cellStyle name="Normal 2 2 5 2 4 5" xfId="11092" xr:uid="{7C8729C1-B9B4-4171-A2BC-F29947856249}"/>
    <cellStyle name="Normal 2 2 5 2 4 5 2" xfId="21472" xr:uid="{08C40333-5364-4DF0-A9EC-B7A5FCF83B50}"/>
    <cellStyle name="Normal 2 2 5 2 4 6" xfId="24180" xr:uid="{095A202C-2D37-4AD8-A263-3823CC9E4FDD}"/>
    <cellStyle name="Normal 2 2 5 2 4 7" xfId="13719" xr:uid="{7496F5B8-7BE8-4F30-9C2E-499BF2B6BBA6}"/>
    <cellStyle name="Normal 2 2 5 2 5" xfId="2904" xr:uid="{00000000-0005-0000-0000-000010040000}"/>
    <cellStyle name="Normal 2 2 5 2 5 2" xfId="6090" xr:uid="{B6894EBA-D4F9-4999-BA38-F8BC05D7F206}"/>
    <cellStyle name="Normal 2 2 5 2 5 2 2" xfId="27396" xr:uid="{3A1071B8-28F1-4251-B58F-A26EEB6B85D3}"/>
    <cellStyle name="Normal 2 2 5 2 5 2 3" xfId="28217" xr:uid="{34441506-560F-4171-BBE8-0AAA5D1ECF18}"/>
    <cellStyle name="Normal 2 2 5 2 5 2 4" xfId="15568" xr:uid="{62CA858A-BF27-4401-A068-5C1DD0D56A8C}"/>
    <cellStyle name="Normal 2 2 5 2 5 3" xfId="8021" xr:uid="{ABFF5A1F-AC8A-428A-81E7-F5100C25AC5E}"/>
    <cellStyle name="Normal 2 2 5 2 5 3 2" xfId="28418" xr:uid="{A9A0004C-1657-41FC-B526-0C144352775B}"/>
    <cellStyle name="Normal 2 2 5 2 5 3 3" xfId="18401" xr:uid="{B329EB4B-4CDD-4478-A140-93E6FC79ED9F}"/>
    <cellStyle name="Normal 2 2 5 2 5 4" xfId="10854" xr:uid="{EF41FF9B-619E-4262-9FAF-BFEC7836058A}"/>
    <cellStyle name="Normal 2 2 5 2 5 4 2" xfId="21234" xr:uid="{5C53EB13-881F-4012-AE40-2DA4F90E8A9B}"/>
    <cellStyle name="Normal 2 2 5 2 5 5" xfId="24756" xr:uid="{379ECBB2-C11B-4E05-BDE5-CDA1A61439A1}"/>
    <cellStyle name="Normal 2 2 5 2 5 6" xfId="13419" xr:uid="{985B20EB-C0C9-4665-9390-A6FB4B0DC8AD}"/>
    <cellStyle name="Normal 2 2 5 2 6" xfId="2542" xr:uid="{00000000-0005-0000-0000-000011040000}"/>
    <cellStyle name="Normal 2 2 5 2 6 2" xfId="5814" xr:uid="{699F9465-D080-4D69-B966-84E27401E56F}"/>
    <cellStyle name="Normal 2 2 5 2 6 2 2" xfId="26551" xr:uid="{A901BF6F-3A14-42C0-AAC1-638CB8F0D37D}"/>
    <cellStyle name="Normal 2 2 5 2 6 2 3" xfId="15214" xr:uid="{314BD354-BDB8-4B7F-8791-EBEA355B449C}"/>
    <cellStyle name="Normal 2 2 5 2 6 3" xfId="7667" xr:uid="{4EFCA50F-A57C-4BF0-AACF-DE8B26A93024}"/>
    <cellStyle name="Normal 2 2 5 2 6 3 2" xfId="18047" xr:uid="{5A17AA12-2EF9-4B2D-AEDE-9D23EA99FFFD}"/>
    <cellStyle name="Normal 2 2 5 2 6 4" xfId="10500" xr:uid="{7779AA36-E2BC-4556-BF52-9CC53B73E024}"/>
    <cellStyle name="Normal 2 2 5 2 6 4 2" xfId="20880" xr:uid="{E017C883-8967-459B-8370-4FD549B51FE3}"/>
    <cellStyle name="Normal 2 2 5 2 6 5" xfId="25187" xr:uid="{C016EE01-47B7-412F-983D-3432A44E850B}"/>
    <cellStyle name="Normal 2 2 5 2 6 6" xfId="12930" xr:uid="{0C927CA1-CCF6-4AD3-AA05-0017B7A9ACF8}"/>
    <cellStyle name="Normal 2 2 5 2 7" xfId="2236" xr:uid="{00000000-0005-0000-0000-000005040000}"/>
    <cellStyle name="Normal 2 2 5 2 7 2" xfId="7363" xr:uid="{38332203-CE39-491F-B705-EE061949E435}"/>
    <cellStyle name="Normal 2 2 5 2 7 2 2" xfId="17743" xr:uid="{1625E781-7A70-4D28-BC6A-CAD3F0C52332}"/>
    <cellStyle name="Normal 2 2 5 2 7 3" xfId="10196" xr:uid="{0936674F-D607-490D-81FE-F219362C21AA}"/>
    <cellStyle name="Normal 2 2 5 2 7 3 2" xfId="20576" xr:uid="{F7AA5EC4-439C-43F9-80B1-416D193F93D2}"/>
    <cellStyle name="Normal 2 2 5 2 7 4" xfId="25575" xr:uid="{38EB2627-4D0F-4F55-9A6B-CA08DCC73ED4}"/>
    <cellStyle name="Normal 2 2 5 2 7 5" xfId="14910" xr:uid="{B3842ADD-C684-411A-9B67-0279154E1BE5}"/>
    <cellStyle name="Normal 2 2 5 2 8" xfId="3936" xr:uid="{5A51DEF3-B876-43F1-9829-BEC3A0C9779E}"/>
    <cellStyle name="Normal 2 2 5 2 8 2" xfId="8768" xr:uid="{45BD9648-31E1-435B-988C-7BC0F8E084B5}"/>
    <cellStyle name="Normal 2 2 5 2 8 2 2" xfId="19148" xr:uid="{43117BD3-7E0C-4CD9-B8BC-DAC89571DBE1}"/>
    <cellStyle name="Normal 2 2 5 2 8 3" xfId="11601" xr:uid="{E6F14F03-593A-4EE2-906F-5BC7FCFA8EB3}"/>
    <cellStyle name="Normal 2 2 5 2 8 3 2" xfId="21981" xr:uid="{AB3D4F39-0181-4332-B8AA-C4C721A4CF63}"/>
    <cellStyle name="Normal 2 2 5 2 8 4" xfId="16315" xr:uid="{90F3F3A7-1C62-4CFA-8DCD-1D77B804D306}"/>
    <cellStyle name="Normal 2 2 5 2 9" xfId="5112" xr:uid="{AD536F58-F2F5-4216-976C-1862C83261E7}"/>
    <cellStyle name="Normal 2 2 5 2 9 2" xfId="14409" xr:uid="{B6C4BCC5-2CA8-472F-B677-E81C10B28A1F}"/>
    <cellStyle name="Normal 2 2 5 3" xfId="761" xr:uid="{00000000-0005-0000-0000-0000A5040000}"/>
    <cellStyle name="Normal 2 2 5 3 10" xfId="9698" xr:uid="{7364066B-39EB-4205-8D30-52E2A4F8F68A}"/>
    <cellStyle name="Normal 2 2 5 3 10 2" xfId="20078" xr:uid="{071C8EA1-DF30-4A73-B218-94EED7F49BF3}"/>
    <cellStyle name="Normal 2 2 5 3 11" xfId="23342" xr:uid="{ADC48A0A-5EAD-425A-8A31-6ADDEFD672D0}"/>
    <cellStyle name="Normal 2 2 5 3 12" xfId="12562" xr:uid="{967E07C1-269E-4F03-A799-B5DDA3A1E6FE}"/>
    <cellStyle name="Normal 2 2 5 3 2" xfId="2731" xr:uid="{00000000-0005-0000-0000-000013040000}"/>
    <cellStyle name="Normal 2 2 5 3 2 2" xfId="3181" xr:uid="{00000000-0005-0000-0000-000014040000}"/>
    <cellStyle name="Normal 2 2 5 3 2 2 2" xfId="6239" xr:uid="{DB8B03FE-930A-4F15-84FC-735F30984B5F}"/>
    <cellStyle name="Normal 2 2 5 3 2 2 2 2" xfId="25924" xr:uid="{D3BEF0C3-AD65-4847-AC71-7A84C123640C}"/>
    <cellStyle name="Normal 2 2 5 3 2 2 2 3" xfId="27209" xr:uid="{15CF10F0-03CF-434D-8F32-B2134E64E2A2}"/>
    <cellStyle name="Normal 2 2 5 3 2 2 2 4" xfId="15808" xr:uid="{1A18B310-3CF7-44E8-99CD-46036AB80A47}"/>
    <cellStyle name="Normal 2 2 5 3 2 2 3" xfId="8261" xr:uid="{CD516AE2-16B3-44E9-A956-813B74203E9D}"/>
    <cellStyle name="Normal 2 2 5 3 2 2 3 2" xfId="28880" xr:uid="{8FE66765-C894-4BB7-97AA-31AF476783DC}"/>
    <cellStyle name="Normal 2 2 5 3 2 2 3 3" xfId="18641" xr:uid="{DE88CF14-BADD-4144-8754-66F492327E62}"/>
    <cellStyle name="Normal 2 2 5 3 2 2 4" xfId="11094" xr:uid="{D464F0E7-6051-450A-AB71-818208813C24}"/>
    <cellStyle name="Normal 2 2 5 3 2 2 4 2" xfId="21474" xr:uid="{C1B261EA-B1CD-4C88-B775-A81B9A5510EA}"/>
    <cellStyle name="Normal 2 2 5 3 2 2 5" xfId="22852" xr:uid="{15A51E91-E3F0-4BD5-8969-9FF147681057}"/>
    <cellStyle name="Normal 2 2 5 3 2 2 6" xfId="13721" xr:uid="{18CE4E08-502F-4119-A32A-1ECFF10F038B}"/>
    <cellStyle name="Normal 2 2 5 3 2 3" xfId="4296" xr:uid="{30081D75-D036-4F84-B039-199494EB6D8B}"/>
    <cellStyle name="Normal 2 2 5 3 2 3 2" xfId="9068" xr:uid="{1FBBC496-A930-42B3-B32E-489E9E59193B}"/>
    <cellStyle name="Normal 2 2 5 3 2 3 2 2" xfId="29111" xr:uid="{C42E494C-BB98-46ED-AA07-A34B89EC5FF3}"/>
    <cellStyle name="Normal 2 2 5 3 2 3 2 3" xfId="19448" xr:uid="{CA31F7C8-4F7E-4C79-9C83-E7162B8A083A}"/>
    <cellStyle name="Normal 2 2 5 3 2 3 3" xfId="11901" xr:uid="{37E3D474-187A-4129-8F64-8667AD58FC1A}"/>
    <cellStyle name="Normal 2 2 5 3 2 3 3 2" xfId="22281" xr:uid="{F1B6D957-B0FB-48B1-9B05-3F9D1B3777FB}"/>
    <cellStyle name="Normal 2 2 5 3 2 3 4" xfId="23659" xr:uid="{8A391D46-349F-43B1-904A-35F13F278832}"/>
    <cellStyle name="Normal 2 2 5 3 2 3 5" xfId="16615" xr:uid="{A04AA1EA-07D4-4F15-9369-C5E371E72847}"/>
    <cellStyle name="Normal 2 2 5 3 2 4" xfId="5949" xr:uid="{7E671051-7CA9-4436-B501-677FA828FABA}"/>
    <cellStyle name="Normal 2 2 5 3 2 4 2" xfId="26737" xr:uid="{C8492F1F-2400-4772-9838-13D7264B6017}"/>
    <cellStyle name="Normal 2 2 5 3 2 4 3" xfId="15402" xr:uid="{D5CFDB2D-2905-41F1-94D5-6792A993CDA8}"/>
    <cellStyle name="Normal 2 2 5 3 2 5" xfId="7855" xr:uid="{B9528EED-444F-48CF-BC18-E898022C2355}"/>
    <cellStyle name="Normal 2 2 5 3 2 5 2" xfId="18235" xr:uid="{9F20B949-05E0-47E7-81D1-F51539E959E7}"/>
    <cellStyle name="Normal 2 2 5 3 2 6" xfId="10688" xr:uid="{20C5FB41-F9F2-459E-8B5B-C1772DFD6307}"/>
    <cellStyle name="Normal 2 2 5 3 2 6 2" xfId="21068" xr:uid="{9C5859D7-9238-4A3F-9AAC-FEE4E12811D1}"/>
    <cellStyle name="Normal 2 2 5 3 2 7" xfId="24994" xr:uid="{8804360D-1740-4126-BA92-E232EB43B6B3}"/>
    <cellStyle name="Normal 2 2 5 3 2 8" xfId="13165" xr:uid="{9A60082A-A36E-4BBF-AC03-54C96FDD41FC}"/>
    <cellStyle name="Normal 2 2 5 3 3" xfId="3182" xr:uid="{00000000-0005-0000-0000-000015040000}"/>
    <cellStyle name="Normal 2 2 5 3 3 2" xfId="4466" xr:uid="{48360EDB-E31A-4E4C-9125-017600EDB684}"/>
    <cellStyle name="Normal 2 2 5 3 3 2 2" xfId="9238" xr:uid="{9C0C4736-A865-4F40-88B2-84236B470E38}"/>
    <cellStyle name="Normal 2 2 5 3 3 2 2 2" xfId="29229" xr:uid="{00D117A8-9AB0-4313-8331-9C81385CE407}"/>
    <cellStyle name="Normal 2 2 5 3 3 2 2 3" xfId="19618" xr:uid="{910AD68C-77C9-4230-AF2B-6E7B524EACAF}"/>
    <cellStyle name="Normal 2 2 5 3 3 2 3" xfId="12071" xr:uid="{C4328F12-4599-410E-8A77-D36F4B619AB8}"/>
    <cellStyle name="Normal 2 2 5 3 3 2 3 2" xfId="22451" xr:uid="{5235CF13-B17C-4812-BE0D-878DB742EAEE}"/>
    <cellStyle name="Normal 2 2 5 3 3 2 4" xfId="25639" xr:uid="{E472F8F3-6451-4567-99E5-8E594F17347F}"/>
    <cellStyle name="Normal 2 2 5 3 3 2 5" xfId="16785" xr:uid="{50E1624C-D7AB-499D-8F02-19B458F092E0}"/>
    <cellStyle name="Normal 2 2 5 3 3 3" xfId="6240" xr:uid="{B1E78442-0E9C-48A1-AD39-4A87BFDDEB23}"/>
    <cellStyle name="Normal 2 2 5 3 3 3 2" xfId="26046" xr:uid="{9D62ACC6-3D89-4B37-A4D6-BCB14B26C743}"/>
    <cellStyle name="Normal 2 2 5 3 3 3 3" xfId="15809" xr:uid="{A75462E0-4BF7-40B1-B1EA-6ABB72912050}"/>
    <cellStyle name="Normal 2 2 5 3 3 4" xfId="8262" xr:uid="{D894F6F5-39DF-407E-A6FA-8A59032844B1}"/>
    <cellStyle name="Normal 2 2 5 3 3 4 2" xfId="18642" xr:uid="{E1574776-3B4A-4525-BDF2-D34701C8483C}"/>
    <cellStyle name="Normal 2 2 5 3 3 5" xfId="11095" xr:uid="{A5940AD3-DD33-4FCB-95F3-8114BB2A6E13}"/>
    <cellStyle name="Normal 2 2 5 3 3 5 2" xfId="21475" xr:uid="{71838B3F-DCFB-4A51-B536-617B63F5D4A6}"/>
    <cellStyle name="Normal 2 2 5 3 3 6" xfId="22680" xr:uid="{9FE6C028-320A-4758-9989-784CF0F7E6EE}"/>
    <cellStyle name="Normal 2 2 5 3 3 7" xfId="13722" xr:uid="{56555126-E6DA-43E6-8C14-699C3DF768D7}"/>
    <cellStyle name="Normal 2 2 5 3 4" xfId="3180" xr:uid="{00000000-0005-0000-0000-000016040000}"/>
    <cellStyle name="Normal 2 2 5 3 4 2" xfId="6238" xr:uid="{8B5ABF74-57FE-4540-AA36-409E8F3C9144}"/>
    <cellStyle name="Normal 2 2 5 3 4 2 2" xfId="27414" xr:uid="{6052559B-A1CD-461B-A294-F2CB39611FE1}"/>
    <cellStyle name="Normal 2 2 5 3 4 2 3" xfId="15807" xr:uid="{CC3804E1-D2A0-426F-94A6-CB82AD0BC555}"/>
    <cellStyle name="Normal 2 2 5 3 4 3" xfId="8260" xr:uid="{7842EA77-8563-4802-ABC0-662519A88A62}"/>
    <cellStyle name="Normal 2 2 5 3 4 3 2" xfId="18640" xr:uid="{6F1577AA-AA59-4970-9A36-A04A3D7A9682}"/>
    <cellStyle name="Normal 2 2 5 3 4 4" xfId="11093" xr:uid="{D0D32A41-2D50-46A3-AAB5-2582E55B6B1C}"/>
    <cellStyle name="Normal 2 2 5 3 4 4 2" xfId="21473" xr:uid="{8F4D5BCC-6BC0-46E3-BC18-5168F1C8DC9F}"/>
    <cellStyle name="Normal 2 2 5 3 4 5" xfId="23064" xr:uid="{324B6F1E-E111-4D26-A32C-7A93DD29F9D0}"/>
    <cellStyle name="Normal 2 2 5 3 4 6" xfId="13720" xr:uid="{5FCE5877-5A3E-4E51-9459-FD4AE3BDF133}"/>
    <cellStyle name="Normal 2 2 5 3 5" xfId="2585" xr:uid="{00000000-0005-0000-0000-000017040000}"/>
    <cellStyle name="Normal 2 2 5 3 5 2" xfId="5850" xr:uid="{D68FD721-F74C-48E2-88D7-F5695118B0F5}"/>
    <cellStyle name="Normal 2 2 5 3 5 2 2" xfId="25887" xr:uid="{9FC1A68A-E832-41FF-AA80-E4C7B7827E46}"/>
    <cellStyle name="Normal 2 2 5 3 5 2 3" xfId="15257" xr:uid="{637E43A1-21B7-4C71-9C1D-C3534A45FB3A}"/>
    <cellStyle name="Normal 2 2 5 3 5 3" xfId="7710" xr:uid="{0F5B11BE-E2EF-43C9-AA70-9A4C9F809519}"/>
    <cellStyle name="Normal 2 2 5 3 5 3 2" xfId="18090" xr:uid="{6156AA97-D391-4421-A893-BD8A70C4EAEB}"/>
    <cellStyle name="Normal 2 2 5 3 5 4" xfId="10543" xr:uid="{B8B5B2DE-A2D8-4990-9E77-1E27173B78AD}"/>
    <cellStyle name="Normal 2 2 5 3 5 4 2" xfId="20923" xr:uid="{F98BE8BC-826A-459C-97C2-9A46A0929D43}"/>
    <cellStyle name="Normal 2 2 5 3 5 5" xfId="25339" xr:uid="{0B085AAA-4493-420A-8209-AB304D7B5653}"/>
    <cellStyle name="Normal 2 2 5 3 5 6" xfId="12973" xr:uid="{1990347C-B4F0-405F-9412-D0ADB4536A11}"/>
    <cellStyle name="Normal 2 2 5 3 6" xfId="2328" xr:uid="{00000000-0005-0000-0000-000012040000}"/>
    <cellStyle name="Normal 2 2 5 3 6 2" xfId="7455" xr:uid="{355A4282-D669-44C1-88B9-47C0ABA07E59}"/>
    <cellStyle name="Normal 2 2 5 3 6 2 2" xfId="17835" xr:uid="{5730EDBC-00E3-4467-8ED7-7FE48586581A}"/>
    <cellStyle name="Normal 2 2 5 3 6 3" xfId="10288" xr:uid="{4B95A07D-90D6-49F9-A0DB-986EA1DD1001}"/>
    <cellStyle name="Normal 2 2 5 3 6 3 2" xfId="20668" xr:uid="{D368E7D5-52BA-49BF-B3EF-63151CDA95B8}"/>
    <cellStyle name="Normal 2 2 5 3 6 4" xfId="24179" xr:uid="{0A7E2AAE-7538-4048-AC32-7D9E71F9699C}"/>
    <cellStyle name="Normal 2 2 5 3 6 5" xfId="15002" xr:uid="{C196E802-6982-4FEE-A6DE-C08935646518}"/>
    <cellStyle name="Normal 2 2 5 3 7" xfId="3843" xr:uid="{768E63F6-D0FB-427E-8CB9-301DD97546F9}"/>
    <cellStyle name="Normal 2 2 5 3 7 2" xfId="8676" xr:uid="{167A86E3-850C-4FB7-B244-9DC88C162A53}"/>
    <cellStyle name="Normal 2 2 5 3 7 2 2" xfId="19056" xr:uid="{A67BD2E5-D873-4902-9428-AA80E9E8B7EC}"/>
    <cellStyle name="Normal 2 2 5 3 7 3" xfId="11509" xr:uid="{AEDB1F02-3940-466E-9B01-770FF4DEA4CB}"/>
    <cellStyle name="Normal 2 2 5 3 7 3 2" xfId="21889" xr:uid="{54D42C56-CAB3-4AB6-93D6-A2A2C01B576C}"/>
    <cellStyle name="Normal 2 2 5 3 7 4" xfId="16223" xr:uid="{E1E88A3A-BE1A-4FB9-9BF2-494092A3B254}"/>
    <cellStyle name="Normal 2 2 5 3 8" xfId="5115" xr:uid="{30AF1C54-D2CC-4BBB-8766-0A393ABB8F1E}"/>
    <cellStyle name="Normal 2 2 5 3 8 2" xfId="14412" xr:uid="{92177246-C24D-451E-B088-5CFB429D4F22}"/>
    <cellStyle name="Normal 2 2 5 3 9" xfId="6865" xr:uid="{36AD9A76-892B-4B2F-95EB-E6ED3902772F}"/>
    <cellStyle name="Normal 2 2 5 3 9 2" xfId="17245" xr:uid="{48B43599-86E4-4CC4-A5A6-23AB3A005D75}"/>
    <cellStyle name="Normal 2 2 5 4" xfId="762" xr:uid="{00000000-0005-0000-0000-0000A6040000}"/>
    <cellStyle name="Normal 2 2 5 4 2" xfId="3183" xr:uid="{00000000-0005-0000-0000-000019040000}"/>
    <cellStyle name="Normal 2 2 5 4 2 2" xfId="6241" xr:uid="{1951603C-8860-4B43-9F11-FA631F269DCB}"/>
    <cellStyle name="Normal 2 2 5 4 2 2 2" xfId="24823" xr:uid="{730ECCB9-507B-49DD-9658-F3160CBE68C3}"/>
    <cellStyle name="Normal 2 2 5 4 2 2 3" xfId="27804" xr:uid="{2A7317C0-643E-4B65-9A97-C61A8E4A2474}"/>
    <cellStyle name="Normal 2 2 5 4 2 2 4" xfId="15810" xr:uid="{8C99B084-32E9-4F72-BBAE-3EA79CC8675A}"/>
    <cellStyle name="Normal 2 2 5 4 2 3" xfId="8263" xr:uid="{40F4AC1B-381C-40DE-A5E8-9EB8A2D02592}"/>
    <cellStyle name="Normal 2 2 5 4 2 3 2" xfId="28881" xr:uid="{584F1855-DA4E-4BAA-A86E-1BA7CA7C6D36}"/>
    <cellStyle name="Normal 2 2 5 4 2 3 3" xfId="18643" xr:uid="{EBA367CA-932D-4C99-92B1-278D334A4118}"/>
    <cellStyle name="Normal 2 2 5 4 2 4" xfId="11096" xr:uid="{8E68B3E8-45EE-4C41-A096-EF05DFC2B3E7}"/>
    <cellStyle name="Normal 2 2 5 4 2 4 2" xfId="21476" xr:uid="{FE16556B-F3C3-4906-8FDB-D4F60EC5402C}"/>
    <cellStyle name="Normal 2 2 5 4 2 5" xfId="23818" xr:uid="{3D58558D-803C-48F1-BDF8-9829FCD01334}"/>
    <cellStyle name="Normal 2 2 5 4 2 6" xfId="13723" xr:uid="{8EF7EF2B-CED1-4007-921C-297E3E70F6A4}"/>
    <cellStyle name="Normal 2 2 5 4 3" xfId="2728" xr:uid="{00000000-0005-0000-0000-00001A040000}"/>
    <cellStyle name="Normal 2 2 5 4 3 2" xfId="5946" xr:uid="{194E08B5-DDC3-4709-A771-073277BF9EB7}"/>
    <cellStyle name="Normal 2 2 5 4 3 2 2" xfId="25850" xr:uid="{BFA93C3E-B576-4D4B-8F77-BA345C374600}"/>
    <cellStyle name="Normal 2 2 5 4 3 2 3" xfId="15399" xr:uid="{6419E0F1-5E07-422F-A27A-2F6D3E62703E}"/>
    <cellStyle name="Normal 2 2 5 4 3 3" xfId="7852" xr:uid="{B02F34D0-F82F-4006-BE55-77B22080AA39}"/>
    <cellStyle name="Normal 2 2 5 4 3 3 2" xfId="18232" xr:uid="{AE538EAD-83E0-4905-9C2F-9D9D0B4A8B1A}"/>
    <cellStyle name="Normal 2 2 5 4 3 4" xfId="10685" xr:uid="{151237DE-A10E-4667-B110-49113A11C1F7}"/>
    <cellStyle name="Normal 2 2 5 4 3 4 2" xfId="21065" xr:uid="{A6D2CB03-5FCD-4ED8-A370-172DFFE921C3}"/>
    <cellStyle name="Normal 2 2 5 4 3 5" xfId="24051" xr:uid="{7A09FDC2-7262-4111-8465-3F92D0BCCB11}"/>
    <cellStyle name="Normal 2 2 5 4 3 6" xfId="13162" xr:uid="{0C71C1B2-E423-4854-A243-169C4D025D96}"/>
    <cellStyle name="Normal 2 2 5 4 4" xfId="4162" xr:uid="{77133353-D78F-4905-AB0C-35331A391DAE}"/>
    <cellStyle name="Normal 2 2 5 4 4 2" xfId="8934" xr:uid="{700A96BE-64B7-46B2-B34F-A7D01E8A7D5B}"/>
    <cellStyle name="Normal 2 2 5 4 4 2 2" xfId="29031" xr:uid="{41102D16-4D18-4AA7-AFAE-8D8CD5422523}"/>
    <cellStyle name="Normal 2 2 5 4 4 2 3" xfId="19314" xr:uid="{410448E5-A392-466B-BC94-70B7C721290F}"/>
    <cellStyle name="Normal 2 2 5 4 4 3" xfId="11767" xr:uid="{1BCC2FB2-0DDF-4976-BEC7-654235EAADF4}"/>
    <cellStyle name="Normal 2 2 5 4 4 3 2" xfId="22147" xr:uid="{5E9C6438-4F90-47FB-9C1D-9C1AB1F57212}"/>
    <cellStyle name="Normal 2 2 5 4 4 4" xfId="24296" xr:uid="{40F6B065-C3AD-47BD-A6D9-B439B3223AE3}"/>
    <cellStyle name="Normal 2 2 5 4 4 5" xfId="16481" xr:uid="{E90B7D13-EAC6-403B-9F55-E502846BCB6F}"/>
    <cellStyle name="Normal 2 2 5 4 5" xfId="5116" xr:uid="{AEC81067-9A7A-4124-98E2-43D87D46AE9F}"/>
    <cellStyle name="Normal 2 2 5 4 5 2" xfId="26567" xr:uid="{F238678A-0463-4B49-A10A-95980D151155}"/>
    <cellStyle name="Normal 2 2 5 4 5 3" xfId="14413" xr:uid="{5D2AC5DD-A604-416C-BC6E-4E7C1A4EC5F6}"/>
    <cellStyle name="Normal 2 2 5 4 6" xfId="6866" xr:uid="{886AA42F-5700-42A5-BCEC-FFD1618DB977}"/>
    <cellStyle name="Normal 2 2 5 4 6 2" xfId="17246" xr:uid="{49C11A60-C1B1-49EA-A045-52DF8345965B}"/>
    <cellStyle name="Normal 2 2 5 4 7" xfId="9699" xr:uid="{F319566E-35AB-4788-8D03-EF4C36780B1C}"/>
    <cellStyle name="Normal 2 2 5 4 7 2" xfId="20079" xr:uid="{3C8B4D5D-2598-40AF-9298-2D95E104DC58}"/>
    <cellStyle name="Normal 2 2 5 4 8" xfId="22866" xr:uid="{4B2F798E-48E6-4376-A3B5-403E93C6E944}"/>
    <cellStyle name="Normal 2 2 5 4 9" xfId="12720" xr:uid="{20C2B9F8-FAA2-4D18-BA7C-7E931A4EA708}"/>
    <cellStyle name="Normal 2 2 5 5" xfId="763" xr:uid="{00000000-0005-0000-0000-0000A7040000}"/>
    <cellStyle name="Normal 2 2 5 5 2" xfId="4467" xr:uid="{6EF105C5-F98E-47DB-8906-F1ED9D61A476}"/>
    <cellStyle name="Normal 2 2 5 5 2 2" xfId="9239" xr:uid="{A33EEAB3-632D-4D41-97EE-2557CA7BAEEA}"/>
    <cellStyle name="Normal 2 2 5 5 2 2 2" xfId="29230" xr:uid="{FA08C50A-BDB3-4FD3-988D-B5459F856DE8}"/>
    <cellStyle name="Normal 2 2 5 5 2 2 3" xfId="19619" xr:uid="{8F9AB79D-D5A4-4FA3-B6DB-2A7DC7A269D1}"/>
    <cellStyle name="Normal 2 2 5 5 2 3" xfId="12072" xr:uid="{687B8F02-F39D-4E3D-BD9A-2BE9832D13B2}"/>
    <cellStyle name="Normal 2 2 5 5 2 3 2" xfId="22452" xr:uid="{0AA9CD85-3DD1-4BB8-93C5-465249CD6FE7}"/>
    <cellStyle name="Normal 2 2 5 5 2 4" xfId="25658" xr:uid="{34A26308-FF30-49D3-A190-491D65A62777}"/>
    <cellStyle name="Normal 2 2 5 5 2 5" xfId="16786" xr:uid="{1B7185B3-42A4-4084-B389-8624BE7E45D8}"/>
    <cellStyle name="Normal 2 2 5 5 3" xfId="5117" xr:uid="{5586B6F1-6EB7-4B54-B794-696523042EF4}"/>
    <cellStyle name="Normal 2 2 5 5 3 2" xfId="27007" xr:uid="{69CF3FCA-36C7-46CB-BE6F-FC7C88B21E84}"/>
    <cellStyle name="Normal 2 2 5 5 3 3" xfId="14414" xr:uid="{E15399E6-B3FA-4164-8340-785A6301940F}"/>
    <cellStyle name="Normal 2 2 5 5 4" xfId="6867" xr:uid="{BCBDC9C9-7B71-4675-BD67-499DCD957E6B}"/>
    <cellStyle name="Normal 2 2 5 5 4 2" xfId="17247" xr:uid="{5EB6FF69-AA65-4918-A829-595B3426E334}"/>
    <cellStyle name="Normal 2 2 5 5 5" xfId="9700" xr:uid="{E5DAA30A-0FD0-441C-AD84-E2333F9131EE}"/>
    <cellStyle name="Normal 2 2 5 5 5 2" xfId="20080" xr:uid="{A48991DE-F369-4251-93C9-87B4E86CD9E0}"/>
    <cellStyle name="Normal 2 2 5 5 6" xfId="22922" xr:uid="{69AA6929-94EE-4741-AD22-8466135E8D83}"/>
    <cellStyle name="Normal 2 2 5 5 7" xfId="13724" xr:uid="{33796E81-926B-4F0C-9B80-EEC6EC1A3FF2}"/>
    <cellStyle name="Normal 2 2 5 6" xfId="2903" xr:uid="{00000000-0005-0000-0000-00001C040000}"/>
    <cellStyle name="Normal 2 2 5 6 2" xfId="6089" xr:uid="{5EBF24F2-A5F7-415E-8EC7-4EF7815E1FF6}"/>
    <cellStyle name="Normal 2 2 5 6 2 2" xfId="23893" xr:uid="{47724E20-B1D8-4FF8-9A44-2977CC2ED5ED}"/>
    <cellStyle name="Normal 2 2 5 6 2 3" xfId="27546" xr:uid="{936ED42E-6F05-4888-ADC8-F1C177BD493A}"/>
    <cellStyle name="Normal 2 2 5 6 2 4" xfId="15567" xr:uid="{62DEA000-66AC-4EB3-B753-EA729D248FB4}"/>
    <cellStyle name="Normal 2 2 5 6 3" xfId="8020" xr:uid="{E7E24CD5-241B-43B1-9373-D1BEA0AD1624}"/>
    <cellStyle name="Normal 2 2 5 6 3 2" xfId="26164" xr:uid="{4039BB8E-FF83-4E7A-85E1-B650C0CDDBCB}"/>
    <cellStyle name="Normal 2 2 5 6 3 3" xfId="18400" xr:uid="{6B3710D7-32C9-4D74-8EFD-A1B74B09B9DC}"/>
    <cellStyle name="Normal 2 2 5 6 4" xfId="10853" xr:uid="{3C5902C3-3749-417F-A46F-5727D6DE332E}"/>
    <cellStyle name="Normal 2 2 5 6 4 2" xfId="21233" xr:uid="{14C21B63-49BB-49D3-BD82-B5814AAFD628}"/>
    <cellStyle name="Normal 2 2 5 6 5" xfId="23125" xr:uid="{34687A96-B813-4212-AD0D-48688AADA035}"/>
    <cellStyle name="Normal 2 2 5 6 6" xfId="13418" xr:uid="{2753E1A2-47B8-40BE-98AF-F0541F5C54CA}"/>
    <cellStyle name="Normal 2 2 5 7" xfId="2482" xr:uid="{00000000-0005-0000-0000-00001D040000}"/>
    <cellStyle name="Normal 2 2 5 7 2" xfId="5768" xr:uid="{4A390432-8884-423E-B9B8-DF3CF691D005}"/>
    <cellStyle name="Normal 2 2 5 7 2 2" xfId="28051" xr:uid="{17E6F790-6F59-4460-BF00-3CC8B8C84973}"/>
    <cellStyle name="Normal 2 2 5 7 2 3" xfId="15154" xr:uid="{745D3E67-3388-4477-A046-426F2E8DC4A5}"/>
    <cellStyle name="Normal 2 2 5 7 3" xfId="7607" xr:uid="{0DE4E01E-561D-41AE-8E2F-82443E2BA269}"/>
    <cellStyle name="Normal 2 2 5 7 3 2" xfId="17987" xr:uid="{CD67BFA3-8443-427E-A786-7416E437B4C1}"/>
    <cellStyle name="Normal 2 2 5 7 4" xfId="10440" xr:uid="{2A472E99-D46F-4FEF-BCB4-06BC1102DFB8}"/>
    <cellStyle name="Normal 2 2 5 7 4 2" xfId="20820" xr:uid="{84EF04DB-5612-47F1-8449-AB9707B7515D}"/>
    <cellStyle name="Normal 2 2 5 7 5" xfId="24298" xr:uid="{58332B38-93AE-40A3-800E-DF25E10ADFE2}"/>
    <cellStyle name="Normal 2 2 5 7 6" xfId="12870" xr:uid="{B252D23F-8BE9-4572-AC13-4923320155E8}"/>
    <cellStyle name="Normal 2 2 5 8" xfId="2176" xr:uid="{00000000-0005-0000-0000-000004040000}"/>
    <cellStyle name="Normal 2 2 5 8 2" xfId="7303" xr:uid="{E95D3F49-3715-4CC7-A760-1E140DD01628}"/>
    <cellStyle name="Normal 2 2 5 8 2 2" xfId="17683" xr:uid="{3DCD14CB-512D-4F5B-AB36-25B9A2B1A262}"/>
    <cellStyle name="Normal 2 2 5 8 3" xfId="10136" xr:uid="{34BE5327-55F5-41C8-A25C-E16241875A20}"/>
    <cellStyle name="Normal 2 2 5 8 3 2" xfId="20516" xr:uid="{D18D9AEB-696E-40E6-8BB4-B1F1C23B2141}"/>
    <cellStyle name="Normal 2 2 5 8 4" xfId="24766" xr:uid="{DA8323EF-60AF-49BB-88C6-1245D70DB90C}"/>
    <cellStyle name="Normal 2 2 5 8 5" xfId="14850" xr:uid="{C731C4D0-E9A2-419F-AD92-A0D07C4414C0}"/>
    <cellStyle name="Normal 2 2 5 9" xfId="3935" xr:uid="{0CB43D55-C908-4083-90A9-FF89559DAF34}"/>
    <cellStyle name="Normal 2 2 5 9 2" xfId="8767" xr:uid="{9F9FAC5D-37F6-40AA-9967-869F0D927DD2}"/>
    <cellStyle name="Normal 2 2 5 9 2 2" xfId="19147" xr:uid="{5514B669-E767-4499-AE3E-0C65A0D899B3}"/>
    <cellStyle name="Normal 2 2 5 9 3" xfId="11600" xr:uid="{011153CF-D809-4F59-B9C6-B301772D3432}"/>
    <cellStyle name="Normal 2 2 5 9 3 2" xfId="21980" xr:uid="{9D4DC90F-B09C-4CAA-B5EF-B0F3321B0EB2}"/>
    <cellStyle name="Normal 2 2 5 9 4" xfId="16314" xr:uid="{88DA3762-90A6-4CF1-B16D-09030B2DDF34}"/>
    <cellStyle name="Normal 2 2 6" xfId="764" xr:uid="{00000000-0005-0000-0000-0000A8040000}"/>
    <cellStyle name="Normal 2 2 6 10" xfId="5118" xr:uid="{963C3611-457B-4569-9F08-D8E8B6B58342}"/>
    <cellStyle name="Normal 2 2 6 10 2" xfId="14415" xr:uid="{A46C3E5A-5793-40F1-80F7-CEA82D001334}"/>
    <cellStyle name="Normal 2 2 6 11" xfId="6868" xr:uid="{5FEA02F8-0573-4DF3-B8C8-ECF91A657C05}"/>
    <cellStyle name="Normal 2 2 6 11 2" xfId="17248" xr:uid="{D37E6582-3CA9-4B8C-94C3-9E8894BC760E}"/>
    <cellStyle name="Normal 2 2 6 12" xfId="9701" xr:uid="{19674DD6-4C3E-4791-A002-9C3FE93F77E3}"/>
    <cellStyle name="Normal 2 2 6 12 2" xfId="20081" xr:uid="{6958F3CF-F388-4709-895B-4FB571CA5106}"/>
    <cellStyle name="Normal 2 2 6 13" xfId="25253" xr:uid="{D795BB32-094F-4C86-BC01-958FFB9C5DA9}"/>
    <cellStyle name="Normal 2 2 6 14" xfId="12414" xr:uid="{44E83FAC-7AE5-4706-93FB-4C37F2A24648}"/>
    <cellStyle name="Normal 2 2 6 2" xfId="765" xr:uid="{00000000-0005-0000-0000-0000A9040000}"/>
    <cellStyle name="Normal 2 2 6 2 10" xfId="6869" xr:uid="{3D25EB71-E123-4DA6-8867-E93C8C63A2E3}"/>
    <cellStyle name="Normal 2 2 6 2 10 2" xfId="17249" xr:uid="{E1E7A34D-89B4-4BAB-B149-E73C0ADA2435}"/>
    <cellStyle name="Normal 2 2 6 2 11" xfId="9702" xr:uid="{E4D72A88-F242-45A2-AF03-6E6DE242E170}"/>
    <cellStyle name="Normal 2 2 6 2 11 2" xfId="20082" xr:uid="{51D6941F-2BF5-47B5-BBA8-EE83DA7B171E}"/>
    <cellStyle name="Normal 2 2 6 2 12" xfId="23918" xr:uid="{A8E6C921-55CD-4646-A6F9-922F714D4063}"/>
    <cellStyle name="Normal 2 2 6 2 13" xfId="12474" xr:uid="{9151C67F-479C-4177-953B-C2BE45EDB23B}"/>
    <cellStyle name="Normal 2 2 6 2 2" xfId="766" xr:uid="{00000000-0005-0000-0000-0000AA040000}"/>
    <cellStyle name="Normal 2 2 6 2 2 10" xfId="13039" xr:uid="{C6C09AA8-2003-487A-87BA-B7B0FAA2F8B5}"/>
    <cellStyle name="Normal 2 2 6 2 2 2" xfId="2734" xr:uid="{00000000-0005-0000-0000-000021040000}"/>
    <cellStyle name="Normal 2 2 6 2 2 2 2" xfId="3186" xr:uid="{00000000-0005-0000-0000-000022040000}"/>
    <cellStyle name="Normal 2 2 6 2 2 2 2 2" xfId="6244" xr:uid="{AD0C4932-6D7D-45FF-85DF-AAE8C9EA23D8}"/>
    <cellStyle name="Normal 2 2 6 2 2 2 2 2 2" xfId="27150" xr:uid="{50074F00-B7A6-44B7-B7EE-7797041DF54E}"/>
    <cellStyle name="Normal 2 2 6 2 2 2 2 2 3" xfId="15813" xr:uid="{21D05B74-0F66-4913-B9C8-FE2ACC83066F}"/>
    <cellStyle name="Normal 2 2 6 2 2 2 2 3" xfId="8266" xr:uid="{EC5842AE-3220-4106-A5C5-E92115EC7152}"/>
    <cellStyle name="Normal 2 2 6 2 2 2 2 3 2" xfId="18646" xr:uid="{9B71C1FF-CEE3-46D2-9EC3-B4FC49711316}"/>
    <cellStyle name="Normal 2 2 6 2 2 2 2 4" xfId="11099" xr:uid="{FD0D516E-94FA-4926-BBCE-687265CCF63B}"/>
    <cellStyle name="Normal 2 2 6 2 2 2 2 4 2" xfId="21479" xr:uid="{58EA81BF-3C1A-4F49-A09F-A50F221FC2AA}"/>
    <cellStyle name="Normal 2 2 6 2 2 2 2 5" xfId="24992" xr:uid="{4D3465FE-A1E3-41C6-AF78-D9DD9050CBDE}"/>
    <cellStyle name="Normal 2 2 6 2 2 2 2 6" xfId="13727" xr:uid="{6054E1E5-3A1C-41B9-9D4F-531A4D34C959}"/>
    <cellStyle name="Normal 2 2 6 2 2 2 3" xfId="4298" xr:uid="{70482B53-70A1-4B5D-99B7-DD017FD52066}"/>
    <cellStyle name="Normal 2 2 6 2 2 2 3 2" xfId="9070" xr:uid="{E39B3821-DC4A-4CD8-BA22-FE8CF90F1E9B}"/>
    <cellStyle name="Normal 2 2 6 2 2 2 3 2 2" xfId="29113" xr:uid="{B630E78A-E8CD-4621-92F0-AFAA140F60BC}"/>
    <cellStyle name="Normal 2 2 6 2 2 2 3 2 3" xfId="19450" xr:uid="{49C90A69-C5F7-42DA-8D66-FC010CF0F29A}"/>
    <cellStyle name="Normal 2 2 6 2 2 2 3 3" xfId="11903" xr:uid="{FC8C8A4E-DEB0-47FC-A467-D5BB486E720F}"/>
    <cellStyle name="Normal 2 2 6 2 2 2 3 3 2" xfId="22283" xr:uid="{BF976083-E227-4568-B232-D920E2A986BA}"/>
    <cellStyle name="Normal 2 2 6 2 2 2 3 4" xfId="23770" xr:uid="{5E91C338-38B0-4726-BB70-68BE97A3DB18}"/>
    <cellStyle name="Normal 2 2 6 2 2 2 3 5" xfId="16617" xr:uid="{C6E80A27-4F98-4B01-92FF-ECD8A3A9D98D}"/>
    <cellStyle name="Normal 2 2 6 2 2 2 4" xfId="5952" xr:uid="{3052317B-4ACE-4D92-9E73-CC7F606D84E5}"/>
    <cellStyle name="Normal 2 2 6 2 2 2 4 2" xfId="27965" xr:uid="{D293BB91-55CD-455D-84B2-910305AD7982}"/>
    <cellStyle name="Normal 2 2 6 2 2 2 4 3" xfId="15405" xr:uid="{357E2879-E375-48F2-B18C-786A8BE0AC87}"/>
    <cellStyle name="Normal 2 2 6 2 2 2 5" xfId="7858" xr:uid="{75ADF92F-1C62-4755-B9F4-BA8CED2C6F9A}"/>
    <cellStyle name="Normal 2 2 6 2 2 2 5 2" xfId="18238" xr:uid="{560DB7D1-9160-404C-A82B-C71C75325B94}"/>
    <cellStyle name="Normal 2 2 6 2 2 2 6" xfId="10691" xr:uid="{3BF80FF2-EE14-4358-9740-D031390778AD}"/>
    <cellStyle name="Normal 2 2 6 2 2 2 6 2" xfId="21071" xr:uid="{CC051CC2-70E2-41D5-8D15-E09A1984C4CE}"/>
    <cellStyle name="Normal 2 2 6 2 2 2 7" xfId="23229" xr:uid="{A3F8BC61-0040-46E9-9D9A-71B8E0B6FC3E}"/>
    <cellStyle name="Normal 2 2 6 2 2 2 8" xfId="13168" xr:uid="{36D1DFF4-3C3E-45FF-A1FB-B26D221FADE5}"/>
    <cellStyle name="Normal 2 2 6 2 2 3" xfId="3187" xr:uid="{00000000-0005-0000-0000-000023040000}"/>
    <cellStyle name="Normal 2 2 6 2 2 3 2" xfId="4468" xr:uid="{9F706EB4-3E25-430F-B16D-860B5C446E2D}"/>
    <cellStyle name="Normal 2 2 6 2 2 3 2 2" xfId="9240" xr:uid="{626BCD8E-F62B-431A-92C2-B3036586811D}"/>
    <cellStyle name="Normal 2 2 6 2 2 3 2 2 2" xfId="19620" xr:uid="{4440CC75-0F12-4B17-A8B4-2E4262CF94A2}"/>
    <cellStyle name="Normal 2 2 6 2 2 3 2 3" xfId="12073" xr:uid="{6976AB79-28D1-4313-9D9D-EE3228E88690}"/>
    <cellStyle name="Normal 2 2 6 2 2 3 2 3 2" xfId="22453" xr:uid="{AFF673AF-9A91-475F-A847-FDD2B73391C5}"/>
    <cellStyle name="Normal 2 2 6 2 2 3 2 4" xfId="28388" xr:uid="{34CCB7B2-EF32-494A-A790-0975D246D964}"/>
    <cellStyle name="Normal 2 2 6 2 2 3 2 5" xfId="16787" xr:uid="{06D884E1-120A-4C5C-99F1-B742502A02A6}"/>
    <cellStyle name="Normal 2 2 6 2 2 3 3" xfId="6245" xr:uid="{588A55D6-FA85-40D2-BD6B-4D546EA36041}"/>
    <cellStyle name="Normal 2 2 6 2 2 3 3 2" xfId="15814" xr:uid="{DFA3218D-5260-4ABA-8FB3-9E54709A2A73}"/>
    <cellStyle name="Normal 2 2 6 2 2 3 4" xfId="8267" xr:uid="{7B04C46E-C949-4AAC-8114-16C9A0D5B1C2}"/>
    <cellStyle name="Normal 2 2 6 2 2 3 4 2" xfId="18647" xr:uid="{2BEABE8C-5B00-44AF-BC19-87A336C6C6F7}"/>
    <cellStyle name="Normal 2 2 6 2 2 3 5" xfId="11100" xr:uid="{634EC4EC-2AB5-4E9C-AFA6-557EAA7DB02E}"/>
    <cellStyle name="Normal 2 2 6 2 2 3 5 2" xfId="21480" xr:uid="{0F266ECA-43DD-4F95-BF92-0A9529C912E7}"/>
    <cellStyle name="Normal 2 2 6 2 2 3 6" xfId="24170" xr:uid="{F9F51225-FAF4-4573-9B50-F709384D7D8A}"/>
    <cellStyle name="Normal 2 2 6 2 2 3 7" xfId="13728" xr:uid="{77C1E2BD-82DE-453E-821D-CF20ABE192B7}"/>
    <cellStyle name="Normal 2 2 6 2 2 4" xfId="3185" xr:uid="{00000000-0005-0000-0000-000024040000}"/>
    <cellStyle name="Normal 2 2 6 2 2 4 2" xfId="6243" xr:uid="{2A8E5E90-9539-4B84-AD45-32A9701D3B66}"/>
    <cellStyle name="Normal 2 2 6 2 2 4 2 2" xfId="27301" xr:uid="{C9885A2D-4594-47B4-813F-010CB33AF84D}"/>
    <cellStyle name="Normal 2 2 6 2 2 4 2 3" xfId="15812" xr:uid="{CAFF16BF-785D-47CA-A25D-D4873D53C3D1}"/>
    <cellStyle name="Normal 2 2 6 2 2 4 3" xfId="8265" xr:uid="{CB5E47CD-F8C8-4093-B0AB-98AAE247F142}"/>
    <cellStyle name="Normal 2 2 6 2 2 4 3 2" xfId="18645" xr:uid="{D5E581C6-8383-438A-88CD-98AA4648A428}"/>
    <cellStyle name="Normal 2 2 6 2 2 4 4" xfId="11098" xr:uid="{04BE5186-75EA-4DD8-9595-CCB6BBA4325B}"/>
    <cellStyle name="Normal 2 2 6 2 2 4 4 2" xfId="21478" xr:uid="{1EDBFEEC-CF17-428D-A193-EEFD8FDBF989}"/>
    <cellStyle name="Normal 2 2 6 2 2 4 5" xfId="22656" xr:uid="{89EEE988-C7B4-44E2-B02C-0B26E4142BCE}"/>
    <cellStyle name="Normal 2 2 6 2 2 4 6" xfId="13726" xr:uid="{E33E1944-7C5B-43EA-A3F5-149F469C4A34}"/>
    <cellStyle name="Normal 2 2 6 2 2 5" xfId="4240" xr:uid="{C987F1B0-2E5B-42A7-A1CE-2CCB722445F0}"/>
    <cellStyle name="Normal 2 2 6 2 2 5 2" xfId="9012" xr:uid="{F1558F9D-14DE-4FD8-9F11-E719FFE7CEC9}"/>
    <cellStyle name="Normal 2 2 6 2 2 5 2 2" xfId="29083" xr:uid="{901F85F1-8FE2-4259-8CF1-6486B2548664}"/>
    <cellStyle name="Normal 2 2 6 2 2 5 2 3" xfId="19392" xr:uid="{1A6E6247-957C-4A52-9D3D-5ECE6DF29868}"/>
    <cellStyle name="Normal 2 2 6 2 2 5 3" xfId="11845" xr:uid="{24DB62B2-CCAF-42DD-A7C3-53BFACCEA2A6}"/>
    <cellStyle name="Normal 2 2 6 2 2 5 3 2" xfId="22225" xr:uid="{CFE1E20C-CAF7-4F2B-8993-86C72C759AE2}"/>
    <cellStyle name="Normal 2 2 6 2 2 5 4" xfId="22968" xr:uid="{F402148D-9F30-4898-9769-13A6AF983969}"/>
    <cellStyle name="Normal 2 2 6 2 2 5 5" xfId="16559" xr:uid="{9069D65B-E891-473A-93CF-206B85BD6F29}"/>
    <cellStyle name="Normal 2 2 6 2 2 6" xfId="5120" xr:uid="{2AB213AF-C036-44A2-AD92-ABE31F4DA537}"/>
    <cellStyle name="Normal 2 2 6 2 2 6 2" xfId="28674" xr:uid="{CA60F94B-B0F4-4238-BC1D-2BAB1101304D}"/>
    <cellStyle name="Normal 2 2 6 2 2 6 3" xfId="14417" xr:uid="{38FFA62B-DF00-4F78-B291-AF7FDEA7AFA5}"/>
    <cellStyle name="Normal 2 2 6 2 2 7" xfId="6870" xr:uid="{A845BEFA-03CC-4BB1-9EEF-DA2A2589E9AF}"/>
    <cellStyle name="Normal 2 2 6 2 2 7 2" xfId="17250" xr:uid="{82EB7736-7837-4160-8848-C257F564622C}"/>
    <cellStyle name="Normal 2 2 6 2 2 8" xfId="9703" xr:uid="{0139A402-3057-4F0C-A432-25E4414F7185}"/>
    <cellStyle name="Normal 2 2 6 2 2 8 2" xfId="20083" xr:uid="{499B1975-E5B7-4FFE-921C-B0F6B80AAF86}"/>
    <cellStyle name="Normal 2 2 6 2 2 9" xfId="23061" xr:uid="{00BA739F-A1B6-45AE-B77E-887C9215CE59}"/>
    <cellStyle name="Normal 2 2 6 2 3" xfId="2733" xr:uid="{00000000-0005-0000-0000-000025040000}"/>
    <cellStyle name="Normal 2 2 6 2 3 2" xfId="3188" xr:uid="{00000000-0005-0000-0000-000026040000}"/>
    <cellStyle name="Normal 2 2 6 2 3 2 2" xfId="6246" xr:uid="{6F054504-44BD-42C9-AA22-3BACA7580360}"/>
    <cellStyle name="Normal 2 2 6 2 3 2 2 2" xfId="27044" xr:uid="{B09CE0B7-9764-4C38-A97E-326DCABF4D55}"/>
    <cellStyle name="Normal 2 2 6 2 3 2 2 3" xfId="15815" xr:uid="{8E04F228-6530-4F9F-8C15-F0254E2E4C5B}"/>
    <cellStyle name="Normal 2 2 6 2 3 2 3" xfId="8268" xr:uid="{958EE414-6373-4CF0-BE5F-00C92EC1F8AE}"/>
    <cellStyle name="Normal 2 2 6 2 3 2 3 2" xfId="18648" xr:uid="{2197D954-3104-4564-940C-6D59F2A9951B}"/>
    <cellStyle name="Normal 2 2 6 2 3 2 4" xfId="11101" xr:uid="{2D6C8B97-62B4-4DA8-B626-48719476F097}"/>
    <cellStyle name="Normal 2 2 6 2 3 2 4 2" xfId="21481" xr:uid="{0F40F97C-771B-4BE9-B3DA-F94A78A64F4D}"/>
    <cellStyle name="Normal 2 2 6 2 3 2 5" xfId="24073" xr:uid="{2ADE2F64-E9FA-4AC1-A03B-726B30D3571D}"/>
    <cellStyle name="Normal 2 2 6 2 3 2 6" xfId="13729" xr:uid="{42E91BD0-98A8-4495-8410-CE6A9CCE515B}"/>
    <cellStyle name="Normal 2 2 6 2 3 3" xfId="4297" xr:uid="{971A6F7A-AFB2-436A-B1B4-F113D718A7CF}"/>
    <cellStyle name="Normal 2 2 6 2 3 3 2" xfId="9069" xr:uid="{664D73D2-B22A-4951-A932-61284E659329}"/>
    <cellStyle name="Normal 2 2 6 2 3 3 2 2" xfId="29112" xr:uid="{2EC97DC1-4E87-49EB-BA04-9DA8D87362C3}"/>
    <cellStyle name="Normal 2 2 6 2 3 3 2 3" xfId="19449" xr:uid="{F62BBE02-DD83-406E-8C47-EB15CFE84F51}"/>
    <cellStyle name="Normal 2 2 6 2 3 3 3" xfId="11902" xr:uid="{B4FD6724-96A8-4636-A3CF-3C2DB3575377}"/>
    <cellStyle name="Normal 2 2 6 2 3 3 3 2" xfId="22282" xr:uid="{C9F376C1-F2A5-4B82-B967-60AB0472EEBC}"/>
    <cellStyle name="Normal 2 2 6 2 3 3 4" xfId="25397" xr:uid="{C156F1EE-186D-4F4C-B11D-8B8C506CE98A}"/>
    <cellStyle name="Normal 2 2 6 2 3 3 5" xfId="16616" xr:uid="{0F5FF7D2-38FE-4AB6-A99B-644E84413363}"/>
    <cellStyle name="Normal 2 2 6 2 3 4" xfId="5951" xr:uid="{AC2A7418-B225-47BA-A828-664C24550EAE}"/>
    <cellStyle name="Normal 2 2 6 2 3 4 2" xfId="28502" xr:uid="{B7A50A0D-E2FE-433F-B8D8-BFA030882AE8}"/>
    <cellStyle name="Normal 2 2 6 2 3 4 3" xfId="15404" xr:uid="{715501F0-E530-4AC1-94F3-5862C988D81A}"/>
    <cellStyle name="Normal 2 2 6 2 3 5" xfId="7857" xr:uid="{B7136852-1C74-4FB9-9486-4B100A271B7C}"/>
    <cellStyle name="Normal 2 2 6 2 3 5 2" xfId="18237" xr:uid="{BCC193CB-6993-412F-8996-9DE28E9B55B3}"/>
    <cellStyle name="Normal 2 2 6 2 3 6" xfId="10690" xr:uid="{E319272E-D7B6-47E6-9583-74C368EB9E3C}"/>
    <cellStyle name="Normal 2 2 6 2 3 6 2" xfId="21070" xr:uid="{60857185-132A-4FC6-BB37-40FA88651047}"/>
    <cellStyle name="Normal 2 2 6 2 3 7" xfId="24194" xr:uid="{10413727-889B-4E73-82C4-8EF0C680A434}"/>
    <cellStyle name="Normal 2 2 6 2 3 8" xfId="13167" xr:uid="{AD3103CD-2764-44EF-A605-330EB883A61C}"/>
    <cellStyle name="Normal 2 2 6 2 4" xfId="3189" xr:uid="{00000000-0005-0000-0000-000027040000}"/>
    <cellStyle name="Normal 2 2 6 2 4 2" xfId="4469" xr:uid="{0FE318DA-088C-485A-9A1B-148B7C2FE78A}"/>
    <cellStyle name="Normal 2 2 6 2 4 2 2" xfId="9241" xr:uid="{1048AA4A-927C-4161-B8BB-3B6E9A954A52}"/>
    <cellStyle name="Normal 2 2 6 2 4 2 2 2" xfId="19621" xr:uid="{B32F671F-47F0-485A-AD34-1D9C1F20B811}"/>
    <cellStyle name="Normal 2 2 6 2 4 2 3" xfId="12074" xr:uid="{3D4A563A-E48D-426B-B3CF-A2C49C71920E}"/>
    <cellStyle name="Normal 2 2 6 2 4 2 3 2" xfId="22454" xr:uid="{FACF2DD8-440B-42CC-8206-6CB96D9402EF}"/>
    <cellStyle name="Normal 2 2 6 2 4 2 4" xfId="26099" xr:uid="{12BA8A78-EF3A-4DDE-A8F1-C8052A647E4C}"/>
    <cellStyle name="Normal 2 2 6 2 4 2 5" xfId="16788" xr:uid="{0D39DC32-5A39-4618-97E4-409303F50F70}"/>
    <cellStyle name="Normal 2 2 6 2 4 3" xfId="6247" xr:uid="{711A1386-EB02-4D5C-A20F-D17AE5B53DD3}"/>
    <cellStyle name="Normal 2 2 6 2 4 3 2" xfId="15816" xr:uid="{1C57A535-5B59-4BC1-BD8C-FB0C0791E824}"/>
    <cellStyle name="Normal 2 2 6 2 4 4" xfId="8269" xr:uid="{C032CA74-9A89-4596-905A-E92BDA9AA145}"/>
    <cellStyle name="Normal 2 2 6 2 4 4 2" xfId="18649" xr:uid="{6A0B5E13-E75A-4ABD-A2F5-0CF3D9E12D20}"/>
    <cellStyle name="Normal 2 2 6 2 4 5" xfId="11102" xr:uid="{AE521645-6376-4B68-9A18-6D97632553A1}"/>
    <cellStyle name="Normal 2 2 6 2 4 5 2" xfId="21482" xr:uid="{69CC3F87-EA81-43EF-A06E-E7DDC96303E6}"/>
    <cellStyle name="Normal 2 2 6 2 4 6" xfId="24587" xr:uid="{FF1DE5FA-250B-4680-A117-DD1976C4FB09}"/>
    <cellStyle name="Normal 2 2 6 2 4 7" xfId="13730" xr:uid="{6EDAE71B-7F2C-473D-8893-EC43F0AADD36}"/>
    <cellStyle name="Normal 2 2 6 2 5" xfId="3184" xr:uid="{00000000-0005-0000-0000-000028040000}"/>
    <cellStyle name="Normal 2 2 6 2 5 2" xfId="6242" xr:uid="{0A6AF36F-1FBE-4672-9497-A7A631B308EF}"/>
    <cellStyle name="Normal 2 2 6 2 5 2 2" xfId="28740" xr:uid="{5B69F3EA-6B7C-4570-96D6-F27E5C980BFA}"/>
    <cellStyle name="Normal 2 2 6 2 5 2 3" xfId="15811" xr:uid="{76BEACCF-5F5B-43F0-A5B2-36DD6C9A2D9E}"/>
    <cellStyle name="Normal 2 2 6 2 5 3" xfId="8264" xr:uid="{4773665C-A056-459D-95BA-07D0BBFBC73C}"/>
    <cellStyle name="Normal 2 2 6 2 5 3 2" xfId="18644" xr:uid="{62DA566B-022B-451E-8489-F37EF95BA9A5}"/>
    <cellStyle name="Normal 2 2 6 2 5 4" xfId="11097" xr:uid="{B74255FD-0D92-4281-B1B5-831CF4D94442}"/>
    <cellStyle name="Normal 2 2 6 2 5 4 2" xfId="21477" xr:uid="{A43FA36F-DA4D-490C-8866-7682DC51D2EF}"/>
    <cellStyle name="Normal 2 2 6 2 5 5" xfId="23157" xr:uid="{B356D2F5-AA29-4BBE-B9FC-DF53537515CA}"/>
    <cellStyle name="Normal 2 2 6 2 5 6" xfId="13725" xr:uid="{5F8A1828-3379-4FFE-B5D9-A6997C5EE36D}"/>
    <cellStyle name="Normal 2 2 6 2 6" xfId="2548" xr:uid="{00000000-0005-0000-0000-000029040000}"/>
    <cellStyle name="Normal 2 2 6 2 6 2" xfId="5820" xr:uid="{DD46955B-644F-4075-A62A-01E728825C72}"/>
    <cellStyle name="Normal 2 2 6 2 6 2 2" xfId="25836" xr:uid="{5E225070-8700-47AE-BB40-F61DFAA2BB7A}"/>
    <cellStyle name="Normal 2 2 6 2 6 2 3" xfId="15220" xr:uid="{8A69E008-98E6-4611-A97E-CA5A9C690D18}"/>
    <cellStyle name="Normal 2 2 6 2 6 3" xfId="7673" xr:uid="{B7E0288A-09BC-41C8-AB8F-012493240ADF}"/>
    <cellStyle name="Normal 2 2 6 2 6 3 2" xfId="18053" xr:uid="{95348DC5-EF32-4E6B-8E46-E8DE78003BA3}"/>
    <cellStyle name="Normal 2 2 6 2 6 4" xfId="10506" xr:uid="{FCB519E4-A7D2-4946-B317-76A86C0422BC}"/>
    <cellStyle name="Normal 2 2 6 2 6 4 2" xfId="20886" xr:uid="{5A289437-DBA2-47F5-9B82-C36081E33F26}"/>
    <cellStyle name="Normal 2 2 6 2 6 5" xfId="23899" xr:uid="{E133F193-E3D0-4080-B01F-FB88A4225A0F}"/>
    <cellStyle name="Normal 2 2 6 2 6 6" xfId="12936" xr:uid="{E970EBAC-FD52-4F8B-B9ED-263F3F3A9451}"/>
    <cellStyle name="Normal 2 2 6 2 7" xfId="2242" xr:uid="{00000000-0005-0000-0000-00001F040000}"/>
    <cellStyle name="Normal 2 2 6 2 7 2" xfId="7369" xr:uid="{E3315053-3F06-4B6B-8A15-8F56FD09B6D3}"/>
    <cellStyle name="Normal 2 2 6 2 7 2 2" xfId="17749" xr:uid="{59CE3CB4-48FF-436F-AB9F-5BDBA10A3A4A}"/>
    <cellStyle name="Normal 2 2 6 2 7 3" xfId="10202" xr:uid="{E237DC12-6969-46B9-BEB8-59BF47688AC7}"/>
    <cellStyle name="Normal 2 2 6 2 7 3 2" xfId="20582" xr:uid="{2AC17149-8D77-4C66-9B64-E74F2D180A93}"/>
    <cellStyle name="Normal 2 2 6 2 7 4" xfId="22832" xr:uid="{2180F4CE-54F4-4334-B8BC-350373340C0E}"/>
    <cellStyle name="Normal 2 2 6 2 7 5" xfId="14916" xr:uid="{6C7199FC-4A5B-4644-B73C-9FD92807338A}"/>
    <cellStyle name="Normal 2 2 6 2 8" xfId="3795" xr:uid="{3DC452E1-1CA4-495A-BBE7-BA28DD8D8CA8}"/>
    <cellStyle name="Normal 2 2 6 2 8 2" xfId="8631" xr:uid="{2359EFA7-1177-40B1-A540-89631581AC54}"/>
    <cellStyle name="Normal 2 2 6 2 8 2 2" xfId="19011" xr:uid="{97C046AA-3D85-4DA4-95CF-1E9F0374DAB0}"/>
    <cellStyle name="Normal 2 2 6 2 8 3" xfId="11464" xr:uid="{8D1E2DDE-0A46-49A1-97D1-BE99B96D3287}"/>
    <cellStyle name="Normal 2 2 6 2 8 3 2" xfId="21844" xr:uid="{87787337-F20C-4DAF-989E-CB84C0CCECAE}"/>
    <cellStyle name="Normal 2 2 6 2 8 4" xfId="16178" xr:uid="{956371C3-846B-4513-8438-90381C4675D2}"/>
    <cellStyle name="Normal 2 2 6 2 9" xfId="5119" xr:uid="{5C4ACD4B-02FD-4CEF-A3D2-4E04A9F0C611}"/>
    <cellStyle name="Normal 2 2 6 2 9 2" xfId="14416" xr:uid="{260E15F7-FF2D-46CF-8555-BA8822FC5CA2}"/>
    <cellStyle name="Normal 2 2 6 3" xfId="767" xr:uid="{00000000-0005-0000-0000-0000AB040000}"/>
    <cellStyle name="Normal 2 2 6 3 10" xfId="9704" xr:uid="{4C3E2F2B-56B2-4CF4-96E5-96EDB012DA49}"/>
    <cellStyle name="Normal 2 2 6 3 10 2" xfId="20084" xr:uid="{DC4C3F4A-9533-46A9-9E89-A4555E3086C2}"/>
    <cellStyle name="Normal 2 2 6 3 11" xfId="24856" xr:uid="{E3A76C8A-2F6D-4F8D-A4BA-E63D7B8AF419}"/>
    <cellStyle name="Normal 2 2 6 3 12" xfId="12564" xr:uid="{5FB5965A-D485-4ACE-BAD5-9CC525EDB1AF}"/>
    <cellStyle name="Normal 2 2 6 3 2" xfId="2735" xr:uid="{00000000-0005-0000-0000-00002B040000}"/>
    <cellStyle name="Normal 2 2 6 3 2 2" xfId="3191" xr:uid="{00000000-0005-0000-0000-00002C040000}"/>
    <cellStyle name="Normal 2 2 6 3 2 2 2" xfId="6249" xr:uid="{E44AA17E-05A2-47E2-8395-59B103ABE9B4}"/>
    <cellStyle name="Normal 2 2 6 3 2 2 2 2" xfId="27123" xr:uid="{B3EE830C-9737-40AC-B774-DC1C1CDA2AC3}"/>
    <cellStyle name="Normal 2 2 6 3 2 2 2 3" xfId="15818" xr:uid="{D41E5751-026D-427F-8873-2102B9A0E2DA}"/>
    <cellStyle name="Normal 2 2 6 3 2 2 3" xfId="8271" xr:uid="{4F15D839-68EC-4AFB-B95C-AD303D81C0F5}"/>
    <cellStyle name="Normal 2 2 6 3 2 2 3 2" xfId="18651" xr:uid="{0941D33B-37E7-4FB9-8BDD-31ECB15DD03C}"/>
    <cellStyle name="Normal 2 2 6 3 2 2 4" xfId="11104" xr:uid="{AA5D45D2-B615-4681-905D-0A0D4F4CF0A8}"/>
    <cellStyle name="Normal 2 2 6 3 2 2 4 2" xfId="21484" xr:uid="{45B34AA5-B78E-46EE-8B6C-B69CC14AE78D}"/>
    <cellStyle name="Normal 2 2 6 3 2 2 5" xfId="25435" xr:uid="{DB672273-560C-4F9C-A8CF-761B73D83566}"/>
    <cellStyle name="Normal 2 2 6 3 2 2 6" xfId="13732" xr:uid="{668FCC29-7C50-4312-9C41-BAC872544AC2}"/>
    <cellStyle name="Normal 2 2 6 3 2 3" xfId="4299" xr:uid="{AF36B563-FC36-4796-A3A6-E1993E821E9D}"/>
    <cellStyle name="Normal 2 2 6 3 2 3 2" xfId="9071" xr:uid="{F175B39D-0BCE-4077-B094-FBA606ACB714}"/>
    <cellStyle name="Normal 2 2 6 3 2 3 2 2" xfId="29114" xr:uid="{7ACC3B77-734A-4C91-A47F-8FFBABF3EF56}"/>
    <cellStyle name="Normal 2 2 6 3 2 3 2 3" xfId="19451" xr:uid="{90426A97-6901-4D73-ACFF-6E4D5F24FB00}"/>
    <cellStyle name="Normal 2 2 6 3 2 3 3" xfId="11904" xr:uid="{E90BF0AC-1250-4A66-9DE8-9F93A865D89A}"/>
    <cellStyle name="Normal 2 2 6 3 2 3 3 2" xfId="22284" xr:uid="{A409580F-2461-4D9C-BA00-8347009ECB9C}"/>
    <cellStyle name="Normal 2 2 6 3 2 3 4" xfId="23063" xr:uid="{2FD785B8-6281-4902-A97E-AF9F93D90BCC}"/>
    <cellStyle name="Normal 2 2 6 3 2 3 5" xfId="16618" xr:uid="{94FE5296-6D54-4088-A379-492CD391DFE4}"/>
    <cellStyle name="Normal 2 2 6 3 2 4" xfId="5953" xr:uid="{E3D1BA83-E110-4070-ABE3-31455F14EECF}"/>
    <cellStyle name="Normal 2 2 6 3 2 4 2" xfId="28715" xr:uid="{C9B51B7B-BA27-4989-9B77-BFB6FEEC3C11}"/>
    <cellStyle name="Normal 2 2 6 3 2 4 3" xfId="15406" xr:uid="{20CA3628-CCFE-4F2B-844E-8FBCEFF9B7DA}"/>
    <cellStyle name="Normal 2 2 6 3 2 5" xfId="7859" xr:uid="{8509A51E-F4D4-43AF-8124-F96AF6EAB54C}"/>
    <cellStyle name="Normal 2 2 6 3 2 5 2" xfId="18239" xr:uid="{58C2555D-2438-45B4-9B64-3CAF8320319B}"/>
    <cellStyle name="Normal 2 2 6 3 2 6" xfId="10692" xr:uid="{35248E13-1CF6-4D3F-A839-08077937F647}"/>
    <cellStyle name="Normal 2 2 6 3 2 6 2" xfId="21072" xr:uid="{83687619-3CB4-42C4-9E00-6EC79E49A7BF}"/>
    <cellStyle name="Normal 2 2 6 3 2 7" xfId="23506" xr:uid="{A01A4261-FC07-442C-8D9A-17FE25863308}"/>
    <cellStyle name="Normal 2 2 6 3 2 8" xfId="13169" xr:uid="{1EA23027-6384-4BE0-89B2-3EA296E8FFEE}"/>
    <cellStyle name="Normal 2 2 6 3 3" xfId="3192" xr:uid="{00000000-0005-0000-0000-00002D040000}"/>
    <cellStyle name="Normal 2 2 6 3 3 2" xfId="4470" xr:uid="{D03A52A9-8653-4C41-9A28-8E98E897D3ED}"/>
    <cellStyle name="Normal 2 2 6 3 3 2 2" xfId="9242" xr:uid="{20DDAF65-0E91-4C94-8A20-E9554F74EB6D}"/>
    <cellStyle name="Normal 2 2 6 3 3 2 2 2" xfId="29231" xr:uid="{6827C6F6-99D4-44ED-A2FB-5741B27C3E44}"/>
    <cellStyle name="Normal 2 2 6 3 3 2 2 3" xfId="19622" xr:uid="{044F6EE3-1478-4DF6-805A-DAC9A06E9FD7}"/>
    <cellStyle name="Normal 2 2 6 3 3 2 3" xfId="12075" xr:uid="{A80DECAF-5FF3-4A7E-97AD-DD68C5184EDE}"/>
    <cellStyle name="Normal 2 2 6 3 3 2 3 2" xfId="22455" xr:uid="{77B21F3D-69BA-4E03-BFD5-FF6767435652}"/>
    <cellStyle name="Normal 2 2 6 3 3 2 4" xfId="24360" xr:uid="{A627CFC4-18FF-4911-B5E0-F00CA2CA1BE1}"/>
    <cellStyle name="Normal 2 2 6 3 3 2 5" xfId="16789" xr:uid="{41E8D57E-0898-4600-8B45-5C361F73F80D}"/>
    <cellStyle name="Normal 2 2 6 3 3 3" xfId="6250" xr:uid="{D55A819E-7CBD-4C4C-87F6-1352BB2121FA}"/>
    <cellStyle name="Normal 2 2 6 3 3 3 2" xfId="28260" xr:uid="{F55449F2-2BBE-4515-BF06-BC399FBB39BE}"/>
    <cellStyle name="Normal 2 2 6 3 3 3 3" xfId="15819" xr:uid="{AB63E61B-DF1C-41AA-A088-D991A00C7282}"/>
    <cellStyle name="Normal 2 2 6 3 3 4" xfId="8272" xr:uid="{490ABBA9-728D-4597-A084-EF8D5F57061F}"/>
    <cellStyle name="Normal 2 2 6 3 3 4 2" xfId="18652" xr:uid="{9D3C7B97-38B1-4510-9996-047A2F781E5F}"/>
    <cellStyle name="Normal 2 2 6 3 3 5" xfId="11105" xr:uid="{9E3BF72C-580C-4D36-B16E-04B1671D9201}"/>
    <cellStyle name="Normal 2 2 6 3 3 5 2" xfId="21485" xr:uid="{48F4F805-4B92-4084-AFEF-8783EEF5369B}"/>
    <cellStyle name="Normal 2 2 6 3 3 6" xfId="23802" xr:uid="{279D83EF-BFFF-4CA7-B6C2-FA5BB1B9598E}"/>
    <cellStyle name="Normal 2 2 6 3 3 7" xfId="13733" xr:uid="{E82538C7-D5CF-4C2C-B896-96B5B1D6732F}"/>
    <cellStyle name="Normal 2 2 6 3 4" xfId="3190" xr:uid="{00000000-0005-0000-0000-00002E040000}"/>
    <cellStyle name="Normal 2 2 6 3 4 2" xfId="6248" xr:uid="{AB61BC95-E1D2-4C7F-9E27-637375B52DE8}"/>
    <cellStyle name="Normal 2 2 6 3 4 2 2" xfId="28729" xr:uid="{37F78F17-D5CE-43E3-80C0-38223208C2D4}"/>
    <cellStyle name="Normal 2 2 6 3 4 2 3" xfId="15817" xr:uid="{D3DFF2FF-54D9-4183-BB09-9EE6CDDCB508}"/>
    <cellStyle name="Normal 2 2 6 3 4 3" xfId="8270" xr:uid="{21262C5E-45DD-408B-AAE8-F32E1D09324A}"/>
    <cellStyle name="Normal 2 2 6 3 4 3 2" xfId="18650" xr:uid="{67090179-1D90-4D36-BA32-A0967397BC40}"/>
    <cellStyle name="Normal 2 2 6 3 4 4" xfId="11103" xr:uid="{CA746757-EAF7-45AB-9E4D-50A54017AE93}"/>
    <cellStyle name="Normal 2 2 6 3 4 4 2" xfId="21483" xr:uid="{49E2FBDE-AD09-44C4-B9E9-07E28E6BC8FD}"/>
    <cellStyle name="Normal 2 2 6 3 4 5" xfId="24355" xr:uid="{16052B0A-7BE2-4385-8D41-C9A5844DC355}"/>
    <cellStyle name="Normal 2 2 6 3 4 6" xfId="13731" xr:uid="{7DB53946-566B-4CAD-BF90-3B847D9555DD}"/>
    <cellStyle name="Normal 2 2 6 3 5" xfId="2591" xr:uid="{00000000-0005-0000-0000-00002F040000}"/>
    <cellStyle name="Normal 2 2 6 3 5 2" xfId="5856" xr:uid="{C883B5AF-18F5-4388-ABB4-D72C87122743}"/>
    <cellStyle name="Normal 2 2 6 3 5 2 2" xfId="26935" xr:uid="{5A40FB34-956B-4526-BCE3-9614D21C9E93}"/>
    <cellStyle name="Normal 2 2 6 3 5 2 3" xfId="15263" xr:uid="{E94B3B5B-1644-4E26-928B-15FF78687728}"/>
    <cellStyle name="Normal 2 2 6 3 5 3" xfId="7716" xr:uid="{E1C381A5-BA63-4B96-8942-177F60E6A9C6}"/>
    <cellStyle name="Normal 2 2 6 3 5 3 2" xfId="18096" xr:uid="{ABCB03D5-EC80-40AD-B995-D7EDB6E2CA7F}"/>
    <cellStyle name="Normal 2 2 6 3 5 4" xfId="10549" xr:uid="{C5BB12D6-85EA-467C-A043-96B8CCF861A7}"/>
    <cellStyle name="Normal 2 2 6 3 5 4 2" xfId="20929" xr:uid="{F794C766-F5A4-4669-BF82-894589530290}"/>
    <cellStyle name="Normal 2 2 6 3 5 5" xfId="23620" xr:uid="{42A9F908-E0A3-4303-88B6-2D24B095DFFE}"/>
    <cellStyle name="Normal 2 2 6 3 5 6" xfId="12979" xr:uid="{2880477B-ED04-43B6-A0F4-A0DD907F21D8}"/>
    <cellStyle name="Normal 2 2 6 3 6" xfId="2330" xr:uid="{00000000-0005-0000-0000-00002A040000}"/>
    <cellStyle name="Normal 2 2 6 3 6 2" xfId="7457" xr:uid="{B959A3A8-48A6-4881-A410-74E64567F69E}"/>
    <cellStyle name="Normal 2 2 6 3 6 2 2" xfId="17837" xr:uid="{D409532D-8BBE-435F-BEBD-A89EDF2C4362}"/>
    <cellStyle name="Normal 2 2 6 3 6 3" xfId="10290" xr:uid="{B3C768DC-DF0A-4FF1-8D0F-D49D5A9E1F17}"/>
    <cellStyle name="Normal 2 2 6 3 6 3 2" xfId="20670" xr:uid="{20424838-F57D-4E3F-934D-E62956DB1E35}"/>
    <cellStyle name="Normal 2 2 6 3 6 4" xfId="23148" xr:uid="{6C7DB46A-CB8E-4767-A221-43C87A93B7DF}"/>
    <cellStyle name="Normal 2 2 6 3 6 5" xfId="15004" xr:uid="{58137D8A-5F2E-412F-A65D-DD4557451A70}"/>
    <cellStyle name="Normal 2 2 6 3 7" xfId="3845" xr:uid="{712F6ECE-2FCF-40FF-BC3A-B8E57455C658}"/>
    <cellStyle name="Normal 2 2 6 3 7 2" xfId="8678" xr:uid="{8801AC38-17ED-48C4-B15A-5EC496CB1189}"/>
    <cellStyle name="Normal 2 2 6 3 7 2 2" xfId="19058" xr:uid="{01EAAE53-7179-4F99-8C05-CDBA10542186}"/>
    <cellStyle name="Normal 2 2 6 3 7 3" xfId="11511" xr:uid="{B40DA53C-3E90-4116-9976-35490BC4F598}"/>
    <cellStyle name="Normal 2 2 6 3 7 3 2" xfId="21891" xr:uid="{2F776532-C363-4EA1-BE90-F85AFF70E5B9}"/>
    <cellStyle name="Normal 2 2 6 3 7 4" xfId="16225" xr:uid="{7D736926-DE92-4BAD-BB26-D0719308E154}"/>
    <cellStyle name="Normal 2 2 6 3 8" xfId="5121" xr:uid="{0D41CC50-3C09-47D8-9D04-FF0749EBE539}"/>
    <cellStyle name="Normal 2 2 6 3 8 2" xfId="14418" xr:uid="{4C44EB3C-92B7-4DF4-94B3-CBB25821F1A6}"/>
    <cellStyle name="Normal 2 2 6 3 9" xfId="6871" xr:uid="{67EEB3CB-5943-4F2C-A717-EB1EB3467721}"/>
    <cellStyle name="Normal 2 2 6 3 9 2" xfId="17251" xr:uid="{B3C0259A-3C51-4FD8-AD74-DF0716C38BAD}"/>
    <cellStyle name="Normal 2 2 6 4" xfId="768" xr:uid="{00000000-0005-0000-0000-0000AC040000}"/>
    <cellStyle name="Normal 2 2 6 4 2" xfId="3193" xr:uid="{00000000-0005-0000-0000-000031040000}"/>
    <cellStyle name="Normal 2 2 6 4 2 2" xfId="6251" xr:uid="{CB439588-1D5F-4005-8532-AF188C452CFA}"/>
    <cellStyle name="Normal 2 2 6 4 2 2 2" xfId="26732" xr:uid="{A61F4418-B64B-495C-8A31-614827CC5054}"/>
    <cellStyle name="Normal 2 2 6 4 2 2 3" xfId="15820" xr:uid="{B27AE241-0DD4-43AF-8FE3-F64AA791483B}"/>
    <cellStyle name="Normal 2 2 6 4 2 3" xfId="8273" xr:uid="{38EFA85C-082D-4ECE-A0AC-E6CBB8D45E4E}"/>
    <cellStyle name="Normal 2 2 6 4 2 3 2" xfId="18653" xr:uid="{17081F4A-10E4-4BEB-A3DD-8714A69DC71B}"/>
    <cellStyle name="Normal 2 2 6 4 2 4" xfId="11106" xr:uid="{AB647E7E-1D38-436E-B315-9751ECB1C453}"/>
    <cellStyle name="Normal 2 2 6 4 2 4 2" xfId="21486" xr:uid="{96F0541B-B4A5-4A30-AA34-B3D1F76A4527}"/>
    <cellStyle name="Normal 2 2 6 4 2 5" xfId="22998" xr:uid="{19A55A42-EF4F-4980-94B4-D4D545CBB56D}"/>
    <cellStyle name="Normal 2 2 6 4 2 6" xfId="13734" xr:uid="{D9031275-8D50-4DD1-9158-5A6601AD56D2}"/>
    <cellStyle name="Normal 2 2 6 4 3" xfId="2732" xr:uid="{00000000-0005-0000-0000-000032040000}"/>
    <cellStyle name="Normal 2 2 6 4 3 2" xfId="5950" xr:uid="{11B2852D-EDF7-4948-8623-C6242D2A565C}"/>
    <cellStyle name="Normal 2 2 6 4 3 2 2" xfId="28521" xr:uid="{B8A26FFE-FD78-420C-9DA2-1CE49CD93A72}"/>
    <cellStyle name="Normal 2 2 6 4 3 2 3" xfId="15403" xr:uid="{C30637F1-3D60-4C29-B383-B0542E07093A}"/>
    <cellStyle name="Normal 2 2 6 4 3 3" xfId="7856" xr:uid="{F1F9433B-0784-4153-9E12-4A4B4BF106CD}"/>
    <cellStyle name="Normal 2 2 6 4 3 3 2" xfId="18236" xr:uid="{4173CB35-3A2E-47F1-AA16-7B0E91E0B47E}"/>
    <cellStyle name="Normal 2 2 6 4 3 4" xfId="10689" xr:uid="{DCB347E5-4172-4DB5-B7FF-960D1BEC6F5A}"/>
    <cellStyle name="Normal 2 2 6 4 3 4 2" xfId="21069" xr:uid="{7D6A8905-8AC6-472E-93F1-89521DC82887}"/>
    <cellStyle name="Normal 2 2 6 4 3 5" xfId="25427" xr:uid="{A3D8D863-91FE-4A5A-B3FF-AEAB0AD23AC7}"/>
    <cellStyle name="Normal 2 2 6 4 3 6" xfId="13166" xr:uid="{8F0C0AEF-395A-44BD-A2DE-C4B39BBA0447}"/>
    <cellStyle name="Normal 2 2 6 4 4" xfId="4164" xr:uid="{0955D02B-ABE6-43BB-A2F0-E7BD877C50A1}"/>
    <cellStyle name="Normal 2 2 6 4 4 2" xfId="8936" xr:uid="{0F7D7877-6C21-48D3-9F5B-B4BC947A6719}"/>
    <cellStyle name="Normal 2 2 6 4 4 2 2" xfId="19316" xr:uid="{90F97ABE-9CA5-4539-94EF-79C5B2370B11}"/>
    <cellStyle name="Normal 2 2 6 4 4 3" xfId="11769" xr:uid="{C6512C9C-1DCE-4B4F-8549-4756852FD341}"/>
    <cellStyle name="Normal 2 2 6 4 4 3 2" xfId="22149" xr:uid="{25AFC8E6-F1E4-4611-B59B-A4D8AD2EC480}"/>
    <cellStyle name="Normal 2 2 6 4 4 4" xfId="24134" xr:uid="{A11D0DC3-5B44-4E74-BA89-53B7C535938D}"/>
    <cellStyle name="Normal 2 2 6 4 4 5" xfId="16483" xr:uid="{67E362AA-8D03-493D-957E-C45DFBA2D8E0}"/>
    <cellStyle name="Normal 2 2 6 4 5" xfId="5122" xr:uid="{F054F7C7-62F7-4116-B376-3EC374D865E7}"/>
    <cellStyle name="Normal 2 2 6 4 5 2" xfId="14419" xr:uid="{1B9BB4CB-0A06-49DF-ABF3-0EDFCF0F66D2}"/>
    <cellStyle name="Normal 2 2 6 4 6" xfId="6872" xr:uid="{9D58F73D-007B-4442-B32E-FCA7DC647B7E}"/>
    <cellStyle name="Normal 2 2 6 4 6 2" xfId="17252" xr:uid="{2C27107F-B77C-49B4-9A60-9E75B92D05E4}"/>
    <cellStyle name="Normal 2 2 6 4 7" xfId="9705" xr:uid="{118CD2BE-CE2D-4E3F-9EC0-A270E7B58A2D}"/>
    <cellStyle name="Normal 2 2 6 4 7 2" xfId="20085" xr:uid="{515A166A-0811-46E5-BD81-5274C64ACC04}"/>
    <cellStyle name="Normal 2 2 6 4 8" xfId="25107" xr:uid="{662F58D9-B0B3-404D-B0BA-5EF31AF847BF}"/>
    <cellStyle name="Normal 2 2 6 4 9" xfId="12722" xr:uid="{579D2275-C61E-415B-8BC5-51251ECF05D9}"/>
    <cellStyle name="Normal 2 2 6 5" xfId="3194" xr:uid="{00000000-0005-0000-0000-000033040000}"/>
    <cellStyle name="Normal 2 2 6 5 2" xfId="4471" xr:uid="{CBD07B7A-1544-404E-99B7-7AD42747BAF4}"/>
    <cellStyle name="Normal 2 2 6 5 2 2" xfId="9243" xr:uid="{CA8839B8-562D-4FEB-B1E5-229693210434}"/>
    <cellStyle name="Normal 2 2 6 5 2 2 2" xfId="29232" xr:uid="{7008ECDD-72A8-4384-9DE2-80A96C4C0FE1}"/>
    <cellStyle name="Normal 2 2 6 5 2 2 3" xfId="19623" xr:uid="{E250A443-58A5-4F1E-8887-54B5054E386F}"/>
    <cellStyle name="Normal 2 2 6 5 2 3" xfId="12076" xr:uid="{A7439361-3315-47F8-8836-473F23E19C0C}"/>
    <cellStyle name="Normal 2 2 6 5 2 3 2" xfId="22456" xr:uid="{8DA188E4-7D8C-4664-B87F-A2AC6C5358B8}"/>
    <cellStyle name="Normal 2 2 6 5 2 4" xfId="24070" xr:uid="{646BF25D-7858-4818-8FFB-C90EE6BB55BE}"/>
    <cellStyle name="Normal 2 2 6 5 2 5" xfId="16790" xr:uid="{85F5C205-8DAA-44DB-87A6-464B58944ED8}"/>
    <cellStyle name="Normal 2 2 6 5 3" xfId="6252" xr:uid="{895B147F-601B-4065-8645-5AD015666B32}"/>
    <cellStyle name="Normal 2 2 6 5 3 2" xfId="27914" xr:uid="{C45325C8-0CFF-4DC3-A87E-160F529C2D2B}"/>
    <cellStyle name="Normal 2 2 6 5 3 3" xfId="15821" xr:uid="{E7C8CA88-9C26-485E-B413-3C25F41487E1}"/>
    <cellStyle name="Normal 2 2 6 5 4" xfId="8274" xr:uid="{63A4AD72-30FC-40F9-8FB2-C73EA5B302F1}"/>
    <cellStyle name="Normal 2 2 6 5 4 2" xfId="18654" xr:uid="{66B849C8-0EA1-4C13-AF88-FE7571754B86}"/>
    <cellStyle name="Normal 2 2 6 5 5" xfId="11107" xr:uid="{5986780A-0B59-44F2-8E1F-FECB6B30AD7D}"/>
    <cellStyle name="Normal 2 2 6 5 5 2" xfId="21487" xr:uid="{BA19BD5D-A4AF-42F1-B58E-71A2A59A390D}"/>
    <cellStyle name="Normal 2 2 6 5 6" xfId="25224" xr:uid="{CEC419A5-CA5A-4DBB-B3B6-4C8BF7921A29}"/>
    <cellStyle name="Normal 2 2 6 5 7" xfId="13735" xr:uid="{8447C74C-ED2E-40B8-B030-E3008A10DE80}"/>
    <cellStyle name="Normal 2 2 6 6" xfId="2905" xr:uid="{00000000-0005-0000-0000-000034040000}"/>
    <cellStyle name="Normal 2 2 6 6 2" xfId="6091" xr:uid="{16CCF25F-2BD3-4135-9602-703A2BCB5A3C}"/>
    <cellStyle name="Normal 2 2 6 6 2 2" xfId="27703" xr:uid="{E10C9B2E-92BC-4CE7-926E-3F7744D6AE09}"/>
    <cellStyle name="Normal 2 2 6 6 2 3" xfId="15569" xr:uid="{426A488E-3F6F-4736-ABBE-26DF1BF33C1D}"/>
    <cellStyle name="Normal 2 2 6 6 3" xfId="8022" xr:uid="{78D8298A-1551-45ED-92A9-35D92C38DAC8}"/>
    <cellStyle name="Normal 2 2 6 6 3 2" xfId="18402" xr:uid="{11096A96-338B-4C74-9D7E-5DD9EEFC39F6}"/>
    <cellStyle name="Normal 2 2 6 6 4" xfId="10855" xr:uid="{A64EA007-8B20-4236-A1E1-D7AD8F2E0402}"/>
    <cellStyle name="Normal 2 2 6 6 4 2" xfId="21235" xr:uid="{A568604F-B051-45B5-B2AE-184A6C336636}"/>
    <cellStyle name="Normal 2 2 6 6 5" xfId="25279" xr:uid="{43C848A0-2D16-45DD-9695-5240E1C8FA92}"/>
    <cellStyle name="Normal 2 2 6 6 6" xfId="13420" xr:uid="{A33F8664-23C1-415E-AF6C-867349EDD5A7}"/>
    <cellStyle name="Normal 2 2 6 7" xfId="2488" xr:uid="{00000000-0005-0000-0000-000035040000}"/>
    <cellStyle name="Normal 2 2 6 7 2" xfId="5773" xr:uid="{76CAC20D-489B-4B80-AD7E-D302E50A89E9}"/>
    <cellStyle name="Normal 2 2 6 7 2 2" xfId="26468" xr:uid="{D18F8181-AC54-42E7-B8E9-3673541D1599}"/>
    <cellStyle name="Normal 2 2 6 7 2 3" xfId="15160" xr:uid="{30643F72-C803-4F70-A78F-77234816673F}"/>
    <cellStyle name="Normal 2 2 6 7 3" xfId="7613" xr:uid="{EB608BF7-F122-4D70-BD0D-248C68CE590A}"/>
    <cellStyle name="Normal 2 2 6 7 3 2" xfId="17993" xr:uid="{9BC7CEE9-1CB8-4489-93FE-B18739EEFB5A}"/>
    <cellStyle name="Normal 2 2 6 7 4" xfId="10446" xr:uid="{F98CD522-C74E-4D1E-9884-1EBA819EBE4C}"/>
    <cellStyle name="Normal 2 2 6 7 4 2" xfId="20826" xr:uid="{1B78D906-7CBB-4C14-8AEE-11AAE0094DCB}"/>
    <cellStyle name="Normal 2 2 6 7 5" xfId="24943" xr:uid="{0BDC3D58-65E9-4A77-A03E-5C78897CB417}"/>
    <cellStyle name="Normal 2 2 6 7 6" xfId="12876" xr:uid="{A61C95EC-B2BA-4019-8830-F0EC110B5898}"/>
    <cellStyle name="Normal 2 2 6 8" xfId="2182" xr:uid="{00000000-0005-0000-0000-00001E040000}"/>
    <cellStyle name="Normal 2 2 6 8 2" xfId="7309" xr:uid="{6FC49187-1498-4000-B451-C8FB2596069A}"/>
    <cellStyle name="Normal 2 2 6 8 2 2" xfId="17689" xr:uid="{79745B4B-26CA-4AC5-AE20-0B3FB148D3D9}"/>
    <cellStyle name="Normal 2 2 6 8 3" xfId="10142" xr:uid="{C57AE7CB-C828-480E-A737-28460381E7A3}"/>
    <cellStyle name="Normal 2 2 6 8 3 2" xfId="20522" xr:uid="{E3DE3E9B-B822-4C8F-AD42-AEE9F96751B6}"/>
    <cellStyle name="Normal 2 2 6 8 4" xfId="24880" xr:uid="{C13717B4-B448-4C7A-AC0F-334D441DECE9}"/>
    <cellStyle name="Normal 2 2 6 8 5" xfId="14856" xr:uid="{B26FC4E8-4B10-4E19-A201-225B353C08D8}"/>
    <cellStyle name="Normal 2 2 6 9" xfId="3937" xr:uid="{4F71D83A-959D-475E-9D25-7D6B36415D87}"/>
    <cellStyle name="Normal 2 2 6 9 2" xfId="8769" xr:uid="{96233D5B-8A89-48F1-9A57-B9BB5A2D37F7}"/>
    <cellStyle name="Normal 2 2 6 9 2 2" xfId="19149" xr:uid="{C662E802-04A3-4507-9901-49DF157CDFAB}"/>
    <cellStyle name="Normal 2 2 6 9 3" xfId="11602" xr:uid="{37797751-1450-47F8-9DE4-6D15B02F0F8C}"/>
    <cellStyle name="Normal 2 2 6 9 3 2" xfId="21982" xr:uid="{A0CF1402-2736-4402-90DC-2EE07E6D4E1F}"/>
    <cellStyle name="Normal 2 2 6 9 4" xfId="16316" xr:uid="{D1D6B85D-8E12-4532-AB67-4098610E0955}"/>
    <cellStyle name="Normal 2 2 7" xfId="769" xr:uid="{00000000-0005-0000-0000-0000AD040000}"/>
    <cellStyle name="Normal 2 2 7 10" xfId="5123" xr:uid="{97DE0FAD-FD61-428C-B324-15458C6A0DE0}"/>
    <cellStyle name="Normal 2 2 7 10 2" xfId="14420" xr:uid="{5A552025-BB63-47C8-A716-65B49A2A9EB2}"/>
    <cellStyle name="Normal 2 2 7 11" xfId="6873" xr:uid="{1FBE5570-8EB9-4FA4-89F2-2A70BF75E24B}"/>
    <cellStyle name="Normal 2 2 7 11 2" xfId="17253" xr:uid="{8F1A0535-AADD-49A8-B8C7-E616384AD067}"/>
    <cellStyle name="Normal 2 2 7 12" xfId="9706" xr:uid="{32224345-8BBA-42D9-98F0-CE4FAE9AE546}"/>
    <cellStyle name="Normal 2 2 7 12 2" xfId="20086" xr:uid="{CD5807E9-F3EE-4241-B288-F1ADAD15438D}"/>
    <cellStyle name="Normal 2 2 7 13" xfId="23476" xr:uid="{415A84E5-3159-4712-8FD1-985112B084C9}"/>
    <cellStyle name="Normal 2 2 7 14" xfId="12448" xr:uid="{CCF5E73B-3EDA-4F88-A85B-AD221AFC95BD}"/>
    <cellStyle name="Normal 2 2 7 2" xfId="770" xr:uid="{00000000-0005-0000-0000-0000AE040000}"/>
    <cellStyle name="Normal 2 2 7 2 10" xfId="9707" xr:uid="{96B7BC76-69A9-41C1-9071-99C298FB4CFB}"/>
    <cellStyle name="Normal 2 2 7 2 10 2" xfId="20087" xr:uid="{94D6349B-CF0D-4CAC-BB03-F05F5F955F3C}"/>
    <cellStyle name="Normal 2 2 7 2 11" xfId="25197" xr:uid="{970A88EF-7558-4745-BAD3-842CFCCC2476}"/>
    <cellStyle name="Normal 2 2 7 2 12" xfId="12565" xr:uid="{14A48E73-5367-44A3-A89F-BE47A5943D14}"/>
    <cellStyle name="Normal 2 2 7 2 2" xfId="771" xr:uid="{00000000-0005-0000-0000-0000AF040000}"/>
    <cellStyle name="Normal 2 2 7 2 2 2" xfId="3196" xr:uid="{00000000-0005-0000-0000-000039040000}"/>
    <cellStyle name="Normal 2 2 7 2 2 2 2" xfId="6254" xr:uid="{8B11C461-0E06-45AB-BD28-47EC1E74397F}"/>
    <cellStyle name="Normal 2 2 7 2 2 2 2 2" xfId="27098" xr:uid="{A2CCF78B-5DD6-47A7-84C9-8DA8F0D392B4}"/>
    <cellStyle name="Normal 2 2 7 2 2 2 2 3" xfId="27665" xr:uid="{5120584F-076D-44DE-8E1C-FDF7DE413BEE}"/>
    <cellStyle name="Normal 2 2 7 2 2 2 2 4" xfId="15823" xr:uid="{88F2C3A9-307E-4134-B781-3A57D5248454}"/>
    <cellStyle name="Normal 2 2 7 2 2 2 3" xfId="8276" xr:uid="{7BE2E20E-F2EA-49A6-9ACC-66CECE11E9F9}"/>
    <cellStyle name="Normal 2 2 7 2 2 2 3 2" xfId="28882" xr:uid="{AEB2A2CB-9366-4AE7-8001-9CBCA404FA79}"/>
    <cellStyle name="Normal 2 2 7 2 2 2 3 3" xfId="18656" xr:uid="{73B34709-9830-4084-8A92-2F31CF5ACFC4}"/>
    <cellStyle name="Normal 2 2 7 2 2 2 4" xfId="11109" xr:uid="{F4CFA1E6-1823-474B-A36C-6B8D54B5BE31}"/>
    <cellStyle name="Normal 2 2 7 2 2 2 4 2" xfId="21489" xr:uid="{6046E642-0BB4-46AC-9CF4-488A10B6EBD7}"/>
    <cellStyle name="Normal 2 2 7 2 2 2 5" xfId="25173" xr:uid="{0C8150D5-790E-4464-88E3-73F177477228}"/>
    <cellStyle name="Normal 2 2 7 2 2 2 6" xfId="13737" xr:uid="{02216744-12C4-4C6E-A890-ECFFA8F6FE2F}"/>
    <cellStyle name="Normal 2 2 7 2 2 3" xfId="4301" xr:uid="{5BF1446D-7DBC-47F3-8E2E-3AC34E7B0E6E}"/>
    <cellStyle name="Normal 2 2 7 2 2 3 2" xfId="9073" xr:uid="{BE47E111-92AC-4C0C-8529-002B140A12F9}"/>
    <cellStyle name="Normal 2 2 7 2 2 3 2 2" xfId="29116" xr:uid="{43363453-912B-4F5E-851B-25802F134C88}"/>
    <cellStyle name="Normal 2 2 7 2 2 3 2 3" xfId="19453" xr:uid="{4D73426A-9A7A-4ACD-A503-0CEFB7FC3F61}"/>
    <cellStyle name="Normal 2 2 7 2 2 3 3" xfId="11906" xr:uid="{88B15B4F-B2C9-43F1-8EF5-28198862C72D}"/>
    <cellStyle name="Normal 2 2 7 2 2 3 3 2" xfId="22286" xr:uid="{6755AD40-28FB-4E7D-A94B-D136868330C0}"/>
    <cellStyle name="Normal 2 2 7 2 2 3 4" xfId="23312" xr:uid="{0D01CC80-EC2F-491C-8FB7-AC748902593B}"/>
    <cellStyle name="Normal 2 2 7 2 2 3 5" xfId="16620" xr:uid="{DAF76C26-DB75-47F7-8EBA-DF102241B8B3}"/>
    <cellStyle name="Normal 2 2 7 2 2 4" xfId="5125" xr:uid="{829582CC-8806-4FA3-A337-62363E98AB53}"/>
    <cellStyle name="Normal 2 2 7 2 2 4 2" xfId="25883" xr:uid="{A51740CD-DFD9-4F10-A675-5809E6580706}"/>
    <cellStyle name="Normal 2 2 7 2 2 4 3" xfId="14422" xr:uid="{22F09D4F-0AD0-4215-AD98-2BDBBCF02486}"/>
    <cellStyle name="Normal 2 2 7 2 2 5" xfId="6875" xr:uid="{29BDE919-A952-42B7-9861-EEE06193E0CD}"/>
    <cellStyle name="Normal 2 2 7 2 2 5 2" xfId="17255" xr:uid="{C8AB0511-E919-4E33-9EA1-139219EE4BA6}"/>
    <cellStyle name="Normal 2 2 7 2 2 6" xfId="9708" xr:uid="{4EA87817-1414-45A3-8CDC-010B98153A50}"/>
    <cellStyle name="Normal 2 2 7 2 2 6 2" xfId="20088" xr:uid="{140904F0-1D4A-4C7A-94F9-38C6FCBB4593}"/>
    <cellStyle name="Normal 2 2 7 2 2 7" xfId="23576" xr:uid="{75409168-E756-4EE6-92D5-D0BEB4372556}"/>
    <cellStyle name="Normal 2 2 7 2 2 8" xfId="13171" xr:uid="{8E17ED30-0202-45B1-AF39-E9ECBB348417}"/>
    <cellStyle name="Normal 2 2 7 2 3" xfId="3197" xr:uid="{00000000-0005-0000-0000-00003A040000}"/>
    <cellStyle name="Normal 2 2 7 2 3 2" xfId="4472" xr:uid="{D6D0C682-5969-4AC5-9296-5C9390C11DD7}"/>
    <cellStyle name="Normal 2 2 7 2 3 2 2" xfId="9244" xr:uid="{ED2845A6-9518-4346-9FDE-1F0839C90A5B}"/>
    <cellStyle name="Normal 2 2 7 2 3 2 2 2" xfId="29233" xr:uid="{045A4F97-EE36-42E4-AD16-B94B3C10FB01}"/>
    <cellStyle name="Normal 2 2 7 2 3 2 2 3" xfId="19624" xr:uid="{9FB96ECF-A0C4-42EF-8303-C99252B9D45F}"/>
    <cellStyle name="Normal 2 2 7 2 3 2 3" xfId="12077" xr:uid="{B344CE8A-4F10-4CDB-9883-E7ED2F225F10}"/>
    <cellStyle name="Normal 2 2 7 2 3 2 3 2" xfId="22457" xr:uid="{D9F654AB-3DCA-43C0-9942-68D3398C16E2}"/>
    <cellStyle name="Normal 2 2 7 2 3 2 4" xfId="23184" xr:uid="{9277E302-6DAB-407E-9C1D-A5D8F6A355C6}"/>
    <cellStyle name="Normal 2 2 7 2 3 2 5" xfId="16791" xr:uid="{71B25BC7-30E6-4D6A-AB81-F9522879AEA8}"/>
    <cellStyle name="Normal 2 2 7 2 3 3" xfId="6255" xr:uid="{CEDDA396-6283-461F-9196-E75D991EE142}"/>
    <cellStyle name="Normal 2 2 7 2 3 3 2" xfId="27033" xr:uid="{FAF40926-BBA6-40FB-A9B8-993BF85ACA13}"/>
    <cellStyle name="Normal 2 2 7 2 3 3 3" xfId="15824" xr:uid="{41B0010C-AC18-47D0-ABF8-05B957E3ACEA}"/>
    <cellStyle name="Normal 2 2 7 2 3 4" xfId="8277" xr:uid="{3A501C5D-B598-42DE-AA9C-2D0B185BE320}"/>
    <cellStyle name="Normal 2 2 7 2 3 4 2" xfId="18657" xr:uid="{98154A14-30EF-498C-BD93-16585A4C902D}"/>
    <cellStyle name="Normal 2 2 7 2 3 5" xfId="11110" xr:uid="{07C0A32C-C2F8-4C30-BA14-3A2352C2684B}"/>
    <cellStyle name="Normal 2 2 7 2 3 5 2" xfId="21490" xr:uid="{27D4A009-BAD5-4E39-9EB7-8502857800DF}"/>
    <cellStyle name="Normal 2 2 7 2 3 6" xfId="25136" xr:uid="{6DFABF6E-1F9B-4625-BDF1-C54002BA0E42}"/>
    <cellStyle name="Normal 2 2 7 2 3 7" xfId="13738" xr:uid="{44024F55-7CC3-4707-8DC4-26D77126A2E3}"/>
    <cellStyle name="Normal 2 2 7 2 4" xfId="3195" xr:uid="{00000000-0005-0000-0000-00003B040000}"/>
    <cellStyle name="Normal 2 2 7 2 4 2" xfId="6253" xr:uid="{A7A1CCB2-E3D0-43EA-8197-34A7C09AEF96}"/>
    <cellStyle name="Normal 2 2 7 2 4 2 2" xfId="27156" xr:uid="{3E2FF402-3FDD-43AC-8ABB-5AAA0B77C2CE}"/>
    <cellStyle name="Normal 2 2 7 2 4 2 3" xfId="15822" xr:uid="{1D5EA078-8212-4425-8345-5A255D9DAD6E}"/>
    <cellStyle name="Normal 2 2 7 2 4 3" xfId="8275" xr:uid="{C74BA113-14D3-4CB9-B20E-273E7EB6FD33}"/>
    <cellStyle name="Normal 2 2 7 2 4 3 2" xfId="18655" xr:uid="{E6C0D189-9183-442D-9D68-7E282810D9F1}"/>
    <cellStyle name="Normal 2 2 7 2 4 4" xfId="11108" xr:uid="{BA254123-1B17-4C76-85E0-9AB7220FD05C}"/>
    <cellStyle name="Normal 2 2 7 2 4 4 2" xfId="21488" xr:uid="{D47D7829-4F01-405F-9CD6-6DE623E2F170}"/>
    <cellStyle name="Normal 2 2 7 2 4 5" xfId="23442" xr:uid="{CF19129B-7CF2-4FAA-8889-965D44A5F84E}"/>
    <cellStyle name="Normal 2 2 7 2 4 6" xfId="13736" xr:uid="{A2FEC267-718D-44B3-A1DD-EB431AD8109B}"/>
    <cellStyle name="Normal 2 2 7 2 5" xfId="2522" xr:uid="{00000000-0005-0000-0000-00003C040000}"/>
    <cellStyle name="Normal 2 2 7 2 5 2" xfId="5799" xr:uid="{23A0BEF1-34F6-404A-814A-EEB3AB3D6CC9}"/>
    <cellStyle name="Normal 2 2 7 2 5 2 2" xfId="28746" xr:uid="{383549BB-5F0D-44D9-A695-FB8092A97676}"/>
    <cellStyle name="Normal 2 2 7 2 5 2 3" xfId="15194" xr:uid="{C9121AAE-BCE2-4E47-A76D-C5EFDF2C471C}"/>
    <cellStyle name="Normal 2 2 7 2 5 3" xfId="7647" xr:uid="{ADEA8325-5E94-48BA-B7EE-99860C3CA05E}"/>
    <cellStyle name="Normal 2 2 7 2 5 3 2" xfId="18027" xr:uid="{97FAF7B9-8F45-4792-B0F2-58B344511F34}"/>
    <cellStyle name="Normal 2 2 7 2 5 4" xfId="10480" xr:uid="{B1F3EEF4-88D2-4FD9-BBC4-8072DF524313}"/>
    <cellStyle name="Normal 2 2 7 2 5 4 2" xfId="20860" xr:uid="{F439DE09-43CA-43ED-A509-79F09AF9D346}"/>
    <cellStyle name="Normal 2 2 7 2 5 5" xfId="24866" xr:uid="{DFC9CDCE-CD34-4F68-AC8B-3E978F5E142E}"/>
    <cellStyle name="Normal 2 2 7 2 5 6" xfId="12910" xr:uid="{F0FAC557-219A-4CC5-87C5-59F8BD421481}"/>
    <cellStyle name="Normal 2 2 7 2 6" xfId="2331" xr:uid="{00000000-0005-0000-0000-000037040000}"/>
    <cellStyle name="Normal 2 2 7 2 6 2" xfId="7458" xr:uid="{AA518F21-B686-48E8-B898-EC04D5D2B410}"/>
    <cellStyle name="Normal 2 2 7 2 6 2 2" xfId="17838" xr:uid="{4F3935D6-4461-4126-B862-3FF94E3FD125}"/>
    <cellStyle name="Normal 2 2 7 2 6 3" xfId="10291" xr:uid="{11BC9346-AD29-4F36-90D3-7C872D157AFB}"/>
    <cellStyle name="Normal 2 2 7 2 6 3 2" xfId="20671" xr:uid="{9B00FE18-2CDF-413E-A2B7-1C59FA4D06DA}"/>
    <cellStyle name="Normal 2 2 7 2 6 4" xfId="23210" xr:uid="{A3C83875-F8A8-4E4D-9003-627B13C89284}"/>
    <cellStyle name="Normal 2 2 7 2 6 5" xfId="15005" xr:uid="{CA5708F2-7C54-4703-8E71-37C3A0A7BB5E}"/>
    <cellStyle name="Normal 2 2 7 2 7" xfId="3846" xr:uid="{D771F0E0-C0AC-4977-97D7-6CCA4D9AA339}"/>
    <cellStyle name="Normal 2 2 7 2 7 2" xfId="8679" xr:uid="{0C570D39-C3EB-435E-96B0-04A4C5B12501}"/>
    <cellStyle name="Normal 2 2 7 2 7 2 2" xfId="19059" xr:uid="{48824E7D-FEE0-4B8B-AE88-C8DEE2217EA4}"/>
    <cellStyle name="Normal 2 2 7 2 7 3" xfId="11512" xr:uid="{1299A268-0595-4B2F-A6DE-39BA0E2E8536}"/>
    <cellStyle name="Normal 2 2 7 2 7 3 2" xfId="21892" xr:uid="{887E6F02-517A-43A6-8954-2FC1E9DA644D}"/>
    <cellStyle name="Normal 2 2 7 2 7 4" xfId="16226" xr:uid="{94FED017-C12D-47E2-A831-420BF6B109B2}"/>
    <cellStyle name="Normal 2 2 7 2 8" xfId="5124" xr:uid="{ADAE79B2-4B97-4577-89B0-127316D79130}"/>
    <cellStyle name="Normal 2 2 7 2 8 2" xfId="14421" xr:uid="{CE00637D-9DCD-4172-9738-12F69E7ACD9A}"/>
    <cellStyle name="Normal 2 2 7 2 9" xfId="6874" xr:uid="{4FACCF4B-8810-4D34-B90E-8A139B2A6C5C}"/>
    <cellStyle name="Normal 2 2 7 2 9 2" xfId="17254" xr:uid="{FD74E31E-4DE3-469F-9005-4292C928A904}"/>
    <cellStyle name="Normal 2 2 7 3" xfId="772" xr:uid="{00000000-0005-0000-0000-0000B0040000}"/>
    <cellStyle name="Normal 2 2 7 3 10" xfId="23007" xr:uid="{F17254B3-5808-4371-AB5E-AFEDFD4B5483}"/>
    <cellStyle name="Normal 2 2 7 3 11" xfId="12723" xr:uid="{178C3338-824D-4C4A-8A4E-D25A680F0A44}"/>
    <cellStyle name="Normal 2 2 7 3 2" xfId="2736" xr:uid="{00000000-0005-0000-0000-00003E040000}"/>
    <cellStyle name="Normal 2 2 7 3 2 2" xfId="3199" xr:uid="{00000000-0005-0000-0000-00003F040000}"/>
    <cellStyle name="Normal 2 2 7 3 2 2 2" xfId="6257" xr:uid="{1A212D7B-5846-4C44-AAAC-EBFBC95895B4}"/>
    <cellStyle name="Normal 2 2 7 3 2 2 2 2" xfId="27549" xr:uid="{F3E218AA-116F-45C5-86B0-CAD0C1827EF6}"/>
    <cellStyle name="Normal 2 2 7 3 2 2 2 3" xfId="15826" xr:uid="{3C4B6901-F247-4586-BE1B-C5C9D4C80ACA}"/>
    <cellStyle name="Normal 2 2 7 3 2 2 3" xfId="8279" xr:uid="{CA3C5097-3312-4E1C-A313-E9DC851AE2C4}"/>
    <cellStyle name="Normal 2 2 7 3 2 2 3 2" xfId="18659" xr:uid="{4F701770-DC31-413F-9135-9FE178093DCF}"/>
    <cellStyle name="Normal 2 2 7 3 2 2 4" xfId="11112" xr:uid="{789F14F5-2087-4FE2-9F62-717D858521BC}"/>
    <cellStyle name="Normal 2 2 7 3 2 2 4 2" xfId="21492" xr:uid="{4904FFD4-0B5B-499F-A0DA-8C684E0A2E6D}"/>
    <cellStyle name="Normal 2 2 7 3 2 2 5" xfId="24139" xr:uid="{0E5E244E-A51D-4D1E-8426-6A6B11BCF3E7}"/>
    <cellStyle name="Normal 2 2 7 3 2 2 6" xfId="13740" xr:uid="{E87C28D9-8A87-48F5-93CB-BCB19802B7CE}"/>
    <cellStyle name="Normal 2 2 7 3 2 3" xfId="4302" xr:uid="{EAF366F8-D447-4075-81DF-515D051DD7C2}"/>
    <cellStyle name="Normal 2 2 7 3 2 3 2" xfId="9074" xr:uid="{556CF877-2043-4BA3-B28F-234F15C1AEEA}"/>
    <cellStyle name="Normal 2 2 7 3 2 3 2 2" xfId="29117" xr:uid="{021A0685-800E-4150-8DAD-FE739C4E024A}"/>
    <cellStyle name="Normal 2 2 7 3 2 3 2 3" xfId="19454" xr:uid="{DD452560-2B8B-49DC-826C-6448540E28C2}"/>
    <cellStyle name="Normal 2 2 7 3 2 3 3" xfId="11907" xr:uid="{E7745375-D0FA-4318-B53C-3CDB4467A48B}"/>
    <cellStyle name="Normal 2 2 7 3 2 3 3 2" xfId="22287" xr:uid="{9EA5C9C2-28B6-4309-AF57-177710D515A7}"/>
    <cellStyle name="Normal 2 2 7 3 2 3 4" xfId="23550" xr:uid="{6897237D-6A89-4CCD-9989-063E5488F7C7}"/>
    <cellStyle name="Normal 2 2 7 3 2 3 5" xfId="16621" xr:uid="{A0E2F83C-CEF0-46C9-B482-21FDD2B95E65}"/>
    <cellStyle name="Normal 2 2 7 3 2 4" xfId="5954" xr:uid="{DE040285-1C97-4EC5-981F-0884DD59A246}"/>
    <cellStyle name="Normal 2 2 7 3 2 4 2" xfId="27343" xr:uid="{C304F024-8373-44EF-8702-1365F2D427CD}"/>
    <cellStyle name="Normal 2 2 7 3 2 4 3" xfId="15407" xr:uid="{83F001C6-1E3E-4BEF-A578-6A98F78A5346}"/>
    <cellStyle name="Normal 2 2 7 3 2 5" xfId="7860" xr:uid="{2339EDD1-F2C1-42F8-A2DB-FAD34473DCFC}"/>
    <cellStyle name="Normal 2 2 7 3 2 5 2" xfId="18240" xr:uid="{C8AD0386-3040-46F1-B645-6655476B4E1C}"/>
    <cellStyle name="Normal 2 2 7 3 2 6" xfId="10693" xr:uid="{4E2A75C5-D6E1-4366-B646-1EA5470A1E7B}"/>
    <cellStyle name="Normal 2 2 7 3 2 6 2" xfId="21073" xr:uid="{9B0F25AF-5BD6-4B90-A454-D00D5EA39529}"/>
    <cellStyle name="Normal 2 2 7 3 2 7" xfId="25134" xr:uid="{E830B5F4-CEBC-4DFD-B7C5-8C2032ABC27D}"/>
    <cellStyle name="Normal 2 2 7 3 2 8" xfId="13172" xr:uid="{DAF114F1-DD70-4554-94B8-AEA3F3E71683}"/>
    <cellStyle name="Normal 2 2 7 3 3" xfId="3200" xr:uid="{00000000-0005-0000-0000-000040040000}"/>
    <cellStyle name="Normal 2 2 7 3 3 2" xfId="4473" xr:uid="{0428E46A-93CA-416A-8A3D-64F2AF294697}"/>
    <cellStyle name="Normal 2 2 7 3 3 2 2" xfId="9245" xr:uid="{7F6CBD5B-9D8F-4693-97C1-702733C70EEF}"/>
    <cellStyle name="Normal 2 2 7 3 3 2 2 2" xfId="29234" xr:uid="{4E15FF19-501D-4EF1-9C91-2E64E0E8506B}"/>
    <cellStyle name="Normal 2 2 7 3 3 2 2 3" xfId="19625" xr:uid="{73AA55D1-3CF8-4142-979A-740880D272DD}"/>
    <cellStyle name="Normal 2 2 7 3 3 2 3" xfId="12078" xr:uid="{DE2C7111-8310-472C-9C0D-BDF10E297E82}"/>
    <cellStyle name="Normal 2 2 7 3 3 2 3 2" xfId="22458" xr:uid="{27BD705E-F3E4-4F7C-996B-87B1BC251D6C}"/>
    <cellStyle name="Normal 2 2 7 3 3 2 4" xfId="24393" xr:uid="{58A0A0B9-BE64-483A-ABB4-854BC81CB446}"/>
    <cellStyle name="Normal 2 2 7 3 3 2 5" xfId="16792" xr:uid="{6C66086D-972D-42D1-8497-F58F520E4481}"/>
    <cellStyle name="Normal 2 2 7 3 3 3" xfId="6258" xr:uid="{D940372C-13D7-4285-9FDE-3B180C7240FF}"/>
    <cellStyle name="Normal 2 2 7 3 3 3 2" xfId="27757" xr:uid="{F28E13FF-310C-4A09-BC29-966A74D8A060}"/>
    <cellStyle name="Normal 2 2 7 3 3 3 3" xfId="15827" xr:uid="{7BCAF169-B59A-4731-AF05-776ADEDAE458}"/>
    <cellStyle name="Normal 2 2 7 3 3 4" xfId="8280" xr:uid="{C8B16FE4-4C61-4173-A19E-762D85240BFE}"/>
    <cellStyle name="Normal 2 2 7 3 3 4 2" xfId="18660" xr:uid="{347D0C6D-BD62-4E72-8C14-0AA1A467D708}"/>
    <cellStyle name="Normal 2 2 7 3 3 5" xfId="11113" xr:uid="{73022351-1C26-4939-AA38-289D77681BAD}"/>
    <cellStyle name="Normal 2 2 7 3 3 5 2" xfId="21493" xr:uid="{D838C5FD-0A15-4C6C-A084-82D9C901D236}"/>
    <cellStyle name="Normal 2 2 7 3 3 6" xfId="24001" xr:uid="{EDDCD52D-04C6-4A80-B038-2BF9C8415521}"/>
    <cellStyle name="Normal 2 2 7 3 3 7" xfId="13741" xr:uid="{7A73E4B7-EDEC-4FA0-8605-ADE538C01436}"/>
    <cellStyle name="Normal 2 2 7 3 4" xfId="3198" xr:uid="{00000000-0005-0000-0000-000041040000}"/>
    <cellStyle name="Normal 2 2 7 3 4 2" xfId="6256" xr:uid="{CF60C740-2E1F-4CDA-B4B6-BF87756449D4}"/>
    <cellStyle name="Normal 2 2 7 3 4 2 2" xfId="28393" xr:uid="{E8B8B9A0-5C61-4A77-A708-D915FD490F3B}"/>
    <cellStyle name="Normal 2 2 7 3 4 2 3" xfId="15825" xr:uid="{B7F0F487-D0C5-4F3F-9339-B478FB99E6AA}"/>
    <cellStyle name="Normal 2 2 7 3 4 3" xfId="8278" xr:uid="{2DBAAF1C-E8D3-4763-8820-5C030BFC6E29}"/>
    <cellStyle name="Normal 2 2 7 3 4 3 2" xfId="18658" xr:uid="{5AA4104F-80A6-4B4D-9D4D-25CF2EBC49CE}"/>
    <cellStyle name="Normal 2 2 7 3 4 4" xfId="11111" xr:uid="{A5022C64-CA5C-4256-9DC0-7C397D74943E}"/>
    <cellStyle name="Normal 2 2 7 3 4 4 2" xfId="21491" xr:uid="{6BDC3A3E-EE03-40BD-B52A-5ADF54128D69}"/>
    <cellStyle name="Normal 2 2 7 3 4 5" xfId="25563" xr:uid="{7B928967-CE5D-43D5-BB33-45736C0C119C}"/>
    <cellStyle name="Normal 2 2 7 3 4 6" xfId="13739" xr:uid="{394C640A-B5E2-4187-B7A5-490C8C461537}"/>
    <cellStyle name="Normal 2 2 7 3 5" xfId="2625" xr:uid="{00000000-0005-0000-0000-000042040000}"/>
    <cellStyle name="Normal 2 2 7 3 5 2" xfId="5887" xr:uid="{92CD74B9-44AB-49EB-BBE1-72D7E5630C7A}"/>
    <cellStyle name="Normal 2 2 7 3 5 2 2" xfId="26778" xr:uid="{0E0DCD71-F50E-424A-9F99-47DD45A2B674}"/>
    <cellStyle name="Normal 2 2 7 3 5 2 3" xfId="15297" xr:uid="{3F30FFEF-1A10-4243-A3EC-617D5088BDDA}"/>
    <cellStyle name="Normal 2 2 7 3 5 3" xfId="7750" xr:uid="{635E3C12-C886-44F6-9770-79ED6BFD1FC8}"/>
    <cellStyle name="Normal 2 2 7 3 5 3 2" xfId="18130" xr:uid="{F0ABDD48-8ABA-4593-94C5-CDB5D41E58DC}"/>
    <cellStyle name="Normal 2 2 7 3 5 4" xfId="10583" xr:uid="{17F5AA6E-126A-4164-9FEF-F05FAF4848F8}"/>
    <cellStyle name="Normal 2 2 7 3 5 4 2" xfId="20963" xr:uid="{199B1EF3-438D-427A-93F2-7478C7AA5889}"/>
    <cellStyle name="Normal 2 2 7 3 5 5" xfId="23745" xr:uid="{CC56BE07-5218-4782-8B3F-5BFD9E3B6494}"/>
    <cellStyle name="Normal 2 2 7 3 5 6" xfId="13013" xr:uid="{B4923DA2-90D7-4352-9E97-CED1C3F86706}"/>
    <cellStyle name="Normal 2 2 7 3 6" xfId="4165" xr:uid="{0EECCB69-E2A2-4D79-984C-AEA068311F16}"/>
    <cellStyle name="Normal 2 2 7 3 6 2" xfId="8937" xr:uid="{9C2642DB-2BEA-40C7-A32B-E7BCFF1109E9}"/>
    <cellStyle name="Normal 2 2 7 3 6 2 2" xfId="19317" xr:uid="{43F78813-33B4-4BF0-862C-D45B3E52C6CD}"/>
    <cellStyle name="Normal 2 2 7 3 6 3" xfId="11770" xr:uid="{7FB2A010-4F86-413B-A29B-80AFBA0C83FD}"/>
    <cellStyle name="Normal 2 2 7 3 6 3 2" xfId="22150" xr:uid="{33525C46-7CBE-4205-927F-564236BD8343}"/>
    <cellStyle name="Normal 2 2 7 3 6 4" xfId="23722" xr:uid="{9BC8BB49-D765-48C9-BE92-08F2EA7A9DBF}"/>
    <cellStyle name="Normal 2 2 7 3 6 5" xfId="16484" xr:uid="{82F6FC75-C16C-413E-B767-482378F3B21B}"/>
    <cellStyle name="Normal 2 2 7 3 7" xfId="5126" xr:uid="{5C452FFA-7910-4D62-A8A7-22BC1867080B}"/>
    <cellStyle name="Normal 2 2 7 3 7 2" xfId="14423" xr:uid="{71F07B88-DD81-4D19-B3F5-6CF54BC1094D}"/>
    <cellStyle name="Normal 2 2 7 3 8" xfId="6876" xr:uid="{90182203-014D-4FA0-B89A-F4D27942B154}"/>
    <cellStyle name="Normal 2 2 7 3 8 2" xfId="17256" xr:uid="{8238B354-BF9F-4916-9974-7AC3933B06CD}"/>
    <cellStyle name="Normal 2 2 7 3 9" xfId="9709" xr:uid="{B4C3058F-A649-4C9E-9CF8-5063027BD2D8}"/>
    <cellStyle name="Normal 2 2 7 3 9 2" xfId="20089" xr:uid="{4AFB8945-510C-491C-A8E1-1C9D343D4C3A}"/>
    <cellStyle name="Normal 2 2 7 4" xfId="773" xr:uid="{00000000-0005-0000-0000-0000B1040000}"/>
    <cellStyle name="Normal 2 2 7 4 2" xfId="3201" xr:uid="{00000000-0005-0000-0000-000044040000}"/>
    <cellStyle name="Normal 2 2 7 4 2 2" xfId="6259" xr:uid="{EA86242F-DE84-41B2-B4E2-49C3A6806F4C}"/>
    <cellStyle name="Normal 2 2 7 4 2 2 2" xfId="27955" xr:uid="{F130E72C-EF2A-4AE3-96A3-4BDBF9584015}"/>
    <cellStyle name="Normal 2 2 7 4 2 2 3" xfId="15828" xr:uid="{AB8DBCB1-FF55-4422-AE4F-23C7720312AB}"/>
    <cellStyle name="Normal 2 2 7 4 2 3" xfId="8281" xr:uid="{28C10E84-05C2-498D-82BA-F63707491383}"/>
    <cellStyle name="Normal 2 2 7 4 2 3 2" xfId="18661" xr:uid="{84627645-3648-4EA7-BD72-457DC4FED9D8}"/>
    <cellStyle name="Normal 2 2 7 4 2 4" xfId="11114" xr:uid="{D759EDC8-144E-4FCC-B7B5-6256B36E7E60}"/>
    <cellStyle name="Normal 2 2 7 4 2 4 2" xfId="21494" xr:uid="{F311C016-71CF-4462-93B6-AD713B647808}"/>
    <cellStyle name="Normal 2 2 7 4 2 5" xfId="24435" xr:uid="{16B3E47E-68E3-4CA5-A25D-F24AB1561C53}"/>
    <cellStyle name="Normal 2 2 7 4 2 6" xfId="13742" xr:uid="{F1B21C19-0682-443F-8D4E-BDB1C80126DC}"/>
    <cellStyle name="Normal 2 2 7 4 3" xfId="4300" xr:uid="{FB89EF37-5642-4DB4-9B87-78B865309E32}"/>
    <cellStyle name="Normal 2 2 7 4 3 2" xfId="9072" xr:uid="{58972D54-2C46-400B-B3FA-FDD33077E2A0}"/>
    <cellStyle name="Normal 2 2 7 4 3 2 2" xfId="29115" xr:uid="{3E47BE21-2C75-410C-A6C9-DD3FD87C6916}"/>
    <cellStyle name="Normal 2 2 7 4 3 2 3" xfId="19452" xr:uid="{8463DD5D-1757-4EA0-9D14-3534ED11B601}"/>
    <cellStyle name="Normal 2 2 7 4 3 3" xfId="11905" xr:uid="{099E216B-CFB5-4885-9F6B-81FA1976C52D}"/>
    <cellStyle name="Normal 2 2 7 4 3 3 2" xfId="22285" xr:uid="{FF8EC160-F987-4D10-98D0-422BEE8B6B95}"/>
    <cellStyle name="Normal 2 2 7 4 3 4" xfId="23425" xr:uid="{3AD3C7EB-4743-4B29-A5D0-0C459C1321C6}"/>
    <cellStyle name="Normal 2 2 7 4 3 5" xfId="16619" xr:uid="{4E8744E9-845E-436B-834F-356D56F91803}"/>
    <cellStyle name="Normal 2 2 7 4 4" xfId="5127" xr:uid="{BB82BBF1-892E-428D-B121-BE1B6A0F0770}"/>
    <cellStyle name="Normal 2 2 7 4 4 2" xfId="27315" xr:uid="{B6384FC8-584C-475B-A86A-E8E7D2A74AEB}"/>
    <cellStyle name="Normal 2 2 7 4 4 3" xfId="14424" xr:uid="{FA69E3F2-B838-4302-AE0D-B6EA475877A7}"/>
    <cellStyle name="Normal 2 2 7 4 5" xfId="6877" xr:uid="{DED2211D-BFE6-48E6-8FF2-55930132D76B}"/>
    <cellStyle name="Normal 2 2 7 4 5 2" xfId="17257" xr:uid="{470C8BE6-A3EE-4F87-A755-C79CAC7DCB94}"/>
    <cellStyle name="Normal 2 2 7 4 6" xfId="9710" xr:uid="{BCD325BF-24A9-435B-9AC8-82BF9A84298E}"/>
    <cellStyle name="Normal 2 2 7 4 6 2" xfId="20090" xr:uid="{5486DF0B-2ECE-43B1-AF13-431C9E6D04D1}"/>
    <cellStyle name="Normal 2 2 7 4 7" xfId="24458" xr:uid="{5D16B951-AF92-490D-9C68-F6E635E7BD61}"/>
    <cellStyle name="Normal 2 2 7 4 8" xfId="13170" xr:uid="{17041A68-1022-49C2-98E9-55807456AA15}"/>
    <cellStyle name="Normal 2 2 7 5" xfId="3202" xr:uid="{00000000-0005-0000-0000-000045040000}"/>
    <cellStyle name="Normal 2 2 7 5 2" xfId="4474" xr:uid="{F43CF885-6B3E-4233-B3EB-8EC307816EE0}"/>
    <cellStyle name="Normal 2 2 7 5 2 2" xfId="9246" xr:uid="{99C5D73E-8D59-42E6-9224-95D350907AA5}"/>
    <cellStyle name="Normal 2 2 7 5 2 2 2" xfId="29235" xr:uid="{D28169DF-F682-4D57-8E50-2BEBF72ADB7C}"/>
    <cellStyle name="Normal 2 2 7 5 2 2 3" xfId="19626" xr:uid="{911EB7F1-662E-467B-9B34-9D1B8475D22B}"/>
    <cellStyle name="Normal 2 2 7 5 2 3" xfId="12079" xr:uid="{36E12D49-82BF-46AF-871C-11FB898BFBEE}"/>
    <cellStyle name="Normal 2 2 7 5 2 3 2" xfId="22459" xr:uid="{C04B2735-E0AA-497B-8422-E367EF58C9F7}"/>
    <cellStyle name="Normal 2 2 7 5 2 4" xfId="25693" xr:uid="{2265BF51-5BC9-4777-B8E6-0889D80AE015}"/>
    <cellStyle name="Normal 2 2 7 5 2 5" xfId="16793" xr:uid="{36544D78-34B7-4DC8-990C-2DBB08710D08}"/>
    <cellStyle name="Normal 2 2 7 5 3" xfId="6260" xr:uid="{4D851889-4635-4508-8F66-E2721015AA19}"/>
    <cellStyle name="Normal 2 2 7 5 3 2" xfId="26239" xr:uid="{22637B2F-5841-439F-8B42-DC03C4B1CBE8}"/>
    <cellStyle name="Normal 2 2 7 5 3 3" xfId="15829" xr:uid="{6C442F8F-709D-41AD-83FC-99633E491AB7}"/>
    <cellStyle name="Normal 2 2 7 5 4" xfId="8282" xr:uid="{831A3850-70D5-4E84-A343-C00368EDD689}"/>
    <cellStyle name="Normal 2 2 7 5 4 2" xfId="18662" xr:uid="{C16F9157-9B3C-443E-9BDB-6FF37823E7B9}"/>
    <cellStyle name="Normal 2 2 7 5 5" xfId="11115" xr:uid="{5323322D-1828-4872-A0D0-B1C1DE137956}"/>
    <cellStyle name="Normal 2 2 7 5 5 2" xfId="21495" xr:uid="{7AFD68E4-4698-4CEB-AAD0-46CE8C566DB4}"/>
    <cellStyle name="Normal 2 2 7 5 6" xfId="24777" xr:uid="{19595CDC-3621-469D-8973-B52DF0990318}"/>
    <cellStyle name="Normal 2 2 7 5 7" xfId="13743" xr:uid="{8596851C-82E7-4787-9116-C2C662107F93}"/>
    <cellStyle name="Normal 2 2 7 6" xfId="2906" xr:uid="{00000000-0005-0000-0000-000046040000}"/>
    <cellStyle name="Normal 2 2 7 6 2" xfId="6092" xr:uid="{DA57989B-564A-4C1A-9D05-AE50DD18F86E}"/>
    <cellStyle name="Normal 2 2 7 6 2 2" xfId="27701" xr:uid="{F418126B-C980-4ECC-BE7C-18A8E2FADF60}"/>
    <cellStyle name="Normal 2 2 7 6 2 3" xfId="15570" xr:uid="{22B65360-BC90-4835-B939-315CDBC5A152}"/>
    <cellStyle name="Normal 2 2 7 6 3" xfId="8023" xr:uid="{CB3E4E3C-6CDC-4F35-9634-4C0B1E25404F}"/>
    <cellStyle name="Normal 2 2 7 6 3 2" xfId="18403" xr:uid="{2D552C60-2259-4C2D-A185-267CAB265DF4}"/>
    <cellStyle name="Normal 2 2 7 6 4" xfId="10856" xr:uid="{CF9A6020-EF53-46F0-9D9B-EC6F1A1DA70A}"/>
    <cellStyle name="Normal 2 2 7 6 4 2" xfId="21236" xr:uid="{FCBF4E9B-F8D3-4C41-B78E-2150FF51224B}"/>
    <cellStyle name="Normal 2 2 7 6 5" xfId="25340" xr:uid="{0441A294-413D-4AAF-BD16-AC300834E672}"/>
    <cellStyle name="Normal 2 2 7 6 6" xfId="13421" xr:uid="{F450886F-2E7C-48CC-A33D-E6A3B3C2BC1E}"/>
    <cellStyle name="Normal 2 2 7 7" xfId="2462" xr:uid="{00000000-0005-0000-0000-000047040000}"/>
    <cellStyle name="Normal 2 2 7 7 2" xfId="5753" xr:uid="{2E6284A3-7195-4AB7-A4FB-C092FA1EAF45}"/>
    <cellStyle name="Normal 2 2 7 7 2 2" xfId="26668" xr:uid="{15808563-0C2E-477A-AA67-BC75561D798B}"/>
    <cellStyle name="Normal 2 2 7 7 2 3" xfId="15134" xr:uid="{A4BAD895-AF33-4EF9-BD97-047C99E8F55E}"/>
    <cellStyle name="Normal 2 2 7 7 3" xfId="7587" xr:uid="{645F3ECB-47CB-43FD-93B1-D80F647453B9}"/>
    <cellStyle name="Normal 2 2 7 7 3 2" xfId="17967" xr:uid="{5276B6E8-F14B-47DA-9795-8A1D24063B5E}"/>
    <cellStyle name="Normal 2 2 7 7 4" xfId="10420" xr:uid="{32FB7C96-3693-4BBB-87D3-F468EA2058C6}"/>
    <cellStyle name="Normal 2 2 7 7 4 2" xfId="20800" xr:uid="{00B40404-8E65-48CD-AB16-729DDAF8B967}"/>
    <cellStyle name="Normal 2 2 7 7 5" xfId="22820" xr:uid="{F5302D9A-7717-43A3-9991-538FB9F931D8}"/>
    <cellStyle name="Normal 2 2 7 7 6" xfId="12850" xr:uid="{F4F92005-4B46-4882-86F0-AA33BE952BAB}"/>
    <cellStyle name="Normal 2 2 7 8" xfId="2216" xr:uid="{00000000-0005-0000-0000-000036040000}"/>
    <cellStyle name="Normal 2 2 7 8 2" xfId="7343" xr:uid="{119F46DF-C067-41EC-8126-38A40487FA8C}"/>
    <cellStyle name="Normal 2 2 7 8 2 2" xfId="17723" xr:uid="{ED305A55-2D9A-46DD-BA47-AF220451757E}"/>
    <cellStyle name="Normal 2 2 7 8 3" xfId="10176" xr:uid="{9D697A6F-542C-4ED6-AF67-5B61BA0FD18E}"/>
    <cellStyle name="Normal 2 2 7 8 3 2" xfId="20556" xr:uid="{9890D317-D2F7-49F4-9663-26A6115E9037}"/>
    <cellStyle name="Normal 2 2 7 8 4" xfId="23832" xr:uid="{DA775B2D-7C2D-4E4F-A457-253B653B3263}"/>
    <cellStyle name="Normal 2 2 7 8 5" xfId="14890" xr:uid="{6016B299-4532-427C-8DBF-F49EBF94FEEE}"/>
    <cellStyle name="Normal 2 2 7 9" xfId="3938" xr:uid="{730B2415-7D0E-4777-BD3F-FD5EA860EFA8}"/>
    <cellStyle name="Normal 2 2 7 9 2" xfId="8770" xr:uid="{DE422D28-9071-46E0-8C78-715B420E7E8C}"/>
    <cellStyle name="Normal 2 2 7 9 2 2" xfId="19150" xr:uid="{69C561B9-5447-412B-8367-27A315462274}"/>
    <cellStyle name="Normal 2 2 7 9 3" xfId="11603" xr:uid="{2B1B7C93-75A1-4EFE-A9FD-2E389EEAE17E}"/>
    <cellStyle name="Normal 2 2 7 9 3 2" xfId="21983" xr:uid="{647ECAF7-2087-4270-B0FC-26A8F245DCBA}"/>
    <cellStyle name="Normal 2 2 7 9 4" xfId="16317" xr:uid="{56E29E40-D477-49BB-A1DB-B1585FB89744}"/>
    <cellStyle name="Normal 2 2 8" xfId="774" xr:uid="{00000000-0005-0000-0000-0000B2040000}"/>
    <cellStyle name="Normal 2 2 8 10" xfId="6878" xr:uid="{628BD07A-D930-4CD2-A940-69AD564921B7}"/>
    <cellStyle name="Normal 2 2 8 10 2" xfId="17258" xr:uid="{D8B97DC8-7635-465A-856A-2FA87A0AFF44}"/>
    <cellStyle name="Normal 2 2 8 11" xfId="9711" xr:uid="{F14EE70F-160D-4DA3-A3D4-9BC7D49B5D6B}"/>
    <cellStyle name="Normal 2 2 8 11 2" xfId="20091" xr:uid="{67B869A9-2EAC-4101-B81E-0B6A04DB9C7A}"/>
    <cellStyle name="Normal 2 2 8 12" xfId="25320" xr:uid="{8BBC2563-7EB3-4F0B-B448-C24827850FBF}"/>
    <cellStyle name="Normal 2 2 8 13" xfId="12431" xr:uid="{F2398DB6-92A6-4E09-8CEA-7C4D685124A0}"/>
    <cellStyle name="Normal 2 2 8 2" xfId="775" xr:uid="{00000000-0005-0000-0000-0000B3040000}"/>
    <cellStyle name="Normal 2 2 8 2 10" xfId="9712" xr:uid="{2E8E1B31-05C3-4FE9-9EA3-A11E18571BCB}"/>
    <cellStyle name="Normal 2 2 8 2 10 2" xfId="20092" xr:uid="{65A4362D-0852-4578-B5E2-C59DB0DE1260}"/>
    <cellStyle name="Normal 2 2 8 2 11" xfId="22651" xr:uid="{EE2F466C-BF6B-4568-ACBB-F9CA7F522928}"/>
    <cellStyle name="Normal 2 2 8 2 12" xfId="12566" xr:uid="{32E0DBA3-74D1-4471-9210-559060BCEC89}"/>
    <cellStyle name="Normal 2 2 8 2 2" xfId="776" xr:uid="{00000000-0005-0000-0000-0000B4040000}"/>
    <cellStyle name="Normal 2 2 8 2 2 2" xfId="3204" xr:uid="{00000000-0005-0000-0000-00004B040000}"/>
    <cellStyle name="Normal 2 2 8 2 2 2 2" xfId="6262" xr:uid="{AD7F9C5A-5E3B-40DC-9854-FDA24E5AF8DB}"/>
    <cellStyle name="Normal 2 2 8 2 2 2 2 2" xfId="25878" xr:uid="{E730DD8D-3F10-49FC-A895-5577D56DF90B}"/>
    <cellStyle name="Normal 2 2 8 2 2 2 2 3" xfId="27616" xr:uid="{939AE3EF-EE41-49B2-BBEB-DDE8EBBE629B}"/>
    <cellStyle name="Normal 2 2 8 2 2 2 2 4" xfId="15831" xr:uid="{466C9F48-8078-4AB5-B0A3-09B931C02DB0}"/>
    <cellStyle name="Normal 2 2 8 2 2 2 3" xfId="8284" xr:uid="{01B25D7D-B9CB-4313-9A55-D93C96704B92}"/>
    <cellStyle name="Normal 2 2 8 2 2 2 3 2" xfId="28883" xr:uid="{ADA3744A-7B68-4CE9-B787-2C2419DFDC4A}"/>
    <cellStyle name="Normal 2 2 8 2 2 2 3 3" xfId="18664" xr:uid="{A25F16EE-717B-475B-A5B5-2AA233EEB4AE}"/>
    <cellStyle name="Normal 2 2 8 2 2 2 4" xfId="11117" xr:uid="{E96C8554-8CF2-4170-AA1D-C245115615EC}"/>
    <cellStyle name="Normal 2 2 8 2 2 2 4 2" xfId="21497" xr:uid="{563CFB1D-1936-44BB-BD04-BBB7C4F5B7B6}"/>
    <cellStyle name="Normal 2 2 8 2 2 2 5" xfId="24177" xr:uid="{C0032DE9-A102-4F49-B63C-0CC0E1C338C0}"/>
    <cellStyle name="Normal 2 2 8 2 2 2 6" xfId="13745" xr:uid="{53A835B4-D170-4264-B454-1536B8D45EE1}"/>
    <cellStyle name="Normal 2 2 8 2 2 3" xfId="4303" xr:uid="{1FFE8655-55F3-4269-83C8-334A040FEC77}"/>
    <cellStyle name="Normal 2 2 8 2 2 3 2" xfId="9075" xr:uid="{6AE2C6FE-F53C-447D-AC47-C1657D57F2A1}"/>
    <cellStyle name="Normal 2 2 8 2 2 3 2 2" xfId="29118" xr:uid="{E7C3450E-2F33-4EAF-BE7B-432C4B18638F}"/>
    <cellStyle name="Normal 2 2 8 2 2 3 2 3" xfId="19455" xr:uid="{AFF2C6CB-6ED1-4C43-B328-DCF262F4C661}"/>
    <cellStyle name="Normal 2 2 8 2 2 3 3" xfId="11908" xr:uid="{44D4E787-4053-4D74-9147-70403D1E4BE0}"/>
    <cellStyle name="Normal 2 2 8 2 2 3 3 2" xfId="22288" xr:uid="{71633322-84F1-43F9-A310-AA1C9C15F19D}"/>
    <cellStyle name="Normal 2 2 8 2 2 3 4" xfId="24902" xr:uid="{A33F61B1-B2E4-49D0-A3BA-19C1F03A202B}"/>
    <cellStyle name="Normal 2 2 8 2 2 3 5" xfId="16622" xr:uid="{53B62D12-7ADC-4437-99D4-4D8ADE7D2990}"/>
    <cellStyle name="Normal 2 2 8 2 2 4" xfId="5130" xr:uid="{EF44E616-FCEF-4B61-B126-F41F814B1672}"/>
    <cellStyle name="Normal 2 2 8 2 2 4 2" xfId="26241" xr:uid="{C764AC65-430F-4028-AAB3-796B0F36B950}"/>
    <cellStyle name="Normal 2 2 8 2 2 4 3" xfId="14427" xr:uid="{098E2349-6E86-4C89-BCF2-9C6B794781F3}"/>
    <cellStyle name="Normal 2 2 8 2 2 5" xfId="6880" xr:uid="{09AEA82C-8297-4AE8-829C-747CBFFFB293}"/>
    <cellStyle name="Normal 2 2 8 2 2 5 2" xfId="17260" xr:uid="{637648A9-C576-444E-B4B3-A55EBC3FB424}"/>
    <cellStyle name="Normal 2 2 8 2 2 6" xfId="9713" xr:uid="{D6A3D852-B06A-4D55-AEF5-09C7BBE20F04}"/>
    <cellStyle name="Normal 2 2 8 2 2 6 2" xfId="20093" xr:uid="{126B0F5F-33D7-4CFA-B3CB-3F540B22047E}"/>
    <cellStyle name="Normal 2 2 8 2 2 7" xfId="23535" xr:uid="{AC6CAC62-C341-4C3D-A142-6E1FA8DC2778}"/>
    <cellStyle name="Normal 2 2 8 2 2 8" xfId="13174" xr:uid="{89A8D227-72D1-4F88-9AB5-0EBC5A5B2745}"/>
    <cellStyle name="Normal 2 2 8 2 3" xfId="3205" xr:uid="{00000000-0005-0000-0000-00004C040000}"/>
    <cellStyle name="Normal 2 2 8 2 3 2" xfId="4475" xr:uid="{B79F63A2-A715-4B21-A3BE-9628464F7014}"/>
    <cellStyle name="Normal 2 2 8 2 3 2 2" xfId="9247" xr:uid="{6F952480-3FDB-414C-B6CA-44F4ED28A849}"/>
    <cellStyle name="Normal 2 2 8 2 3 2 2 2" xfId="29236" xr:uid="{B837C5AA-2511-403E-BF9C-3C00737E91DD}"/>
    <cellStyle name="Normal 2 2 8 2 3 2 2 3" xfId="19627" xr:uid="{4B56D94F-7580-45FB-AC07-B28A6D1E6754}"/>
    <cellStyle name="Normal 2 2 8 2 3 2 3" xfId="12080" xr:uid="{7EBB8DCB-5068-4C64-936B-792200931A9C}"/>
    <cellStyle name="Normal 2 2 8 2 3 2 3 2" xfId="22460" xr:uid="{3D3BD81C-C557-4D5D-A9A7-90DEC679FD60}"/>
    <cellStyle name="Normal 2 2 8 2 3 2 4" xfId="23837" xr:uid="{C1692201-4612-4F99-B5D7-7B62E1BBF460}"/>
    <cellStyle name="Normal 2 2 8 2 3 2 5" xfId="16794" xr:uid="{9E6B0EF0-1544-4F38-8798-56F7FADF95B7}"/>
    <cellStyle name="Normal 2 2 8 2 3 3" xfId="6263" xr:uid="{F103B7AA-0002-4F7D-B285-E2D5C6FB343A}"/>
    <cellStyle name="Normal 2 2 8 2 3 3 2" xfId="25939" xr:uid="{F2D9A890-7170-4A20-B246-CAF9D59A5391}"/>
    <cellStyle name="Normal 2 2 8 2 3 3 3" xfId="15832" xr:uid="{BF862549-28D1-4806-8608-B1D17D8BDCC7}"/>
    <cellStyle name="Normal 2 2 8 2 3 4" xfId="8285" xr:uid="{E5ACE763-E8C4-4486-B72A-9E4EA89C7A8D}"/>
    <cellStyle name="Normal 2 2 8 2 3 4 2" xfId="18665" xr:uid="{F07F7485-9F1A-47BA-B018-765D152C6523}"/>
    <cellStyle name="Normal 2 2 8 2 3 5" xfId="11118" xr:uid="{E8D85AC4-EA72-4E3C-BA1A-C7ADC1E0DD3C}"/>
    <cellStyle name="Normal 2 2 8 2 3 5 2" xfId="21498" xr:uid="{09C0A0EA-6124-4D58-945C-EBB99BB5FAC7}"/>
    <cellStyle name="Normal 2 2 8 2 3 6" xfId="24808" xr:uid="{C89F7E85-6CAF-4A73-B1CB-D0E28020C5ED}"/>
    <cellStyle name="Normal 2 2 8 2 3 7" xfId="13746" xr:uid="{E2CABDA1-9B3F-41E5-BED0-604309B159DF}"/>
    <cellStyle name="Normal 2 2 8 2 4" xfId="3203" xr:uid="{00000000-0005-0000-0000-00004D040000}"/>
    <cellStyle name="Normal 2 2 8 2 4 2" xfId="6261" xr:uid="{00BDF592-F8ED-4918-8803-E44F81D1262F}"/>
    <cellStyle name="Normal 2 2 8 2 4 2 2" xfId="25845" xr:uid="{DAE43E84-2D15-410B-AAC9-BEFD8622CCD5}"/>
    <cellStyle name="Normal 2 2 8 2 4 2 3" xfId="15830" xr:uid="{A867CFCC-A18F-4100-8B17-18C1AF35D78F}"/>
    <cellStyle name="Normal 2 2 8 2 4 3" xfId="8283" xr:uid="{B9C08851-865A-4B86-A777-1121A9A65835}"/>
    <cellStyle name="Normal 2 2 8 2 4 3 2" xfId="18663" xr:uid="{96E36747-C293-4AED-A379-63C7E2ED0EB0}"/>
    <cellStyle name="Normal 2 2 8 2 4 4" xfId="11116" xr:uid="{C12C189B-1E98-4A23-B57A-DBAEE45CEB38}"/>
    <cellStyle name="Normal 2 2 8 2 4 4 2" xfId="21496" xr:uid="{D35EE70B-DE62-448F-BC2A-483C0629E5A9}"/>
    <cellStyle name="Normal 2 2 8 2 4 5" xfId="23812" xr:uid="{BC432C4B-B5D4-45F1-A098-40E096DB7C08}"/>
    <cellStyle name="Normal 2 2 8 2 4 6" xfId="13744" xr:uid="{DCA3EA7E-3623-4E6F-9B7D-414E8CFE2DEB}"/>
    <cellStyle name="Normal 2 2 8 2 5" xfId="2608" xr:uid="{00000000-0005-0000-0000-00004E040000}"/>
    <cellStyle name="Normal 2 2 8 2 5 2" xfId="5872" xr:uid="{2158CB03-382E-4154-84CF-297635431937}"/>
    <cellStyle name="Normal 2 2 8 2 5 2 2" xfId="26864" xr:uid="{8D95AE1F-7280-46BC-910E-DCA5B1645248}"/>
    <cellStyle name="Normal 2 2 8 2 5 2 3" xfId="15280" xr:uid="{3939FE5E-D725-4F1D-9D71-725A3C5C4C3B}"/>
    <cellStyle name="Normal 2 2 8 2 5 3" xfId="7733" xr:uid="{F4FC430F-0F3A-4A14-9461-867A83D045E9}"/>
    <cellStyle name="Normal 2 2 8 2 5 3 2" xfId="18113" xr:uid="{94929340-B51F-48CD-AD23-3E649F9F02D2}"/>
    <cellStyle name="Normal 2 2 8 2 5 4" xfId="10566" xr:uid="{2D5F3208-AE2B-49D3-BBF3-28D50CE40CF4}"/>
    <cellStyle name="Normal 2 2 8 2 5 4 2" xfId="20946" xr:uid="{8E647BA0-58F9-44E3-8560-D7245A82E6F3}"/>
    <cellStyle name="Normal 2 2 8 2 5 5" xfId="22797" xr:uid="{AC31583B-A675-4131-AD03-A29CA722448A}"/>
    <cellStyle name="Normal 2 2 8 2 5 6" xfId="12996" xr:uid="{4C44059D-138B-42F6-A4E1-87AAD4C2938A}"/>
    <cellStyle name="Normal 2 2 8 2 6" xfId="2332" xr:uid="{00000000-0005-0000-0000-000049040000}"/>
    <cellStyle name="Normal 2 2 8 2 6 2" xfId="7459" xr:uid="{3AA901C1-0822-4B28-A516-503B037C2030}"/>
    <cellStyle name="Normal 2 2 8 2 6 2 2" xfId="17839" xr:uid="{F2220739-898B-4866-A055-C32C8E328486}"/>
    <cellStyle name="Normal 2 2 8 2 6 3" xfId="10292" xr:uid="{9D4856D8-5F64-40B9-A821-52A1A4F7F348}"/>
    <cellStyle name="Normal 2 2 8 2 6 3 2" xfId="20672" xr:uid="{3CD42492-4DA1-4141-8AC7-40E799C5F97D}"/>
    <cellStyle name="Normal 2 2 8 2 6 4" xfId="24021" xr:uid="{088F61CA-E37A-4075-BA0A-E940FF2C1253}"/>
    <cellStyle name="Normal 2 2 8 2 6 5" xfId="15006" xr:uid="{3F02CA74-B058-44D3-9E13-ECAE3FFA3E36}"/>
    <cellStyle name="Normal 2 2 8 2 7" xfId="3847" xr:uid="{6A49327A-3862-4542-9177-0AF47BCAA334}"/>
    <cellStyle name="Normal 2 2 8 2 7 2" xfId="8680" xr:uid="{BB11D339-3294-4E5E-93BC-363044C6AD61}"/>
    <cellStyle name="Normal 2 2 8 2 7 2 2" xfId="19060" xr:uid="{672ACB02-E131-4912-A65A-C985E34D56FB}"/>
    <cellStyle name="Normal 2 2 8 2 7 3" xfId="11513" xr:uid="{3433FEE8-69AE-4718-B7A5-DE65C3900C01}"/>
    <cellStyle name="Normal 2 2 8 2 7 3 2" xfId="21893" xr:uid="{688BBCCB-3380-47C5-B0BC-470EC18C4240}"/>
    <cellStyle name="Normal 2 2 8 2 7 4" xfId="16227" xr:uid="{AB074805-6BDA-41A1-B685-E4E896C027AC}"/>
    <cellStyle name="Normal 2 2 8 2 8" xfId="5129" xr:uid="{2EF62492-BFF2-4C41-ADBB-8135D3993D9D}"/>
    <cellStyle name="Normal 2 2 8 2 8 2" xfId="14426" xr:uid="{3544151C-8FE4-4BC6-A82E-019C0F7B9799}"/>
    <cellStyle name="Normal 2 2 8 2 9" xfId="6879" xr:uid="{5748C84E-41B0-4273-98C8-35E79BD84EF0}"/>
    <cellStyle name="Normal 2 2 8 2 9 2" xfId="17259" xr:uid="{14684CC9-A457-441B-B6A9-3F9C63964AC6}"/>
    <cellStyle name="Normal 2 2 8 3" xfId="777" xr:uid="{00000000-0005-0000-0000-0000B5040000}"/>
    <cellStyle name="Normal 2 2 8 3 2" xfId="3206" xr:uid="{00000000-0005-0000-0000-000050040000}"/>
    <cellStyle name="Normal 2 2 8 3 2 2" xfId="6264" xr:uid="{484994DE-EA3F-48CE-8C82-D9A34BD5D050}"/>
    <cellStyle name="Normal 2 2 8 3 2 2 2" xfId="25498" xr:uid="{9976E747-9C6D-4AA6-B81C-9C316A07E5F6}"/>
    <cellStyle name="Normal 2 2 8 3 2 2 3" xfId="26970" xr:uid="{F603F650-3DB7-4DA7-93A3-8D9FE2123AFF}"/>
    <cellStyle name="Normal 2 2 8 3 2 2 4" xfId="15833" xr:uid="{BFE0CFD8-BEAB-47DA-9195-84B09ED06AAE}"/>
    <cellStyle name="Normal 2 2 8 3 2 3" xfId="8286" xr:uid="{51A4D7D6-C0D2-43D5-85D4-EA446260D201}"/>
    <cellStyle name="Normal 2 2 8 3 2 3 2" xfId="28884" xr:uid="{4215C2A4-6596-45F2-BD61-68A9C65B0F2D}"/>
    <cellStyle name="Normal 2 2 8 3 2 3 3" xfId="18666" xr:uid="{A3A2E13C-311D-4FE2-A204-3EAFFDBE5612}"/>
    <cellStyle name="Normal 2 2 8 3 2 4" xfId="11119" xr:uid="{FFA795C0-AD39-4FE5-B0D8-5A19308E89B3}"/>
    <cellStyle name="Normal 2 2 8 3 2 4 2" xfId="21499" xr:uid="{F4A5942B-C24E-41C1-90FC-536AA55614DF}"/>
    <cellStyle name="Normal 2 2 8 3 2 5" xfId="24117" xr:uid="{E0E67E6E-E546-40B5-96DB-A817EB89A89D}"/>
    <cellStyle name="Normal 2 2 8 3 2 6" xfId="13747" xr:uid="{9D2CA8CC-2B5E-413C-ACCD-4099D1B875B7}"/>
    <cellStyle name="Normal 2 2 8 3 3" xfId="2737" xr:uid="{00000000-0005-0000-0000-000051040000}"/>
    <cellStyle name="Normal 2 2 8 3 3 2" xfId="5955" xr:uid="{630E4BC0-EF5B-4545-9D87-3B4644C75384}"/>
    <cellStyle name="Normal 2 2 8 3 3 2 2" xfId="28087" xr:uid="{3ED1D39F-0F11-4148-A98E-A4210E6D00B2}"/>
    <cellStyle name="Normal 2 2 8 3 3 2 3" xfId="15408" xr:uid="{3119C0F1-0AA0-4FE4-9F46-261DFD366530}"/>
    <cellStyle name="Normal 2 2 8 3 3 3" xfId="7861" xr:uid="{A467FD2F-47A1-4B7C-8683-284542929F18}"/>
    <cellStyle name="Normal 2 2 8 3 3 3 2" xfId="18241" xr:uid="{E44A229C-2533-411A-B532-D794FAC320EF}"/>
    <cellStyle name="Normal 2 2 8 3 3 4" xfId="10694" xr:uid="{63E92958-F63F-4843-AEE9-D7553DC9EA1E}"/>
    <cellStyle name="Normal 2 2 8 3 3 4 2" xfId="21074" xr:uid="{7F2A1A78-DFE7-441B-BBCE-B8B4C2514206}"/>
    <cellStyle name="Normal 2 2 8 3 3 5" xfId="22902" xr:uid="{2BEF5312-252E-4369-A6B3-169E222B0AFC}"/>
    <cellStyle name="Normal 2 2 8 3 3 6" xfId="13173" xr:uid="{2B192A59-C2D0-420D-A594-224E758F4C75}"/>
    <cellStyle name="Normal 2 2 8 3 4" xfId="4166" xr:uid="{5BEFE4C8-65F9-485E-B282-F87ACA3FCC55}"/>
    <cellStyle name="Normal 2 2 8 3 4 2" xfId="8938" xr:uid="{88DADD39-5568-426E-8F44-EA1914AAAE4C}"/>
    <cellStyle name="Normal 2 2 8 3 4 2 2" xfId="29033" xr:uid="{931954E9-0975-4F47-819C-F66340C1D0B8}"/>
    <cellStyle name="Normal 2 2 8 3 4 2 3" xfId="19318" xr:uid="{450B9D57-B6DD-4AE9-9E87-F372C2B4131E}"/>
    <cellStyle name="Normal 2 2 8 3 4 3" xfId="11771" xr:uid="{ACA7C7BB-0011-479E-9B26-D5F22ED0AB35}"/>
    <cellStyle name="Normal 2 2 8 3 4 3 2" xfId="22151" xr:uid="{E6618A83-CE86-4EB8-8D89-E3E1E39BD214}"/>
    <cellStyle name="Normal 2 2 8 3 4 4" xfId="25101" xr:uid="{97A2201C-2CB2-44A7-8D68-B368E0DE0280}"/>
    <cellStyle name="Normal 2 2 8 3 4 5" xfId="16485" xr:uid="{7A385FD1-0DF7-400E-B11A-8C7175A257A8}"/>
    <cellStyle name="Normal 2 2 8 3 5" xfId="5131" xr:uid="{DF114792-7895-4047-A09B-5C89DDFA98E8}"/>
    <cellStyle name="Normal 2 2 8 3 5 2" xfId="27900" xr:uid="{B9481CD4-049F-44F9-8FAD-4606DF390BA1}"/>
    <cellStyle name="Normal 2 2 8 3 5 3" xfId="14428" xr:uid="{4A0890B8-7A3F-4CBD-9460-A2FA5E09DC94}"/>
    <cellStyle name="Normal 2 2 8 3 6" xfId="6881" xr:uid="{006F0DA1-1F6A-4EB7-976E-B973796EA551}"/>
    <cellStyle name="Normal 2 2 8 3 6 2" xfId="17261" xr:uid="{B29809A2-92CE-42F6-AFC4-1DAEDBBB71C8}"/>
    <cellStyle name="Normal 2 2 8 3 7" xfId="9714" xr:uid="{523ADCC1-833D-4334-B19D-A371030594A8}"/>
    <cellStyle name="Normal 2 2 8 3 7 2" xfId="20094" xr:uid="{739A1ED2-858E-4703-9DBA-85B29C923FE6}"/>
    <cellStyle name="Normal 2 2 8 3 8" xfId="25341" xr:uid="{6817A934-B529-48A1-90A1-7FD175FC2BE1}"/>
    <cellStyle name="Normal 2 2 8 3 9" xfId="12724" xr:uid="{8FEAC656-B6C6-4CE5-9B2C-A216EF72EB2B}"/>
    <cellStyle name="Normal 2 2 8 4" xfId="778" xr:uid="{00000000-0005-0000-0000-0000B6040000}"/>
    <cellStyle name="Normal 2 2 8 4 2" xfId="4476" xr:uid="{23BDA9D2-ED53-4349-B69E-777DC5DF5162}"/>
    <cellStyle name="Normal 2 2 8 4 2 2" xfId="9248" xr:uid="{A430A709-9030-4D73-931E-6F1256FBFA5F}"/>
    <cellStyle name="Normal 2 2 8 4 2 2 2" xfId="29237" xr:uid="{FE0170C3-C567-4A19-90EC-BC3BF21B4053}"/>
    <cellStyle name="Normal 2 2 8 4 2 2 3" xfId="19628" xr:uid="{8A65A7C9-A81D-4D59-8579-1E0BE15BDC7F}"/>
    <cellStyle name="Normal 2 2 8 4 2 3" xfId="12081" xr:uid="{2C09DC46-EBCE-4EAD-9D05-A84B236A22BC}"/>
    <cellStyle name="Normal 2 2 8 4 2 3 2" xfId="22461" xr:uid="{BC6D3A13-4A3C-4C92-AD0E-D9041AFABFFD}"/>
    <cellStyle name="Normal 2 2 8 4 2 4" xfId="24009" xr:uid="{5BDC0F6B-7EC9-4C60-8E23-4C4B54326329}"/>
    <cellStyle name="Normal 2 2 8 4 2 5" xfId="16795" xr:uid="{DFCF66E1-A4F1-4112-81A5-CDB9EDB5CF76}"/>
    <cellStyle name="Normal 2 2 8 4 3" xfId="5132" xr:uid="{F3526898-48F3-4DF9-8404-73791E45C928}"/>
    <cellStyle name="Normal 2 2 8 4 3 2" xfId="27671" xr:uid="{EF851C49-3683-4A11-B429-91D97E1FFACD}"/>
    <cellStyle name="Normal 2 2 8 4 3 3" xfId="14429" xr:uid="{E4474A2B-0F25-46BF-A33D-99CF2CD4B427}"/>
    <cellStyle name="Normal 2 2 8 4 4" xfId="6882" xr:uid="{75BE2C8F-B81B-47B1-BDB3-D934D63BF284}"/>
    <cellStyle name="Normal 2 2 8 4 4 2" xfId="17262" xr:uid="{3FBF1AF6-C024-4907-9467-995093BCB152}"/>
    <cellStyle name="Normal 2 2 8 4 5" xfId="9715" xr:uid="{9CA60E50-95F0-457D-B2B2-90F19A50F42C}"/>
    <cellStyle name="Normal 2 2 8 4 5 2" xfId="20095" xr:uid="{B48ECCE5-EABA-47C4-9D81-1577B95F8B10}"/>
    <cellStyle name="Normal 2 2 8 4 6" xfId="25572" xr:uid="{C3C4FC47-04A1-486C-A819-560E0366EFFB}"/>
    <cellStyle name="Normal 2 2 8 4 7" xfId="13748" xr:uid="{214523F0-F79D-4E0E-AB98-B5BD239E6C92}"/>
    <cellStyle name="Normal 2 2 8 5" xfId="2907" xr:uid="{00000000-0005-0000-0000-000053040000}"/>
    <cellStyle name="Normal 2 2 8 5 2" xfId="6093" xr:uid="{952333CD-1997-451D-B5B4-0329D188E463}"/>
    <cellStyle name="Normal 2 2 8 5 2 2" xfId="25578" xr:uid="{9BCEEE65-749B-4CC7-B67C-E8F68C6566ED}"/>
    <cellStyle name="Normal 2 2 8 5 2 3" xfId="26449" xr:uid="{0798626E-CF20-4BC8-9D44-05437B812187}"/>
    <cellStyle name="Normal 2 2 8 5 2 4" xfId="15571" xr:uid="{18D8CE0C-EE8E-4AB8-9BCA-D61138A49C27}"/>
    <cellStyle name="Normal 2 2 8 5 3" xfId="8024" xr:uid="{4203C75B-DE85-46BC-86BC-235759C26623}"/>
    <cellStyle name="Normal 2 2 8 5 3 2" xfId="28286" xr:uid="{E662AAA6-F64B-4AC7-ABDC-FD3D8E15A290}"/>
    <cellStyle name="Normal 2 2 8 5 3 3" xfId="18404" xr:uid="{2FB01AE0-AB01-4030-A7AE-3E2E87BE285A}"/>
    <cellStyle name="Normal 2 2 8 5 4" xfId="10857" xr:uid="{5BB1F46D-F728-4577-802D-CD54DA757535}"/>
    <cellStyle name="Normal 2 2 8 5 4 2" xfId="21237" xr:uid="{384F825B-9BAD-4D46-95F0-B1EF9954096F}"/>
    <cellStyle name="Normal 2 2 8 5 5" xfId="24803" xr:uid="{F3F1FDEC-803E-48B4-B1BA-8CEF00F46516}"/>
    <cellStyle name="Normal 2 2 8 5 6" xfId="13422" xr:uid="{3BA5AAFB-C29D-4A8D-A6E7-757B717E2996}"/>
    <cellStyle name="Normal 2 2 8 6" xfId="2445" xr:uid="{00000000-0005-0000-0000-000054040000}"/>
    <cellStyle name="Normal 2 2 8 6 2" xfId="5739" xr:uid="{E9BCFC5C-B62C-4AF1-BF11-ABED759D9FD3}"/>
    <cellStyle name="Normal 2 2 8 6 2 2" xfId="27913" xr:uid="{0F7401AA-714A-4AD5-8BCE-9097A8986672}"/>
    <cellStyle name="Normal 2 2 8 6 2 3" xfId="15117" xr:uid="{F3005ED3-45F8-42C1-BA77-602BD6E137DB}"/>
    <cellStyle name="Normal 2 2 8 6 3" xfId="7570" xr:uid="{D5C48443-90AD-454C-B59E-E5B65C07939A}"/>
    <cellStyle name="Normal 2 2 8 6 3 2" xfId="17950" xr:uid="{BD90E231-7C68-4E37-843E-66F5CAB6AE18}"/>
    <cellStyle name="Normal 2 2 8 6 4" xfId="10403" xr:uid="{6EA69504-F204-479D-A39A-E6F34DF9241D}"/>
    <cellStyle name="Normal 2 2 8 6 4 2" xfId="20783" xr:uid="{A7F8F2AA-D002-4607-95BA-5E8299AA55D2}"/>
    <cellStyle name="Normal 2 2 8 6 5" xfId="25203" xr:uid="{D9E389A6-396A-4E3F-9DEA-7897E5272595}"/>
    <cellStyle name="Normal 2 2 8 6 6" xfId="12833" xr:uid="{FF9A46F1-35C8-42ED-A497-DE2EF276B3E4}"/>
    <cellStyle name="Normal 2 2 8 7" xfId="2199" xr:uid="{00000000-0005-0000-0000-000048040000}"/>
    <cellStyle name="Normal 2 2 8 7 2" xfId="7326" xr:uid="{D85EF949-3C70-47EF-B65A-4C5DBC4DD7B5}"/>
    <cellStyle name="Normal 2 2 8 7 2 2" xfId="17706" xr:uid="{75D37252-83E1-4A0D-A79C-E95D2B69B793}"/>
    <cellStyle name="Normal 2 2 8 7 3" xfId="10159" xr:uid="{F1735CAE-42FF-41C1-B3C3-126962AC2A07}"/>
    <cellStyle name="Normal 2 2 8 7 3 2" xfId="20539" xr:uid="{22960B3F-28FD-4363-971A-875522B02B42}"/>
    <cellStyle name="Normal 2 2 8 7 4" xfId="24599" xr:uid="{7B1E0F3F-CD25-4957-9A3B-FDE8916C9ABD}"/>
    <cellStyle name="Normal 2 2 8 7 5" xfId="14873" xr:uid="{A4A7B8B0-6650-46BF-B2CD-174DE0FD4DF1}"/>
    <cellStyle name="Normal 2 2 8 8" xfId="3939" xr:uid="{F0D2F1BA-6686-4BD2-8B00-9C5B4152FFF3}"/>
    <cellStyle name="Normal 2 2 8 8 2" xfId="8771" xr:uid="{E86560AA-205E-4CB0-83FA-BC5AE68807E1}"/>
    <cellStyle name="Normal 2 2 8 8 2 2" xfId="19151" xr:uid="{1BE94ADB-47AE-488A-963C-DC2CFC9A2D22}"/>
    <cellStyle name="Normal 2 2 8 8 3" xfId="11604" xr:uid="{0EE6E029-C429-4F97-9A60-6EA0B1E233F9}"/>
    <cellStyle name="Normal 2 2 8 8 3 2" xfId="21984" xr:uid="{3A61CA5C-FBEA-4117-8B05-A2BCEA84654F}"/>
    <cellStyle name="Normal 2 2 8 8 4" xfId="16318" xr:uid="{9B61399F-58E1-476A-8D09-F6DF2C240B97}"/>
    <cellStyle name="Normal 2 2 8 9" xfId="5128" xr:uid="{AFB99C95-C598-4EA2-9FB4-024508388830}"/>
    <cellStyle name="Normal 2 2 8 9 2" xfId="14425" xr:uid="{49926844-9CD6-4BD1-B4F1-0E389511F9FA}"/>
    <cellStyle name="Normal 2 2 9" xfId="779" xr:uid="{00000000-0005-0000-0000-0000B7040000}"/>
    <cellStyle name="Normal 2 2 9 10" xfId="6883" xr:uid="{9470EB72-2386-4B86-91E6-E05808CABDF5}"/>
    <cellStyle name="Normal 2 2 9 10 2" xfId="17263" xr:uid="{0406A4A9-3F21-4A6D-B4C2-EACED8BB6547}"/>
    <cellStyle name="Normal 2 2 9 11" xfId="9716" xr:uid="{061A5E10-5555-4F28-9AC9-94E834304F13}"/>
    <cellStyle name="Normal 2 2 9 11 2" xfId="20096" xr:uid="{A73D8FA9-A391-4E0A-9219-4562B915C3A6}"/>
    <cellStyle name="Normal 2 2 9 12" xfId="24269" xr:uid="{576E34F2-41CA-4EC4-9637-C7972AE06340}"/>
    <cellStyle name="Normal 2 2 9 13" xfId="12493" xr:uid="{BE251780-240B-47C4-856F-C93BB4A507BB}"/>
    <cellStyle name="Normal 2 2 9 2" xfId="780" xr:uid="{00000000-0005-0000-0000-0000B8040000}"/>
    <cellStyle name="Normal 2 2 9 2 10" xfId="9717" xr:uid="{9E681807-C68B-4FBE-99F0-064EE2656431}"/>
    <cellStyle name="Normal 2 2 9 2 10 2" xfId="20097" xr:uid="{95F5432A-DAC5-4D6B-8FC3-4F0600FFE167}"/>
    <cellStyle name="Normal 2 2 9 2 11" xfId="23806" xr:uid="{1D4A964E-C193-439C-B645-B41327DCAC5C}"/>
    <cellStyle name="Normal 2 2 9 2 12" xfId="12567" xr:uid="{5103DF43-BA24-449F-821F-DEA8A2E961E7}"/>
    <cellStyle name="Normal 2 2 9 2 2" xfId="781" xr:uid="{00000000-0005-0000-0000-0000B9040000}"/>
    <cellStyle name="Normal 2 2 9 2 2 2" xfId="3208" xr:uid="{00000000-0005-0000-0000-000058040000}"/>
    <cellStyle name="Normal 2 2 9 2 2 2 2" xfId="6266" xr:uid="{CF3152DB-770F-43EC-913C-9EB2F0E41063}"/>
    <cellStyle name="Normal 2 2 9 2 2 2 2 2" xfId="26404" xr:uid="{DF5D3DBE-5DE8-4296-A978-1DD56F3E6130}"/>
    <cellStyle name="Normal 2 2 9 2 2 2 2 3" xfId="27983" xr:uid="{82082B94-4B03-46CB-8C29-9DF3679ECD89}"/>
    <cellStyle name="Normal 2 2 9 2 2 2 2 4" xfId="15835" xr:uid="{C84AE5A3-2FF2-45BD-8FA8-B81035ADD3C3}"/>
    <cellStyle name="Normal 2 2 9 2 2 2 3" xfId="8288" xr:uid="{4E1BFC36-4777-4CFA-9000-5F493A9B9C32}"/>
    <cellStyle name="Normal 2 2 9 2 2 2 3 2" xfId="28885" xr:uid="{78D73DCD-3430-4D21-9750-4D4249182F9C}"/>
    <cellStyle name="Normal 2 2 9 2 2 2 3 3" xfId="18668" xr:uid="{AA1AC361-BE25-4307-81F7-8CFE1A04DE6D}"/>
    <cellStyle name="Normal 2 2 9 2 2 2 4" xfId="11121" xr:uid="{AEF4FE3B-C95F-42B9-8AD5-B6CBA088BC6C}"/>
    <cellStyle name="Normal 2 2 9 2 2 2 4 2" xfId="21501" xr:uid="{CDB27520-57CF-49F2-B491-C3AE991B0A83}"/>
    <cellStyle name="Normal 2 2 9 2 2 2 5" xfId="23839" xr:uid="{492BC03A-330C-4840-9954-8DC957DA99DF}"/>
    <cellStyle name="Normal 2 2 9 2 2 2 6" xfId="13750" xr:uid="{F8472CF7-1736-4327-BE85-EA0E191F5730}"/>
    <cellStyle name="Normal 2 2 9 2 2 3" xfId="4304" xr:uid="{9401B11B-BB1E-4CF5-AE56-1E44FA58A16C}"/>
    <cellStyle name="Normal 2 2 9 2 2 3 2" xfId="9076" xr:uid="{5C8F50C3-A43D-4C93-B8AF-61CEBCF4DB99}"/>
    <cellStyle name="Normal 2 2 9 2 2 3 2 2" xfId="29119" xr:uid="{C2DD29F2-66A8-4EC5-AB8A-16B99FA9B9ED}"/>
    <cellStyle name="Normal 2 2 9 2 2 3 2 3" xfId="19456" xr:uid="{79B7CCD1-7278-4A7A-8179-A8A045ADCAAB}"/>
    <cellStyle name="Normal 2 2 9 2 2 3 3" xfId="11909" xr:uid="{D0DF9D12-E17B-4F5A-BF29-D40A46057F9C}"/>
    <cellStyle name="Normal 2 2 9 2 2 3 3 2" xfId="22289" xr:uid="{CAA96B49-6C44-4F06-A5FE-8A23ADE9C980}"/>
    <cellStyle name="Normal 2 2 9 2 2 3 4" xfId="23634" xr:uid="{F3ABB695-C29C-4D78-A2D6-2DB57854EF8E}"/>
    <cellStyle name="Normal 2 2 9 2 2 3 5" xfId="16623" xr:uid="{E8E63A6F-3BAC-4660-B702-4D531F68A43E}"/>
    <cellStyle name="Normal 2 2 9 2 2 4" xfId="5135" xr:uid="{245F6AA6-DEC7-4A7D-84D7-8ABF8C2349C1}"/>
    <cellStyle name="Normal 2 2 9 2 2 4 2" xfId="27626" xr:uid="{FA3F526F-2E22-4801-B38D-2ED231AE2E20}"/>
    <cellStyle name="Normal 2 2 9 2 2 4 3" xfId="14432" xr:uid="{2F23C46D-A3CA-4D0F-800A-1226486D3253}"/>
    <cellStyle name="Normal 2 2 9 2 2 5" xfId="6885" xr:uid="{FD726A48-6A26-4D62-9404-44B64235AA13}"/>
    <cellStyle name="Normal 2 2 9 2 2 5 2" xfId="17265" xr:uid="{5368F018-9882-4B32-AE60-CE0BBB909D46}"/>
    <cellStyle name="Normal 2 2 9 2 2 6" xfId="9718" xr:uid="{076D8BDE-5640-4795-B9E1-DFFA6C399710}"/>
    <cellStyle name="Normal 2 2 9 2 2 6 2" xfId="20098" xr:uid="{1898430F-ED98-427B-A436-7A1B3FE55DCB}"/>
    <cellStyle name="Normal 2 2 9 2 2 7" xfId="24877" xr:uid="{ABAD304C-203D-480C-930A-2F320F0AE843}"/>
    <cellStyle name="Normal 2 2 9 2 2 8" xfId="13176" xr:uid="{47594634-4882-45D2-9BD7-3099E5F1DBEF}"/>
    <cellStyle name="Normal 2 2 9 2 3" xfId="3209" xr:uid="{00000000-0005-0000-0000-000059040000}"/>
    <cellStyle name="Normal 2 2 9 2 3 2" xfId="4477" xr:uid="{8313F3DA-C79F-47A8-BB2A-50CF42D7C8C4}"/>
    <cellStyle name="Normal 2 2 9 2 3 2 2" xfId="9249" xr:uid="{E80E53B4-F3BC-4E22-8BFF-E897CF71AE85}"/>
    <cellStyle name="Normal 2 2 9 2 3 2 2 2" xfId="29238" xr:uid="{A2775098-798B-4AF1-A49C-4B092072D779}"/>
    <cellStyle name="Normal 2 2 9 2 3 2 2 3" xfId="19629" xr:uid="{6284DB13-70E0-403F-91AB-03B380222EBE}"/>
    <cellStyle name="Normal 2 2 9 2 3 2 3" xfId="12082" xr:uid="{FBFDF926-98EA-4AB2-A005-7C70A517C4ED}"/>
    <cellStyle name="Normal 2 2 9 2 3 2 3 2" xfId="22462" xr:uid="{AA14FF73-9E8D-4075-8026-A6A75AC2FF57}"/>
    <cellStyle name="Normal 2 2 9 2 3 2 4" xfId="25608" xr:uid="{93448F87-B803-4E54-A303-8B16EC582DD4}"/>
    <cellStyle name="Normal 2 2 9 2 3 2 5" xfId="16796" xr:uid="{81148CBE-F74A-42AB-A8A2-C2F527673A7B}"/>
    <cellStyle name="Normal 2 2 9 2 3 3" xfId="6267" xr:uid="{CCF43E88-38B9-4FCB-8157-32E2C015215D}"/>
    <cellStyle name="Normal 2 2 9 2 3 3 2" xfId="28287" xr:uid="{AC69E698-AD42-41CF-A493-E1563D085FB5}"/>
    <cellStyle name="Normal 2 2 9 2 3 3 3" xfId="15836" xr:uid="{1E12F699-81BA-43F6-9706-99F09B5E50A5}"/>
    <cellStyle name="Normal 2 2 9 2 3 4" xfId="8289" xr:uid="{3FBBF1CE-6BB3-4F39-AA5A-E5404AB6B76F}"/>
    <cellStyle name="Normal 2 2 9 2 3 4 2" xfId="18669" xr:uid="{EDBE740C-B9E0-4BF7-9035-3A660E1C688E}"/>
    <cellStyle name="Normal 2 2 9 2 3 5" xfId="11122" xr:uid="{D763E040-5FB4-4BA3-B799-6E0881D4CF59}"/>
    <cellStyle name="Normal 2 2 9 2 3 5 2" xfId="21502" xr:uid="{F3FFCCF0-518B-4E63-AB60-2F210EB17F47}"/>
    <cellStyle name="Normal 2 2 9 2 3 6" xfId="25384" xr:uid="{D9145492-127B-4B29-9909-8A59F19CF7CC}"/>
    <cellStyle name="Normal 2 2 9 2 3 7" xfId="13751" xr:uid="{35DC49CF-F7A0-4AD2-8F17-4913E8F088D1}"/>
    <cellStyle name="Normal 2 2 9 2 4" xfId="3207" xr:uid="{00000000-0005-0000-0000-00005A040000}"/>
    <cellStyle name="Normal 2 2 9 2 4 2" xfId="6265" xr:uid="{B7B4F429-72CC-4B01-A5F8-0C529335D655}"/>
    <cellStyle name="Normal 2 2 9 2 4 2 2" xfId="26784" xr:uid="{93E16350-F3BF-4D34-89D7-B9D07719EDD8}"/>
    <cellStyle name="Normal 2 2 9 2 4 2 3" xfId="15834" xr:uid="{D9C9F4E9-2D24-44EB-8BF5-15AD6CFAD07C}"/>
    <cellStyle name="Normal 2 2 9 2 4 3" xfId="8287" xr:uid="{73AFDC4F-E0AB-47D1-B20B-42EEACB2E07F}"/>
    <cellStyle name="Normal 2 2 9 2 4 3 2" xfId="18667" xr:uid="{0C532E37-1A5A-4B9A-B1DB-D07EB8FE32FC}"/>
    <cellStyle name="Normal 2 2 9 2 4 4" xfId="11120" xr:uid="{0875B57E-E03B-40DF-BD59-83999B593E62}"/>
    <cellStyle name="Normal 2 2 9 2 4 4 2" xfId="21500" xr:uid="{D0B66FE5-F5AC-4D88-8ABE-A01FDD7357CE}"/>
    <cellStyle name="Normal 2 2 9 2 4 5" xfId="23670" xr:uid="{52BF81DB-1EBD-4F0A-8845-443421D17A5E}"/>
    <cellStyle name="Normal 2 2 9 2 4 6" xfId="13749" xr:uid="{C218FCF3-95CC-4C06-9930-9B7704114871}"/>
    <cellStyle name="Normal 2 2 9 2 5" xfId="2656" xr:uid="{00000000-0005-0000-0000-00005B040000}"/>
    <cellStyle name="Normal 2 2 9 2 5 2" xfId="5916" xr:uid="{066E98A4-22C7-47F3-8C73-5BDE60E6F5CC}"/>
    <cellStyle name="Normal 2 2 9 2 5 2 2" xfId="28737" xr:uid="{2E3A3116-6CEA-4E37-8B3C-9372A85B73FE}"/>
    <cellStyle name="Normal 2 2 9 2 5 2 3" xfId="15328" xr:uid="{41F1E94F-584B-401E-B971-FE84B3C2D3E5}"/>
    <cellStyle name="Normal 2 2 9 2 5 3" xfId="7781" xr:uid="{931D7A9D-DA69-409F-8D14-CCDF93E8054F}"/>
    <cellStyle name="Normal 2 2 9 2 5 3 2" xfId="18161" xr:uid="{B380321C-8933-4980-9F6A-632936970452}"/>
    <cellStyle name="Normal 2 2 9 2 5 4" xfId="10614" xr:uid="{1B722676-E96F-4773-9FA7-78CE58CC446D}"/>
    <cellStyle name="Normal 2 2 9 2 5 4 2" xfId="20994" xr:uid="{15F1E175-287D-4154-B9DD-670FCF6D7170}"/>
    <cellStyle name="Normal 2 2 9 2 5 5" xfId="25109" xr:uid="{8B2AB8DF-A85E-42E0-8C01-CFAA26ABAD33}"/>
    <cellStyle name="Normal 2 2 9 2 5 6" xfId="13058" xr:uid="{DECB8372-EBEB-47DE-B3E9-29BACCC4346E}"/>
    <cellStyle name="Normal 2 2 9 2 6" xfId="2333" xr:uid="{00000000-0005-0000-0000-000056040000}"/>
    <cellStyle name="Normal 2 2 9 2 6 2" xfId="7460" xr:uid="{095F9ACA-1967-40DC-B76C-2E3068C34CEB}"/>
    <cellStyle name="Normal 2 2 9 2 6 2 2" xfId="17840" xr:uid="{E3132ED5-29A5-48BD-B9B1-3AF52FF49E93}"/>
    <cellStyle name="Normal 2 2 9 2 6 3" xfId="10293" xr:uid="{87F02579-74E7-4385-9A4A-08874974ACC2}"/>
    <cellStyle name="Normal 2 2 9 2 6 3 2" xfId="20673" xr:uid="{CDC89989-730D-42AB-93F0-D15E3FC232FB}"/>
    <cellStyle name="Normal 2 2 9 2 6 4" xfId="25507" xr:uid="{5ACC0668-A923-448C-A5F6-663164FD47CA}"/>
    <cellStyle name="Normal 2 2 9 2 6 5" xfId="15007" xr:uid="{2180B468-4F25-4079-806A-377A4FC24D79}"/>
    <cellStyle name="Normal 2 2 9 2 7" xfId="3848" xr:uid="{0F918769-EAD0-4AAC-89D1-AFD5A0859225}"/>
    <cellStyle name="Normal 2 2 9 2 7 2" xfId="8681" xr:uid="{17702334-6F58-4D1D-8F76-392FB67189FE}"/>
    <cellStyle name="Normal 2 2 9 2 7 2 2" xfId="19061" xr:uid="{E83FBBA5-B865-4F29-AED3-4279815F43B1}"/>
    <cellStyle name="Normal 2 2 9 2 7 3" xfId="11514" xr:uid="{A06F4A4B-CFB1-4587-BC27-6B7C366A5C70}"/>
    <cellStyle name="Normal 2 2 9 2 7 3 2" xfId="21894" xr:uid="{4F8D077A-8920-4403-A492-65E04ABDEB8B}"/>
    <cellStyle name="Normal 2 2 9 2 7 4" xfId="16228" xr:uid="{915258C8-FFAE-4D71-A04E-FA609227AEAA}"/>
    <cellStyle name="Normal 2 2 9 2 8" xfId="5134" xr:uid="{CB51AE57-2149-4880-9609-D38187E012F9}"/>
    <cellStyle name="Normal 2 2 9 2 8 2" xfId="14431" xr:uid="{8A864F12-A3AA-4C15-83D8-8C9A59A52F33}"/>
    <cellStyle name="Normal 2 2 9 2 9" xfId="6884" xr:uid="{C467FDC2-4DB3-4A1D-9E21-AA019FB5FE93}"/>
    <cellStyle name="Normal 2 2 9 2 9 2" xfId="17264" xr:uid="{683B7DA7-1DCE-443A-B5D9-67FAD3561361}"/>
    <cellStyle name="Normal 2 2 9 3" xfId="782" xr:uid="{00000000-0005-0000-0000-0000BA040000}"/>
    <cellStyle name="Normal 2 2 9 3 2" xfId="3210" xr:uid="{00000000-0005-0000-0000-00005D040000}"/>
    <cellStyle name="Normal 2 2 9 3 2 2" xfId="6268" xr:uid="{2D39B0E6-DA01-474A-9F40-B5BCFAC53C15}"/>
    <cellStyle name="Normal 2 2 9 3 2 2 2" xfId="25385" xr:uid="{C4656239-B8BC-443D-853E-F056987458DC}"/>
    <cellStyle name="Normal 2 2 9 3 2 2 3" xfId="25860" xr:uid="{66097556-E49B-4F4C-8635-B96452D3A406}"/>
    <cellStyle name="Normal 2 2 9 3 2 2 4" xfId="15837" xr:uid="{5D12FDC6-4F4B-4742-80B9-35B01350A1F5}"/>
    <cellStyle name="Normal 2 2 9 3 2 3" xfId="8290" xr:uid="{C04C5994-F831-42BD-90BC-7748B06BE714}"/>
    <cellStyle name="Normal 2 2 9 3 2 3 2" xfId="28886" xr:uid="{B9B8D372-0877-44FD-830D-3BF7BDF9DD7F}"/>
    <cellStyle name="Normal 2 2 9 3 2 3 3" xfId="18670" xr:uid="{3DF00537-A76D-447F-855A-ED35DC09FE27}"/>
    <cellStyle name="Normal 2 2 9 3 2 4" xfId="11123" xr:uid="{71FCBC8A-BA68-40C6-AB05-C08B6BB06E3D}"/>
    <cellStyle name="Normal 2 2 9 3 2 4 2" xfId="21503" xr:uid="{07FAC4F6-9AA7-44B9-B5BC-E1D15A92E555}"/>
    <cellStyle name="Normal 2 2 9 3 2 5" xfId="24334" xr:uid="{D30AE943-4C2B-4A0A-B6D6-D40C34E2C1FC}"/>
    <cellStyle name="Normal 2 2 9 3 2 6" xfId="13752" xr:uid="{7F3501BC-CFB5-4D54-8025-838897D480A6}"/>
    <cellStyle name="Normal 2 2 9 3 3" xfId="2738" xr:uid="{00000000-0005-0000-0000-00005E040000}"/>
    <cellStyle name="Normal 2 2 9 3 3 2" xfId="5956" xr:uid="{CA157C0C-9946-47FB-8046-B4118CED5502}"/>
    <cellStyle name="Normal 2 2 9 3 3 2 2" xfId="27632" xr:uid="{0832856C-A4A1-46D5-A04B-C16C014805C7}"/>
    <cellStyle name="Normal 2 2 9 3 3 2 3" xfId="15409" xr:uid="{87F9BCF7-26E8-4CFE-AAE2-2AE359D46526}"/>
    <cellStyle name="Normal 2 2 9 3 3 3" xfId="7862" xr:uid="{6C8BC6E1-66F6-4088-9D06-12D6397B34CE}"/>
    <cellStyle name="Normal 2 2 9 3 3 3 2" xfId="18242" xr:uid="{C1AEDF79-5688-48D9-BB5F-4443F978B2D7}"/>
    <cellStyle name="Normal 2 2 9 3 3 4" xfId="10695" xr:uid="{1E554B85-7C58-4404-B8DA-DDFB13DA88CA}"/>
    <cellStyle name="Normal 2 2 9 3 3 4 2" xfId="21075" xr:uid="{398ED5F8-6BA0-4FA3-B54A-3D345AA9D874}"/>
    <cellStyle name="Normal 2 2 9 3 3 5" xfId="23533" xr:uid="{66FA9E7D-DB2A-42CB-9CC1-8544D5CCF801}"/>
    <cellStyle name="Normal 2 2 9 3 3 6" xfId="13175" xr:uid="{2F8F91B4-B11E-421A-A325-03EAD955C403}"/>
    <cellStyle name="Normal 2 2 9 3 4" xfId="4167" xr:uid="{FEB2FCC6-654F-434C-915F-516E367874F6}"/>
    <cellStyle name="Normal 2 2 9 3 4 2" xfId="8939" xr:uid="{A9821F10-8F72-4E8A-BDA2-3A2376E9360F}"/>
    <cellStyle name="Normal 2 2 9 3 4 2 2" xfId="29034" xr:uid="{1CB40375-5086-42D8-8885-66B42A40EFCF}"/>
    <cellStyle name="Normal 2 2 9 3 4 2 3" xfId="19319" xr:uid="{6D20E4E7-A0F4-465C-A2D5-52BB620504B2}"/>
    <cellStyle name="Normal 2 2 9 3 4 3" xfId="11772" xr:uid="{D87D4F8C-C2DF-4B10-BE47-9078CC604945}"/>
    <cellStyle name="Normal 2 2 9 3 4 3 2" xfId="22152" xr:uid="{11C94CFB-BF39-4075-9EA9-95DC12699D91}"/>
    <cellStyle name="Normal 2 2 9 3 4 4" xfId="24722" xr:uid="{0CAC1D0B-164D-4449-98BB-B0A088896CF1}"/>
    <cellStyle name="Normal 2 2 9 3 4 5" xfId="16486" xr:uid="{5EE6D20E-DD12-42B4-9D95-F43D84C6E645}"/>
    <cellStyle name="Normal 2 2 9 3 5" xfId="5136" xr:uid="{8F6503DE-4DD2-4276-8C13-F64470D91849}"/>
    <cellStyle name="Normal 2 2 9 3 5 2" xfId="27229" xr:uid="{1DB8C7D0-5465-403D-AA5E-C8B10D5727A7}"/>
    <cellStyle name="Normal 2 2 9 3 5 3" xfId="14433" xr:uid="{A5BEBA1A-0BAC-4895-BF49-67CD6C7D4BCE}"/>
    <cellStyle name="Normal 2 2 9 3 6" xfId="6886" xr:uid="{D51A0510-A5CA-4ACB-BD8C-0F4B9BC12523}"/>
    <cellStyle name="Normal 2 2 9 3 6 2" xfId="17266" xr:uid="{479A240C-41B7-436D-949C-CE5F0F19A676}"/>
    <cellStyle name="Normal 2 2 9 3 7" xfId="9719" xr:uid="{89CE7C24-6BF3-4902-ABB6-96B10B2FBB84}"/>
    <cellStyle name="Normal 2 2 9 3 7 2" xfId="20099" xr:uid="{11556F6B-9D61-475C-BEF8-37F48BB4F626}"/>
    <cellStyle name="Normal 2 2 9 3 8" xfId="22787" xr:uid="{9C66E7C5-1CD0-4DCF-A016-59965DFC2551}"/>
    <cellStyle name="Normal 2 2 9 3 9" xfId="12725" xr:uid="{FF18E998-1704-41C2-BBEA-6237A32D147E}"/>
    <cellStyle name="Normal 2 2 9 4" xfId="783" xr:uid="{00000000-0005-0000-0000-0000BB040000}"/>
    <cellStyle name="Normal 2 2 9 4 2" xfId="4478" xr:uid="{2362C482-E221-495B-A354-A7272537504C}"/>
    <cellStyle name="Normal 2 2 9 4 2 2" xfId="9250" xr:uid="{82B3185A-4D0E-48D1-B44F-6BC0DD3BAA10}"/>
    <cellStyle name="Normal 2 2 9 4 2 2 2" xfId="29239" xr:uid="{054C77C3-338F-4438-9C03-0948B3A815A7}"/>
    <cellStyle name="Normal 2 2 9 4 2 2 3" xfId="19630" xr:uid="{D973F2FA-31B8-4A99-9C9E-0B85E23657FB}"/>
    <cellStyle name="Normal 2 2 9 4 2 3" xfId="12083" xr:uid="{88842306-2D0F-47F7-A6B7-38FA18A8BE23}"/>
    <cellStyle name="Normal 2 2 9 4 2 3 2" xfId="22463" xr:uid="{617208F0-696B-428C-8DE5-F78444531BA4}"/>
    <cellStyle name="Normal 2 2 9 4 2 4" xfId="24534" xr:uid="{D0D79DD2-3E3D-4A7F-B862-6DF0B1F4B4DD}"/>
    <cellStyle name="Normal 2 2 9 4 2 5" xfId="16797" xr:uid="{DB8D4652-4D6D-4810-8B3D-5210F22E6A1C}"/>
    <cellStyle name="Normal 2 2 9 4 3" xfId="5137" xr:uid="{E9254D01-BFB0-402E-8D52-577A6300D105}"/>
    <cellStyle name="Normal 2 2 9 4 3 2" xfId="27866" xr:uid="{C90B883F-4BE4-4F2F-BC2A-CE93656741F3}"/>
    <cellStyle name="Normal 2 2 9 4 3 3" xfId="14434" xr:uid="{212F0685-2D21-4A1A-BFF9-C490BE9112DB}"/>
    <cellStyle name="Normal 2 2 9 4 4" xfId="6887" xr:uid="{D2E6984A-27CB-4F5F-926F-84B2AD048FF4}"/>
    <cellStyle name="Normal 2 2 9 4 4 2" xfId="17267" xr:uid="{9162E991-4889-41FF-BA25-F3773EA10E60}"/>
    <cellStyle name="Normal 2 2 9 4 5" xfId="9720" xr:uid="{7ADA9F6F-75BB-4559-B04B-0B2186D06BA4}"/>
    <cellStyle name="Normal 2 2 9 4 5 2" xfId="20100" xr:uid="{C6F61D03-9224-494C-9E9F-EA2D76108A8F}"/>
    <cellStyle name="Normal 2 2 9 4 6" xfId="23898" xr:uid="{6B65C735-A254-4FFA-81E7-3E81A6CB83CF}"/>
    <cellStyle name="Normal 2 2 9 4 7" xfId="13753" xr:uid="{CF41414D-EF66-49D0-89CA-717D1B7EFB5E}"/>
    <cellStyle name="Normal 2 2 9 5" xfId="2908" xr:uid="{00000000-0005-0000-0000-000060040000}"/>
    <cellStyle name="Normal 2 2 9 5 2" xfId="6094" xr:uid="{37308E7F-B354-4837-8AB8-6A00B87C44A8}"/>
    <cellStyle name="Normal 2 2 9 5 2 2" xfId="25632" xr:uid="{274D68A6-4AC9-4AE4-A5B5-F8EF1F0D5761}"/>
    <cellStyle name="Normal 2 2 9 5 2 3" xfId="26810" xr:uid="{0EF4F193-EFA2-4A8C-BE91-8711529663F0}"/>
    <cellStyle name="Normal 2 2 9 5 2 4" xfId="15572" xr:uid="{76171DE7-4B64-4499-B37F-8A00D8588858}"/>
    <cellStyle name="Normal 2 2 9 5 3" xfId="8025" xr:uid="{E5ABCE4A-2750-4DE7-8801-3C1797140E86}"/>
    <cellStyle name="Normal 2 2 9 5 3 2" xfId="26453" xr:uid="{B0CBD696-8FF6-45FA-BBB1-A52347B32FE1}"/>
    <cellStyle name="Normal 2 2 9 5 3 3" xfId="18405" xr:uid="{0B10E619-CD0B-4530-8AF2-0CFEF6F96613}"/>
    <cellStyle name="Normal 2 2 9 5 4" xfId="10858" xr:uid="{C4A97003-54B9-485F-9DC3-3A90E0E98911}"/>
    <cellStyle name="Normal 2 2 9 5 4 2" xfId="21238" xr:uid="{B2BD5171-07AB-4494-95AD-84D624E33E80}"/>
    <cellStyle name="Normal 2 2 9 5 5" xfId="24818" xr:uid="{351993E5-0C93-4305-A53D-BD7DF217C1D9}"/>
    <cellStyle name="Normal 2 2 9 5 6" xfId="13423" xr:uid="{90038945-AB67-4587-BCA3-8445C4049B75}"/>
    <cellStyle name="Normal 2 2 9 6" xfId="2505" xr:uid="{00000000-0005-0000-0000-000061040000}"/>
    <cellStyle name="Normal 2 2 9 6 2" xfId="5785" xr:uid="{99F00FA8-1C72-462C-986D-098929DDBBCD}"/>
    <cellStyle name="Normal 2 2 9 6 2 2" xfId="26276" xr:uid="{754D8D62-5814-4C0C-A531-1E296D13A397}"/>
    <cellStyle name="Normal 2 2 9 6 2 3" xfId="15177" xr:uid="{58736A76-0640-4F58-A9CC-0974276567D3}"/>
    <cellStyle name="Normal 2 2 9 6 3" xfId="7630" xr:uid="{66D056DA-CA68-4D77-A082-6CF8276E79B6}"/>
    <cellStyle name="Normal 2 2 9 6 3 2" xfId="18010" xr:uid="{C20690F7-80B9-4ED5-96CA-C224C49DD706}"/>
    <cellStyle name="Normal 2 2 9 6 4" xfId="10463" xr:uid="{5FA20005-EFBC-4345-AB55-D6B0B1C08945}"/>
    <cellStyle name="Normal 2 2 9 6 4 2" xfId="20843" xr:uid="{878CD430-7F17-4A9F-8EAB-2DBCEBCDB694}"/>
    <cellStyle name="Normal 2 2 9 6 5" xfId="23144" xr:uid="{23FE7488-E8F4-40A5-9259-94282E8DA33D}"/>
    <cellStyle name="Normal 2 2 9 6 6" xfId="12893" xr:uid="{FC830CD8-3471-4BDF-8C41-641F6B16E563}"/>
    <cellStyle name="Normal 2 2 9 7" xfId="2261" xr:uid="{00000000-0005-0000-0000-000055040000}"/>
    <cellStyle name="Normal 2 2 9 7 2" xfId="7388" xr:uid="{EE74E906-B95A-4AB1-9CE9-DBC558707711}"/>
    <cellStyle name="Normal 2 2 9 7 2 2" xfId="17768" xr:uid="{8269C437-07F7-4931-A0BD-24CABA577458}"/>
    <cellStyle name="Normal 2 2 9 7 3" xfId="10221" xr:uid="{BB514019-6FF5-4114-B8C4-6676DD5F8790}"/>
    <cellStyle name="Normal 2 2 9 7 3 2" xfId="20601" xr:uid="{A8F49CE9-37D1-4F8A-89E3-8039BE91ECDC}"/>
    <cellStyle name="Normal 2 2 9 7 4" xfId="22872" xr:uid="{D303FCCE-F40D-463A-A780-4CE811BD7827}"/>
    <cellStyle name="Normal 2 2 9 7 5" xfId="14935" xr:uid="{F86A18D8-C7DF-48AB-8EDA-F9A1BAF34F45}"/>
    <cellStyle name="Normal 2 2 9 8" xfId="3940" xr:uid="{96E0C2AE-9DCB-4C66-8281-C0A9CC7202B4}"/>
    <cellStyle name="Normal 2 2 9 8 2" xfId="8772" xr:uid="{6D375651-796F-482E-BEDF-D8B7B596C8E2}"/>
    <cellStyle name="Normal 2 2 9 8 2 2" xfId="19152" xr:uid="{256C7DC4-4D46-4D28-99C4-BD1827B0AC3E}"/>
    <cellStyle name="Normal 2 2 9 8 3" xfId="11605" xr:uid="{52340EEA-7A47-46AE-BFEA-789AAC2A9B97}"/>
    <cellStyle name="Normal 2 2 9 8 3 2" xfId="21985" xr:uid="{4ED2DC6C-96A3-4FDB-B281-60419CF414B7}"/>
    <cellStyle name="Normal 2 2 9 8 4" xfId="16319" xr:uid="{C4A7D629-C3DD-4EE4-8EEA-12322EF71CB7}"/>
    <cellStyle name="Normal 2 2 9 9" xfId="5133" xr:uid="{A06390DB-BBFA-486C-ADF2-9350D719BB3F}"/>
    <cellStyle name="Normal 2 2 9 9 2" xfId="14430" xr:uid="{2BA6E952-82D0-4EF4-B62B-56E2C51F8061}"/>
    <cellStyle name="Normal 2 20" xfId="25548" xr:uid="{8C07E1A6-A1CC-4080-84CB-6FD0AE66A6D9}"/>
    <cellStyle name="Normal 2 20 2" xfId="25746" xr:uid="{307D95C4-C3D3-4858-8958-4CE880C31BF9}"/>
    <cellStyle name="Normal 2 21" xfId="22712" xr:uid="{946996B7-D821-4E03-9730-38F8FCB07445}"/>
    <cellStyle name="Normal 2 22" xfId="23637" xr:uid="{A4E39459-462C-454A-A30C-B043BE56C80C}"/>
    <cellStyle name="Normal 2 23" xfId="12387" xr:uid="{E65DE861-3430-4CC0-B8E2-F1AE8E21C22C}"/>
    <cellStyle name="Normal 2 24" xfId="29564" xr:uid="{8B3042BB-E780-4116-ACB4-69BF5D526462}"/>
    <cellStyle name="Normal 2 25" xfId="30101" xr:uid="{5AB8A7DA-FFAA-4EB5-9950-87FFA7645D23}"/>
    <cellStyle name="Normal 2 3" xfId="784" xr:uid="{00000000-0005-0000-0000-0000BC040000}"/>
    <cellStyle name="Normal 2 3 2" xfId="29566" xr:uid="{F18019D2-0B1A-48F3-A5C5-3D5F4CA2DF1A}"/>
    <cellStyle name="Normal 2 3 2 2" xfId="29629" xr:uid="{656E65D2-23FD-4E43-B6BE-DB53AC61741A}"/>
    <cellStyle name="Normal 2 3 2 3" xfId="29595" xr:uid="{82C16487-6617-4685-AEC1-6C7043E9D731}"/>
    <cellStyle name="Normal 2 4" xfId="785" xr:uid="{00000000-0005-0000-0000-0000BD040000}"/>
    <cellStyle name="Normal 2 4 2" xfId="29568" xr:uid="{8285FB9B-A599-4592-A61F-F7A876DCE316}"/>
    <cellStyle name="Normal 2 4 3" xfId="29567" xr:uid="{11DD0961-B7F5-48F1-BEE3-E9918CE52AA0}"/>
    <cellStyle name="Normal 2 5" xfId="786" xr:uid="{00000000-0005-0000-0000-0000BE040000}"/>
    <cellStyle name="Normal 2 5 10" xfId="787" xr:uid="{00000000-0005-0000-0000-0000BF040000}"/>
    <cellStyle name="Normal 2 5 10 2" xfId="3211" xr:uid="{00000000-0005-0000-0000-000066040000}"/>
    <cellStyle name="Normal 2 5 10 2 2" xfId="6269" xr:uid="{BB570923-EB98-4E0A-A52E-B4A7D9FAB640}"/>
    <cellStyle name="Normal 2 5 10 2 2 2" xfId="28719" xr:uid="{5F5F8159-8F49-4161-AE72-F6F10E85D3B5}"/>
    <cellStyle name="Normal 2 5 10 2 2 3" xfId="15838" xr:uid="{4324C264-E210-4C34-B4F6-2998CC94C58C}"/>
    <cellStyle name="Normal 2 5 10 2 3" xfId="8291" xr:uid="{D24D90A7-DC6C-4EDA-9592-6191A6C11F6A}"/>
    <cellStyle name="Normal 2 5 10 2 3 2" xfId="18671" xr:uid="{EAC5383B-5809-41BD-8073-95280C01FF36}"/>
    <cellStyle name="Normal 2 5 10 2 4" xfId="11124" xr:uid="{C8439742-051E-4ABE-9CB3-AA49C50B305A}"/>
    <cellStyle name="Normal 2 5 10 2 4 2" xfId="21504" xr:uid="{C20AE42A-BAD0-41E5-B8AB-06260DFE89CD}"/>
    <cellStyle name="Normal 2 5 10 2 5" xfId="23831" xr:uid="{80B8D4F9-2934-4D7A-BC9A-BF723751EF12}"/>
    <cellStyle name="Normal 2 5 10 2 6" xfId="13754" xr:uid="{55EE152E-587A-4ED0-91D8-A91793FF282A}"/>
    <cellStyle name="Normal 2 5 10 3" xfId="4119" xr:uid="{DDB8ACD5-94B4-4458-86EE-644F5AE09792}"/>
    <cellStyle name="Normal 2 5 10 3 2" xfId="8891" xr:uid="{EF530358-A2BC-41AF-895D-3DE813854A26}"/>
    <cellStyle name="Normal 2 5 10 3 2 2" xfId="29005" xr:uid="{BAA8C525-3BA7-44D3-AFCB-1185746F267E}"/>
    <cellStyle name="Normal 2 5 10 3 2 3" xfId="19271" xr:uid="{04ACBD67-1562-4A9A-BCEC-7BA8F903CE24}"/>
    <cellStyle name="Normal 2 5 10 3 3" xfId="11724" xr:uid="{AFB8A9D2-2B05-4E6F-BF1B-033DE40C0E1D}"/>
    <cellStyle name="Normal 2 5 10 3 3 2" xfId="22104" xr:uid="{A5BA9508-4759-408B-A6BF-B9D8634B3BAD}"/>
    <cellStyle name="Normal 2 5 10 3 4" xfId="24191" xr:uid="{A9E07380-D1BA-4535-9303-56888FAC8040}"/>
    <cellStyle name="Normal 2 5 10 3 5" xfId="16438" xr:uid="{C1FDBDBD-D88E-44A0-87B5-4724356DA33F}"/>
    <cellStyle name="Normal 2 5 10 4" xfId="5139" xr:uid="{496D32EC-DDFF-4EDD-A308-A2AE93E9F8B1}"/>
    <cellStyle name="Normal 2 5 10 4 2" xfId="24079" xr:uid="{7ECB6E9A-F36D-494A-AB71-30687663ED72}"/>
    <cellStyle name="Normal 2 5 10 4 3" xfId="28014" xr:uid="{91CED4CF-F180-4B9C-83CD-484CBD483A1E}"/>
    <cellStyle name="Normal 2 5 10 4 4" xfId="14436" xr:uid="{37C093D4-CD1C-4EA5-92F8-E433DAF86FDD}"/>
    <cellStyle name="Normal 2 5 10 5" xfId="6889" xr:uid="{C63BBBE3-D939-40B3-9EF4-C31A308605D9}"/>
    <cellStyle name="Normal 2 5 10 5 2" xfId="26601" xr:uid="{93F8A69A-2E39-499E-BB48-B66C048A9AC1}"/>
    <cellStyle name="Normal 2 5 10 5 3" xfId="17269" xr:uid="{0AF9C638-D7BF-4047-AAB7-143EFC618AB0}"/>
    <cellStyle name="Normal 2 5 10 6" xfId="9722" xr:uid="{937EB46E-F31B-420F-AD2A-16F82EBE2377}"/>
    <cellStyle name="Normal 2 5 10 6 2" xfId="20102" xr:uid="{10C10AB9-61A9-4274-9022-41E9537602AB}"/>
    <cellStyle name="Normal 2 5 10 7" xfId="24247" xr:uid="{02D79B2E-D591-4F79-889B-EEEFA7048349}"/>
    <cellStyle name="Normal 2 5 10 8" xfId="12662" xr:uid="{C7BC99CF-0783-4E1F-BB67-EDD91842DE03}"/>
    <cellStyle name="Normal 2 5 11" xfId="788" xr:uid="{00000000-0005-0000-0000-0000C0040000}"/>
    <cellStyle name="Normal 2 5 11 2" xfId="5140" xr:uid="{F005D30F-FF67-45E9-A450-26698085BABC}"/>
    <cellStyle name="Normal 2 5 11 2 2" xfId="24819" xr:uid="{008FDD4D-49A9-4BAF-BBA3-0E6B47ABC6DA}"/>
    <cellStyle name="Normal 2 5 11 2 3" xfId="26798" xr:uid="{B705362F-4C68-48B1-8997-9814484B93F3}"/>
    <cellStyle name="Normal 2 5 11 2 4" xfId="14437" xr:uid="{7EE87423-A796-4F51-8DFD-52589EF113D6}"/>
    <cellStyle name="Normal 2 5 11 3" xfId="6890" xr:uid="{9342098C-48F1-4F2B-9DD6-F182EDB8FE95}"/>
    <cellStyle name="Normal 2 5 11 3 2" xfId="27000" xr:uid="{B3C9FD38-4A6F-4077-8BAB-0AD1D9A12233}"/>
    <cellStyle name="Normal 2 5 11 3 3" xfId="17270" xr:uid="{3279319A-C6BB-4F64-BC8B-351BF97426E6}"/>
    <cellStyle name="Normal 2 5 11 4" xfId="9723" xr:uid="{E53A3328-A7EF-467F-B730-4075A2473213}"/>
    <cellStyle name="Normal 2 5 11 4 2" xfId="20103" xr:uid="{FD5C7BF8-B5BD-4C7D-9F3B-7D99FCDC4075}"/>
    <cellStyle name="Normal 2 5 11 5" xfId="24245" xr:uid="{3788D9FA-66EB-47C5-9AEC-7332395FD6AF}"/>
    <cellStyle name="Normal 2 5 11 6" xfId="13360" xr:uid="{B01AB50D-938E-4718-A14C-7D42ECB88508}"/>
    <cellStyle name="Normal 2 5 12" xfId="2436" xr:uid="{00000000-0005-0000-0000-000068040000}"/>
    <cellStyle name="Normal 2 5 12 2" xfId="5731" xr:uid="{096EF621-B617-4627-98A1-6862B4F3B620}"/>
    <cellStyle name="Normal 2 5 12 2 2" xfId="26625" xr:uid="{DD4E1CB5-4B42-4295-A8A0-3B7AE1DAE113}"/>
    <cellStyle name="Normal 2 5 12 2 3" xfId="15108" xr:uid="{2C8232ED-F690-4082-926E-DB18085C5A02}"/>
    <cellStyle name="Normal 2 5 12 3" xfId="7561" xr:uid="{36C148BE-855D-4899-98EC-529E064364D5}"/>
    <cellStyle name="Normal 2 5 12 3 2" xfId="17941" xr:uid="{CEC03613-AB80-4C38-9B21-BDC899AC009A}"/>
    <cellStyle name="Normal 2 5 12 4" xfId="10394" xr:uid="{F0C15155-4B9D-4A0F-9507-2F92A24BFE07}"/>
    <cellStyle name="Normal 2 5 12 4 2" xfId="20774" xr:uid="{A49E76F3-A2AD-4C67-8430-BB24CD8F3F8C}"/>
    <cellStyle name="Normal 2 5 12 5" xfId="23767" xr:uid="{A1CE3D32-0046-48AD-B09B-D4083067B680}"/>
    <cellStyle name="Normal 2 5 12 6" xfId="12823" xr:uid="{86ACC9CC-F44C-4117-9AB4-6A9559F76DDC}"/>
    <cellStyle name="Normal 2 5 13" xfId="2163" xr:uid="{00000000-0005-0000-0000-000064040000}"/>
    <cellStyle name="Normal 2 5 13 2" xfId="7290" xr:uid="{ABEA086E-CEFA-489D-BD20-6B107CD1870B}"/>
    <cellStyle name="Normal 2 5 13 2 2" xfId="26579" xr:uid="{D260554D-4353-4EC1-B66F-311507496991}"/>
    <cellStyle name="Normal 2 5 13 2 3" xfId="17670" xr:uid="{8EBF220B-282E-41A7-AF41-C534F17701C9}"/>
    <cellStyle name="Normal 2 5 13 3" xfId="10123" xr:uid="{6A476768-D707-4ED5-BCB1-303E7DA4C769}"/>
    <cellStyle name="Normal 2 5 13 3 2" xfId="20503" xr:uid="{B3A61B77-C986-48B7-9343-6A8688595B2C}"/>
    <cellStyle name="Normal 2 5 13 4" xfId="22806" xr:uid="{6B0BA96D-35B7-49F7-830B-F9BFD253AA3E}"/>
    <cellStyle name="Normal 2 5 13 5" xfId="14837" xr:uid="{33123260-80D1-46FD-B871-43C333B6E120}"/>
    <cellStyle name="Normal 2 5 14" xfId="3943" xr:uid="{4DF58CCA-A726-4F51-8773-D10E59D234F1}"/>
    <cellStyle name="Normal 2 5 14 2" xfId="8775" xr:uid="{93949D46-D187-4026-9884-5EC9985C6C90}"/>
    <cellStyle name="Normal 2 5 14 2 2" xfId="19155" xr:uid="{AADD6B47-A051-4A52-B750-D6214780511B}"/>
    <cellStyle name="Normal 2 5 14 3" xfId="11608" xr:uid="{3030196D-AC29-4CC1-A4E3-429340782493}"/>
    <cellStyle name="Normal 2 5 14 3 2" xfId="21988" xr:uid="{B844FA76-9644-4BA7-AE11-FDA85DD4D7AB}"/>
    <cellStyle name="Normal 2 5 14 4" xfId="28133" xr:uid="{37A0DECA-5050-4AE6-BB44-4BBEC15BCA14}"/>
    <cellStyle name="Normal 2 5 14 5" xfId="16322" xr:uid="{9CBA3C09-DDE3-4A3A-B6FE-98AABDE829D0}"/>
    <cellStyle name="Normal 2 5 15" xfId="5138" xr:uid="{1552226D-8AD7-45BC-AC77-D1272FF83047}"/>
    <cellStyle name="Normal 2 5 15 2" xfId="14435" xr:uid="{8ABFF19D-954D-4F51-83EE-1B64AB4EC3AA}"/>
    <cellStyle name="Normal 2 5 16" xfId="6888" xr:uid="{E34B52DD-0D95-4E57-BBDB-84BDBA808D26}"/>
    <cellStyle name="Normal 2 5 16 2" xfId="17268" xr:uid="{FE68BB87-5ED9-416F-8B0B-1BBFB56CE6A4}"/>
    <cellStyle name="Normal 2 5 17" xfId="9721" xr:uid="{71B0E6CE-EC01-41D8-A4CF-0F31019EB11C}"/>
    <cellStyle name="Normal 2 5 17 2" xfId="20101" xr:uid="{A2897E3B-E47D-46A7-84AE-5CD93504EFEE}"/>
    <cellStyle name="Normal 2 5 18" xfId="24437" xr:uid="{282C5376-98C7-49DE-A520-F11DB1848102}"/>
    <cellStyle name="Normal 2 5 19" xfId="12395" xr:uid="{A5866C7D-4474-4E5B-A25F-02BFD262B28F}"/>
    <cellStyle name="Normal 2 5 2" xfId="789" xr:uid="{00000000-0005-0000-0000-0000C1040000}"/>
    <cellStyle name="Normal 2 5 2 10" xfId="5141" xr:uid="{5E4C7B78-933D-4945-8AEB-9937483272E2}"/>
    <cellStyle name="Normal 2 5 2 10 2" xfId="14438" xr:uid="{DFD9B2B3-2BCF-4C25-B678-8DFD6BBF2B8E}"/>
    <cellStyle name="Normal 2 5 2 11" xfId="6891" xr:uid="{D9368D94-A4FA-4857-9E07-D8B06B15D57E}"/>
    <cellStyle name="Normal 2 5 2 11 2" xfId="17271" xr:uid="{467655A8-F471-42A9-962E-68A05B36F8F6}"/>
    <cellStyle name="Normal 2 5 2 12" xfId="9724" xr:uid="{84496DC4-5C98-4F69-8436-A24D80912824}"/>
    <cellStyle name="Normal 2 5 2 12 2" xfId="20104" xr:uid="{D0C5DC80-66E8-42C1-AD5B-5C6E8F8A713F}"/>
    <cellStyle name="Normal 2 5 2 13" xfId="25179" xr:uid="{EC0F43C9-DBE0-4237-89D9-7AD8DC19F42E}"/>
    <cellStyle name="Normal 2 5 2 14" xfId="12421" xr:uid="{153135D3-00A7-45C2-8D52-0FCBDF0AC3C4}"/>
    <cellStyle name="Normal 2 5 2 2" xfId="790" xr:uid="{00000000-0005-0000-0000-0000C2040000}"/>
    <cellStyle name="Normal 2 5 2 2 10" xfId="6892" xr:uid="{E69D7650-486A-4491-800D-8F6D2504A896}"/>
    <cellStyle name="Normal 2 5 2 2 10 2" xfId="17272" xr:uid="{35F78DB7-03B7-43A3-895E-E46CB3E61D12}"/>
    <cellStyle name="Normal 2 5 2 2 11" xfId="9725" xr:uid="{A2374A83-C013-4CC2-A2DA-A768BC6DD1AF}"/>
    <cellStyle name="Normal 2 5 2 2 11 2" xfId="20105" xr:uid="{9CF102B4-BB9D-4FBF-A167-95DF46575A40}"/>
    <cellStyle name="Normal 2 5 2 2 12" xfId="23419" xr:uid="{AAF76358-571E-44F1-BBA4-5EEF5DABC461}"/>
    <cellStyle name="Normal 2 5 2 2 13" xfId="12481" xr:uid="{956D1D4A-D7F9-4B2D-BFE3-178543F91DF7}"/>
    <cellStyle name="Normal 2 5 2 2 2" xfId="791" xr:uid="{00000000-0005-0000-0000-0000C3040000}"/>
    <cellStyle name="Normal 2 5 2 2 2 10" xfId="13046" xr:uid="{C1BC4533-3E99-4779-BD5A-8281B4F68D49}"/>
    <cellStyle name="Normal 2 5 2 2 2 2" xfId="2742" xr:uid="{00000000-0005-0000-0000-00006C040000}"/>
    <cellStyle name="Normal 2 5 2 2 2 2 2" xfId="3214" xr:uid="{00000000-0005-0000-0000-00006D040000}"/>
    <cellStyle name="Normal 2 5 2 2 2 2 2 2" xfId="6272" xr:uid="{1F60F743-6634-4AA0-956C-50EA423C2DBB}"/>
    <cellStyle name="Normal 2 5 2 2 2 2 2 2 2" xfId="26708" xr:uid="{8E9EC44E-3D2B-402F-8E0F-730780C68AD0}"/>
    <cellStyle name="Normal 2 5 2 2 2 2 2 2 3" xfId="15841" xr:uid="{C7CCCB08-9E97-4003-A666-90BA8338079A}"/>
    <cellStyle name="Normal 2 5 2 2 2 2 2 3" xfId="8294" xr:uid="{746ED92A-4C36-47EA-B1E1-5D85EF50B979}"/>
    <cellStyle name="Normal 2 5 2 2 2 2 2 3 2" xfId="18674" xr:uid="{4F8F5E0A-42CF-4B14-8FC0-C80052C09717}"/>
    <cellStyle name="Normal 2 5 2 2 2 2 2 4" xfId="11127" xr:uid="{AB268A94-0A26-4D5B-9C10-AFABD460EAE7}"/>
    <cellStyle name="Normal 2 5 2 2 2 2 2 4 2" xfId="21507" xr:uid="{DD2C4C44-961D-43D9-96DD-698D8876E680}"/>
    <cellStyle name="Normal 2 5 2 2 2 2 2 5" xfId="24503" xr:uid="{B12373CE-A6D4-4B8B-8D2B-AE7DC049519C}"/>
    <cellStyle name="Normal 2 5 2 2 2 2 2 6" xfId="13757" xr:uid="{252D745E-372A-4110-9AA9-270F2D31A616}"/>
    <cellStyle name="Normal 2 5 2 2 2 2 3" xfId="4306" xr:uid="{8AEEB3DE-61B6-4FE7-AAE0-3DAE26A51726}"/>
    <cellStyle name="Normal 2 5 2 2 2 2 3 2" xfId="9078" xr:uid="{371B2CD9-BE12-46CB-B681-68BBCED36EC2}"/>
    <cellStyle name="Normal 2 5 2 2 2 2 3 2 2" xfId="29121" xr:uid="{B54BA6AD-664A-44A1-8BE5-620E3C67CD29}"/>
    <cellStyle name="Normal 2 5 2 2 2 2 3 2 3" xfId="19458" xr:uid="{08EA89A7-045C-4B3A-B081-E913B141AC40}"/>
    <cellStyle name="Normal 2 5 2 2 2 2 3 3" xfId="11911" xr:uid="{168DAC8F-2DA8-4EC2-B395-1396EA01EC77}"/>
    <cellStyle name="Normal 2 5 2 2 2 2 3 3 2" xfId="22291" xr:uid="{E1B7EF95-0888-4BAD-9712-ECB0A335DC93}"/>
    <cellStyle name="Normal 2 5 2 2 2 2 3 4" xfId="24851" xr:uid="{4D32A168-7AA7-4D6B-9397-C30D355B2B6A}"/>
    <cellStyle name="Normal 2 5 2 2 2 2 3 5" xfId="16625" xr:uid="{802E9D0C-24CF-4285-A4D4-FDCD9177C3AD}"/>
    <cellStyle name="Normal 2 5 2 2 2 2 4" xfId="5960" xr:uid="{3ED9C625-B21E-47E8-A34C-ADCFCCE51054}"/>
    <cellStyle name="Normal 2 5 2 2 2 2 4 2" xfId="26306" xr:uid="{39CA9F07-3D37-409F-9500-8112C39F74EA}"/>
    <cellStyle name="Normal 2 5 2 2 2 2 4 3" xfId="15413" xr:uid="{61405212-7891-41EA-896E-2CEFC2B3C91D}"/>
    <cellStyle name="Normal 2 5 2 2 2 2 5" xfId="7866" xr:uid="{6157CD86-5524-4E68-815E-14A2EDC57752}"/>
    <cellStyle name="Normal 2 5 2 2 2 2 5 2" xfId="18246" xr:uid="{5CF63585-ACE5-47AC-9BD4-224C128A839C}"/>
    <cellStyle name="Normal 2 5 2 2 2 2 6" xfId="10699" xr:uid="{83845B6A-E84F-4953-8868-036BFE90B244}"/>
    <cellStyle name="Normal 2 5 2 2 2 2 6 2" xfId="21079" xr:uid="{913A8362-ED8F-4942-9A55-8F5F9AF07E7C}"/>
    <cellStyle name="Normal 2 5 2 2 2 2 7" xfId="23020" xr:uid="{C96626A7-8A30-4A18-B351-B60F31361BBD}"/>
    <cellStyle name="Normal 2 5 2 2 2 2 8" xfId="13180" xr:uid="{891D6BE0-84F5-4991-A767-D7C48F75C934}"/>
    <cellStyle name="Normal 2 5 2 2 2 3" xfId="3215" xr:uid="{00000000-0005-0000-0000-00006E040000}"/>
    <cellStyle name="Normal 2 5 2 2 2 3 2" xfId="4479" xr:uid="{36BCBF59-3A2F-455A-91E4-3790C01DA354}"/>
    <cellStyle name="Normal 2 5 2 2 2 3 2 2" xfId="9251" xr:uid="{05652BB2-E29D-4C98-92EF-A8DDD59C9960}"/>
    <cellStyle name="Normal 2 5 2 2 2 3 2 2 2" xfId="19631" xr:uid="{E4DE5BF3-388A-4E0B-8922-811E7C8B7E95}"/>
    <cellStyle name="Normal 2 5 2 2 2 3 2 3" xfId="12084" xr:uid="{517B48F6-EBFD-4B47-85E1-E2002532C5F2}"/>
    <cellStyle name="Normal 2 5 2 2 2 3 2 3 2" xfId="22464" xr:uid="{A8B4C9C2-D85E-4D4E-BAEA-964415011FFD}"/>
    <cellStyle name="Normal 2 5 2 2 2 3 2 4" xfId="26011" xr:uid="{D767D733-1D9E-4A1B-B87C-48D72D4D16A6}"/>
    <cellStyle name="Normal 2 5 2 2 2 3 2 5" xfId="16798" xr:uid="{EDF6B23B-6D74-4B2F-8CF0-895567AF8D24}"/>
    <cellStyle name="Normal 2 5 2 2 2 3 3" xfId="6273" xr:uid="{E237BBFF-353E-4FF3-8F34-88D0CAFA6419}"/>
    <cellStyle name="Normal 2 5 2 2 2 3 3 2" xfId="15842" xr:uid="{21A2DB3F-C021-4DDF-9BCB-322B912BB2E6}"/>
    <cellStyle name="Normal 2 5 2 2 2 3 4" xfId="8295" xr:uid="{60218A56-EF6F-447B-A2DF-9964297231C1}"/>
    <cellStyle name="Normal 2 5 2 2 2 3 4 2" xfId="18675" xr:uid="{C8D3D6F3-F699-4739-8303-77921F1C33D5}"/>
    <cellStyle name="Normal 2 5 2 2 2 3 5" xfId="11128" xr:uid="{655DEBB3-451A-4310-A5ED-34F38583CCC7}"/>
    <cellStyle name="Normal 2 5 2 2 2 3 5 2" xfId="21508" xr:uid="{F09793CA-A50B-4AF8-B1E7-ECE6235C50DC}"/>
    <cellStyle name="Normal 2 5 2 2 2 3 6" xfId="23360" xr:uid="{6724D974-014A-4C1D-AFCF-15F0DAD3861B}"/>
    <cellStyle name="Normal 2 5 2 2 2 3 7" xfId="13758" xr:uid="{4550D860-A979-4584-9235-6FF3536883AB}"/>
    <cellStyle name="Normal 2 5 2 2 2 4" xfId="3213" xr:uid="{00000000-0005-0000-0000-00006F040000}"/>
    <cellStyle name="Normal 2 5 2 2 2 4 2" xfId="6271" xr:uid="{470586E9-20A5-4102-89F8-91C21CAF62B6}"/>
    <cellStyle name="Normal 2 5 2 2 2 4 2 2" xfId="27179" xr:uid="{76524590-BE25-4E90-9A12-CB4BABFB9FDE}"/>
    <cellStyle name="Normal 2 5 2 2 2 4 2 3" xfId="15840" xr:uid="{8468030D-1416-4FFD-A057-2D3BCFCE884E}"/>
    <cellStyle name="Normal 2 5 2 2 2 4 3" xfId="8293" xr:uid="{F94E1009-82AC-49F2-AFAA-D945FD059FB2}"/>
    <cellStyle name="Normal 2 5 2 2 2 4 3 2" xfId="18673" xr:uid="{3F375015-1CDB-494B-8980-F58059EB35D9}"/>
    <cellStyle name="Normal 2 5 2 2 2 4 4" xfId="11126" xr:uid="{DF4D42A6-4084-41D5-A4D8-2102E2D2B083}"/>
    <cellStyle name="Normal 2 5 2 2 2 4 4 2" xfId="21506" xr:uid="{100E25DA-9780-489B-ADB2-713629F41DAA}"/>
    <cellStyle name="Normal 2 5 2 2 2 4 5" xfId="22639" xr:uid="{ADDD103C-D91C-4D25-88C7-6C864115B982}"/>
    <cellStyle name="Normal 2 5 2 2 2 4 6" xfId="13756" xr:uid="{350B0D98-801D-41B9-B424-5D26F2704B71}"/>
    <cellStyle name="Normal 2 5 2 2 2 5" xfId="4245" xr:uid="{24E76430-8ACA-48F3-A78E-3C87E028080F}"/>
    <cellStyle name="Normal 2 5 2 2 2 5 2" xfId="9017" xr:uid="{940CCF05-FE4F-4221-95B5-FA400D2BE188}"/>
    <cellStyle name="Normal 2 5 2 2 2 5 2 2" xfId="29088" xr:uid="{CDE0CC06-AAAA-42B8-B54E-067A69769F33}"/>
    <cellStyle name="Normal 2 5 2 2 2 5 2 3" xfId="19397" xr:uid="{253F5665-A4C5-4FE6-B6BE-53C551428927}"/>
    <cellStyle name="Normal 2 5 2 2 2 5 3" xfId="11850" xr:uid="{90708FCE-840E-4C45-B1B5-79CF51B9DDDB}"/>
    <cellStyle name="Normal 2 5 2 2 2 5 3 2" xfId="22230" xr:uid="{65618ED9-2AE4-4168-8702-94242206482D}"/>
    <cellStyle name="Normal 2 5 2 2 2 5 4" xfId="23982" xr:uid="{F6874D78-530B-4FE8-8B44-AEA6932DCEEC}"/>
    <cellStyle name="Normal 2 5 2 2 2 5 5" xfId="16564" xr:uid="{565854D8-ADCC-4305-A1F4-C99591DB82BE}"/>
    <cellStyle name="Normal 2 5 2 2 2 6" xfId="5143" xr:uid="{26435337-A12E-4D95-98AB-E38E11DD752F}"/>
    <cellStyle name="Normal 2 5 2 2 2 6 2" xfId="28535" xr:uid="{03DCE3D8-53D6-433C-BE8F-3D8C50817AEB}"/>
    <cellStyle name="Normal 2 5 2 2 2 6 3" xfId="14440" xr:uid="{A6C71034-89B3-4B5C-8BE5-FF08CBE5277C}"/>
    <cellStyle name="Normal 2 5 2 2 2 7" xfId="6893" xr:uid="{0081EC98-3400-4E64-8DF1-938C9FDCD02D}"/>
    <cellStyle name="Normal 2 5 2 2 2 7 2" xfId="17273" xr:uid="{184AC13C-C047-4BF2-8489-DBA2F11BDC8E}"/>
    <cellStyle name="Normal 2 5 2 2 2 8" xfId="9726" xr:uid="{971CDE65-C117-4A08-A4DD-0AEC1378C835}"/>
    <cellStyle name="Normal 2 5 2 2 2 8 2" xfId="20106" xr:uid="{8CE5B0D4-4A3C-4CE9-A4A8-E0C5802DF3A5}"/>
    <cellStyle name="Normal 2 5 2 2 2 9" xfId="24178" xr:uid="{6618C867-3FA3-4D7B-8484-4741A6B6C9E4}"/>
    <cellStyle name="Normal 2 5 2 2 3" xfId="2741" xr:uid="{00000000-0005-0000-0000-000070040000}"/>
    <cellStyle name="Normal 2 5 2 2 3 2" xfId="3216" xr:uid="{00000000-0005-0000-0000-000071040000}"/>
    <cellStyle name="Normal 2 5 2 2 3 2 2" xfId="6274" xr:uid="{125526E2-1B68-4366-BC25-A88A855F197A}"/>
    <cellStyle name="Normal 2 5 2 2 3 2 2 2" xfId="27593" xr:uid="{49ACA487-4871-4BF4-8D6D-5E0878753C3F}"/>
    <cellStyle name="Normal 2 5 2 2 3 2 2 3" xfId="15843" xr:uid="{8760EBA9-5B3C-4871-B38E-FC4EAAB0B506}"/>
    <cellStyle name="Normal 2 5 2 2 3 2 3" xfId="8296" xr:uid="{047E0A3A-8119-44DD-A32E-978D1B8D470F}"/>
    <cellStyle name="Normal 2 5 2 2 3 2 3 2" xfId="18676" xr:uid="{91E8223E-5F4F-41A2-803B-12B570AE548B}"/>
    <cellStyle name="Normal 2 5 2 2 3 2 4" xfId="11129" xr:uid="{43966DBD-200E-4B8C-A4BF-B542AB3D9707}"/>
    <cellStyle name="Normal 2 5 2 2 3 2 4 2" xfId="21509" xr:uid="{12D8F5BF-15E9-42A9-AC8B-C14F93168DC3}"/>
    <cellStyle name="Normal 2 5 2 2 3 2 5" xfId="24621" xr:uid="{B6F4CE5C-2D10-44C3-87D3-1932D40F6231}"/>
    <cellStyle name="Normal 2 5 2 2 3 2 6" xfId="13759" xr:uid="{92FB54DC-6098-4D02-88D5-5E332F9EAF16}"/>
    <cellStyle name="Normal 2 5 2 2 3 3" xfId="4305" xr:uid="{213B3692-4C25-444C-BC01-9EEB2F1609AF}"/>
    <cellStyle name="Normal 2 5 2 2 3 3 2" xfId="9077" xr:uid="{23094562-15D6-4390-AC48-D99AC64F353F}"/>
    <cellStyle name="Normal 2 5 2 2 3 3 2 2" xfId="29120" xr:uid="{EAB57E5F-E699-4426-97B4-F4B7AE02A5C0}"/>
    <cellStyle name="Normal 2 5 2 2 3 3 2 3" xfId="19457" xr:uid="{868E6816-C0A7-4736-A4D9-D52FAAF98090}"/>
    <cellStyle name="Normal 2 5 2 2 3 3 3" xfId="11910" xr:uid="{208E8303-B51A-44B0-96FD-EBC47C97D28D}"/>
    <cellStyle name="Normal 2 5 2 2 3 3 3 2" xfId="22290" xr:uid="{ED6983D7-23B0-4DAB-9AFD-FBB55D688585}"/>
    <cellStyle name="Normal 2 5 2 2 3 3 4" xfId="24729" xr:uid="{144698A1-D602-4E2E-B2EB-596434FEF72C}"/>
    <cellStyle name="Normal 2 5 2 2 3 3 5" xfId="16624" xr:uid="{60893DA7-920E-432B-891E-C2AE7500FA73}"/>
    <cellStyle name="Normal 2 5 2 2 3 4" xfId="5959" xr:uid="{75E5890C-162B-446D-A6FF-7D7721D6D836}"/>
    <cellStyle name="Normal 2 5 2 2 3 4 2" xfId="25974" xr:uid="{0ACF9DCA-7666-484E-8883-6240D354069D}"/>
    <cellStyle name="Normal 2 5 2 2 3 4 3" xfId="15412" xr:uid="{E172702E-BDB1-4702-805E-4C1DCD1E5B32}"/>
    <cellStyle name="Normal 2 5 2 2 3 5" xfId="7865" xr:uid="{59A39C3A-389D-4DC2-92A0-02FC3B1FACB9}"/>
    <cellStyle name="Normal 2 5 2 2 3 5 2" xfId="18245" xr:uid="{113B81A0-4493-40B8-B212-0F69AC7550CE}"/>
    <cellStyle name="Normal 2 5 2 2 3 6" xfId="10698" xr:uid="{CF69B6F2-A989-48D6-A94B-0F7F4FD56EEE}"/>
    <cellStyle name="Normal 2 5 2 2 3 6 2" xfId="21078" xr:uid="{04A13D38-2234-4FD6-A2E3-F47286B10896}"/>
    <cellStyle name="Normal 2 5 2 2 3 7" xfId="23428" xr:uid="{70D0F8FF-967E-4511-B73D-49D36332934C}"/>
    <cellStyle name="Normal 2 5 2 2 3 8" xfId="13179" xr:uid="{8BDD633D-383C-4C98-9FC4-D321D6096FD2}"/>
    <cellStyle name="Normal 2 5 2 2 4" xfId="3217" xr:uid="{00000000-0005-0000-0000-000072040000}"/>
    <cellStyle name="Normal 2 5 2 2 4 2" xfId="4480" xr:uid="{3EB82FC1-B88A-40CB-8B41-892CF297600A}"/>
    <cellStyle name="Normal 2 5 2 2 4 2 2" xfId="9252" xr:uid="{AB393766-45FE-45E7-BEF7-E9C212E00415}"/>
    <cellStyle name="Normal 2 5 2 2 4 2 2 2" xfId="19632" xr:uid="{BDA5DE4C-A95E-47CB-8948-710A1806735B}"/>
    <cellStyle name="Normal 2 5 2 2 4 2 3" xfId="12085" xr:uid="{DE447C13-A5D0-4F50-926A-902D4B88F635}"/>
    <cellStyle name="Normal 2 5 2 2 4 2 3 2" xfId="22465" xr:uid="{C5128C15-52BF-4F32-BC14-73A902848545}"/>
    <cellStyle name="Normal 2 5 2 2 4 2 4" xfId="28301" xr:uid="{2BA84938-6D8B-4040-AC54-C200C5C16352}"/>
    <cellStyle name="Normal 2 5 2 2 4 2 5" xfId="16799" xr:uid="{4C17F181-C7EB-4246-B7FC-CFE4D8522DA3}"/>
    <cellStyle name="Normal 2 5 2 2 4 3" xfId="6275" xr:uid="{EBB1EE02-B42A-4E77-9B49-56D6E1FFFD4A}"/>
    <cellStyle name="Normal 2 5 2 2 4 3 2" xfId="15844" xr:uid="{850C2CBF-1712-4014-AF4B-81076ADA536E}"/>
    <cellStyle name="Normal 2 5 2 2 4 4" xfId="8297" xr:uid="{6E442549-9C68-43C3-9129-3B07F8B63376}"/>
    <cellStyle name="Normal 2 5 2 2 4 4 2" xfId="18677" xr:uid="{FEF55DD3-F186-4D2B-B89E-C73001FE7C5C}"/>
    <cellStyle name="Normal 2 5 2 2 4 5" xfId="11130" xr:uid="{3D4A8E3A-1147-4AB3-A43F-0856D74B5CD1}"/>
    <cellStyle name="Normal 2 5 2 2 4 5 2" xfId="21510" xr:uid="{A18CBA86-4193-4CE8-9494-FED6AB3ACEC4}"/>
    <cellStyle name="Normal 2 5 2 2 4 6" xfId="23804" xr:uid="{959BCB16-D8FF-4A2A-A7F6-1C42B383E0CB}"/>
    <cellStyle name="Normal 2 5 2 2 4 7" xfId="13760" xr:uid="{7FAA0FFF-905D-497A-8213-602202E02055}"/>
    <cellStyle name="Normal 2 5 2 2 5" xfId="3212" xr:uid="{00000000-0005-0000-0000-000073040000}"/>
    <cellStyle name="Normal 2 5 2 2 5 2" xfId="6270" xr:uid="{CD3B0AF8-2B88-4A79-A2DF-ABCE5E0EDF79}"/>
    <cellStyle name="Normal 2 5 2 2 5 2 2" xfId="27727" xr:uid="{5CB61858-C772-4C6A-B056-BF3189513D4D}"/>
    <cellStyle name="Normal 2 5 2 2 5 2 3" xfId="15839" xr:uid="{B1D79E71-55B0-4E3E-AFC9-50DB82A5E064}"/>
    <cellStyle name="Normal 2 5 2 2 5 3" xfId="8292" xr:uid="{A1986F02-78EF-49CB-8E39-1D7BB6EF8FE8}"/>
    <cellStyle name="Normal 2 5 2 2 5 3 2" xfId="18672" xr:uid="{E44D3349-AD8D-45AA-BA28-1E05F2043120}"/>
    <cellStyle name="Normal 2 5 2 2 5 4" xfId="11125" xr:uid="{A8B78940-A714-426F-95C6-F0F043E29AC7}"/>
    <cellStyle name="Normal 2 5 2 2 5 4 2" xfId="21505" xr:uid="{86A6F4A0-F698-4A00-A6C5-6641AC7BF20B}"/>
    <cellStyle name="Normal 2 5 2 2 5 5" xfId="24387" xr:uid="{4370B9C9-0A32-4408-A69F-24FE67FD33B1}"/>
    <cellStyle name="Normal 2 5 2 2 5 6" xfId="13755" xr:uid="{09B18C7C-625F-4F81-ADA0-84FD4BC75D0F}"/>
    <cellStyle name="Normal 2 5 2 2 6" xfId="2555" xr:uid="{00000000-0005-0000-0000-000074040000}"/>
    <cellStyle name="Normal 2 5 2 2 6 2" xfId="5825" xr:uid="{25A596B2-4983-4347-A690-43278B245CAC}"/>
    <cellStyle name="Normal 2 5 2 2 6 2 2" xfId="26562" xr:uid="{62A1FF07-A161-4AE6-9F6E-F3187B39ECEB}"/>
    <cellStyle name="Normal 2 5 2 2 6 2 3" xfId="15227" xr:uid="{5AB1F873-DCAA-4A9B-A682-F072D1FBC357}"/>
    <cellStyle name="Normal 2 5 2 2 6 3" xfId="7680" xr:uid="{0C0A9924-252A-42B0-BDDB-B5B69979F60C}"/>
    <cellStyle name="Normal 2 5 2 2 6 3 2" xfId="18060" xr:uid="{4DEFEA25-FE43-4D42-B1D0-51871E26E8EE}"/>
    <cellStyle name="Normal 2 5 2 2 6 4" xfId="10513" xr:uid="{933DF63A-C0DA-42F5-9816-F6E0F41558BF}"/>
    <cellStyle name="Normal 2 5 2 2 6 4 2" xfId="20893" xr:uid="{CD6C6E08-BA17-46EB-A495-C8ABABCD869E}"/>
    <cellStyle name="Normal 2 5 2 2 6 5" xfId="25031" xr:uid="{CAAD7571-4374-416C-A844-BBCDB30C7FAB}"/>
    <cellStyle name="Normal 2 5 2 2 6 6" xfId="12943" xr:uid="{BBE309FD-EDBF-4189-9F47-0F781820EC80}"/>
    <cellStyle name="Normal 2 5 2 2 7" xfId="2249" xr:uid="{00000000-0005-0000-0000-00006A040000}"/>
    <cellStyle name="Normal 2 5 2 2 7 2" xfId="7376" xr:uid="{8A0E426F-BD96-4854-BEE8-A381F0565431}"/>
    <cellStyle name="Normal 2 5 2 2 7 2 2" xfId="17756" xr:uid="{B33549B6-782C-45F9-8468-B96DDBD252ED}"/>
    <cellStyle name="Normal 2 5 2 2 7 3" xfId="10209" xr:uid="{9AAA16DB-2AD0-41E4-9AC8-EDB0BEB32C1F}"/>
    <cellStyle name="Normal 2 5 2 2 7 3 2" xfId="20589" xr:uid="{0627A3F8-427A-4A94-9241-143F14860458}"/>
    <cellStyle name="Normal 2 5 2 2 7 4" xfId="24582" xr:uid="{A184C3C5-F122-4C8E-AE7F-C541056A2995}"/>
    <cellStyle name="Normal 2 5 2 2 7 5" xfId="14923" xr:uid="{0492BAAF-A54E-4C53-A4CA-4A01C8374CC0}"/>
    <cellStyle name="Normal 2 5 2 2 8" xfId="3800" xr:uid="{F1877237-F3C3-480A-ACD6-54826A0E1805}"/>
    <cellStyle name="Normal 2 5 2 2 8 2" xfId="8636" xr:uid="{2291FA23-0A45-4B74-AAB2-583D1F5686DC}"/>
    <cellStyle name="Normal 2 5 2 2 8 2 2" xfId="19016" xr:uid="{A8C312C2-B2FF-4B22-9CE0-79791545C391}"/>
    <cellStyle name="Normal 2 5 2 2 8 3" xfId="11469" xr:uid="{DD4AA20B-8344-40EE-9939-7303F5E74F63}"/>
    <cellStyle name="Normal 2 5 2 2 8 3 2" xfId="21849" xr:uid="{193E3053-7BCB-4425-BC74-747EBCFF0BA6}"/>
    <cellStyle name="Normal 2 5 2 2 8 4" xfId="16183" xr:uid="{6EC87BB2-6594-44FF-B50E-BE165A843D5D}"/>
    <cellStyle name="Normal 2 5 2 2 9" xfId="5142" xr:uid="{FB36C901-C53D-4572-AAD4-AB23456790AB}"/>
    <cellStyle name="Normal 2 5 2 2 9 2" xfId="14439" xr:uid="{E0015A66-797F-4955-8A28-2011ECF45AD4}"/>
    <cellStyle name="Normal 2 5 2 3" xfId="792" xr:uid="{00000000-0005-0000-0000-0000C4040000}"/>
    <cellStyle name="Normal 2 5 2 3 10" xfId="9727" xr:uid="{029CE8BE-530F-475F-B07C-84FE1BD224D5}"/>
    <cellStyle name="Normal 2 5 2 3 10 2" xfId="20107" xr:uid="{227FDDB4-E945-4D7A-BFF9-673972C1A5A9}"/>
    <cellStyle name="Normal 2 5 2 3 11" xfId="24546" xr:uid="{E6EB4C6D-1B7C-4F2F-B0C3-F253D26CADD3}"/>
    <cellStyle name="Normal 2 5 2 3 12" xfId="12568" xr:uid="{FF76ED38-27B7-4009-A348-DED8E4FB6127}"/>
    <cellStyle name="Normal 2 5 2 3 2" xfId="2743" xr:uid="{00000000-0005-0000-0000-000076040000}"/>
    <cellStyle name="Normal 2 5 2 3 2 2" xfId="3219" xr:uid="{00000000-0005-0000-0000-000077040000}"/>
    <cellStyle name="Normal 2 5 2 3 2 2 2" xfId="6277" xr:uid="{87CA24AF-D326-41B1-BEB9-59A590033D7E}"/>
    <cellStyle name="Normal 2 5 2 3 2 2 2 2" xfId="26205" xr:uid="{13E15B1F-064C-4F1B-91DF-FDF8E941E0D8}"/>
    <cellStyle name="Normal 2 5 2 3 2 2 2 3" xfId="15846" xr:uid="{64CEC759-3E76-4255-BC35-68C1295D1A0D}"/>
    <cellStyle name="Normal 2 5 2 3 2 2 3" xfId="8299" xr:uid="{03B17314-33D4-4388-9F60-24F21A186C59}"/>
    <cellStyle name="Normal 2 5 2 3 2 2 3 2" xfId="18679" xr:uid="{5DB78E24-E019-4E71-8168-DC9A186C787E}"/>
    <cellStyle name="Normal 2 5 2 3 2 2 4" xfId="11132" xr:uid="{E7ABD13E-3F12-4E24-B708-1200CD919B5F}"/>
    <cellStyle name="Normal 2 5 2 3 2 2 4 2" xfId="21512" xr:uid="{EEF3DD65-6706-4152-A265-BA17749A068F}"/>
    <cellStyle name="Normal 2 5 2 3 2 2 5" xfId="24696" xr:uid="{848B1284-2455-4E63-8167-5F5BA0C50206}"/>
    <cellStyle name="Normal 2 5 2 3 2 2 6" xfId="13762" xr:uid="{FCD49A74-9347-4B00-B486-417D3D52E51A}"/>
    <cellStyle name="Normal 2 5 2 3 2 3" xfId="4307" xr:uid="{6411A7A5-5528-460F-89C7-299F9D1D5DAE}"/>
    <cellStyle name="Normal 2 5 2 3 2 3 2" xfId="9079" xr:uid="{18C614DB-215D-4A52-84F3-5E7CA58266A0}"/>
    <cellStyle name="Normal 2 5 2 3 2 3 2 2" xfId="29122" xr:uid="{7008841A-4354-4CE8-A78F-780DBC269B6A}"/>
    <cellStyle name="Normal 2 5 2 3 2 3 2 3" xfId="19459" xr:uid="{D37BDD27-B1E6-4871-8D8E-EE91AF61354E}"/>
    <cellStyle name="Normal 2 5 2 3 2 3 3" xfId="11912" xr:uid="{B840EF34-CC77-4681-97DA-172CBEC7162C}"/>
    <cellStyle name="Normal 2 5 2 3 2 3 3 2" xfId="22292" xr:uid="{6A72AABD-A8E1-4579-94D9-04D1508FCACA}"/>
    <cellStyle name="Normal 2 5 2 3 2 3 4" xfId="23323" xr:uid="{2C8C9217-83D7-42C9-A865-3FAB0F5B2521}"/>
    <cellStyle name="Normal 2 5 2 3 2 3 5" xfId="16626" xr:uid="{A878821D-7906-4FB0-BA82-3ECB642E23DA}"/>
    <cellStyle name="Normal 2 5 2 3 2 4" xfId="5961" xr:uid="{619B855B-733C-4135-AB31-940705AAA4BF}"/>
    <cellStyle name="Normal 2 5 2 3 2 4 2" xfId="26119" xr:uid="{CF1DDBE3-66A3-4A01-9B52-F15062DA060B}"/>
    <cellStyle name="Normal 2 5 2 3 2 4 3" xfId="15414" xr:uid="{92D48D94-1FE4-4232-853C-3A9176E88E41}"/>
    <cellStyle name="Normal 2 5 2 3 2 5" xfId="7867" xr:uid="{0F181675-17DB-4479-B20F-2450E7A23DE6}"/>
    <cellStyle name="Normal 2 5 2 3 2 5 2" xfId="18247" xr:uid="{CA0FF2B9-D524-4D77-BE3B-A1E3CA1E0A0B}"/>
    <cellStyle name="Normal 2 5 2 3 2 6" xfId="10700" xr:uid="{4123705F-7123-4EE3-A80A-6D8FCBE220CE}"/>
    <cellStyle name="Normal 2 5 2 3 2 6 2" xfId="21080" xr:uid="{EAC315FB-8969-47CD-8A28-D499AE1C02EA}"/>
    <cellStyle name="Normal 2 5 2 3 2 7" xfId="24806" xr:uid="{F0EA81D9-27CC-4047-8D40-89DAD5375548}"/>
    <cellStyle name="Normal 2 5 2 3 2 8" xfId="13181" xr:uid="{A6418468-8EC1-43B4-874F-6E1A6DE320F6}"/>
    <cellStyle name="Normal 2 5 2 3 3" xfId="3220" xr:uid="{00000000-0005-0000-0000-000078040000}"/>
    <cellStyle name="Normal 2 5 2 3 3 2" xfId="4481" xr:uid="{62550687-04CF-4DF5-89D5-F3C096152E91}"/>
    <cellStyle name="Normal 2 5 2 3 3 2 2" xfId="9253" xr:uid="{0DAAE6DE-98AA-4447-819B-9C901F645DC1}"/>
    <cellStyle name="Normal 2 5 2 3 3 2 2 2" xfId="29240" xr:uid="{1DDAA92C-45AD-4E21-B5A5-CBA7672AD962}"/>
    <cellStyle name="Normal 2 5 2 3 3 2 2 3" xfId="19633" xr:uid="{FA9809E8-4B7C-449B-97A2-E23E9066EA44}"/>
    <cellStyle name="Normal 2 5 2 3 3 2 3" xfId="12086" xr:uid="{7E6706F1-F3BC-4DE4-90C5-51754EF84A57}"/>
    <cellStyle name="Normal 2 5 2 3 3 2 3 2" xfId="22466" xr:uid="{B92C20CE-F04A-4C5F-8544-08FD1770A160}"/>
    <cellStyle name="Normal 2 5 2 3 3 2 4" xfId="24706" xr:uid="{F0CFE77C-8623-498D-A86F-1C84D94D2F02}"/>
    <cellStyle name="Normal 2 5 2 3 3 2 5" xfId="16800" xr:uid="{ED0D3814-8FBA-4ABE-BD44-FD369CE42E2D}"/>
    <cellStyle name="Normal 2 5 2 3 3 3" xfId="6278" xr:uid="{6B7E8AD6-2ED0-4DB0-B6B6-797418E549AD}"/>
    <cellStyle name="Normal 2 5 2 3 3 3 2" xfId="28668" xr:uid="{DBC7CC91-5ADA-4C37-BA92-BF3AFA28B1FF}"/>
    <cellStyle name="Normal 2 5 2 3 3 3 3" xfId="15847" xr:uid="{8AE53C57-9A0C-4A0E-B4B0-F8C4FDD3B24D}"/>
    <cellStyle name="Normal 2 5 2 3 3 4" xfId="8300" xr:uid="{A3E91B29-6F1C-4ACC-AFD8-E3F2F21FEC5F}"/>
    <cellStyle name="Normal 2 5 2 3 3 4 2" xfId="18680" xr:uid="{E8DC0184-69C1-46E8-B586-E9F1CCA48110}"/>
    <cellStyle name="Normal 2 5 2 3 3 5" xfId="11133" xr:uid="{BF792310-982E-4318-98E5-1DFAC5C18B15}"/>
    <cellStyle name="Normal 2 5 2 3 3 5 2" xfId="21513" xr:uid="{45E06DBE-6498-4D8D-9C18-15558C7DB73F}"/>
    <cellStyle name="Normal 2 5 2 3 3 6" xfId="24936" xr:uid="{71E6EFDE-88BC-4B59-8E98-465D5341ED21}"/>
    <cellStyle name="Normal 2 5 2 3 3 7" xfId="13763" xr:uid="{7A2E540D-36B5-476B-90B8-515E969C10D9}"/>
    <cellStyle name="Normal 2 5 2 3 4" xfId="3218" xr:uid="{00000000-0005-0000-0000-000079040000}"/>
    <cellStyle name="Normal 2 5 2 3 4 2" xfId="6276" xr:uid="{9AAF25EE-FB8E-4722-82FC-D8F8B86D1661}"/>
    <cellStyle name="Normal 2 5 2 3 4 2 2" xfId="27290" xr:uid="{30F52BE9-DC6B-4032-A086-8E83F0B26220}"/>
    <cellStyle name="Normal 2 5 2 3 4 2 3" xfId="15845" xr:uid="{41516B1E-32CC-4272-847E-3A420034FA18}"/>
    <cellStyle name="Normal 2 5 2 3 4 3" xfId="8298" xr:uid="{4C81EEC8-3539-4F8E-B7FA-09DA0A7684BA}"/>
    <cellStyle name="Normal 2 5 2 3 4 3 2" xfId="18678" xr:uid="{3D33B353-D445-4CDE-B1F8-FE5AF0ED8CFA}"/>
    <cellStyle name="Normal 2 5 2 3 4 4" xfId="11131" xr:uid="{DAD61EDE-170A-4B5A-BEE4-82688638A0E9}"/>
    <cellStyle name="Normal 2 5 2 3 4 4 2" xfId="21511" xr:uid="{E6D2FBAD-F889-4A7A-953F-88B854FD442B}"/>
    <cellStyle name="Normal 2 5 2 3 4 5" xfId="23580" xr:uid="{AC5BA273-55EE-4E9A-AEF3-E9321A648D82}"/>
    <cellStyle name="Normal 2 5 2 3 4 6" xfId="13761" xr:uid="{7A3046DE-830A-4E76-ADD2-33CBAD418714}"/>
    <cellStyle name="Normal 2 5 2 3 5" xfId="2598" xr:uid="{00000000-0005-0000-0000-00007A040000}"/>
    <cellStyle name="Normal 2 5 2 3 5 2" xfId="5863" xr:uid="{57F4218A-0856-4695-B7CD-070ED5C7857D}"/>
    <cellStyle name="Normal 2 5 2 3 5 2 2" xfId="25910" xr:uid="{C2C21EBE-0259-4024-8AB9-64DC316A0BE1}"/>
    <cellStyle name="Normal 2 5 2 3 5 2 3" xfId="15270" xr:uid="{82E013B2-446F-42DB-8AE4-05D8119EB650}"/>
    <cellStyle name="Normal 2 5 2 3 5 3" xfId="7723" xr:uid="{60E5F2DD-5A67-4A14-BCF3-1029110793D4}"/>
    <cellStyle name="Normal 2 5 2 3 5 3 2" xfId="18103" xr:uid="{903F867D-C52C-4F72-AAE6-EC9E6248ECF2}"/>
    <cellStyle name="Normal 2 5 2 3 5 4" xfId="10556" xr:uid="{C4AAA262-6DB3-4CCB-88CE-972140C6D5E1}"/>
    <cellStyle name="Normal 2 5 2 3 5 4 2" xfId="20936" xr:uid="{747C35FC-6408-44BA-9957-13386A0328E7}"/>
    <cellStyle name="Normal 2 5 2 3 5 5" xfId="23294" xr:uid="{9009F6E4-3888-457E-994B-1EF68210CA9B}"/>
    <cellStyle name="Normal 2 5 2 3 5 6" xfId="12986" xr:uid="{29E050E5-D4CF-4AAC-AD4D-658A6E1C7B05}"/>
    <cellStyle name="Normal 2 5 2 3 6" xfId="2334" xr:uid="{00000000-0005-0000-0000-000075040000}"/>
    <cellStyle name="Normal 2 5 2 3 6 2" xfId="7461" xr:uid="{1B6EE378-8B9C-47A7-8630-A6509BBE6949}"/>
    <cellStyle name="Normal 2 5 2 3 6 2 2" xfId="17841" xr:uid="{301CDB61-47D3-4DAF-9842-7871A055B12C}"/>
    <cellStyle name="Normal 2 5 2 3 6 3" xfId="10294" xr:uid="{01A84E7F-9D18-4484-A545-BCD477F02EDF}"/>
    <cellStyle name="Normal 2 5 2 3 6 3 2" xfId="20674" xr:uid="{6B9433DB-F847-48D5-9CA9-CD8CC6E91926}"/>
    <cellStyle name="Normal 2 5 2 3 6 4" xfId="23235" xr:uid="{5616085E-D1E4-475B-A134-244E040A0C3D}"/>
    <cellStyle name="Normal 2 5 2 3 6 5" xfId="15008" xr:uid="{2D52D98F-3300-4312-9DD2-A94489204E4A}"/>
    <cellStyle name="Normal 2 5 2 3 7" xfId="3849" xr:uid="{A0F0B495-44E9-4D87-8427-3065703ED31C}"/>
    <cellStyle name="Normal 2 5 2 3 7 2" xfId="8682" xr:uid="{5D0464CC-7BC2-46E4-9041-1B0CCFD048BC}"/>
    <cellStyle name="Normal 2 5 2 3 7 2 2" xfId="19062" xr:uid="{361A3BFB-7FB5-4E28-8E2A-327D80847DC1}"/>
    <cellStyle name="Normal 2 5 2 3 7 3" xfId="11515" xr:uid="{A0D666EA-7758-4A4D-B4CB-2775BEE55150}"/>
    <cellStyle name="Normal 2 5 2 3 7 3 2" xfId="21895" xr:uid="{B56248C6-390B-4CE6-98BE-BB02274D79ED}"/>
    <cellStyle name="Normal 2 5 2 3 7 4" xfId="16229" xr:uid="{014D6D88-15A7-412F-A1C0-B935C19E723F}"/>
    <cellStyle name="Normal 2 5 2 3 8" xfId="5144" xr:uid="{C637A8BE-D4E8-4CE6-9D9E-F7288871D17B}"/>
    <cellStyle name="Normal 2 5 2 3 8 2" xfId="14441" xr:uid="{1D8CC06A-14D7-4DFC-A85B-FB987D7EE3D5}"/>
    <cellStyle name="Normal 2 5 2 3 9" xfId="6894" xr:uid="{07C53E2F-55E7-4BCB-8812-7540EAE03A26}"/>
    <cellStyle name="Normal 2 5 2 3 9 2" xfId="17274" xr:uid="{38593FD1-BB1E-45AE-9E3B-057816A29D8E}"/>
    <cellStyle name="Normal 2 5 2 4" xfId="793" xr:uid="{00000000-0005-0000-0000-0000C5040000}"/>
    <cellStyle name="Normal 2 5 2 4 2" xfId="3221" xr:uid="{00000000-0005-0000-0000-00007C040000}"/>
    <cellStyle name="Normal 2 5 2 4 2 2" xfId="6279" xr:uid="{EEE2FE17-6B4C-4262-AD6A-9E5C22B87798}"/>
    <cellStyle name="Normal 2 5 2 4 2 2 2" xfId="27249" xr:uid="{07931A6B-F462-4D91-A266-D5022F75A9A7}"/>
    <cellStyle name="Normal 2 5 2 4 2 2 3" xfId="15848" xr:uid="{924739E1-A68B-41D2-A43F-1E9BB4A11579}"/>
    <cellStyle name="Normal 2 5 2 4 2 3" xfId="8301" xr:uid="{EB08D9D3-BE2B-4CEF-A0C6-C5955D24C885}"/>
    <cellStyle name="Normal 2 5 2 4 2 3 2" xfId="18681" xr:uid="{7719174E-AC06-4249-9BD7-55832E3EEC96}"/>
    <cellStyle name="Normal 2 5 2 4 2 4" xfId="11134" xr:uid="{EA91745C-2588-4CA4-82DF-04F4FFA8A36F}"/>
    <cellStyle name="Normal 2 5 2 4 2 4 2" xfId="21514" xr:uid="{78D5C279-A6F1-47C0-8CD0-C11C1DCE2BBF}"/>
    <cellStyle name="Normal 2 5 2 4 2 5" xfId="23370" xr:uid="{B1BAF2F6-6D8A-49A9-8A3A-39B752EAD3B7}"/>
    <cellStyle name="Normal 2 5 2 4 2 6" xfId="13764" xr:uid="{B34DFB72-EFBC-4647-BE4D-D840EECFE28B}"/>
    <cellStyle name="Normal 2 5 2 4 3" xfId="2740" xr:uid="{00000000-0005-0000-0000-00007D040000}"/>
    <cellStyle name="Normal 2 5 2 4 3 2" xfId="5958" xr:uid="{53D474A8-250B-4A0F-8833-5E811D83AD08}"/>
    <cellStyle name="Normal 2 5 2 4 3 2 2" xfId="26914" xr:uid="{4340A015-65D2-4715-B542-0AC3E1D1E874}"/>
    <cellStyle name="Normal 2 5 2 4 3 2 3" xfId="15411" xr:uid="{276446FA-B627-4DF3-976C-DD125ACCEF3A}"/>
    <cellStyle name="Normal 2 5 2 4 3 3" xfId="7864" xr:uid="{6BE22A1D-E582-4B42-AE90-314B96AA8A12}"/>
    <cellStyle name="Normal 2 5 2 4 3 3 2" xfId="18244" xr:uid="{3A9A18D3-B09B-4626-B506-04C2417F3A37}"/>
    <cellStyle name="Normal 2 5 2 4 3 4" xfId="10697" xr:uid="{7A96F4B5-A1CB-4D78-A0F0-587B367F80E0}"/>
    <cellStyle name="Normal 2 5 2 4 3 4 2" xfId="21077" xr:uid="{A4DCC127-A254-4CAB-A7B5-E42B9749139B}"/>
    <cellStyle name="Normal 2 5 2 4 3 5" xfId="23633" xr:uid="{3A0FDDF7-4CE5-4B2A-9275-84693E3FB79F}"/>
    <cellStyle name="Normal 2 5 2 4 3 6" xfId="13178" xr:uid="{4E10FE9B-F5DC-4BAC-804A-1B5E1352899A}"/>
    <cellStyle name="Normal 2 5 2 4 4" xfId="4168" xr:uid="{7D1ECE65-F0EB-4D6B-9500-CD08F41C9471}"/>
    <cellStyle name="Normal 2 5 2 4 4 2" xfId="8940" xr:uid="{2191E214-9052-48F1-9E96-A5E7810872BE}"/>
    <cellStyle name="Normal 2 5 2 4 4 2 2" xfId="19320" xr:uid="{F696EB39-AB37-4F5B-A1AE-CA4687B12113}"/>
    <cellStyle name="Normal 2 5 2 4 4 3" xfId="11773" xr:uid="{23EE8783-8212-4F57-8ECA-907796240104}"/>
    <cellStyle name="Normal 2 5 2 4 4 3 2" xfId="22153" xr:uid="{44BC714E-3EDF-4140-9297-8A37DBC943B9}"/>
    <cellStyle name="Normal 2 5 2 4 4 4" xfId="24948" xr:uid="{62D22C87-835B-403A-BC26-3CE93B532349}"/>
    <cellStyle name="Normal 2 5 2 4 4 5" xfId="16487" xr:uid="{E25BE7C9-BBB6-4D0A-B4EA-AB9EE862FB7D}"/>
    <cellStyle name="Normal 2 5 2 4 5" xfId="5145" xr:uid="{3C165FBA-6E04-463F-B297-973456C4E0A4}"/>
    <cellStyle name="Normal 2 5 2 4 5 2" xfId="14442" xr:uid="{4A1F2327-41D2-4272-8C23-A4BBA842D591}"/>
    <cellStyle name="Normal 2 5 2 4 6" xfId="6895" xr:uid="{32EC5D67-A489-4F87-BD0D-F04465B790FF}"/>
    <cellStyle name="Normal 2 5 2 4 6 2" xfId="17275" xr:uid="{79068C78-A9CE-4467-B711-613DF7980DC2}"/>
    <cellStyle name="Normal 2 5 2 4 7" xfId="9728" xr:uid="{05D479F6-8F2C-4987-B2C3-DA60C8369E04}"/>
    <cellStyle name="Normal 2 5 2 4 7 2" xfId="20108" xr:uid="{A8ECB67A-08CF-4B7A-A91A-162C5E733165}"/>
    <cellStyle name="Normal 2 5 2 4 8" xfId="24389" xr:uid="{F7A1A015-43C1-4E8B-A582-B9A54135F709}"/>
    <cellStyle name="Normal 2 5 2 4 9" xfId="12726" xr:uid="{3ED7CF03-90FB-4FFF-BC10-D1A1704AED85}"/>
    <cellStyle name="Normal 2 5 2 5" xfId="3222" xr:uid="{00000000-0005-0000-0000-00007E040000}"/>
    <cellStyle name="Normal 2 5 2 5 2" xfId="4482" xr:uid="{2CAEE3DB-359D-4F75-9894-D842204D562F}"/>
    <cellStyle name="Normal 2 5 2 5 2 2" xfId="9254" xr:uid="{07B8D04F-B436-468D-9D97-42EB2CDFEF8F}"/>
    <cellStyle name="Normal 2 5 2 5 2 2 2" xfId="29241" xr:uid="{AF5E4DEC-AED1-4352-9943-A57F31C0AA81}"/>
    <cellStyle name="Normal 2 5 2 5 2 2 3" xfId="19634" xr:uid="{4670DBA2-7760-4C78-9338-A289E30EBC5D}"/>
    <cellStyle name="Normal 2 5 2 5 2 3" xfId="12087" xr:uid="{787B96BF-C9E5-4EEA-9822-B7E04675F556}"/>
    <cellStyle name="Normal 2 5 2 5 2 3 2" xfId="22467" xr:uid="{D2107782-31B3-4BE5-B217-4EA741ED8E28}"/>
    <cellStyle name="Normal 2 5 2 5 2 4" xfId="25396" xr:uid="{F5C46202-F9BB-4824-8BE1-70E7454FDCDF}"/>
    <cellStyle name="Normal 2 5 2 5 2 5" xfId="16801" xr:uid="{89E11442-5DB0-4A0D-A1CA-DA7D312BC72D}"/>
    <cellStyle name="Normal 2 5 2 5 3" xfId="6280" xr:uid="{C22E0A54-0B0C-4FE3-A4DA-E7022E5BAE84}"/>
    <cellStyle name="Normal 2 5 2 5 3 2" xfId="26021" xr:uid="{83A952E5-3095-48EF-9E3B-9223594174E6}"/>
    <cellStyle name="Normal 2 5 2 5 3 3" xfId="15849" xr:uid="{9C3CFDC7-32E2-4113-A882-B18D0017921F}"/>
    <cellStyle name="Normal 2 5 2 5 4" xfId="8302" xr:uid="{2B5EC5B1-C9A6-49E7-BD0B-28F511F0FFFB}"/>
    <cellStyle name="Normal 2 5 2 5 4 2" xfId="18682" xr:uid="{65C2A20F-DFD8-4188-8956-A9FE2E941A8F}"/>
    <cellStyle name="Normal 2 5 2 5 5" xfId="11135" xr:uid="{AAEA1FD6-DC9D-4654-A0BA-EABC1796A96C}"/>
    <cellStyle name="Normal 2 5 2 5 5 2" xfId="21515" xr:uid="{7628DB45-4251-4BB8-AD09-352D02079EE8}"/>
    <cellStyle name="Normal 2 5 2 5 6" xfId="24712" xr:uid="{6F1D76E4-752F-4FFD-A731-1018C2BBD8E2}"/>
    <cellStyle name="Normal 2 5 2 5 7" xfId="13765" xr:uid="{653BB0C4-0C1C-4302-847F-B5E6308AF81B}"/>
    <cellStyle name="Normal 2 5 2 6" xfId="2909" xr:uid="{00000000-0005-0000-0000-00007F040000}"/>
    <cellStyle name="Normal 2 5 2 6 2" xfId="6095" xr:uid="{EF4B9E71-D2F2-4C8B-972D-177687E96515}"/>
    <cellStyle name="Normal 2 5 2 6 2 2" xfId="28196" xr:uid="{6A69E23C-421A-42A8-8575-D382A19C7F04}"/>
    <cellStyle name="Normal 2 5 2 6 2 3" xfId="15573" xr:uid="{859D1AE7-FB27-4187-B74D-CA98BB8D3202}"/>
    <cellStyle name="Normal 2 5 2 6 3" xfId="8026" xr:uid="{7579173E-DC72-4874-A64B-3673CCDE9864}"/>
    <cellStyle name="Normal 2 5 2 6 3 2" xfId="18406" xr:uid="{A2396188-FDDA-4696-B50E-EB2B6277FC67}"/>
    <cellStyle name="Normal 2 5 2 6 4" xfId="10859" xr:uid="{7B742B51-E818-4C84-9D60-F461B34C1576}"/>
    <cellStyle name="Normal 2 5 2 6 4 2" xfId="21239" xr:uid="{D4838F46-E9C8-47DA-AFE6-6C25E5582D21}"/>
    <cellStyle name="Normal 2 5 2 6 5" xfId="22699" xr:uid="{35487D1D-41C9-45EC-8536-378C0F4EEFB4}"/>
    <cellStyle name="Normal 2 5 2 6 6" xfId="13424" xr:uid="{91921D68-67D7-4B68-94FD-1F4FA3148177}"/>
    <cellStyle name="Normal 2 5 2 7" xfId="2495" xr:uid="{00000000-0005-0000-0000-000080040000}"/>
    <cellStyle name="Normal 2 5 2 7 2" xfId="5778" xr:uid="{99C2BA53-1365-4EB4-AB06-F7F7498A9696}"/>
    <cellStyle name="Normal 2 5 2 7 2 2" xfId="26062" xr:uid="{3C304D84-09DF-4795-9F57-2880C2D1D8FA}"/>
    <cellStyle name="Normal 2 5 2 7 2 3" xfId="15167" xr:uid="{919C06B2-919F-49E0-A5F5-3D16976D0918}"/>
    <cellStyle name="Normal 2 5 2 7 3" xfId="7620" xr:uid="{EE146622-CF2C-47FA-B51E-37A16AAF08E8}"/>
    <cellStyle name="Normal 2 5 2 7 3 2" xfId="18000" xr:uid="{4750487A-B7D3-4B35-8742-0AB55BA36BFA}"/>
    <cellStyle name="Normal 2 5 2 7 4" xfId="10453" xr:uid="{666CCBBF-6F67-4FD1-8753-3BBEBC1E9EC4}"/>
    <cellStyle name="Normal 2 5 2 7 4 2" xfId="20833" xr:uid="{DC00A23E-136E-459B-B5FD-DB187E2FE1F8}"/>
    <cellStyle name="Normal 2 5 2 7 5" xfId="25036" xr:uid="{A0702F01-6B20-415F-98D1-8AB87128CE06}"/>
    <cellStyle name="Normal 2 5 2 7 6" xfId="12883" xr:uid="{43C74731-0EAF-437F-B70C-459112110876}"/>
    <cellStyle name="Normal 2 5 2 8" xfId="2189" xr:uid="{00000000-0005-0000-0000-000069040000}"/>
    <cellStyle name="Normal 2 5 2 8 2" xfId="7316" xr:uid="{76F9C6E1-98BB-4CD5-9663-E35BB481387B}"/>
    <cellStyle name="Normal 2 5 2 8 2 2" xfId="17696" xr:uid="{78F6CB6F-EF45-4BA8-8861-8C2770619ABB}"/>
    <cellStyle name="Normal 2 5 2 8 3" xfId="10149" xr:uid="{66AB0743-5217-4D1A-ACDB-6DB31C0DC1FE}"/>
    <cellStyle name="Normal 2 5 2 8 3 2" xfId="20529" xr:uid="{03EE2923-0E90-4239-BE48-7DB4A2874218}"/>
    <cellStyle name="Normal 2 5 2 8 4" xfId="22640" xr:uid="{1929FE0D-2A66-4D62-AD03-D14638CF9BC1}"/>
    <cellStyle name="Normal 2 5 2 8 5" xfId="14863" xr:uid="{AF8078E8-36A5-4D2A-9238-FE17E1C01874}"/>
    <cellStyle name="Normal 2 5 2 9" xfId="3944" xr:uid="{08C0ECA0-D38B-41F7-AAD3-FF6FD8BC8E27}"/>
    <cellStyle name="Normal 2 5 2 9 2" xfId="8776" xr:uid="{F443E9E3-BF33-46DC-8E48-C86F6F9F61B2}"/>
    <cellStyle name="Normal 2 5 2 9 2 2" xfId="19156" xr:uid="{DA98C03B-4C78-4F2B-9725-F2F70D48E311}"/>
    <cellStyle name="Normal 2 5 2 9 3" xfId="11609" xr:uid="{E395D239-6ADD-4534-9D49-6EEA98B8A25F}"/>
    <cellStyle name="Normal 2 5 2 9 3 2" xfId="21989" xr:uid="{B165DF3C-AB91-4A18-A236-17AE971F1CB4}"/>
    <cellStyle name="Normal 2 5 2 9 4" xfId="16323" xr:uid="{4815F7E9-B950-4B34-90DA-2E75FE8DB948}"/>
    <cellStyle name="Normal 2 5 3" xfId="794" xr:uid="{00000000-0005-0000-0000-0000C6040000}"/>
    <cellStyle name="Normal 2 5 3 10" xfId="5146" xr:uid="{B901A708-D7E7-411F-A167-479150D6CF2A}"/>
    <cellStyle name="Normal 2 5 3 10 2" xfId="14443" xr:uid="{0105A7C3-D629-467C-B6CF-C7BABA0C9123}"/>
    <cellStyle name="Normal 2 5 3 11" xfId="6896" xr:uid="{5BE858C3-0F6A-4DB6-AD8F-B07F86E6E3FD}"/>
    <cellStyle name="Normal 2 5 3 11 2" xfId="17276" xr:uid="{313C113C-5C9F-40CE-A47E-8390E2C182D4}"/>
    <cellStyle name="Normal 2 5 3 12" xfId="9729" xr:uid="{D01B6235-68CA-4951-94F9-623B5B813D32}"/>
    <cellStyle name="Normal 2 5 3 12 2" xfId="20109" xr:uid="{74E602F9-776A-4F97-ADAF-01E963B1E38E}"/>
    <cellStyle name="Normal 2 5 3 13" xfId="23119" xr:uid="{34070B2D-BA9C-4441-AD3D-F887D0876F3A}"/>
    <cellStyle name="Normal 2 5 3 14" xfId="12455" xr:uid="{31EE617D-D551-439D-A1A3-02848639B573}"/>
    <cellStyle name="Normal 2 5 3 2" xfId="795" xr:uid="{00000000-0005-0000-0000-0000C7040000}"/>
    <cellStyle name="Normal 2 5 3 2 10" xfId="9730" xr:uid="{A17B91C3-1F56-4A4D-AF3E-AC7567B499B9}"/>
    <cellStyle name="Normal 2 5 3 2 10 2" xfId="20110" xr:uid="{8D32B545-DD11-49E7-9C36-403AB34BACC2}"/>
    <cellStyle name="Normal 2 5 3 2 11" xfId="23348" xr:uid="{03FECB21-470C-4A29-B147-7F0CAAF93F1C}"/>
    <cellStyle name="Normal 2 5 3 2 12" xfId="12569" xr:uid="{0CC7BC41-9A3A-413B-BA31-66A3CBC60725}"/>
    <cellStyle name="Normal 2 5 3 2 2" xfId="796" xr:uid="{00000000-0005-0000-0000-0000C8040000}"/>
    <cellStyle name="Normal 2 5 3 2 2 2" xfId="3224" xr:uid="{00000000-0005-0000-0000-000084040000}"/>
    <cellStyle name="Normal 2 5 3 2 2 2 2" xfId="6282" xr:uid="{AE06F968-3F82-490F-AD4C-E515EAC7C341}"/>
    <cellStyle name="Normal 2 5 3 2 2 2 2 2" xfId="26767" xr:uid="{963993A2-0774-4C0A-B203-58A1F09FDA20}"/>
    <cellStyle name="Normal 2 5 3 2 2 2 2 3" xfId="26118" xr:uid="{382095A3-94FE-451A-9763-D22227E7BA23}"/>
    <cellStyle name="Normal 2 5 3 2 2 2 2 4" xfId="15851" xr:uid="{F29EC348-A204-49F9-9C0B-8A7935371C81}"/>
    <cellStyle name="Normal 2 5 3 2 2 2 3" xfId="8304" xr:uid="{E305045C-647C-4253-B434-20A78C68A955}"/>
    <cellStyle name="Normal 2 5 3 2 2 2 3 2" xfId="28887" xr:uid="{20061D78-E085-449C-9839-E4A15376BA84}"/>
    <cellStyle name="Normal 2 5 3 2 2 2 3 3" xfId="18684" xr:uid="{F0D2C55F-846C-4A52-A4AD-F035A82C4E1C}"/>
    <cellStyle name="Normal 2 5 3 2 2 2 4" xfId="11137" xr:uid="{E4CB2C56-B398-45F3-93A2-52F64E8B4FCD}"/>
    <cellStyle name="Normal 2 5 3 2 2 2 4 2" xfId="21517" xr:uid="{2DAB53EB-DE63-46E2-B876-ED521E9991D1}"/>
    <cellStyle name="Normal 2 5 3 2 2 2 5" xfId="25074" xr:uid="{FCDC08AB-856B-4995-8B0C-50A17A951D0B}"/>
    <cellStyle name="Normal 2 5 3 2 2 2 6" xfId="13767" xr:uid="{E4C19338-8437-4B6F-85D2-7915BF2A8C43}"/>
    <cellStyle name="Normal 2 5 3 2 2 3" xfId="4309" xr:uid="{33CF12BE-4E15-4766-966E-D53F693A0B27}"/>
    <cellStyle name="Normal 2 5 3 2 2 3 2" xfId="9081" xr:uid="{C23A6B08-EE5B-4BE4-95C9-3351C454EDAE}"/>
    <cellStyle name="Normal 2 5 3 2 2 3 2 2" xfId="29124" xr:uid="{3A7666C7-A758-457F-8359-865586FD1FF3}"/>
    <cellStyle name="Normal 2 5 3 2 2 3 2 3" xfId="19461" xr:uid="{2BD31331-0623-4781-940B-7F530BD394EB}"/>
    <cellStyle name="Normal 2 5 3 2 2 3 3" xfId="11914" xr:uid="{8E817C7C-DF18-4E16-90F9-1F79D4240CD2}"/>
    <cellStyle name="Normal 2 5 3 2 2 3 3 2" xfId="22294" xr:uid="{A644BADA-4A7E-4705-BCE0-EA0AB7E48073}"/>
    <cellStyle name="Normal 2 5 3 2 2 3 4" xfId="24974" xr:uid="{F0163A7A-099C-4C94-A83D-65AF42BF9F57}"/>
    <cellStyle name="Normal 2 5 3 2 2 3 5" xfId="16628" xr:uid="{49A5CFFB-A459-42F3-B5BE-D78081F8FE19}"/>
    <cellStyle name="Normal 2 5 3 2 2 4" xfId="5148" xr:uid="{7CAF6CA8-B2D7-4ECB-85F2-7B29C7DE4354}"/>
    <cellStyle name="Normal 2 5 3 2 2 4 2" xfId="26946" xr:uid="{98549FEC-8556-468E-8063-23A0CEDA2D5A}"/>
    <cellStyle name="Normal 2 5 3 2 2 4 3" xfId="14445" xr:uid="{D57A7FE4-0A42-4484-9FAF-9EB466F5E4AC}"/>
    <cellStyle name="Normal 2 5 3 2 2 5" xfId="6898" xr:uid="{61B74B72-EE99-4F1C-807F-27989FC8E96E}"/>
    <cellStyle name="Normal 2 5 3 2 2 5 2" xfId="17278" xr:uid="{E73A2E4F-DE00-443A-8D3B-7B4D3860D75A}"/>
    <cellStyle name="Normal 2 5 3 2 2 6" xfId="9731" xr:uid="{9768CB4E-2714-4103-8E6E-910ACBC0179F}"/>
    <cellStyle name="Normal 2 5 3 2 2 6 2" xfId="20111" xr:uid="{A5754DFA-E505-4F9F-90A1-15537FC8F736}"/>
    <cellStyle name="Normal 2 5 3 2 2 7" xfId="23824" xr:uid="{1173EBCD-5665-49E6-AD5C-B2304B17161D}"/>
    <cellStyle name="Normal 2 5 3 2 2 8" xfId="13183" xr:uid="{80A92B38-ED87-4C56-BADD-16D35D522DD5}"/>
    <cellStyle name="Normal 2 5 3 2 3" xfId="3225" xr:uid="{00000000-0005-0000-0000-000085040000}"/>
    <cellStyle name="Normal 2 5 3 2 3 2" xfId="4483" xr:uid="{F84F9602-F0AE-4DC7-951D-91646602D2D6}"/>
    <cellStyle name="Normal 2 5 3 2 3 2 2" xfId="9255" xr:uid="{1FC5633E-CCE7-43C7-B1F4-4E2766DB1D61}"/>
    <cellStyle name="Normal 2 5 3 2 3 2 2 2" xfId="29242" xr:uid="{75E8350C-2217-4421-B096-6919CE67F2BD}"/>
    <cellStyle name="Normal 2 5 3 2 3 2 2 3" xfId="19635" xr:uid="{91447355-DCF7-4612-82E6-E8E17892F62D}"/>
    <cellStyle name="Normal 2 5 3 2 3 2 3" xfId="12088" xr:uid="{2C0ECAF3-4B2A-42C9-A3FF-16A3C46C8632}"/>
    <cellStyle name="Normal 2 5 3 2 3 2 3 2" xfId="22468" xr:uid="{F6199A07-8DCE-4968-A554-A033795ABB04}"/>
    <cellStyle name="Normal 2 5 3 2 3 2 4" xfId="22824" xr:uid="{CC24F134-ED75-48E1-BAB9-646D79CDE47F}"/>
    <cellStyle name="Normal 2 5 3 2 3 2 5" xfId="16802" xr:uid="{0EA075A4-7FF1-4EA2-9CF8-6CD4F1B6190C}"/>
    <cellStyle name="Normal 2 5 3 2 3 3" xfId="6283" xr:uid="{88C70F18-104D-4686-AE35-9A30C0FC5F3D}"/>
    <cellStyle name="Normal 2 5 3 2 3 3 2" xfId="28644" xr:uid="{F7A23F4E-268A-44DC-B3F7-D0F11D7E5095}"/>
    <cellStyle name="Normal 2 5 3 2 3 3 3" xfId="15852" xr:uid="{3F0CE3FA-F544-4381-B5C8-629B153FCFB3}"/>
    <cellStyle name="Normal 2 5 3 2 3 4" xfId="8305" xr:uid="{4AB34DBE-B719-405E-B495-A072AFC84F6D}"/>
    <cellStyle name="Normal 2 5 3 2 3 4 2" xfId="18685" xr:uid="{B90C945C-9FE6-4044-9571-4E2F08A49A16}"/>
    <cellStyle name="Normal 2 5 3 2 3 5" xfId="11138" xr:uid="{6F74A375-9431-4E90-97C0-BF826892E75E}"/>
    <cellStyle name="Normal 2 5 3 2 3 5 2" xfId="21518" xr:uid="{D3ADF032-A154-427E-AA45-97FB78A2C7A7}"/>
    <cellStyle name="Normal 2 5 3 2 3 6" xfId="24289" xr:uid="{C41AD594-8344-40FC-9BAB-4F9F300DC813}"/>
    <cellStyle name="Normal 2 5 3 2 3 7" xfId="13768" xr:uid="{361459F8-1D19-4B25-A48A-253C871852DA}"/>
    <cellStyle name="Normal 2 5 3 2 4" xfId="3223" xr:uid="{00000000-0005-0000-0000-000086040000}"/>
    <cellStyle name="Normal 2 5 3 2 4 2" xfId="6281" xr:uid="{BECEE6F2-A32E-4134-BA46-9763589BE9F2}"/>
    <cellStyle name="Normal 2 5 3 2 4 2 2" xfId="28708" xr:uid="{308930B8-2630-49A9-8636-EFF6988358E2}"/>
    <cellStyle name="Normal 2 5 3 2 4 2 3" xfId="15850" xr:uid="{0291A228-6AF3-4CBE-ACFB-E6F988A6A73A}"/>
    <cellStyle name="Normal 2 5 3 2 4 3" xfId="8303" xr:uid="{D80F0271-FBD8-4581-B581-CCC4DEAB2087}"/>
    <cellStyle name="Normal 2 5 3 2 4 3 2" xfId="18683" xr:uid="{9A2F5522-6710-48DA-93DF-AB57C204EE03}"/>
    <cellStyle name="Normal 2 5 3 2 4 4" xfId="11136" xr:uid="{66F5DD36-C143-4AFD-849D-8A1F27B73A18}"/>
    <cellStyle name="Normal 2 5 3 2 4 4 2" xfId="21516" xr:uid="{11A4F742-1E4F-443A-B812-6848ECD0CE9D}"/>
    <cellStyle name="Normal 2 5 3 2 4 5" xfId="24537" xr:uid="{26D90045-E0DA-4C17-A2DE-D05875D7DD77}"/>
    <cellStyle name="Normal 2 5 3 2 4 6" xfId="13766" xr:uid="{98C3BC26-DF6F-4124-B423-9B4CF26C537F}"/>
    <cellStyle name="Normal 2 5 3 2 5" xfId="2529" xr:uid="{00000000-0005-0000-0000-000087040000}"/>
    <cellStyle name="Normal 2 5 3 2 5 2" xfId="5805" xr:uid="{55D655E9-1F84-43FE-9320-62BF5B1C22F6}"/>
    <cellStyle name="Normal 2 5 3 2 5 2 2" xfId="26177" xr:uid="{50A77953-1BD7-4337-84BF-5813ED2F0752}"/>
    <cellStyle name="Normal 2 5 3 2 5 2 3" xfId="15201" xr:uid="{D22DC361-ACE5-49EE-B767-6EDC2400BE2C}"/>
    <cellStyle name="Normal 2 5 3 2 5 3" xfId="7654" xr:uid="{816ADA4C-2F33-426F-A37D-37AC2E6755CF}"/>
    <cellStyle name="Normal 2 5 3 2 5 3 2" xfId="18034" xr:uid="{D4504AA2-E25B-4DDE-BF21-0B20F0EB7EC1}"/>
    <cellStyle name="Normal 2 5 3 2 5 4" xfId="10487" xr:uid="{67D4F33F-8D42-447C-8A88-E27F61469A3C}"/>
    <cellStyle name="Normal 2 5 3 2 5 4 2" xfId="20867" xr:uid="{D91E4D89-AFFC-4684-9FD4-E8CA9AE82100}"/>
    <cellStyle name="Normal 2 5 3 2 5 5" xfId="23162" xr:uid="{E913EA84-6AD1-41E2-A6F2-988DCA44C904}"/>
    <cellStyle name="Normal 2 5 3 2 5 6" xfId="12917" xr:uid="{EBEFE572-9B04-49F8-9FA4-0183C7B8D7B7}"/>
    <cellStyle name="Normal 2 5 3 2 6" xfId="2335" xr:uid="{00000000-0005-0000-0000-000082040000}"/>
    <cellStyle name="Normal 2 5 3 2 6 2" xfId="7462" xr:uid="{8B280B00-8611-4835-8C2E-276957C20C28}"/>
    <cellStyle name="Normal 2 5 3 2 6 2 2" xfId="17842" xr:uid="{BF30448F-133B-415C-8778-53B63BAE02CB}"/>
    <cellStyle name="Normal 2 5 3 2 6 3" xfId="10295" xr:uid="{1992D4DC-B5AC-442B-A473-26CECB6553B9}"/>
    <cellStyle name="Normal 2 5 3 2 6 3 2" xfId="20675" xr:uid="{E0B28474-8A8E-4DD0-8EB0-A817622FB2F0}"/>
    <cellStyle name="Normal 2 5 3 2 6 4" xfId="25589" xr:uid="{68796DDE-58EE-4733-89EA-044952437EFA}"/>
    <cellStyle name="Normal 2 5 3 2 6 5" xfId="15009" xr:uid="{E209A7A4-6938-4DFD-A8BB-6B2ADF3713F4}"/>
    <cellStyle name="Normal 2 5 3 2 7" xfId="3850" xr:uid="{68EF5F68-1856-41ED-95F2-A0A18534450F}"/>
    <cellStyle name="Normal 2 5 3 2 7 2" xfId="8683" xr:uid="{6468FD96-C1EC-4926-9F24-4FB5A8D3D5E1}"/>
    <cellStyle name="Normal 2 5 3 2 7 2 2" xfId="19063" xr:uid="{E77C4959-A932-418D-B36C-E48F813800E6}"/>
    <cellStyle name="Normal 2 5 3 2 7 3" xfId="11516" xr:uid="{DB5AA5FF-FE6A-4E50-A827-E675B7C4F86F}"/>
    <cellStyle name="Normal 2 5 3 2 7 3 2" xfId="21896" xr:uid="{790401EC-BDE4-4FF2-ADB2-C7F7D34CF1E5}"/>
    <cellStyle name="Normal 2 5 3 2 7 4" xfId="16230" xr:uid="{B5229A24-93F2-4693-851B-06CC506A0C55}"/>
    <cellStyle name="Normal 2 5 3 2 8" xfId="5147" xr:uid="{71DFB732-21F4-419B-9955-A0214C926B6F}"/>
    <cellStyle name="Normal 2 5 3 2 8 2" xfId="14444" xr:uid="{8F70C548-A3C3-44C7-81EA-CBE29DAAE6C3}"/>
    <cellStyle name="Normal 2 5 3 2 9" xfId="6897" xr:uid="{A26A1334-8781-4C7F-832A-3113608D2B6B}"/>
    <cellStyle name="Normal 2 5 3 2 9 2" xfId="17277" xr:uid="{2F1103A3-D415-4772-9783-7DF3E96E5209}"/>
    <cellStyle name="Normal 2 5 3 3" xfId="797" xr:uid="{00000000-0005-0000-0000-0000C9040000}"/>
    <cellStyle name="Normal 2 5 3 3 10" xfId="23044" xr:uid="{031C11DD-FCFB-47AB-BA52-672EED5BF159}"/>
    <cellStyle name="Normal 2 5 3 3 11" xfId="12727" xr:uid="{959C6AC3-1A67-4C63-924F-C3073593B867}"/>
    <cellStyle name="Normal 2 5 3 3 2" xfId="2744" xr:uid="{00000000-0005-0000-0000-000089040000}"/>
    <cellStyle name="Normal 2 5 3 3 2 2" xfId="3227" xr:uid="{00000000-0005-0000-0000-00008A040000}"/>
    <cellStyle name="Normal 2 5 3 3 2 2 2" xfId="6285" xr:uid="{25804369-44D9-459B-AAF0-86CD4FE0C9F3}"/>
    <cellStyle name="Normal 2 5 3 3 2 2 2 2" xfId="28326" xr:uid="{13FB1E69-19B8-4F39-9B11-E56FDBFFE513}"/>
    <cellStyle name="Normal 2 5 3 3 2 2 2 3" xfId="15854" xr:uid="{CC4942FC-D8CD-4C14-A7DC-2C9F5FF6D062}"/>
    <cellStyle name="Normal 2 5 3 3 2 2 3" xfId="8307" xr:uid="{E1C95000-BFF6-4817-896D-FF8602CB33AA}"/>
    <cellStyle name="Normal 2 5 3 3 2 2 3 2" xfId="18687" xr:uid="{328EACC2-91C4-43B4-B8B1-A5B08CCE66FD}"/>
    <cellStyle name="Normal 2 5 3 3 2 2 4" xfId="11140" xr:uid="{C200ADDC-0253-4A5C-9380-03155673285D}"/>
    <cellStyle name="Normal 2 5 3 3 2 2 4 2" xfId="21520" xr:uid="{132883E7-FD5A-400D-A783-82E777FBEF89}"/>
    <cellStyle name="Normal 2 5 3 3 2 2 5" xfId="22932" xr:uid="{FD21EA28-58D8-4640-BCD8-436C2B747B36}"/>
    <cellStyle name="Normal 2 5 3 3 2 2 6" xfId="13770" xr:uid="{17D29EFB-3707-404C-85EF-176B86D713D6}"/>
    <cellStyle name="Normal 2 5 3 3 2 3" xfId="4310" xr:uid="{1107B74B-FE16-45DD-897B-F3FED8FBA035}"/>
    <cellStyle name="Normal 2 5 3 3 2 3 2" xfId="9082" xr:uid="{9A2F5A9A-DBFE-43CB-B7F4-1B81C1AC1F57}"/>
    <cellStyle name="Normal 2 5 3 3 2 3 2 2" xfId="29125" xr:uid="{C18B8F15-42E5-4CD1-B362-08EB4981DFEC}"/>
    <cellStyle name="Normal 2 5 3 3 2 3 2 3" xfId="19462" xr:uid="{9DA8E725-F94A-4428-B5C6-AF45C02AA7BE}"/>
    <cellStyle name="Normal 2 5 3 3 2 3 3" xfId="11915" xr:uid="{543B574E-E8BD-4E81-97A3-8F4AB0D957C5}"/>
    <cellStyle name="Normal 2 5 3 3 2 3 3 2" xfId="22295" xr:uid="{63B6EB05-9EB6-4DDA-92D3-E5C84ABB373C}"/>
    <cellStyle name="Normal 2 5 3 3 2 3 4" xfId="23578" xr:uid="{B183ABB5-AEAC-4324-B67A-883A055856E7}"/>
    <cellStyle name="Normal 2 5 3 3 2 3 5" xfId="16629" xr:uid="{AFF0AFBE-A036-4A2F-B7EC-418A4D0FA1E1}"/>
    <cellStyle name="Normal 2 5 3 3 2 4" xfId="5962" xr:uid="{7ABC2878-0CFB-4341-823C-590E345E96EA}"/>
    <cellStyle name="Normal 2 5 3 3 2 4 2" xfId="28132" xr:uid="{143786A4-9DA3-443C-89EF-AD66CA6AEBA1}"/>
    <cellStyle name="Normal 2 5 3 3 2 4 3" xfId="15415" xr:uid="{355A02C9-1378-4F95-9738-7D3BF406B401}"/>
    <cellStyle name="Normal 2 5 3 3 2 5" xfId="7868" xr:uid="{035FE164-C485-4BB7-9E30-1ED086CED099}"/>
    <cellStyle name="Normal 2 5 3 3 2 5 2" xfId="18248" xr:uid="{CEF946DA-5181-44CA-A469-BDDE98BFD9CD}"/>
    <cellStyle name="Normal 2 5 3 3 2 6" xfId="10701" xr:uid="{4DF713A1-28E6-4743-8E80-6C8DE2DFE72B}"/>
    <cellStyle name="Normal 2 5 3 3 2 6 2" xfId="21081" xr:uid="{57BA23C6-7D59-4F2B-9E49-34433176D4A4}"/>
    <cellStyle name="Normal 2 5 3 3 2 7" xfId="25225" xr:uid="{99AA99E4-312F-4C28-B193-CBEADDBB85D0}"/>
    <cellStyle name="Normal 2 5 3 3 2 8" xfId="13184" xr:uid="{3EA2A6FB-FCFB-4DCB-AA36-A0B7FFC6C9D6}"/>
    <cellStyle name="Normal 2 5 3 3 3" xfId="3228" xr:uid="{00000000-0005-0000-0000-00008B040000}"/>
    <cellStyle name="Normal 2 5 3 3 3 2" xfId="4484" xr:uid="{951FAC34-D5FB-48AC-B36C-45BCE8EFE642}"/>
    <cellStyle name="Normal 2 5 3 3 3 2 2" xfId="9256" xr:uid="{545DCAC0-08C9-4B07-BBF3-506B166FD2F6}"/>
    <cellStyle name="Normal 2 5 3 3 3 2 2 2" xfId="29243" xr:uid="{EF85B97C-056C-4973-A746-58F159A92BF8}"/>
    <cellStyle name="Normal 2 5 3 3 3 2 2 3" xfId="19636" xr:uid="{4B0A08D7-8B3A-4832-B9C7-BA2320660323}"/>
    <cellStyle name="Normal 2 5 3 3 3 2 3" xfId="12089" xr:uid="{408152FC-D79D-445C-8162-5DA9B3B886FA}"/>
    <cellStyle name="Normal 2 5 3 3 3 2 3 2" xfId="22469" xr:uid="{88B369D0-AC3C-442D-A3E2-DF14A0BE12CB}"/>
    <cellStyle name="Normal 2 5 3 3 3 2 4" xfId="25590" xr:uid="{7B11F276-EFB1-4CE5-AAAF-C81351D04808}"/>
    <cellStyle name="Normal 2 5 3 3 3 2 5" xfId="16803" xr:uid="{ED702B6E-C0C9-4D8B-9646-FCD99BC5123F}"/>
    <cellStyle name="Normal 2 5 3 3 3 3" xfId="6286" xr:uid="{49E23FAE-86D7-4637-91B5-D4535F3EEE3C}"/>
    <cellStyle name="Normal 2 5 3 3 3 3 2" xfId="25888" xr:uid="{985224D8-D2DF-4B30-BBC4-0C734A65E8E8}"/>
    <cellStyle name="Normal 2 5 3 3 3 3 3" xfId="15855" xr:uid="{86784FBA-6E6F-4752-B168-C9D11180137E}"/>
    <cellStyle name="Normal 2 5 3 3 3 4" xfId="8308" xr:uid="{A33E524C-83A4-40D8-82B9-596C924968C8}"/>
    <cellStyle name="Normal 2 5 3 3 3 4 2" xfId="18688" xr:uid="{6CD46AB8-ED21-465B-BC4C-415C8155090A}"/>
    <cellStyle name="Normal 2 5 3 3 3 5" xfId="11141" xr:uid="{864771EB-E8B7-4442-AE35-32F1E104751C}"/>
    <cellStyle name="Normal 2 5 3 3 3 5 2" xfId="21521" xr:uid="{790328D7-A0B3-499C-A593-89CAAC845012}"/>
    <cellStyle name="Normal 2 5 3 3 3 6" xfId="23128" xr:uid="{1C7FF4AA-F112-4817-AFA7-337311AE8D92}"/>
    <cellStyle name="Normal 2 5 3 3 3 7" xfId="13771" xr:uid="{6D3BB943-701D-4A19-A4C9-AC850DE15A54}"/>
    <cellStyle name="Normal 2 5 3 3 4" xfId="3226" xr:uid="{00000000-0005-0000-0000-00008C040000}"/>
    <cellStyle name="Normal 2 5 3 3 4 2" xfId="6284" xr:uid="{0C3BD62F-F8AC-44D4-B5FF-7BFACC6D07D5}"/>
    <cellStyle name="Normal 2 5 3 3 4 2 2" xfId="26474" xr:uid="{8CD69CCA-B0FD-4E9A-8CEB-542155F751F2}"/>
    <cellStyle name="Normal 2 5 3 3 4 2 3" xfId="15853" xr:uid="{F2D39404-8D23-4B87-A925-2E52341FF785}"/>
    <cellStyle name="Normal 2 5 3 3 4 3" xfId="8306" xr:uid="{9527BE1E-DE74-4998-8553-7E5E26C1EFA2}"/>
    <cellStyle name="Normal 2 5 3 3 4 3 2" xfId="18686" xr:uid="{8647DFEC-5795-4E25-89C9-3F75FA989953}"/>
    <cellStyle name="Normal 2 5 3 3 4 4" xfId="11139" xr:uid="{BF522B7D-4624-4E56-92C8-332BB22C2467}"/>
    <cellStyle name="Normal 2 5 3 3 4 4 2" xfId="21519" xr:uid="{AD49A652-9991-4344-BEAB-0B78CFBD538D}"/>
    <cellStyle name="Normal 2 5 3 3 4 5" xfId="25369" xr:uid="{1A593429-A8C9-479E-AE78-CA9217A38F3D}"/>
    <cellStyle name="Normal 2 5 3 3 4 6" xfId="13769" xr:uid="{AC368816-52E5-4934-81B9-98172E0CCDC2}"/>
    <cellStyle name="Normal 2 5 3 3 5" xfId="2632" xr:uid="{00000000-0005-0000-0000-00008D040000}"/>
    <cellStyle name="Normal 2 5 3 3 5 2" xfId="5894" xr:uid="{E2E090D2-3735-478B-9685-CCDCF79CED39}"/>
    <cellStyle name="Normal 2 5 3 3 5 2 2" xfId="27104" xr:uid="{333B7E22-A868-4CDD-A946-650B7FE6FE6C}"/>
    <cellStyle name="Normal 2 5 3 3 5 2 3" xfId="15304" xr:uid="{3BD07DCA-A157-45A3-9D9D-4CE33245103F}"/>
    <cellStyle name="Normal 2 5 3 3 5 3" xfId="7757" xr:uid="{44037371-D29E-4521-A158-ED7938454E68}"/>
    <cellStyle name="Normal 2 5 3 3 5 3 2" xfId="18137" xr:uid="{7B599C7F-7535-42B4-89BD-95E9A2D3F07C}"/>
    <cellStyle name="Normal 2 5 3 3 5 4" xfId="10590" xr:uid="{E91E3381-5744-4EBC-9023-F0BB8787BB8D}"/>
    <cellStyle name="Normal 2 5 3 3 5 4 2" xfId="20970" xr:uid="{7903732C-1E4A-4DC7-B982-0AEDE4E5D11B}"/>
    <cellStyle name="Normal 2 5 3 3 5 5" xfId="23999" xr:uid="{4039D8F0-F054-40B7-A0E4-A4EEF489507E}"/>
    <cellStyle name="Normal 2 5 3 3 5 6" xfId="13020" xr:uid="{319D4F10-0955-4B1D-89ED-2AA232155015}"/>
    <cellStyle name="Normal 2 5 3 3 6" xfId="4169" xr:uid="{35C1B1DB-A382-4B39-99E3-95C074285C85}"/>
    <cellStyle name="Normal 2 5 3 3 6 2" xfId="8941" xr:uid="{197E43BB-D3CA-4368-8652-4F2402FD33CF}"/>
    <cellStyle name="Normal 2 5 3 3 6 2 2" xfId="19321" xr:uid="{C20EE58D-61B1-4AC0-9ECC-59C8ABA034D1}"/>
    <cellStyle name="Normal 2 5 3 3 6 3" xfId="11774" xr:uid="{6912843E-C807-46F5-A8E0-BFBD90824D89}"/>
    <cellStyle name="Normal 2 5 3 3 6 3 2" xfId="22154" xr:uid="{F9645213-A636-4326-A20E-01F43408CF55}"/>
    <cellStyle name="Normal 2 5 3 3 6 4" xfId="23254" xr:uid="{BFC4F051-9596-4F76-8BB4-0E786E3321A9}"/>
    <cellStyle name="Normal 2 5 3 3 6 5" xfId="16488" xr:uid="{FC561C2F-9FA6-44E0-9C95-BE24AEDE5EFF}"/>
    <cellStyle name="Normal 2 5 3 3 7" xfId="5149" xr:uid="{4D4DAB8C-6541-4D40-B66B-25E93FFC5312}"/>
    <cellStyle name="Normal 2 5 3 3 7 2" xfId="14446" xr:uid="{247654F7-094F-4AFD-A419-E1CB39ADDB4F}"/>
    <cellStyle name="Normal 2 5 3 3 8" xfId="6899" xr:uid="{59698C3A-0669-4F1E-A984-FF5FCC3E5BB2}"/>
    <cellStyle name="Normal 2 5 3 3 8 2" xfId="17279" xr:uid="{764DED76-B7F8-4062-9FCB-E9395AA4FBDE}"/>
    <cellStyle name="Normal 2 5 3 3 9" xfId="9732" xr:uid="{DDC34514-64B4-4F84-98A4-2EFE22B6C6E5}"/>
    <cellStyle name="Normal 2 5 3 3 9 2" xfId="20112" xr:uid="{F025BD27-34F3-48F0-B228-4A8C03A77A11}"/>
    <cellStyle name="Normal 2 5 3 4" xfId="798" xr:uid="{00000000-0005-0000-0000-0000CA040000}"/>
    <cellStyle name="Normal 2 5 3 4 2" xfId="3229" xr:uid="{00000000-0005-0000-0000-00008F040000}"/>
    <cellStyle name="Normal 2 5 3 4 2 2" xfId="6287" xr:uid="{939D3226-FF87-4B90-8B78-7DCCABB05372}"/>
    <cellStyle name="Normal 2 5 3 4 2 2 2" xfId="28352" xr:uid="{BDDB8FB3-B852-4AC3-909E-8381C8EE5F07}"/>
    <cellStyle name="Normal 2 5 3 4 2 2 3" xfId="15856" xr:uid="{67F8E193-0006-4149-A486-5372E80E5353}"/>
    <cellStyle name="Normal 2 5 3 4 2 3" xfId="8309" xr:uid="{97661A0C-02BE-4843-B20A-0599541327DA}"/>
    <cellStyle name="Normal 2 5 3 4 2 3 2" xfId="18689" xr:uid="{E3B21853-34F4-4D63-B8A5-6F26848BF5E6}"/>
    <cellStyle name="Normal 2 5 3 4 2 4" xfId="11142" xr:uid="{20CEBD95-A24D-4833-AA7C-61ABA764AF01}"/>
    <cellStyle name="Normal 2 5 3 4 2 4 2" xfId="21522" xr:uid="{EE6BB99F-8026-4268-A515-EB4C8CF86425}"/>
    <cellStyle name="Normal 2 5 3 4 2 5" xfId="22749" xr:uid="{21AC6561-6D20-4301-9BD5-28C92FA245FB}"/>
    <cellStyle name="Normal 2 5 3 4 2 6" xfId="13772" xr:uid="{09592D99-3FF8-4948-8C83-7C4357ADCF7D}"/>
    <cellStyle name="Normal 2 5 3 4 3" xfId="4308" xr:uid="{8785D825-AD3B-422C-B285-0ED6DFADF3AA}"/>
    <cellStyle name="Normal 2 5 3 4 3 2" xfId="9080" xr:uid="{1AEF477D-B7CC-4B72-839F-C3FEFE9A4BAD}"/>
    <cellStyle name="Normal 2 5 3 4 3 2 2" xfId="29123" xr:uid="{7D56A3C7-B510-4AF6-A7C9-2AFE343805E0}"/>
    <cellStyle name="Normal 2 5 3 4 3 2 3" xfId="19460" xr:uid="{68CC6781-067F-410D-9D7C-53706A48857F}"/>
    <cellStyle name="Normal 2 5 3 4 3 3" xfId="11913" xr:uid="{48D8519C-8B33-4196-A3C8-2457043A9426}"/>
    <cellStyle name="Normal 2 5 3 4 3 3 2" xfId="22293" xr:uid="{BEFA8E93-EC49-4FFB-B041-79172E4D6AF5}"/>
    <cellStyle name="Normal 2 5 3 4 3 4" xfId="23299" xr:uid="{36DA8047-9FFD-408A-BD6B-41D321FDAFDA}"/>
    <cellStyle name="Normal 2 5 3 4 3 5" xfId="16627" xr:uid="{2B3C2E63-D44C-493B-B335-CDDA83344D56}"/>
    <cellStyle name="Normal 2 5 3 4 4" xfId="5150" xr:uid="{1EBB81B8-9642-443C-94EC-CAA1770A8AEE}"/>
    <cellStyle name="Normal 2 5 3 4 4 2" xfId="27533" xr:uid="{DCB1CF7B-C50A-41FA-BA0E-FF1F7397F6F1}"/>
    <cellStyle name="Normal 2 5 3 4 4 3" xfId="14447" xr:uid="{6BD61CC2-EDD3-4400-959C-EFD03CC473F5}"/>
    <cellStyle name="Normal 2 5 3 4 5" xfId="6900" xr:uid="{119BD438-A9F8-4395-8923-C1F3953BFF58}"/>
    <cellStyle name="Normal 2 5 3 4 5 2" xfId="17280" xr:uid="{17D9B5A9-2EA1-48FA-8482-A29367EFE490}"/>
    <cellStyle name="Normal 2 5 3 4 6" xfId="9733" xr:uid="{A2428498-4586-460F-8F4A-BCF95294D36C}"/>
    <cellStyle name="Normal 2 5 3 4 6 2" xfId="20113" xr:uid="{3B2726D7-2DEB-4F18-9DB3-4E9F9D6183D9}"/>
    <cellStyle name="Normal 2 5 3 4 7" xfId="22890" xr:uid="{75F175D2-DA8D-44A4-B513-2FF835520016}"/>
    <cellStyle name="Normal 2 5 3 4 8" xfId="13182" xr:uid="{9C962EB9-99D8-44F6-AF18-7961AAE03E43}"/>
    <cellStyle name="Normal 2 5 3 5" xfId="3230" xr:uid="{00000000-0005-0000-0000-000090040000}"/>
    <cellStyle name="Normal 2 5 3 5 2" xfId="4485" xr:uid="{0BEB3A3D-C3D5-4EF2-8C83-3DFDED1B22B5}"/>
    <cellStyle name="Normal 2 5 3 5 2 2" xfId="9257" xr:uid="{2334310F-F348-438D-9405-FA364CD2B800}"/>
    <cellStyle name="Normal 2 5 3 5 2 2 2" xfId="29244" xr:uid="{6449A4A3-0FAB-4007-B0A2-B93EB0EB0140}"/>
    <cellStyle name="Normal 2 5 3 5 2 2 3" xfId="19637" xr:uid="{81B52144-2BFB-48B6-8A11-7CE4262E25DB}"/>
    <cellStyle name="Normal 2 5 3 5 2 3" xfId="12090" xr:uid="{A11F0EBF-9EB0-432B-A975-C574975B3A88}"/>
    <cellStyle name="Normal 2 5 3 5 2 3 2" xfId="22470" xr:uid="{791D0D36-F9CD-407E-8DCB-DB6164200372}"/>
    <cellStyle name="Normal 2 5 3 5 2 4" xfId="25075" xr:uid="{4A45569A-ABAA-4AA9-86E4-7D83925BB77D}"/>
    <cellStyle name="Normal 2 5 3 5 2 5" xfId="16804" xr:uid="{159A6CA8-3B65-4566-BDE1-8560AA86B86A}"/>
    <cellStyle name="Normal 2 5 3 5 3" xfId="6288" xr:uid="{1E0D802E-7B4A-4613-998F-F3E8DC8B81D2}"/>
    <cellStyle name="Normal 2 5 3 5 3 2" xfId="26826" xr:uid="{2E287158-7645-4617-8F5E-3637269961B0}"/>
    <cellStyle name="Normal 2 5 3 5 3 3" xfId="15857" xr:uid="{97635189-8BE7-436A-9583-42A16340DD0C}"/>
    <cellStyle name="Normal 2 5 3 5 4" xfId="8310" xr:uid="{A6997152-AC19-4A7E-A648-37891E593E8D}"/>
    <cellStyle name="Normal 2 5 3 5 4 2" xfId="18690" xr:uid="{30137378-1DE8-4737-B755-36460CF52729}"/>
    <cellStyle name="Normal 2 5 3 5 5" xfId="11143" xr:uid="{5A8FDB6A-5572-465A-8380-F41460F1A1DD}"/>
    <cellStyle name="Normal 2 5 3 5 5 2" xfId="21523" xr:uid="{70535393-DBC4-4BFC-9C91-EB6899198642}"/>
    <cellStyle name="Normal 2 5 3 5 6" xfId="23840" xr:uid="{49743946-3652-472F-9C52-EEEE5544C403}"/>
    <cellStyle name="Normal 2 5 3 5 7" xfId="13773" xr:uid="{D2F7F6C9-BFCC-4D3B-8892-9645E9B61F3C}"/>
    <cellStyle name="Normal 2 5 3 6" xfId="2910" xr:uid="{00000000-0005-0000-0000-000091040000}"/>
    <cellStyle name="Normal 2 5 3 6 2" xfId="6096" xr:uid="{B73878D2-5259-4990-81CF-080BA4EF1E5D}"/>
    <cellStyle name="Normal 2 5 3 6 2 2" xfId="28699" xr:uid="{EEF64A54-E212-4C60-BD41-D668E418A9DB}"/>
    <cellStyle name="Normal 2 5 3 6 2 3" xfId="15574" xr:uid="{0CB61A38-7EF3-43D6-948B-ECC541C781F9}"/>
    <cellStyle name="Normal 2 5 3 6 3" xfId="8027" xr:uid="{CE48BB44-792E-4F21-902E-4BB97AEF7655}"/>
    <cellStyle name="Normal 2 5 3 6 3 2" xfId="18407" xr:uid="{B62B2F41-6AB8-4DD0-AA31-E28A19E9F9D8}"/>
    <cellStyle name="Normal 2 5 3 6 4" xfId="10860" xr:uid="{C24DB934-6084-4D07-9EF6-4CE5B68AFF5C}"/>
    <cellStyle name="Normal 2 5 3 6 4 2" xfId="21240" xr:uid="{D38D8EEE-5F99-45F1-B30F-54336C143397}"/>
    <cellStyle name="Normal 2 5 3 6 5" xfId="25236" xr:uid="{A43D021D-1A55-47BA-A9F1-5348C5A3DDE9}"/>
    <cellStyle name="Normal 2 5 3 6 6" xfId="13425" xr:uid="{C1A7CE82-9259-47E3-BDAE-73A09C85EBF4}"/>
    <cellStyle name="Normal 2 5 3 7" xfId="2469" xr:uid="{00000000-0005-0000-0000-000092040000}"/>
    <cellStyle name="Normal 2 5 3 7 2" xfId="5759" xr:uid="{B168AF0A-31FE-458F-BE87-E8C90E776266}"/>
    <cellStyle name="Normal 2 5 3 7 2 2" xfId="28482" xr:uid="{F70FBECB-9D83-407D-84C4-17ADF63D7726}"/>
    <cellStyle name="Normal 2 5 3 7 2 3" xfId="15141" xr:uid="{6FE660AB-0937-442F-801C-F3C087699BEE}"/>
    <cellStyle name="Normal 2 5 3 7 3" xfId="7594" xr:uid="{58A42B35-60C8-41F2-AB70-65F4EF71C1DB}"/>
    <cellStyle name="Normal 2 5 3 7 3 2" xfId="17974" xr:uid="{DE52DCE9-40C2-452D-8456-5FF6AE9695A2}"/>
    <cellStyle name="Normal 2 5 3 7 4" xfId="10427" xr:uid="{910D1454-1412-4868-8BB6-9C605C88F5FF}"/>
    <cellStyle name="Normal 2 5 3 7 4 2" xfId="20807" xr:uid="{432812E6-7CDF-4C1E-BE4E-1CA4F7330669}"/>
    <cellStyle name="Normal 2 5 3 7 5" xfId="24121" xr:uid="{5C2766B1-ADA5-410F-A742-1CD7F4FC1B84}"/>
    <cellStyle name="Normal 2 5 3 7 6" xfId="12857" xr:uid="{7BA044FC-A76D-402C-8E1A-800974FD98C4}"/>
    <cellStyle name="Normal 2 5 3 8" xfId="2223" xr:uid="{00000000-0005-0000-0000-000081040000}"/>
    <cellStyle name="Normal 2 5 3 8 2" xfId="7350" xr:uid="{D2E4E38C-8D19-4275-8CE0-B7119B823696}"/>
    <cellStyle name="Normal 2 5 3 8 2 2" xfId="17730" xr:uid="{70C14F63-2795-48D7-A7DB-4101B9D794A7}"/>
    <cellStyle name="Normal 2 5 3 8 3" xfId="10183" xr:uid="{2F070E58-C7D0-4A47-8D76-D4BA544C705D}"/>
    <cellStyle name="Normal 2 5 3 8 3 2" xfId="20563" xr:uid="{AD63F703-5A02-4C99-8AFF-7D536F35CDF4}"/>
    <cellStyle name="Normal 2 5 3 8 4" xfId="24188" xr:uid="{0FB55210-A2F4-4E4D-A13B-45A04BF0A794}"/>
    <cellStyle name="Normal 2 5 3 8 5" xfId="14897" xr:uid="{C54113B0-249C-46BC-B11D-F443BD6799E6}"/>
    <cellStyle name="Normal 2 5 3 9" xfId="3945" xr:uid="{C0CC3FD7-CAC4-47BD-B3E9-E4DC609FB2A0}"/>
    <cellStyle name="Normal 2 5 3 9 2" xfId="8777" xr:uid="{0FA45915-D319-4183-BC2E-0054D365287E}"/>
    <cellStyle name="Normal 2 5 3 9 2 2" xfId="19157" xr:uid="{40D9AE69-1328-49C7-B694-85C243E1431D}"/>
    <cellStyle name="Normal 2 5 3 9 3" xfId="11610" xr:uid="{92587BA5-D326-4636-B8B0-18FE1AF758F5}"/>
    <cellStyle name="Normal 2 5 3 9 3 2" xfId="21990" xr:uid="{28E55DE2-C0C0-4102-854E-8884C587AD00}"/>
    <cellStyle name="Normal 2 5 3 9 4" xfId="16324" xr:uid="{93415755-5E1E-453E-9415-6BDBF66ECB00}"/>
    <cellStyle name="Normal 2 5 4" xfId="799" xr:uid="{00000000-0005-0000-0000-0000CB040000}"/>
    <cellStyle name="Normal 2 5 4 10" xfId="6901" xr:uid="{CB047E49-D53E-46AE-A873-27ABC9EECBD9}"/>
    <cellStyle name="Normal 2 5 4 10 2" xfId="17281" xr:uid="{B519EA17-B023-4DF0-876F-5671CF66B8AC}"/>
    <cellStyle name="Normal 2 5 4 11" xfId="9734" xr:uid="{9BB6EF12-CDE5-4744-8831-F0761B12D963}"/>
    <cellStyle name="Normal 2 5 4 11 2" xfId="20114" xr:uid="{170C48B2-6AEB-488F-BA8F-E698B6827046}"/>
    <cellStyle name="Normal 2 5 4 12" xfId="24915" xr:uid="{5B9F2A8E-0104-4D27-A837-7C63A45FF2A2}"/>
    <cellStyle name="Normal 2 5 4 13" xfId="12438" xr:uid="{F32A1A22-7BBF-4368-843F-7792A7197D73}"/>
    <cellStyle name="Normal 2 5 4 2" xfId="800" xr:uid="{00000000-0005-0000-0000-0000CC040000}"/>
    <cellStyle name="Normal 2 5 4 2 10" xfId="9735" xr:uid="{EB95C9A1-1894-4AD2-A17A-AC8E7ADD68F2}"/>
    <cellStyle name="Normal 2 5 4 2 10 2" xfId="20115" xr:uid="{2A98D9B5-85DE-413A-BB07-64EB77C01AF5}"/>
    <cellStyle name="Normal 2 5 4 2 11" xfId="23464" xr:uid="{27BC0A7A-B2F6-4886-A2DF-E73BCA1ECB62}"/>
    <cellStyle name="Normal 2 5 4 2 12" xfId="12570" xr:uid="{1CBDEFBE-2FCD-4FCB-A936-03F1F88C37C1}"/>
    <cellStyle name="Normal 2 5 4 2 2" xfId="801" xr:uid="{00000000-0005-0000-0000-0000CD040000}"/>
    <cellStyle name="Normal 2 5 4 2 2 2" xfId="3232" xr:uid="{00000000-0005-0000-0000-000096040000}"/>
    <cellStyle name="Normal 2 5 4 2 2 2 2" xfId="6290" xr:uid="{8892750F-7025-4C9C-96FB-CD8CFED5DCC5}"/>
    <cellStyle name="Normal 2 5 4 2 2 2 2 2" xfId="25963" xr:uid="{94FE1B15-B6FD-4918-B240-16B296DF0B2E}"/>
    <cellStyle name="Normal 2 5 4 2 2 2 2 3" xfId="26645" xr:uid="{7860B85E-A5C5-4E53-A052-92B8E69EEA39}"/>
    <cellStyle name="Normal 2 5 4 2 2 2 2 4" xfId="15859" xr:uid="{4E977405-66D9-42F9-A3FE-75344B532578}"/>
    <cellStyle name="Normal 2 5 4 2 2 2 3" xfId="8312" xr:uid="{FF599439-A5F8-4927-9DEE-E1B4DD50819A}"/>
    <cellStyle name="Normal 2 5 4 2 2 2 3 2" xfId="28888" xr:uid="{AA552203-6951-4942-B5F2-AC43969F3824}"/>
    <cellStyle name="Normal 2 5 4 2 2 2 3 3" xfId="18692" xr:uid="{06BB6B0A-50C3-4A17-B81D-AF2B71346F71}"/>
    <cellStyle name="Normal 2 5 4 2 2 2 4" xfId="11145" xr:uid="{65CD692F-6D05-4FC2-A4EB-56577F60FDE2}"/>
    <cellStyle name="Normal 2 5 4 2 2 2 4 2" xfId="21525" xr:uid="{6C0FFF33-281F-48A1-BC00-C6A7D8863B2C}"/>
    <cellStyle name="Normal 2 5 4 2 2 2 5" xfId="24946" xr:uid="{F48912EC-9A15-480E-92DD-56E3E099D83C}"/>
    <cellStyle name="Normal 2 5 4 2 2 2 6" xfId="13775" xr:uid="{3D655155-08D8-4600-B855-F8E49E61D9CD}"/>
    <cellStyle name="Normal 2 5 4 2 2 3" xfId="4311" xr:uid="{7FBF59B4-F836-44E7-BC8A-67A9782E935E}"/>
    <cellStyle name="Normal 2 5 4 2 2 3 2" xfId="9083" xr:uid="{6B304CD8-61FF-4486-AB86-0AA2692CB6CA}"/>
    <cellStyle name="Normal 2 5 4 2 2 3 2 2" xfId="29126" xr:uid="{8ADA81D0-515D-4FB2-B6C9-B393393B47A9}"/>
    <cellStyle name="Normal 2 5 4 2 2 3 2 3" xfId="19463" xr:uid="{B7804AE3-567D-4EC7-B458-518B57E6F949}"/>
    <cellStyle name="Normal 2 5 4 2 2 3 3" xfId="11916" xr:uid="{3CB8E62F-7E18-47BB-ACB0-0813D775BCC8}"/>
    <cellStyle name="Normal 2 5 4 2 2 3 3 2" xfId="22296" xr:uid="{54CFFEC8-9A5F-41D0-B3D3-81D04AAFAC3A}"/>
    <cellStyle name="Normal 2 5 4 2 2 3 4" xfId="23386" xr:uid="{DDC27A66-FC4B-4B00-AD6B-5CC898FB1855}"/>
    <cellStyle name="Normal 2 5 4 2 2 3 5" xfId="16630" xr:uid="{5CF0219C-D170-41C4-B12D-DE085AAAB22B}"/>
    <cellStyle name="Normal 2 5 4 2 2 4" xfId="5153" xr:uid="{0778C214-8051-49D9-A6EC-36AB2F8093BD}"/>
    <cellStyle name="Normal 2 5 4 2 2 4 2" xfId="28585" xr:uid="{7F0573E1-36D3-46C8-A8FD-9C4773A8E12C}"/>
    <cellStyle name="Normal 2 5 4 2 2 4 3" xfId="14450" xr:uid="{0CCCFEA0-645C-4913-A729-F698F8D2CE21}"/>
    <cellStyle name="Normal 2 5 4 2 2 5" xfId="6903" xr:uid="{48F2EDB2-782A-4B9C-BBD5-2644FB43DB10}"/>
    <cellStyle name="Normal 2 5 4 2 2 5 2" xfId="17283" xr:uid="{40A490A8-A648-4202-820A-452251C7EA31}"/>
    <cellStyle name="Normal 2 5 4 2 2 6" xfId="9736" xr:uid="{62E04ED5-DBA4-49DE-BE42-8EC1B0449D0A}"/>
    <cellStyle name="Normal 2 5 4 2 2 6 2" xfId="20116" xr:uid="{3CC93754-9412-4E1B-BF1C-75BB4310CF7D}"/>
    <cellStyle name="Normal 2 5 4 2 2 7" xfId="25553" xr:uid="{379DBCBE-3014-4986-A692-82ABB0DF1F03}"/>
    <cellStyle name="Normal 2 5 4 2 2 8" xfId="13186" xr:uid="{F21C79F2-99B4-471A-8405-E298CB8D5B4B}"/>
    <cellStyle name="Normal 2 5 4 2 3" xfId="3233" xr:uid="{00000000-0005-0000-0000-000097040000}"/>
    <cellStyle name="Normal 2 5 4 2 3 2" xfId="4486" xr:uid="{5DC40255-4AB9-41D9-AA22-7F46584C7977}"/>
    <cellStyle name="Normal 2 5 4 2 3 2 2" xfId="9258" xr:uid="{A6CD52E1-8F01-4B11-8E41-3640A9E23CA8}"/>
    <cellStyle name="Normal 2 5 4 2 3 2 2 2" xfId="29245" xr:uid="{E5527572-4523-48F2-8335-40563C2D2BD9}"/>
    <cellStyle name="Normal 2 5 4 2 3 2 2 3" xfId="19638" xr:uid="{3D618317-D045-49C1-B479-ECBF6F101EA3}"/>
    <cellStyle name="Normal 2 5 4 2 3 2 3" xfId="12091" xr:uid="{8623B10A-97D4-44F2-AB73-D17D6B7CA6D2}"/>
    <cellStyle name="Normal 2 5 4 2 3 2 3 2" xfId="22471" xr:uid="{E2BD33F1-B295-44CF-AC3B-B63D13292E28}"/>
    <cellStyle name="Normal 2 5 4 2 3 2 4" xfId="23220" xr:uid="{DEC4DE71-6A92-4A94-9895-3CE20C6033CC}"/>
    <cellStyle name="Normal 2 5 4 2 3 2 5" xfId="16805" xr:uid="{03831A9E-3093-4AD7-B572-9DA03DEBA0A9}"/>
    <cellStyle name="Normal 2 5 4 2 3 3" xfId="6291" xr:uid="{E6D74EAA-6FE7-442E-A52E-B57B18C5E209}"/>
    <cellStyle name="Normal 2 5 4 2 3 3 2" xfId="27322" xr:uid="{CF77D49A-D9CD-44D2-AA9F-B29A6E780FC6}"/>
    <cellStyle name="Normal 2 5 4 2 3 3 3" xfId="15860" xr:uid="{ABFFC3E6-8148-47F1-8C67-E614D71AE630}"/>
    <cellStyle name="Normal 2 5 4 2 3 4" xfId="8313" xr:uid="{29BCBE05-055A-4AA4-A916-C30589B88393}"/>
    <cellStyle name="Normal 2 5 4 2 3 4 2" xfId="18693" xr:uid="{3D1BD514-A17F-42EF-9782-850874232843}"/>
    <cellStyle name="Normal 2 5 4 2 3 5" xfId="11146" xr:uid="{E430120C-1198-478F-9570-5613C973472C}"/>
    <cellStyle name="Normal 2 5 4 2 3 5 2" xfId="21526" xr:uid="{EE98C3E7-679E-436B-84BB-40510BAA4D7E}"/>
    <cellStyle name="Normal 2 5 4 2 3 6" xfId="23012" xr:uid="{B630333F-32C6-44E8-B1BA-4EB5CB71210F}"/>
    <cellStyle name="Normal 2 5 4 2 3 7" xfId="13776" xr:uid="{CABF6DF4-D203-40E7-8580-375F9E0B5520}"/>
    <cellStyle name="Normal 2 5 4 2 4" xfId="3231" xr:uid="{00000000-0005-0000-0000-000098040000}"/>
    <cellStyle name="Normal 2 5 4 2 4 2" xfId="6289" xr:uid="{DB80DA47-D9AB-4FA4-8155-F6D6F7D36B71}"/>
    <cellStyle name="Normal 2 5 4 2 4 2 2" xfId="26740" xr:uid="{9107CABB-44EF-46AF-A11E-13BEE7C4AC89}"/>
    <cellStyle name="Normal 2 5 4 2 4 2 3" xfId="15858" xr:uid="{82395B0F-9FBC-4A63-BA5B-789770D2B473}"/>
    <cellStyle name="Normal 2 5 4 2 4 3" xfId="8311" xr:uid="{F16C64E1-BB72-42DE-86F4-36E661E71648}"/>
    <cellStyle name="Normal 2 5 4 2 4 3 2" xfId="18691" xr:uid="{F772F717-D7F6-4290-A6E4-0AF6BC7B9D9A}"/>
    <cellStyle name="Normal 2 5 4 2 4 4" xfId="11144" xr:uid="{4A04CFD3-6C2A-4A0B-B0CB-853EE8160755}"/>
    <cellStyle name="Normal 2 5 4 2 4 4 2" xfId="21524" xr:uid="{170C47F2-7A01-4395-9C80-6B5D4B0F0975}"/>
    <cellStyle name="Normal 2 5 4 2 4 5" xfId="22896" xr:uid="{1848D2BC-0BF3-48A3-B42C-9E19ACF9A27C}"/>
    <cellStyle name="Normal 2 5 4 2 4 6" xfId="13774" xr:uid="{DF0108D8-7A87-4479-8691-E338607AEFDA}"/>
    <cellStyle name="Normal 2 5 4 2 5" xfId="2615" xr:uid="{00000000-0005-0000-0000-000099040000}"/>
    <cellStyle name="Normal 2 5 4 2 5 2" xfId="5877" xr:uid="{C6ED515C-823D-465B-8FA8-CE37855AFDFD}"/>
    <cellStyle name="Normal 2 5 4 2 5 2 2" xfId="27070" xr:uid="{788B9FD6-1B42-42DE-B104-07F1F18FCFA8}"/>
    <cellStyle name="Normal 2 5 4 2 5 2 3" xfId="15287" xr:uid="{D877FED5-C8D1-4A35-B433-3E952F9E622C}"/>
    <cellStyle name="Normal 2 5 4 2 5 3" xfId="7740" xr:uid="{D7217A46-636B-4E62-8C1D-44E495DC81DF}"/>
    <cellStyle name="Normal 2 5 4 2 5 3 2" xfId="18120" xr:uid="{137CCD0F-8E52-4BBD-A882-F23F6AA0A4A2}"/>
    <cellStyle name="Normal 2 5 4 2 5 4" xfId="10573" xr:uid="{AC736895-F3E6-437E-899E-AD19F45FFECD}"/>
    <cellStyle name="Normal 2 5 4 2 5 4 2" xfId="20953" xr:uid="{C2AA678F-17E9-4DB7-9978-72037C745C82}"/>
    <cellStyle name="Normal 2 5 4 2 5 5" xfId="25064" xr:uid="{DED9F27F-1D36-4A74-9781-40DFB816567F}"/>
    <cellStyle name="Normal 2 5 4 2 5 6" xfId="13003" xr:uid="{76BA3568-8444-479A-ACBE-F14C4BAD7BE8}"/>
    <cellStyle name="Normal 2 5 4 2 6" xfId="2336" xr:uid="{00000000-0005-0000-0000-000094040000}"/>
    <cellStyle name="Normal 2 5 4 2 6 2" xfId="7463" xr:uid="{25409F02-F46E-4D75-88A6-DDC0D0A166E8}"/>
    <cellStyle name="Normal 2 5 4 2 6 2 2" xfId="17843" xr:uid="{0643C825-0F1C-4F25-8705-92A30E6D91AB}"/>
    <cellStyle name="Normal 2 5 4 2 6 3" xfId="10296" xr:uid="{CD562E2F-C260-4F18-BEB9-19724D5EF427}"/>
    <cellStyle name="Normal 2 5 4 2 6 3 2" xfId="20676" xr:uid="{14277278-988F-4838-B827-6AAFBE72922E}"/>
    <cellStyle name="Normal 2 5 4 2 6 4" xfId="23529" xr:uid="{62257298-F20E-40FE-A285-25EB21138115}"/>
    <cellStyle name="Normal 2 5 4 2 6 5" xfId="15010" xr:uid="{39738CDA-B811-40FE-BB3C-B0CCEF5195E5}"/>
    <cellStyle name="Normal 2 5 4 2 7" xfId="3851" xr:uid="{162D58BF-87B5-4024-9A43-A5B2C04A0161}"/>
    <cellStyle name="Normal 2 5 4 2 7 2" xfId="8684" xr:uid="{65B605F4-4609-4305-8D28-2EE553D95677}"/>
    <cellStyle name="Normal 2 5 4 2 7 2 2" xfId="19064" xr:uid="{A5D90364-D8A4-4F97-B71B-2126BE45F25C}"/>
    <cellStyle name="Normal 2 5 4 2 7 3" xfId="11517" xr:uid="{700EFDCE-B801-4804-99CD-8A45C4D03B2C}"/>
    <cellStyle name="Normal 2 5 4 2 7 3 2" xfId="21897" xr:uid="{3D215DEC-F09D-4E9E-8183-935E0541AAAE}"/>
    <cellStyle name="Normal 2 5 4 2 7 4" xfId="16231" xr:uid="{3762B984-E117-4881-8D1B-7C3DE39B9EDD}"/>
    <cellStyle name="Normal 2 5 4 2 8" xfId="5152" xr:uid="{341430D9-980A-4F5D-B039-7FC0AD728E13}"/>
    <cellStyle name="Normal 2 5 4 2 8 2" xfId="14449" xr:uid="{785D2A81-823E-486F-BA6E-029A4B9F26F2}"/>
    <cellStyle name="Normal 2 5 4 2 9" xfId="6902" xr:uid="{7DBA4338-0581-447F-8ED7-CC1DDC537A18}"/>
    <cellStyle name="Normal 2 5 4 2 9 2" xfId="17282" xr:uid="{C4C678DC-DD02-4458-A5EA-3D98E50F3F9A}"/>
    <cellStyle name="Normal 2 5 4 3" xfId="802" xr:uid="{00000000-0005-0000-0000-0000CE040000}"/>
    <cellStyle name="Normal 2 5 4 3 2" xfId="3234" xr:uid="{00000000-0005-0000-0000-00009B040000}"/>
    <cellStyle name="Normal 2 5 4 3 2 2" xfId="6292" xr:uid="{50B50866-DA33-4B3F-8008-086AF650AE48}"/>
    <cellStyle name="Normal 2 5 4 3 2 2 2" xfId="25756" xr:uid="{1C0872C6-FFD3-4987-A6E5-5ED601C8D81E}"/>
    <cellStyle name="Normal 2 5 4 3 2 2 3" xfId="26335" xr:uid="{4B84C1BB-C313-4CFC-9FA0-D99D406DB19D}"/>
    <cellStyle name="Normal 2 5 4 3 2 2 4" xfId="15861" xr:uid="{DDB198C1-AB0F-41D9-B1B6-8437B7591C65}"/>
    <cellStyle name="Normal 2 5 4 3 2 3" xfId="8314" xr:uid="{1E8B7BDA-BCFF-4187-8D93-94A7A0F3C02E}"/>
    <cellStyle name="Normal 2 5 4 3 2 3 2" xfId="28889" xr:uid="{633CD293-4B43-4169-A162-738BB7F75997}"/>
    <cellStyle name="Normal 2 5 4 3 2 3 3" xfId="18694" xr:uid="{D0EA3727-7953-4F37-975F-2E8BDC4A612A}"/>
    <cellStyle name="Normal 2 5 4 3 2 4" xfId="11147" xr:uid="{6CD7079C-C4CF-491D-8DF4-9F094A829A7A}"/>
    <cellStyle name="Normal 2 5 4 3 2 4 2" xfId="21527" xr:uid="{AD540BEF-2E78-4785-A94F-B2AEF5F157C4}"/>
    <cellStyle name="Normal 2 5 4 3 2 5" xfId="24498" xr:uid="{CDB605C4-6B54-4A38-AAF7-EF67EA92A5A8}"/>
    <cellStyle name="Normal 2 5 4 3 2 6" xfId="13777" xr:uid="{659849B3-E706-44C8-A5BB-7B76C0F6DE21}"/>
    <cellStyle name="Normal 2 5 4 3 3" xfId="2745" xr:uid="{00000000-0005-0000-0000-00009C040000}"/>
    <cellStyle name="Normal 2 5 4 3 3 2" xfId="5963" xr:uid="{479FE92E-C60D-4791-AA5D-06281A84CF93}"/>
    <cellStyle name="Normal 2 5 4 3 3 2 2" xfId="27015" xr:uid="{007A9210-C9B0-4830-B436-4DEEA162BB27}"/>
    <cellStyle name="Normal 2 5 4 3 3 2 3" xfId="15416" xr:uid="{58905F66-01AB-4E82-90BC-B3BA69878392}"/>
    <cellStyle name="Normal 2 5 4 3 3 3" xfId="7869" xr:uid="{E680DD54-98F0-451A-8320-193E0CA21586}"/>
    <cellStyle name="Normal 2 5 4 3 3 3 2" xfId="18249" xr:uid="{7B1E9CA3-28C2-4984-95A2-EA840AEA72D8}"/>
    <cellStyle name="Normal 2 5 4 3 3 4" xfId="10702" xr:uid="{772511E3-642B-4AE0-A070-393A8F866D2F}"/>
    <cellStyle name="Normal 2 5 4 3 3 4 2" xfId="21082" xr:uid="{9524AED9-478F-4837-BFD2-BB4C654ADB2C}"/>
    <cellStyle name="Normal 2 5 4 3 3 5" xfId="25124" xr:uid="{056D29C0-6E4A-449F-82BA-019D4A853108}"/>
    <cellStyle name="Normal 2 5 4 3 3 6" xfId="13185" xr:uid="{99A645E2-323D-45E7-B252-D6C9B1CE15A1}"/>
    <cellStyle name="Normal 2 5 4 3 4" xfId="4170" xr:uid="{C18E6F66-FC48-49F9-94ED-CD9928116EBF}"/>
    <cellStyle name="Normal 2 5 4 3 4 2" xfId="8942" xr:uid="{3179B175-76D2-4BCE-AC32-159A0E477C5D}"/>
    <cellStyle name="Normal 2 5 4 3 4 2 2" xfId="29035" xr:uid="{17BA5E51-32A3-4C19-BB28-A18B680D8648}"/>
    <cellStyle name="Normal 2 5 4 3 4 2 3" xfId="19322" xr:uid="{40E053A9-3D90-44F5-AC11-D6D8C5BEA08D}"/>
    <cellStyle name="Normal 2 5 4 3 4 3" xfId="11775" xr:uid="{B5616F0F-C1A1-4239-A9D4-0050D295F49E}"/>
    <cellStyle name="Normal 2 5 4 3 4 3 2" xfId="22155" xr:uid="{17C9D815-38BA-46F8-A4D9-8C27A342056E}"/>
    <cellStyle name="Normal 2 5 4 3 4 4" xfId="22776" xr:uid="{BE1605A0-33D5-4801-B0B1-0E1562485F13}"/>
    <cellStyle name="Normal 2 5 4 3 4 5" xfId="16489" xr:uid="{CC38903E-021A-4601-B2EE-565691E281E2}"/>
    <cellStyle name="Normal 2 5 4 3 5" xfId="5154" xr:uid="{C952C535-5D53-4DD0-ABCF-C3136F3BE241}"/>
    <cellStyle name="Normal 2 5 4 3 5 2" xfId="26063" xr:uid="{B4B54ED6-BB80-4607-99C0-3ADC5434626C}"/>
    <cellStyle name="Normal 2 5 4 3 5 3" xfId="14451" xr:uid="{F3560938-C0A9-4375-BD62-149F4CD9E68C}"/>
    <cellStyle name="Normal 2 5 4 3 6" xfId="6904" xr:uid="{999E3F87-A5E8-423B-BA0B-DBFB7ED339E7}"/>
    <cellStyle name="Normal 2 5 4 3 6 2" xfId="17284" xr:uid="{0D1258FF-8C1B-44EA-AC66-98F18429218A}"/>
    <cellStyle name="Normal 2 5 4 3 7" xfId="9737" xr:uid="{66E8417C-927D-43DC-B500-0F097AF38B13}"/>
    <cellStyle name="Normal 2 5 4 3 7 2" xfId="20117" xr:uid="{86413260-1DE6-41C4-B186-ADF7C2E1CD7B}"/>
    <cellStyle name="Normal 2 5 4 3 8" xfId="23505" xr:uid="{5D740C48-E90D-42E6-BCDE-0B4EA2C97E76}"/>
    <cellStyle name="Normal 2 5 4 3 9" xfId="12728" xr:uid="{4FA03352-1107-47C3-A077-A9C56727C82B}"/>
    <cellStyle name="Normal 2 5 4 4" xfId="803" xr:uid="{00000000-0005-0000-0000-0000CF040000}"/>
    <cellStyle name="Normal 2 5 4 4 2" xfId="4487" xr:uid="{D6978C43-CA09-4E04-9AE2-D0E1B87F7F35}"/>
    <cellStyle name="Normal 2 5 4 4 2 2" xfId="9259" xr:uid="{62B451D0-F95D-4505-85F8-E7252DA4D7AE}"/>
    <cellStyle name="Normal 2 5 4 4 2 2 2" xfId="29246" xr:uid="{DDF38908-85C6-44E3-94B7-62BF0D524807}"/>
    <cellStyle name="Normal 2 5 4 4 2 2 3" xfId="19639" xr:uid="{DFB0C713-B0F3-4C72-815E-F5A1BEB135E1}"/>
    <cellStyle name="Normal 2 5 4 4 2 3" xfId="12092" xr:uid="{832CE881-65AD-44F1-9428-BA88AA1B34FD}"/>
    <cellStyle name="Normal 2 5 4 4 2 3 2" xfId="22472" xr:uid="{B0F12F65-F66F-43F3-8DEC-28564B5E735F}"/>
    <cellStyle name="Normal 2 5 4 4 2 4" xfId="25257" xr:uid="{BA0120A3-6D5F-4DAF-A9FF-0F7F3816C122}"/>
    <cellStyle name="Normal 2 5 4 4 2 5" xfId="16806" xr:uid="{5C630BA1-81F8-474C-9DAE-3EEB55F3D215}"/>
    <cellStyle name="Normal 2 5 4 4 3" xfId="5155" xr:uid="{21F11453-0AEC-4C46-90D3-7FD45CBC21B2}"/>
    <cellStyle name="Normal 2 5 4 4 3 2" xfId="27383" xr:uid="{FC498850-FDAB-404A-9CB3-FC604ED9283B}"/>
    <cellStyle name="Normal 2 5 4 4 3 3" xfId="14452" xr:uid="{29479F74-D8CA-4820-9FD5-9DA190167237}"/>
    <cellStyle name="Normal 2 5 4 4 4" xfId="6905" xr:uid="{E97DD30D-E566-40B7-968C-42988E13AD67}"/>
    <cellStyle name="Normal 2 5 4 4 4 2" xfId="17285" xr:uid="{2F07B4BE-3BBD-4DD8-AFDB-7528BE40E92D}"/>
    <cellStyle name="Normal 2 5 4 4 5" xfId="9738" xr:uid="{E5FED9C7-A660-41B8-80AB-7D3A5B9CB8E1}"/>
    <cellStyle name="Normal 2 5 4 4 5 2" xfId="20118" xr:uid="{27CB0F03-6C83-46FE-84F0-3FDF60330C1F}"/>
    <cellStyle name="Normal 2 5 4 4 6" xfId="25315" xr:uid="{9D63DE6D-DEDE-48E2-B56F-918C29F19298}"/>
    <cellStyle name="Normal 2 5 4 4 7" xfId="13778" xr:uid="{F66F2F40-AACE-4F6A-A14D-072FE1923A67}"/>
    <cellStyle name="Normal 2 5 4 5" xfId="2911" xr:uid="{00000000-0005-0000-0000-00009E040000}"/>
    <cellStyle name="Normal 2 5 4 5 2" xfId="6097" xr:uid="{82F3BA4F-E207-4B9A-9910-359101949C60}"/>
    <cellStyle name="Normal 2 5 4 5 2 2" xfId="25717" xr:uid="{ED5540AF-927E-4978-A626-22773E44B889}"/>
    <cellStyle name="Normal 2 5 4 5 2 3" xfId="28152" xr:uid="{B947B300-9284-4F02-B8DE-8739518CABA9}"/>
    <cellStyle name="Normal 2 5 4 5 2 4" xfId="15575" xr:uid="{F83BDE56-1621-49B9-95C9-8E09BCA53E9A}"/>
    <cellStyle name="Normal 2 5 4 5 3" xfId="8028" xr:uid="{58964821-1480-4CFF-BC1E-DEE28ABAA3A4}"/>
    <cellStyle name="Normal 2 5 4 5 3 2" xfId="27574" xr:uid="{3FCD6158-F55C-4A99-AFE8-AC0AD8F1C5FC}"/>
    <cellStyle name="Normal 2 5 4 5 3 3" xfId="18408" xr:uid="{2B12AB97-715F-4CA4-8118-7E048D4818B9}"/>
    <cellStyle name="Normal 2 5 4 5 4" xfId="10861" xr:uid="{322344A4-6370-448D-9A19-9FFF0A0EBB87}"/>
    <cellStyle name="Normal 2 5 4 5 4 2" xfId="21241" xr:uid="{BD3D013F-FB52-4781-ACDA-6CB9E0DFDAC2}"/>
    <cellStyle name="Normal 2 5 4 5 5" xfId="25009" xr:uid="{DBB906A4-FF99-44A3-B072-54C59F3AC677}"/>
    <cellStyle name="Normal 2 5 4 5 6" xfId="13426" xr:uid="{89C3CDA7-AD13-48C2-A787-E7820AD12A83}"/>
    <cellStyle name="Normal 2 5 4 6" xfId="2452" xr:uid="{00000000-0005-0000-0000-00009F040000}"/>
    <cellStyle name="Normal 2 5 4 6 2" xfId="5744" xr:uid="{01AA28DA-82FD-467D-B845-688DE3C577C9}"/>
    <cellStyle name="Normal 2 5 4 6 2 2" xfId="26721" xr:uid="{1F1772C2-D89B-42CA-99EC-EE93D20588DC}"/>
    <cellStyle name="Normal 2 5 4 6 2 3" xfId="15124" xr:uid="{4A88CE08-1C4A-461C-B06A-DAB10521AF1D}"/>
    <cellStyle name="Normal 2 5 4 6 3" xfId="7577" xr:uid="{85BF8BDC-C508-491C-B3C6-0293DB61FF09}"/>
    <cellStyle name="Normal 2 5 4 6 3 2" xfId="17957" xr:uid="{5B1A1E34-F1F5-40B8-8182-566002DFEC83}"/>
    <cellStyle name="Normal 2 5 4 6 4" xfId="10410" xr:uid="{A231B469-232B-4AC3-9BA9-13557F9698A4}"/>
    <cellStyle name="Normal 2 5 4 6 4 2" xfId="20790" xr:uid="{581BFFB7-F2DC-42A1-9FD8-3017C7ACE419}"/>
    <cellStyle name="Normal 2 5 4 6 5" xfId="22959" xr:uid="{08418D1B-1606-4AFE-A702-B20050467076}"/>
    <cellStyle name="Normal 2 5 4 6 6" xfId="12840" xr:uid="{F02D17FD-1E6F-458B-A1C6-7D0836E4FA05}"/>
    <cellStyle name="Normal 2 5 4 7" xfId="2206" xr:uid="{00000000-0005-0000-0000-000093040000}"/>
    <cellStyle name="Normal 2 5 4 7 2" xfId="7333" xr:uid="{76FB4F97-C557-4187-A6A1-DD18FD9DC2BC}"/>
    <cellStyle name="Normal 2 5 4 7 2 2" xfId="17713" xr:uid="{5DBBF08A-9324-4334-B237-F04D6D5C5324}"/>
    <cellStyle name="Normal 2 5 4 7 3" xfId="10166" xr:uid="{6CA286A1-3D3E-4B88-A600-03E8AA933411}"/>
    <cellStyle name="Normal 2 5 4 7 3 2" xfId="20546" xr:uid="{FC2443B2-1DCD-4E48-80DF-F9D548EFC27B}"/>
    <cellStyle name="Normal 2 5 4 7 4" xfId="23566" xr:uid="{E0153EB8-F150-4EB2-9768-23A91346042C}"/>
    <cellStyle name="Normal 2 5 4 7 5" xfId="14880" xr:uid="{33E111B5-39AB-47F9-AD6C-B963E736D7C1}"/>
    <cellStyle name="Normal 2 5 4 8" xfId="3946" xr:uid="{FCE84AC3-A42E-44D6-ACFD-6746D094449F}"/>
    <cellStyle name="Normal 2 5 4 8 2" xfId="8778" xr:uid="{689D8527-76D0-44A6-A103-A5584523EA58}"/>
    <cellStyle name="Normal 2 5 4 8 2 2" xfId="19158" xr:uid="{865D3EDE-D9F8-4849-8638-DF9B7FE9C26B}"/>
    <cellStyle name="Normal 2 5 4 8 3" xfId="11611" xr:uid="{BECE0860-AF21-493B-A6D3-4385EFE92B85}"/>
    <cellStyle name="Normal 2 5 4 8 3 2" xfId="21991" xr:uid="{F5092BC2-FB1C-4116-99C2-328FF80CD80C}"/>
    <cellStyle name="Normal 2 5 4 8 4" xfId="16325" xr:uid="{FDE69E20-2578-4DAD-82A7-9D3AF28CFA02}"/>
    <cellStyle name="Normal 2 5 4 9" xfId="5151" xr:uid="{69E00AE9-3840-4742-BD70-C16F595F6463}"/>
    <cellStyle name="Normal 2 5 4 9 2" xfId="14448" xr:uid="{666B43F1-6AEA-475C-9BCA-812F21795D68}"/>
    <cellStyle name="Normal 2 5 5" xfId="804" xr:uid="{00000000-0005-0000-0000-0000D0040000}"/>
    <cellStyle name="Normal 2 5 5 10" xfId="9739" xr:uid="{25B12A57-E01A-4D69-B103-01944B1F5B60}"/>
    <cellStyle name="Normal 2 5 5 10 2" xfId="20119" xr:uid="{3D2F8A98-9310-40FF-A621-67EB1D26F989}"/>
    <cellStyle name="Normal 2 5 5 11" xfId="23691" xr:uid="{FFC1CC40-2164-4803-8DCB-63637F628ECC}"/>
    <cellStyle name="Normal 2 5 5 12" xfId="12571" xr:uid="{8D9806FB-F064-4F62-A65F-BCB332ACA626}"/>
    <cellStyle name="Normal 2 5 5 2" xfId="805" xr:uid="{00000000-0005-0000-0000-0000D1040000}"/>
    <cellStyle name="Normal 2 5 5 2 2" xfId="806" xr:uid="{00000000-0005-0000-0000-0000D2040000}"/>
    <cellStyle name="Normal 2 5 5 2 2 2" xfId="5158" xr:uid="{E4B2A9DC-582B-4F55-9A01-4E2F555AEC5F}"/>
    <cellStyle name="Normal 2 5 5 2 2 2 2" xfId="25676" xr:uid="{05F2C159-3DE3-4AE9-834D-4BEE22F5B177}"/>
    <cellStyle name="Normal 2 5 5 2 2 2 3" xfId="27076" xr:uid="{E0F32341-9C91-4C31-9C59-F218A4623226}"/>
    <cellStyle name="Normal 2 5 5 2 2 2 4" xfId="14455" xr:uid="{39357364-8AC4-4EE6-9889-F524869D438A}"/>
    <cellStyle name="Normal 2 5 5 2 2 3" xfId="6908" xr:uid="{0F15B9DC-FF63-4B34-BBEA-DB66AB1B5CA0}"/>
    <cellStyle name="Normal 2 5 5 2 2 3 2" xfId="27600" xr:uid="{BB063906-2095-4817-B9F7-5DC408AE9E4F}"/>
    <cellStyle name="Normal 2 5 5 2 2 3 3" xfId="28636" xr:uid="{2BA02F08-B258-425A-A010-B1546EEBA161}"/>
    <cellStyle name="Normal 2 5 5 2 2 3 4" xfId="17288" xr:uid="{5E8AC5CE-5089-4B39-9FAC-DFBDA6E02A98}"/>
    <cellStyle name="Normal 2 5 5 2 2 4" xfId="9741" xr:uid="{5A2F8EB4-5643-4570-9FE1-F0F031665C2A}"/>
    <cellStyle name="Normal 2 5 5 2 2 4 2" xfId="29399" xr:uid="{00692C25-6D45-4B77-A7AB-87FA4AF12D4B}"/>
    <cellStyle name="Normal 2 5 5 2 2 4 3" xfId="20121" xr:uid="{A704B41A-EB47-4AD2-BD7C-903D2864E934}"/>
    <cellStyle name="Normal 2 5 5 2 2 5" xfId="24775" xr:uid="{28DEBFA8-394C-4FF4-933C-F9077E12D851}"/>
    <cellStyle name="Normal 2 5 5 2 2 6" xfId="13779" xr:uid="{8BAC12EE-1A3B-44CF-A790-EFBF3FE73BC5}"/>
    <cellStyle name="Normal 2 5 5 2 3" xfId="2746" xr:uid="{00000000-0005-0000-0000-0000A3040000}"/>
    <cellStyle name="Normal 2 5 5 2 3 2" xfId="5964" xr:uid="{56366823-1D59-4259-945F-8F38B6326D03}"/>
    <cellStyle name="Normal 2 5 5 2 3 2 2" xfId="27950" xr:uid="{DA4AE47D-0BBD-4E15-BE53-1FB7D61FC10B}"/>
    <cellStyle name="Normal 2 5 5 2 3 2 3" xfId="15417" xr:uid="{7FEBD8A0-FE79-4BA7-A602-B1D99217517A}"/>
    <cellStyle name="Normal 2 5 5 2 3 3" xfId="7870" xr:uid="{2D3488C1-607B-4B74-A36B-4651CFF59756}"/>
    <cellStyle name="Normal 2 5 5 2 3 3 2" xfId="18250" xr:uid="{7D4E7861-73EC-46ED-95BA-5C4ADD31208D}"/>
    <cellStyle name="Normal 2 5 5 2 3 4" xfId="10703" xr:uid="{886ADC12-704C-4686-A78B-6A81205343BF}"/>
    <cellStyle name="Normal 2 5 5 2 3 4 2" xfId="21083" xr:uid="{55EFF2CD-C8E8-44C9-B4DD-BAD7B5E54D2C}"/>
    <cellStyle name="Normal 2 5 5 2 3 5" xfId="24918" xr:uid="{3AB73BA5-C584-4DFE-9B25-CF46E0D80100}"/>
    <cellStyle name="Normal 2 5 5 2 3 6" xfId="13187" xr:uid="{F9627F31-EA33-46EE-90D0-B661B3464917}"/>
    <cellStyle name="Normal 2 5 5 2 4" xfId="4171" xr:uid="{01146833-4B57-4ED5-BB9C-C716F4DA5178}"/>
    <cellStyle name="Normal 2 5 5 2 4 2" xfId="8943" xr:uid="{987E1115-D183-47A1-A5EF-D2BC195641EB}"/>
    <cellStyle name="Normal 2 5 5 2 4 2 2" xfId="29036" xr:uid="{253D3476-2FDD-4EF7-8CEB-E4E65439E1EB}"/>
    <cellStyle name="Normal 2 5 5 2 4 2 3" xfId="19323" xr:uid="{E6D2F63C-E15D-4754-81ED-31F6A6C18E83}"/>
    <cellStyle name="Normal 2 5 5 2 4 3" xfId="11776" xr:uid="{238DB489-BBA8-427C-B1ED-753DEA94FCC0}"/>
    <cellStyle name="Normal 2 5 5 2 4 3 2" xfId="22156" xr:uid="{86432B90-59F4-43FF-8900-0658A11B8AD1}"/>
    <cellStyle name="Normal 2 5 5 2 4 4" xfId="24332" xr:uid="{A134472F-4F0C-4B36-89AC-E882025ED22F}"/>
    <cellStyle name="Normal 2 5 5 2 4 5" xfId="16490" xr:uid="{BC840C62-7931-4908-B05E-8878F6D5BE02}"/>
    <cellStyle name="Normal 2 5 5 2 5" xfId="5157" xr:uid="{8D8DB419-A577-4C87-85B3-8E77FEA28754}"/>
    <cellStyle name="Normal 2 5 5 2 5 2" xfId="26221" xr:uid="{0B4E32D5-20C8-4ABE-9578-A416367360DB}"/>
    <cellStyle name="Normal 2 5 5 2 5 3" xfId="14454" xr:uid="{CB357D9E-C48B-4566-9649-283D305F8546}"/>
    <cellStyle name="Normal 2 5 5 2 6" xfId="6907" xr:uid="{FD52F4DB-C700-4971-8543-2462E176B89D}"/>
    <cellStyle name="Normal 2 5 5 2 6 2" xfId="17287" xr:uid="{CB4915F8-72F2-4AAF-BD9C-0336461E94C6}"/>
    <cellStyle name="Normal 2 5 5 2 7" xfId="9740" xr:uid="{87680FF5-81D1-4C2C-A4D7-75E52405DD48}"/>
    <cellStyle name="Normal 2 5 5 2 7 2" xfId="20120" xr:uid="{8ED05A9E-B87A-4474-B4E5-92C8203103D6}"/>
    <cellStyle name="Normal 2 5 5 2 8" xfId="23257" xr:uid="{6F526BDC-8D93-4CA2-BE0C-F2116A473742}"/>
    <cellStyle name="Normal 2 5 5 2 9" xfId="12729" xr:uid="{4393172E-B977-4BFD-9CBB-45548A785D2D}"/>
    <cellStyle name="Normal 2 5 5 3" xfId="807" xr:uid="{00000000-0005-0000-0000-0000D3040000}"/>
    <cellStyle name="Normal 2 5 5 3 2" xfId="4488" xr:uid="{191D5304-2252-407A-9F2F-C5169E3303B7}"/>
    <cellStyle name="Normal 2 5 5 3 2 2" xfId="9260" xr:uid="{3374D08B-9E7E-417E-85CE-960300A98FF7}"/>
    <cellStyle name="Normal 2 5 5 3 2 2 2" xfId="29247" xr:uid="{67EF28EC-1281-48F9-9714-DA45D7F343B0}"/>
    <cellStyle name="Normal 2 5 5 3 2 2 3" xfId="19640" xr:uid="{1AE8119A-1E32-495A-9E96-17F3F3C26B7E}"/>
    <cellStyle name="Normal 2 5 5 3 2 3" xfId="12093" xr:uid="{FD263DEC-19CA-42C9-B0CF-1372320E17FC}"/>
    <cellStyle name="Normal 2 5 5 3 2 3 2" xfId="22473" xr:uid="{A734C87D-1856-47B5-82DB-A492D3B3CA73}"/>
    <cellStyle name="Normal 2 5 5 3 2 4" xfId="25657" xr:uid="{5CC917C6-B20D-4A15-98EC-39307646EEC9}"/>
    <cellStyle name="Normal 2 5 5 3 2 5" xfId="16807" xr:uid="{EE13CA3C-0AC0-45AB-A3D7-00B192BA0EAC}"/>
    <cellStyle name="Normal 2 5 5 3 3" xfId="5159" xr:uid="{2FD359F9-0260-41C0-8B6C-193FE44FC7F7}"/>
    <cellStyle name="Normal 2 5 5 3 3 2" xfId="24144" xr:uid="{8243E976-362A-490C-ADBF-9D69A88FDAE2}"/>
    <cellStyle name="Normal 2 5 5 3 3 3" xfId="28704" xr:uid="{BB72FBDB-62A7-4935-A335-B18AB8140F0B}"/>
    <cellStyle name="Normal 2 5 5 3 3 4" xfId="14456" xr:uid="{6774E968-FF01-46F8-818E-5F6444BCD5F2}"/>
    <cellStyle name="Normal 2 5 5 3 4" xfId="6909" xr:uid="{03100050-60A7-436A-A4B1-C230ED560312}"/>
    <cellStyle name="Normal 2 5 5 3 4 2" xfId="24592" xr:uid="{72BADDE7-E342-49AD-B407-03B19458F00D}"/>
    <cellStyle name="Normal 2 5 5 3 4 3" xfId="26089" xr:uid="{21D00A71-A155-4754-B813-A137C4A7D1A9}"/>
    <cellStyle name="Normal 2 5 5 3 4 4" xfId="17289" xr:uid="{3D5887B5-0C78-4532-938D-B6883292D212}"/>
    <cellStyle name="Normal 2 5 5 3 5" xfId="9742" xr:uid="{C8D474EF-47D4-4C9B-A8F0-5822422A0989}"/>
    <cellStyle name="Normal 2 5 5 3 5 2" xfId="29400" xr:uid="{F33B7BCD-EEF5-4CFD-8501-64A2C3D7626C}"/>
    <cellStyle name="Normal 2 5 5 3 5 3" xfId="20122" xr:uid="{F5561920-D92C-46DE-805C-D1A4400C9246}"/>
    <cellStyle name="Normal 2 5 5 3 6" xfId="24114" xr:uid="{1558BF14-0991-45EB-A8A0-A54A9F7B67CF}"/>
    <cellStyle name="Normal 2 5 5 3 7" xfId="13780" xr:uid="{F77CD249-A86A-49E5-A77C-E453DCCBE8B6}"/>
    <cellStyle name="Normal 2 5 5 4" xfId="808" xr:uid="{00000000-0005-0000-0000-0000D4040000}"/>
    <cellStyle name="Normal 2 5 5 4 2" xfId="5160" xr:uid="{6D1D414A-CE50-456F-8C49-760601DA2E06}"/>
    <cellStyle name="Normal 2 5 5 4 2 2" xfId="22861" xr:uid="{3C224F4A-0DB5-40E6-86B3-5ED639DBC91A}"/>
    <cellStyle name="Normal 2 5 5 4 2 3" xfId="28648" xr:uid="{57A2BC08-CDBC-4928-A843-E101DB341CB4}"/>
    <cellStyle name="Normal 2 5 5 4 2 4" xfId="14457" xr:uid="{31AD36F2-4296-49C8-98D7-7E079A6919C8}"/>
    <cellStyle name="Normal 2 5 5 4 3" xfId="6910" xr:uid="{B7E5FDCD-8734-465C-B37F-2240D2E10103}"/>
    <cellStyle name="Normal 2 5 5 4 3 2" xfId="27492" xr:uid="{09496E9D-914A-4116-A437-9A8141488D37}"/>
    <cellStyle name="Normal 2 5 5 4 3 3" xfId="17290" xr:uid="{1C70BFF1-E58F-487A-8E99-F0B5233B39AF}"/>
    <cellStyle name="Normal 2 5 5 4 4" xfId="9743" xr:uid="{E85922E4-1D79-42A8-88AF-B706E9AE9261}"/>
    <cellStyle name="Normal 2 5 5 4 4 2" xfId="20123" xr:uid="{49AB2CEE-D5CD-4CE6-B735-18026E5AB2BD}"/>
    <cellStyle name="Normal 2 5 5 4 5" xfId="24671" xr:uid="{096666E4-7CB5-40BE-BFB0-6575E6AC2A48}"/>
    <cellStyle name="Normal 2 5 5 4 6" xfId="13427" xr:uid="{A99E2888-EADF-45AF-9B36-96131DB17096}"/>
    <cellStyle name="Normal 2 5 5 5" xfId="2512" xr:uid="{00000000-0005-0000-0000-0000A6040000}"/>
    <cellStyle name="Normal 2 5 5 5 2" xfId="5790" xr:uid="{FFF60220-2786-411A-9B50-E225FE6F36F5}"/>
    <cellStyle name="Normal 2 5 5 5 2 2" xfId="27131" xr:uid="{049A9345-1A3E-4FB5-9036-C28462255F0D}"/>
    <cellStyle name="Normal 2 5 5 5 2 3" xfId="15184" xr:uid="{6ED711E2-CAF3-4922-B860-D26E76152B0F}"/>
    <cellStyle name="Normal 2 5 5 5 3" xfId="7637" xr:uid="{8C412F03-3421-40A2-8714-A3D8920E6471}"/>
    <cellStyle name="Normal 2 5 5 5 3 2" xfId="18017" xr:uid="{2F416906-81F2-40D7-8B7B-7E893B5AE1D9}"/>
    <cellStyle name="Normal 2 5 5 5 4" xfId="10470" xr:uid="{B8EC647C-D67B-4C93-953A-43AEBF4EE549}"/>
    <cellStyle name="Normal 2 5 5 5 4 2" xfId="20850" xr:uid="{5911B648-2C07-4037-BB52-5BDD180633B0}"/>
    <cellStyle name="Normal 2 5 5 5 5" xfId="25008" xr:uid="{922CF97B-09FC-43DA-A5EF-FB3E7E9160B0}"/>
    <cellStyle name="Normal 2 5 5 5 6" xfId="12900" xr:uid="{3658C039-508D-4EC0-99B4-84299BFEA525}"/>
    <cellStyle name="Normal 2 5 5 6" xfId="2337" xr:uid="{00000000-0005-0000-0000-0000A0040000}"/>
    <cellStyle name="Normal 2 5 5 6 2" xfId="7464" xr:uid="{57926AC5-6E4B-43A3-8C65-7B2C057D4C82}"/>
    <cellStyle name="Normal 2 5 5 6 2 2" xfId="28670" xr:uid="{60F91A4A-E8B1-41DE-95B0-919E0B327C4E}"/>
    <cellStyle name="Normal 2 5 5 6 2 3" xfId="17844" xr:uid="{69D2B5F7-D825-4AA8-B391-E5230B93471C}"/>
    <cellStyle name="Normal 2 5 5 6 3" xfId="10297" xr:uid="{C2179902-CDB0-4A1A-B237-4EB459DC62C0}"/>
    <cellStyle name="Normal 2 5 5 6 3 2" xfId="20677" xr:uid="{95765E09-A067-4D27-B847-7163FBAD6A66}"/>
    <cellStyle name="Normal 2 5 5 6 4" xfId="23536" xr:uid="{96D6EEA7-A537-4F4A-832E-D68AB5BF6E5F}"/>
    <cellStyle name="Normal 2 5 5 6 5" xfId="15011" xr:uid="{5A2B3A4D-2CE3-450A-9DCC-3A4FF764A548}"/>
    <cellStyle name="Normal 2 5 5 7" xfId="3947" xr:uid="{EF085D8D-28F0-466A-BBF2-EED4A39AFFD2}"/>
    <cellStyle name="Normal 2 5 5 7 2" xfId="8779" xr:uid="{CA52A4E3-0621-44FD-909F-CC18099E41F4}"/>
    <cellStyle name="Normal 2 5 5 7 2 2" xfId="19159" xr:uid="{970252EB-210E-4296-AFBB-D75F9CCCAEFF}"/>
    <cellStyle name="Normal 2 5 5 7 3" xfId="11612" xr:uid="{2A1D49EC-593F-4AC0-B416-5873F09EB11C}"/>
    <cellStyle name="Normal 2 5 5 7 3 2" xfId="21992" xr:uid="{630AA5E5-BD14-4C57-85F7-AE3482E3B782}"/>
    <cellStyle name="Normal 2 5 5 7 4" xfId="27657" xr:uid="{53950138-3F82-479C-8C91-FE240C438FE1}"/>
    <cellStyle name="Normal 2 5 5 7 5" xfId="16326" xr:uid="{18281AEF-7046-46C3-B4A5-18EF338E06BB}"/>
    <cellStyle name="Normal 2 5 5 8" xfId="5156" xr:uid="{7DBACFB2-6346-48C9-85E2-8C057E240FB7}"/>
    <cellStyle name="Normal 2 5 5 8 2" xfId="14453" xr:uid="{DEB9018E-24E2-4ABC-85A9-9D75899727C0}"/>
    <cellStyle name="Normal 2 5 5 9" xfId="6906" xr:uid="{3EE8168B-B675-4A9E-B2BF-348E84C5F0D0}"/>
    <cellStyle name="Normal 2 5 5 9 2" xfId="17286" xr:uid="{60885E3C-2268-4B3E-82B4-199A69B7F15A}"/>
    <cellStyle name="Normal 2 5 6" xfId="809" xr:uid="{00000000-0005-0000-0000-0000D5040000}"/>
    <cellStyle name="Normal 2 5 6 10" xfId="9744" xr:uid="{E647F6A0-AA55-4642-8B1A-5907D03C6043}"/>
    <cellStyle name="Normal 2 5 6 10 2" xfId="20124" xr:uid="{799EE20D-967E-48D8-A554-5FF94DA07D60}"/>
    <cellStyle name="Normal 2 5 6 11" xfId="24497" xr:uid="{08F54CFD-D446-4130-8002-ACBDE1C687DE}"/>
    <cellStyle name="Normal 2 5 6 12" xfId="12572" xr:uid="{D006A9F5-CDF7-4863-BAFB-18C352EC2AAE}"/>
    <cellStyle name="Normal 2 5 6 2" xfId="810" xr:uid="{00000000-0005-0000-0000-0000D6040000}"/>
    <cellStyle name="Normal 2 5 6 2 2" xfId="811" xr:uid="{00000000-0005-0000-0000-0000D7040000}"/>
    <cellStyle name="Normal 2 5 6 2 2 2" xfId="5163" xr:uid="{F7783696-BA91-4035-9991-FCD5ED4764BA}"/>
    <cellStyle name="Normal 2 5 6 2 2 2 2" xfId="23134" xr:uid="{39AD109F-AA1C-4B13-8D11-D0204ACF839D}"/>
    <cellStyle name="Normal 2 5 6 2 2 2 3" xfId="26669" xr:uid="{189EA8B2-EE50-405F-803B-5E12B1EEE24C}"/>
    <cellStyle name="Normal 2 5 6 2 2 2 4" xfId="14460" xr:uid="{71149186-853F-411A-9B4D-9C718DE28DA4}"/>
    <cellStyle name="Normal 2 5 6 2 2 3" xfId="6913" xr:uid="{E522E7DC-73F8-4F04-B758-6934AC101907}"/>
    <cellStyle name="Normal 2 5 6 2 2 3 2" xfId="27601" xr:uid="{51B1B0F4-C357-417D-BD02-C5091349C45B}"/>
    <cellStyle name="Normal 2 5 6 2 2 3 3" xfId="27083" xr:uid="{499384BA-6A41-4563-9C34-49C32AA8493F}"/>
    <cellStyle name="Normal 2 5 6 2 2 3 4" xfId="17293" xr:uid="{13735354-3337-4563-8786-AD14C0D03D21}"/>
    <cellStyle name="Normal 2 5 6 2 2 4" xfId="9746" xr:uid="{C7FD1E7E-7AA2-4F79-8594-D7727377F753}"/>
    <cellStyle name="Normal 2 5 6 2 2 4 2" xfId="29401" xr:uid="{FD78A985-A23C-40CD-AA3B-B6AB1C7B6782}"/>
    <cellStyle name="Normal 2 5 6 2 2 4 3" xfId="20126" xr:uid="{E59AC640-1BFA-478A-BE11-676A567264EF}"/>
    <cellStyle name="Normal 2 5 6 2 2 5" xfId="23773" xr:uid="{AA0452BB-4774-42F6-B9FC-DCBA94F93C4D}"/>
    <cellStyle name="Normal 2 5 6 2 2 6" xfId="13781" xr:uid="{8E6833F2-7012-4919-8CB0-1B8040C9A082}"/>
    <cellStyle name="Normal 2 5 6 2 3" xfId="2747" xr:uid="{00000000-0005-0000-0000-0000AA040000}"/>
    <cellStyle name="Normal 2 5 6 2 3 2" xfId="5965" xr:uid="{5AD3EB0F-55A0-4193-B99F-0A4B83A6B386}"/>
    <cellStyle name="Normal 2 5 6 2 3 2 2" xfId="26048" xr:uid="{F3FAAF56-BD20-4265-ACC7-D113767692D9}"/>
    <cellStyle name="Normal 2 5 6 2 3 2 3" xfId="15418" xr:uid="{593A3771-F3F3-4C2F-BD05-965E5D230ECC}"/>
    <cellStyle name="Normal 2 5 6 2 3 3" xfId="7871" xr:uid="{CE435B7E-3D91-4800-B01D-30190F28995D}"/>
    <cellStyle name="Normal 2 5 6 2 3 3 2" xfId="18251" xr:uid="{0057DEFD-DF6F-493C-908D-19F4665E2493}"/>
    <cellStyle name="Normal 2 5 6 2 3 4" xfId="10704" xr:uid="{FBD18F8E-9092-4773-9FEB-17153209D404}"/>
    <cellStyle name="Normal 2 5 6 2 3 4 2" xfId="21084" xr:uid="{28A1C5C3-337F-4AB4-A40F-B8D98E69D42B}"/>
    <cellStyle name="Normal 2 5 6 2 3 5" xfId="24526" xr:uid="{69E51C89-7C9B-40BB-8265-ED1106437471}"/>
    <cellStyle name="Normal 2 5 6 2 3 6" xfId="13188" xr:uid="{69B771A7-1FE4-47C6-8EE8-0468B2EBCFF7}"/>
    <cellStyle name="Normal 2 5 6 2 4" xfId="4172" xr:uid="{468F8C98-F069-4C30-B20D-4EDDD61853C6}"/>
    <cellStyle name="Normal 2 5 6 2 4 2" xfId="8944" xr:uid="{3C07AE65-6C1E-469D-A796-B29C4E8F435D}"/>
    <cellStyle name="Normal 2 5 6 2 4 2 2" xfId="29037" xr:uid="{8B50EBCC-5682-4DCB-AF84-E9874895EDF6}"/>
    <cellStyle name="Normal 2 5 6 2 4 2 3" xfId="19324" xr:uid="{340F7BEB-2B03-40A0-92EA-8B24E7B2B530}"/>
    <cellStyle name="Normal 2 5 6 2 4 3" xfId="11777" xr:uid="{5C06D9C0-A551-4428-83CA-225306F6804B}"/>
    <cellStyle name="Normal 2 5 6 2 4 3 2" xfId="22157" xr:uid="{7FCBB29D-E41D-4560-8452-0F80E9FA145E}"/>
    <cellStyle name="Normal 2 5 6 2 4 4" xfId="24145" xr:uid="{80A6AC0C-C184-4AEB-AD7E-74DD7E264942}"/>
    <cellStyle name="Normal 2 5 6 2 4 5" xfId="16491" xr:uid="{C654EA87-A17D-43CD-94B0-BD5410B86DCE}"/>
    <cellStyle name="Normal 2 5 6 2 5" xfId="5162" xr:uid="{BCD21F37-0CA3-4ACD-BE2D-9BE2F599701D}"/>
    <cellStyle name="Normal 2 5 6 2 5 2" xfId="27232" xr:uid="{A0A5AC45-5E2B-4A9C-A967-7707BCCE0E9B}"/>
    <cellStyle name="Normal 2 5 6 2 5 3" xfId="14459" xr:uid="{7634AFDC-A55D-43CC-AEA8-12EAF20DD7FC}"/>
    <cellStyle name="Normal 2 5 6 2 6" xfId="6912" xr:uid="{2938A14E-2CE9-495D-A995-8C7367A244A7}"/>
    <cellStyle name="Normal 2 5 6 2 6 2" xfId="17292" xr:uid="{C8B9F7F4-07FA-4E6B-B487-F46767231431}"/>
    <cellStyle name="Normal 2 5 6 2 7" xfId="9745" xr:uid="{F7F33E34-2320-49C4-B316-3989FF3DBBD8}"/>
    <cellStyle name="Normal 2 5 6 2 7 2" xfId="20125" xr:uid="{D4BA64FD-61F6-4CAD-9E81-2F675D968DDC}"/>
    <cellStyle name="Normal 2 5 6 2 8" xfId="25538" xr:uid="{23799D15-3FD3-459D-BF5E-823E455FBD63}"/>
    <cellStyle name="Normal 2 5 6 2 9" xfId="12730" xr:uid="{8B129022-E842-4CF5-8F81-35C448F71090}"/>
    <cellStyle name="Normal 2 5 6 3" xfId="812" xr:uid="{00000000-0005-0000-0000-0000D8040000}"/>
    <cellStyle name="Normal 2 5 6 3 2" xfId="4489" xr:uid="{B3A1ADE1-A789-4D80-9D7F-9CD90D1970AB}"/>
    <cellStyle name="Normal 2 5 6 3 2 2" xfId="9261" xr:uid="{BB1F39FD-4F88-4726-B049-48262EE4DBFD}"/>
    <cellStyle name="Normal 2 5 6 3 2 2 2" xfId="29248" xr:uid="{DC146D67-3B6C-49EF-AF17-0007CF7B2B3C}"/>
    <cellStyle name="Normal 2 5 6 3 2 2 3" xfId="19641" xr:uid="{41906DF1-2A53-4B39-9CF6-7E7FC938F6C6}"/>
    <cellStyle name="Normal 2 5 6 3 2 3" xfId="12094" xr:uid="{CFAA8862-E2E2-47CB-A863-B4E1751A9859}"/>
    <cellStyle name="Normal 2 5 6 3 2 3 2" xfId="22474" xr:uid="{32594672-1082-4272-819E-D4957F3EB5E0}"/>
    <cellStyle name="Normal 2 5 6 3 2 4" xfId="25121" xr:uid="{6B086E71-DC77-4112-A649-22379E72209C}"/>
    <cellStyle name="Normal 2 5 6 3 2 5" xfId="16808" xr:uid="{4139A793-79BB-4B2A-91A6-5EBDAC9E072C}"/>
    <cellStyle name="Normal 2 5 6 3 3" xfId="5164" xr:uid="{B6ED6CCB-18F6-4DD2-8BC3-B96CD4195331}"/>
    <cellStyle name="Normal 2 5 6 3 3 2" xfId="26801" xr:uid="{E675E9C9-E5B5-49C1-BAA0-383CE5F0681E}"/>
    <cellStyle name="Normal 2 5 6 3 3 3" xfId="27750" xr:uid="{0B1514A7-1C4A-4D2C-968E-E610E2AF131E}"/>
    <cellStyle name="Normal 2 5 6 3 3 4" xfId="14461" xr:uid="{398E7279-C1DA-4365-94B9-89CFE882DA92}"/>
    <cellStyle name="Normal 2 5 6 3 4" xfId="6914" xr:uid="{9CF2DFCB-0B7C-45DA-A00E-F11E5A07CA4C}"/>
    <cellStyle name="Normal 2 5 6 3 4 2" xfId="27899" xr:uid="{6C8EF23C-23C8-4098-91DE-7E4C48FC6EE1}"/>
    <cellStyle name="Normal 2 5 6 3 4 3" xfId="28576" xr:uid="{4A7D326D-8E84-4E02-BFAE-50977B647D39}"/>
    <cellStyle name="Normal 2 5 6 3 4 4" xfId="17294" xr:uid="{4CFCBA14-C4E9-4D8D-BF04-23FA1F0C23D1}"/>
    <cellStyle name="Normal 2 5 6 3 5" xfId="9747" xr:uid="{EC6F99EB-EA78-44D8-8450-FF21D4492BB7}"/>
    <cellStyle name="Normal 2 5 6 3 5 2" xfId="29402" xr:uid="{0DDD90E9-666E-4C0F-B6FD-D1F25453D04F}"/>
    <cellStyle name="Normal 2 5 6 3 5 3" xfId="20127" xr:uid="{E33FA4E8-75AA-404D-88E5-2C6C0F487917}"/>
    <cellStyle name="Normal 2 5 6 3 6" xfId="24434" xr:uid="{BAFCFC8E-A3FC-44C5-A554-810DD9E1181C}"/>
    <cellStyle name="Normal 2 5 6 3 7" xfId="13782" xr:uid="{AABED0DE-DA74-4CF5-AD07-5B8A0CAAF3D1}"/>
    <cellStyle name="Normal 2 5 6 4" xfId="813" xr:uid="{00000000-0005-0000-0000-0000D9040000}"/>
    <cellStyle name="Normal 2 5 6 4 2" xfId="5165" xr:uid="{2EED1908-67AF-4BF9-A22D-A02BFAA9EA49}"/>
    <cellStyle name="Normal 2 5 6 4 2 2" xfId="25636" xr:uid="{DE70DFCE-68B9-4548-82C4-81426A2E52B2}"/>
    <cellStyle name="Normal 2 5 6 4 2 3" xfId="27754" xr:uid="{875D9C06-8A7A-4F2B-8200-1E6500CBF0D8}"/>
    <cellStyle name="Normal 2 5 6 4 2 4" xfId="14462" xr:uid="{5589403F-483E-4AA1-95BD-131F1D9D0150}"/>
    <cellStyle name="Normal 2 5 6 4 3" xfId="6915" xr:uid="{E374B837-8176-423D-8660-6D02A228E049}"/>
    <cellStyle name="Normal 2 5 6 4 3 2" xfId="27811" xr:uid="{58AC779F-8147-46B5-B25C-A348491B40EB}"/>
    <cellStyle name="Normal 2 5 6 4 3 3" xfId="17295" xr:uid="{B9A0940A-3AD4-463D-9C85-1D43B8C761E2}"/>
    <cellStyle name="Normal 2 5 6 4 4" xfId="9748" xr:uid="{AE3BCF6D-F51F-419E-93B4-AC61634FEE93}"/>
    <cellStyle name="Normal 2 5 6 4 4 2" xfId="20128" xr:uid="{E8C2213E-0914-43AA-88BE-E77305A7B81B}"/>
    <cellStyle name="Normal 2 5 6 4 5" xfId="24657" xr:uid="{653AE55E-4F69-4F74-A475-C25B2410ABC3}"/>
    <cellStyle name="Normal 2 5 6 4 6" xfId="13428" xr:uid="{41BBA974-C802-4600-8ADC-6D323B2F6DFE}"/>
    <cellStyle name="Normal 2 5 6 5" xfId="2572" xr:uid="{00000000-0005-0000-0000-0000AD040000}"/>
    <cellStyle name="Normal 2 5 6 5 2" xfId="5839" xr:uid="{396B18D2-0248-4D0C-94CE-1E15E30FAB3E}"/>
    <cellStyle name="Normal 2 5 6 5 2 2" xfId="26425" xr:uid="{D6A82BEC-47F7-4D35-95A1-5F0E6BBE6154}"/>
    <cellStyle name="Normal 2 5 6 5 2 3" xfId="15244" xr:uid="{C235AA02-DAD8-42A6-996B-6D0C224E6E36}"/>
    <cellStyle name="Normal 2 5 6 5 3" xfId="7697" xr:uid="{6D751735-06AC-497B-96C2-5BAE0FA91DA6}"/>
    <cellStyle name="Normal 2 5 6 5 3 2" xfId="18077" xr:uid="{F488D38A-3567-482A-B0DC-5032FCE973D8}"/>
    <cellStyle name="Normal 2 5 6 5 4" xfId="10530" xr:uid="{69BA77E9-E489-4BDE-9BFA-BE463FD6F086}"/>
    <cellStyle name="Normal 2 5 6 5 4 2" xfId="20910" xr:uid="{DB8D6011-850E-4248-997E-D64ACC70B29C}"/>
    <cellStyle name="Normal 2 5 6 5 5" xfId="25373" xr:uid="{2428CB0A-2075-47FA-BD75-893BD251E405}"/>
    <cellStyle name="Normal 2 5 6 5 6" xfId="12960" xr:uid="{B3E79A95-7E45-4BBE-8139-AC5A8949078F}"/>
    <cellStyle name="Normal 2 5 6 6" xfId="2338" xr:uid="{00000000-0005-0000-0000-0000A7040000}"/>
    <cellStyle name="Normal 2 5 6 6 2" xfId="7465" xr:uid="{912A32E9-CAE1-4A74-9950-D92D57BAA7F7}"/>
    <cellStyle name="Normal 2 5 6 6 2 2" xfId="27151" xr:uid="{61860902-6BF2-44FA-A1C5-18D58D3C9CB0}"/>
    <cellStyle name="Normal 2 5 6 6 2 3" xfId="17845" xr:uid="{FB58D4AB-0201-4134-8F4A-163E54CF01DF}"/>
    <cellStyle name="Normal 2 5 6 6 3" xfId="10298" xr:uid="{F0E657DE-362D-40FB-A717-6D816FFC4AE1}"/>
    <cellStyle name="Normal 2 5 6 6 3 2" xfId="20678" xr:uid="{64293C1C-F1B0-4679-8401-3242F5DDFBEE}"/>
    <cellStyle name="Normal 2 5 6 6 4" xfId="23849" xr:uid="{C48EFEF4-1061-4E23-AE99-7D9B018C553D}"/>
    <cellStyle name="Normal 2 5 6 6 5" xfId="15012" xr:uid="{DE256D3C-40E2-49AB-BE7F-6E86B468C0E8}"/>
    <cellStyle name="Normal 2 5 6 7" xfId="3948" xr:uid="{76E8A881-6AE3-4488-8195-9627BF6D6727}"/>
    <cellStyle name="Normal 2 5 6 7 2" xfId="8780" xr:uid="{0DDF7CD2-90B2-4262-B5F3-451CF99BF985}"/>
    <cellStyle name="Normal 2 5 6 7 2 2" xfId="19160" xr:uid="{DFE5D1F1-7C54-415F-A686-E43CB4A0485C}"/>
    <cellStyle name="Normal 2 5 6 7 3" xfId="11613" xr:uid="{6B5AA8E9-538B-4A51-BC76-F982EC52FBB0}"/>
    <cellStyle name="Normal 2 5 6 7 3 2" xfId="21993" xr:uid="{B70954B3-F3DC-497B-9441-0B59DE8A693C}"/>
    <cellStyle name="Normal 2 5 6 7 4" xfId="26657" xr:uid="{2BD1EBAE-EBE5-4B32-81CA-ABE0E74369EB}"/>
    <cellStyle name="Normal 2 5 6 7 5" xfId="16327" xr:uid="{E3733107-DC77-4706-912A-66E85484C16D}"/>
    <cellStyle name="Normal 2 5 6 8" xfId="5161" xr:uid="{7D9E3B92-ACB1-4AE4-93E5-41599DD599B5}"/>
    <cellStyle name="Normal 2 5 6 8 2" xfId="14458" xr:uid="{912C215C-59AE-4B8A-A919-6955DA060220}"/>
    <cellStyle name="Normal 2 5 6 9" xfId="6911" xr:uid="{46BB68E6-E300-46CF-AD37-06A0015EF9F5}"/>
    <cellStyle name="Normal 2 5 6 9 2" xfId="17291" xr:uid="{599356A6-6502-4CFB-BAAA-3BB618513075}"/>
    <cellStyle name="Normal 2 5 7" xfId="814" xr:uid="{00000000-0005-0000-0000-0000DA040000}"/>
    <cellStyle name="Normal 2 5 7 10" xfId="12573" xr:uid="{3872BEEC-669F-4021-BAFE-C9CEED91AE29}"/>
    <cellStyle name="Normal 2 5 7 2" xfId="815" xr:uid="{00000000-0005-0000-0000-0000DB040000}"/>
    <cellStyle name="Normal 2 5 7 2 2" xfId="2912" xr:uid="{00000000-0005-0000-0000-0000B0040000}"/>
    <cellStyle name="Normal 2 5 7 2 2 2" xfId="6098" xr:uid="{FA80A102-18ED-414D-B27C-9353D338448C}"/>
    <cellStyle name="Normal 2 5 7 2 2 2 2" xfId="27821" xr:uid="{550BE74C-98F0-458B-84B6-F9AA5353B803}"/>
    <cellStyle name="Normal 2 5 7 2 2 2 3" xfId="27513" xr:uid="{66B8E7A9-047F-4D10-823B-1F07C00CEE0D}"/>
    <cellStyle name="Normal 2 5 7 2 2 2 4" xfId="15576" xr:uid="{94FE082E-9F2B-40D6-A7B0-165E6B8592BE}"/>
    <cellStyle name="Normal 2 5 7 2 2 3" xfId="8029" xr:uid="{D09942F2-BB55-43B0-85BF-29DB837C7E71}"/>
    <cellStyle name="Normal 2 5 7 2 2 3 2" xfId="26134" xr:uid="{5887ABB2-282D-44E7-BC2D-B437A529A992}"/>
    <cellStyle name="Normal 2 5 7 2 2 3 3" xfId="18409" xr:uid="{B05DDA15-E438-45B1-ADD1-CDF70D65F000}"/>
    <cellStyle name="Normal 2 5 7 2 2 4" xfId="10862" xr:uid="{196E06A0-F0CA-4CD2-91AD-74766821AB63}"/>
    <cellStyle name="Normal 2 5 7 2 2 4 2" xfId="21242" xr:uid="{FF51A9F4-D23A-4542-9A76-B0366AD8B7EA}"/>
    <cellStyle name="Normal 2 5 7 2 2 5" xfId="23492" xr:uid="{50433F46-47FE-48C4-B929-F6EA81E9341E}"/>
    <cellStyle name="Normal 2 5 7 2 2 6" xfId="13429" xr:uid="{CD5796A2-B85E-4A30-B3CB-AE07BC20B7CF}"/>
    <cellStyle name="Normal 2 5 7 2 3" xfId="5167" xr:uid="{9060EB0F-8873-4CCC-B47E-BC20FB1A55D0}"/>
    <cellStyle name="Normal 2 5 7 2 3 2" xfId="24093" xr:uid="{8140658E-2120-4103-BA3F-0B6F38DE81A8}"/>
    <cellStyle name="Normal 2 5 7 2 3 3" xfId="27977" xr:uid="{B7581A10-14FA-4070-A47F-E97B46EFFB92}"/>
    <cellStyle name="Normal 2 5 7 2 3 4" xfId="14464" xr:uid="{84722115-5823-45CE-99AC-0AA48348108E}"/>
    <cellStyle name="Normal 2 5 7 2 4" xfId="6917" xr:uid="{ABB8204F-5F68-4D3B-B5C0-E0FF351739A0}"/>
    <cellStyle name="Normal 2 5 7 2 4 2" xfId="27128" xr:uid="{E67F10F3-25A2-4D8F-AAD2-6E4DC1594DB6}"/>
    <cellStyle name="Normal 2 5 7 2 4 3" xfId="26305" xr:uid="{AA7E1F22-0A92-4FF1-9E88-23950B6FEDE6}"/>
    <cellStyle name="Normal 2 5 7 2 4 4" xfId="17297" xr:uid="{9BC63DFC-F0CE-452A-AE87-5CCA8FC53B19}"/>
    <cellStyle name="Normal 2 5 7 2 5" xfId="9750" xr:uid="{E7264DE5-52B1-4692-906E-9DD0289F153E}"/>
    <cellStyle name="Normal 2 5 7 2 5 2" xfId="29403" xr:uid="{9EDE6359-4F37-4234-BA23-058B76396C1B}"/>
    <cellStyle name="Normal 2 5 7 2 5 3" xfId="20130" xr:uid="{9BE466F4-CD27-4903-8CB2-393F7022D916}"/>
    <cellStyle name="Normal 2 5 7 2 6" xfId="24812" xr:uid="{221AF4D8-96BB-42CC-8398-1FBD5CD439A6}"/>
    <cellStyle name="Normal 2 5 7 2 7" xfId="12731" xr:uid="{9FB605A8-A7B1-4FA1-8B2B-AF26473C4371}"/>
    <cellStyle name="Normal 2 5 7 3" xfId="816" xr:uid="{00000000-0005-0000-0000-0000DC040000}"/>
    <cellStyle name="Normal 2 5 7 3 2" xfId="5168" xr:uid="{3E770E89-C976-4B49-A69D-01A42A1046BA}"/>
    <cellStyle name="Normal 2 5 7 3 2 2" xfId="27542" xr:uid="{82D41DC6-34D2-4BCF-A349-458CC7899135}"/>
    <cellStyle name="Normal 2 5 7 3 2 3" xfId="26703" xr:uid="{2EED25AF-C542-4CE4-BFA0-889806031BEA}"/>
    <cellStyle name="Normal 2 5 7 3 2 4" xfId="14465" xr:uid="{5045C102-0344-4C68-8D27-1021B6E1EFC7}"/>
    <cellStyle name="Normal 2 5 7 3 3" xfId="6918" xr:uid="{7C138758-DA1F-4FFF-B085-5A736F7CF706}"/>
    <cellStyle name="Normal 2 5 7 3 3 2" xfId="27912" xr:uid="{AF28E1D1-20A5-4401-ACD6-C4098AD1A24F}"/>
    <cellStyle name="Normal 2 5 7 3 3 3" xfId="27953" xr:uid="{EFC5B746-C63B-4E1A-88C8-DAE3639D4DC3}"/>
    <cellStyle name="Normal 2 5 7 3 3 4" xfId="17298" xr:uid="{FD2A42AA-958D-4A50-8385-C90282911FCA}"/>
    <cellStyle name="Normal 2 5 7 3 4" xfId="9751" xr:uid="{E467DB8B-20BB-49F3-9ECC-7BC2417E7147}"/>
    <cellStyle name="Normal 2 5 7 3 4 2" xfId="29404" xr:uid="{B7564529-64FE-4224-AC93-757CC3458D65}"/>
    <cellStyle name="Normal 2 5 7 3 4 3" xfId="20131" xr:uid="{6E2830BE-5DB1-439A-BF6A-50C05FC302E1}"/>
    <cellStyle name="Normal 2 5 7 3 5" xfId="24737" xr:uid="{F24850FC-B74F-4829-BAB6-7ACC661A5532}"/>
    <cellStyle name="Normal 2 5 7 3 6" xfId="13189" xr:uid="{2C439F39-210C-4C9B-977B-ACBACC47B0B5}"/>
    <cellStyle name="Normal 2 5 7 4" xfId="2339" xr:uid="{00000000-0005-0000-0000-0000AE040000}"/>
    <cellStyle name="Normal 2 5 7 4 2" xfId="7466" xr:uid="{1B362344-0BD6-4D0E-B242-4B50F9728465}"/>
    <cellStyle name="Normal 2 5 7 4 2 2" xfId="28744" xr:uid="{0CC125D7-E415-4BB3-AC0D-4C2EC7949BF1}"/>
    <cellStyle name="Normal 2 5 7 4 2 3" xfId="17846" xr:uid="{5C924F8C-930F-4882-837A-8D0C7343138F}"/>
    <cellStyle name="Normal 2 5 7 4 3" xfId="10299" xr:uid="{F73DC2D7-62D0-47B9-B1D3-79A626A70695}"/>
    <cellStyle name="Normal 2 5 7 4 3 2" xfId="20679" xr:uid="{C9CCF917-99CD-4A73-8291-13AECA5F2EDE}"/>
    <cellStyle name="Normal 2 5 7 4 4" xfId="23087" xr:uid="{F54C2A25-969A-4A8D-8DFA-442B18095805}"/>
    <cellStyle name="Normal 2 5 7 4 5" xfId="15013" xr:uid="{134E550A-C5DE-43AB-91F1-6867B117659D}"/>
    <cellStyle name="Normal 2 5 7 5" xfId="3949" xr:uid="{D8CFC14B-49E3-4A3A-963B-90B9A5D33F02}"/>
    <cellStyle name="Normal 2 5 7 5 2" xfId="8781" xr:uid="{314531B3-1E98-409B-9C90-1A861A73CA31}"/>
    <cellStyle name="Normal 2 5 7 5 2 2" xfId="28981" xr:uid="{79EA32D8-57DD-47A4-888F-9B1212D9E371}"/>
    <cellStyle name="Normal 2 5 7 5 2 3" xfId="19161" xr:uid="{0AE8848D-4986-4FDF-B055-D4A1AED243F2}"/>
    <cellStyle name="Normal 2 5 7 5 3" xfId="11614" xr:uid="{431B8C18-6889-4ABF-93B8-ABC29AE6C23E}"/>
    <cellStyle name="Normal 2 5 7 5 3 2" xfId="21994" xr:uid="{24AA5B20-D95F-456D-B6F9-5B75307D321E}"/>
    <cellStyle name="Normal 2 5 7 5 4" xfId="23048" xr:uid="{BF2A2A7B-A4B2-43E3-B56E-508819FD4D2A}"/>
    <cellStyle name="Normal 2 5 7 5 5" xfId="16328" xr:uid="{15B13AD9-8B90-4437-869A-47F17607C98F}"/>
    <cellStyle name="Normal 2 5 7 6" xfId="5166" xr:uid="{DB16687C-D6BD-4F8D-A886-DB6B61A4308F}"/>
    <cellStyle name="Normal 2 5 7 6 2" xfId="27596" xr:uid="{1A8FEE94-0E9A-47A1-A9DE-9D6EB49014AF}"/>
    <cellStyle name="Normal 2 5 7 6 3" xfId="26893" xr:uid="{3BAFF762-766C-46A0-A1D9-0DE77A03937F}"/>
    <cellStyle name="Normal 2 5 7 6 4" xfId="14463" xr:uid="{9E383EA8-AEC5-407D-85C5-6B8725A9BF50}"/>
    <cellStyle name="Normal 2 5 7 7" xfId="6916" xr:uid="{A11ADF15-8B6E-4FC0-A364-3F9F18D1C6E6}"/>
    <cellStyle name="Normal 2 5 7 7 2" xfId="27964" xr:uid="{BBDB033E-635E-41E9-9BF4-DE49DFE942E7}"/>
    <cellStyle name="Normal 2 5 7 7 3" xfId="17296" xr:uid="{C3ADC7B6-AC92-472A-91BA-C182249D2A74}"/>
    <cellStyle name="Normal 2 5 7 8" xfId="9749" xr:uid="{5592F4F2-A5E1-4C80-AD93-9BB633DB9C87}"/>
    <cellStyle name="Normal 2 5 7 8 2" xfId="20129" xr:uid="{14272C20-86E2-472E-A4E8-4C9B7D12F764}"/>
    <cellStyle name="Normal 2 5 7 9" xfId="23816" xr:uid="{8B9DB549-646C-43BD-980D-D4E511D283D9}"/>
    <cellStyle name="Normal 2 5 8" xfId="817" xr:uid="{00000000-0005-0000-0000-0000DD040000}"/>
    <cellStyle name="Normal 2 5 8 10" xfId="12574" xr:uid="{E38ED17A-C2CC-4BFA-B9D8-85D20747573E}"/>
    <cellStyle name="Normal 2 5 8 2" xfId="818" xr:uid="{00000000-0005-0000-0000-0000DE040000}"/>
    <cellStyle name="Normal 2 5 8 2 2" xfId="2913" xr:uid="{00000000-0005-0000-0000-0000B4040000}"/>
    <cellStyle name="Normal 2 5 8 2 2 2" xfId="6099" xr:uid="{87FC9D8D-AB43-40ED-8F7B-7E2E37B886AF}"/>
    <cellStyle name="Normal 2 5 8 2 2 2 2" xfId="26608" xr:uid="{0E2C8697-FF4A-48A1-B35C-E3A2591FB366}"/>
    <cellStyle name="Normal 2 5 8 2 2 2 3" xfId="27188" xr:uid="{CBE24E46-5E11-443A-A77B-8103F7EA457E}"/>
    <cellStyle name="Normal 2 5 8 2 2 2 4" xfId="15577" xr:uid="{CCEFA5DC-81A5-4731-AF20-D945D234E6F8}"/>
    <cellStyle name="Normal 2 5 8 2 2 3" xfId="8030" xr:uid="{99F426A8-2204-4F37-9D08-DD9295900529}"/>
    <cellStyle name="Normal 2 5 8 2 2 3 2" xfId="28077" xr:uid="{7F706CB7-6FAB-4374-B652-FA22570053F5}"/>
    <cellStyle name="Normal 2 5 8 2 2 3 3" xfId="18410" xr:uid="{E8C1E560-62B3-4C7D-BB20-AED4AB04D940}"/>
    <cellStyle name="Normal 2 5 8 2 2 4" xfId="10863" xr:uid="{C2627F29-8680-4140-B7A5-469789BA4CFD}"/>
    <cellStyle name="Normal 2 5 8 2 2 4 2" xfId="21243" xr:uid="{8A4C4B47-274E-4315-9F51-FC9BCCD9C1EA}"/>
    <cellStyle name="Normal 2 5 8 2 2 5" xfId="25094" xr:uid="{FC916E75-829D-4648-ABC5-97E3678CCF1A}"/>
    <cellStyle name="Normal 2 5 8 2 2 6" xfId="13430" xr:uid="{C0121E78-6DD1-47EB-8E62-5227476F87EE}"/>
    <cellStyle name="Normal 2 5 8 2 3" xfId="5170" xr:uid="{2D1402A6-9415-4653-86D7-D557C147098C}"/>
    <cellStyle name="Normal 2 5 8 2 3 2" xfId="22952" xr:uid="{388FF915-190B-4954-B4E7-FC639DFDE943}"/>
    <cellStyle name="Normal 2 5 8 2 3 3" xfId="28192" xr:uid="{68F1D276-B697-45DD-AC32-13F466365F86}"/>
    <cellStyle name="Normal 2 5 8 2 3 4" xfId="14467" xr:uid="{0FF6EBD6-B970-4B44-BA59-1FDA5254A209}"/>
    <cellStyle name="Normal 2 5 8 2 4" xfId="6920" xr:uid="{0E4C1027-7728-4935-9EA7-C7B74EE744D2}"/>
    <cellStyle name="Normal 2 5 8 2 4 2" xfId="28642" xr:uid="{459B1FF4-BA87-4BB3-8F04-5A33DD60A1CC}"/>
    <cellStyle name="Normal 2 5 8 2 4 3" xfId="26085" xr:uid="{8F91E1C7-6E17-4EC2-8DEA-849DDF060DEA}"/>
    <cellStyle name="Normal 2 5 8 2 4 4" xfId="17300" xr:uid="{C0BBF1FD-7C5D-4DAB-A0F0-C8E5DEDEF76E}"/>
    <cellStyle name="Normal 2 5 8 2 5" xfId="9753" xr:uid="{76768B74-70FA-4465-B1AA-713D127A7702}"/>
    <cellStyle name="Normal 2 5 8 2 5 2" xfId="29405" xr:uid="{DF98DF7B-1E00-43BC-983A-B4CC22D34525}"/>
    <cellStyle name="Normal 2 5 8 2 5 3" xfId="20133" xr:uid="{C594FEF9-4D23-4971-B868-D67002B33B47}"/>
    <cellStyle name="Normal 2 5 8 2 6" xfId="23828" xr:uid="{C8386A60-128C-499F-AFCE-4DD10DBA963E}"/>
    <cellStyle name="Normal 2 5 8 2 7" xfId="12732" xr:uid="{F643D582-96B8-4CC8-AC8C-FCCC2DB6AF69}"/>
    <cellStyle name="Normal 2 5 8 3" xfId="819" xr:uid="{00000000-0005-0000-0000-0000DF040000}"/>
    <cellStyle name="Normal 2 5 8 3 2" xfId="5171" xr:uid="{7EA0FB52-D0FE-464E-B1A8-416EB7CAF6C7}"/>
    <cellStyle name="Normal 2 5 8 3 2 2" xfId="27762" xr:uid="{1B3D8A2B-1258-4528-9408-85F43A031E64}"/>
    <cellStyle name="Normal 2 5 8 3 2 3" xfId="26290" xr:uid="{AA918E9E-EA3E-4349-9744-D71435009A3C}"/>
    <cellStyle name="Normal 2 5 8 3 2 4" xfId="14468" xr:uid="{3E6F9440-77F5-4A99-B3EB-8BA589A02EDF}"/>
    <cellStyle name="Normal 2 5 8 3 3" xfId="6921" xr:uid="{B0B08595-060E-494E-8110-148EF87A2DA8}"/>
    <cellStyle name="Normal 2 5 8 3 3 2" xfId="28638" xr:uid="{032D4AEB-EE59-4E85-8CEB-A25B80BB18B6}"/>
    <cellStyle name="Normal 2 5 8 3 3 3" xfId="27846" xr:uid="{9B0AC6F4-3E72-4516-847F-2AA6AC759CEA}"/>
    <cellStyle name="Normal 2 5 8 3 3 4" xfId="17301" xr:uid="{9CAE0CA5-192E-4FCA-A94D-8A5B4F1AA151}"/>
    <cellStyle name="Normal 2 5 8 3 4" xfId="9754" xr:uid="{9846A3BF-14CF-479A-A442-5CF3BBFAE313}"/>
    <cellStyle name="Normal 2 5 8 3 4 2" xfId="29406" xr:uid="{2D856DE2-86A0-419D-96E1-34CA2644A20C}"/>
    <cellStyle name="Normal 2 5 8 3 4 3" xfId="20134" xr:uid="{53B8728A-7373-4BC2-B56D-E24262BF362B}"/>
    <cellStyle name="Normal 2 5 8 3 5" xfId="23851" xr:uid="{46453A9E-A67F-494D-87B3-15B3F5DFAF52}"/>
    <cellStyle name="Normal 2 5 8 3 6" xfId="13190" xr:uid="{496E3A89-8730-4E6C-828A-8D05C85E2345}"/>
    <cellStyle name="Normal 2 5 8 4" xfId="2340" xr:uid="{00000000-0005-0000-0000-0000B2040000}"/>
    <cellStyle name="Normal 2 5 8 4 2" xfId="7467" xr:uid="{C16FBEFE-52AB-4441-A1C9-E8B5687AE242}"/>
    <cellStyle name="Normal 2 5 8 4 2 2" xfId="27848" xr:uid="{0E4396B1-BC75-464D-B164-CF432F57B523}"/>
    <cellStyle name="Normal 2 5 8 4 2 3" xfId="17847" xr:uid="{FDB08684-D268-4DCA-B262-1B3506CE5912}"/>
    <cellStyle name="Normal 2 5 8 4 3" xfId="10300" xr:uid="{E5AA1FD1-ED76-4FAD-8CA9-11EB7236145B}"/>
    <cellStyle name="Normal 2 5 8 4 3 2" xfId="20680" xr:uid="{C78468E8-4D30-4A55-9AA2-6B20AC0D4496}"/>
    <cellStyle name="Normal 2 5 8 4 4" xfId="25085" xr:uid="{47ACB428-AD37-40AD-87E4-7E37E5606D87}"/>
    <cellStyle name="Normal 2 5 8 4 5" xfId="15014" xr:uid="{A3C273AF-593E-476B-B230-8D7E402C6145}"/>
    <cellStyle name="Normal 2 5 8 5" xfId="3950" xr:uid="{BF81343B-B83B-43B8-9BC5-CB12006B854C}"/>
    <cellStyle name="Normal 2 5 8 5 2" xfId="8782" xr:uid="{CECA1BCB-AD76-4537-8025-497C5AD21B3F}"/>
    <cellStyle name="Normal 2 5 8 5 2 2" xfId="28982" xr:uid="{94C765E6-BB12-4335-80EF-AF4F156CCF00}"/>
    <cellStyle name="Normal 2 5 8 5 2 3" xfId="19162" xr:uid="{0C1C02B2-740E-4BCE-B144-84642897C345}"/>
    <cellStyle name="Normal 2 5 8 5 3" xfId="11615" xr:uid="{0C944F9B-713E-4AE8-BB46-119FFF8D1704}"/>
    <cellStyle name="Normal 2 5 8 5 3 2" xfId="21995" xr:uid="{1EAB1D14-CBDA-43A1-9717-0CB745344DC4}"/>
    <cellStyle name="Normal 2 5 8 5 4" xfId="24535" xr:uid="{6ECCF8D9-9A14-4CC9-AD83-CFF583C82AC6}"/>
    <cellStyle name="Normal 2 5 8 5 5" xfId="16329" xr:uid="{B341DFBB-E567-480A-809E-A7B726B6E9CA}"/>
    <cellStyle name="Normal 2 5 8 6" xfId="5169" xr:uid="{AF740421-A9D7-4981-B0DD-024B66F1145B}"/>
    <cellStyle name="Normal 2 5 8 6 2" xfId="27676" xr:uid="{7DEE681E-4F61-4398-91D7-57107E8AAA8D}"/>
    <cellStyle name="Normal 2 5 8 6 3" xfId="27479" xr:uid="{59820533-D3B5-4D7A-A35D-04C989DD83D8}"/>
    <cellStyle name="Normal 2 5 8 6 4" xfId="14466" xr:uid="{8C96E933-25D4-4073-B797-84AB31DEAECA}"/>
    <cellStyle name="Normal 2 5 8 7" xfId="6919" xr:uid="{239F98C7-8727-4BE7-81D5-EE9277AB63F6}"/>
    <cellStyle name="Normal 2 5 8 7 2" xfId="27062" xr:uid="{96429B7D-6E41-4E3C-89DE-72DA8AA46504}"/>
    <cellStyle name="Normal 2 5 8 7 3" xfId="17299" xr:uid="{D7886A59-2199-41D7-AE3A-FD9033BD4BD3}"/>
    <cellStyle name="Normal 2 5 8 8" xfId="9752" xr:uid="{CB9AC7CF-C7D8-4DCC-A2E0-F4127C7C6F31}"/>
    <cellStyle name="Normal 2 5 8 8 2" xfId="20132" xr:uid="{BB9A25AA-4245-4628-BC06-51E1DB837678}"/>
    <cellStyle name="Normal 2 5 8 9" xfId="24424" xr:uid="{328A836E-32EB-4DD2-AFBA-D794BE946D62}"/>
    <cellStyle name="Normal 2 5 9" xfId="820" xr:uid="{00000000-0005-0000-0000-0000E0040000}"/>
    <cellStyle name="Normal 2 5 9 10" xfId="12504" xr:uid="{7FCA7729-F1C3-43C7-A3F8-4974BBD8AE7A}"/>
    <cellStyle name="Normal 2 5 9 2" xfId="3235" xr:uid="{00000000-0005-0000-0000-0000B7040000}"/>
    <cellStyle name="Normal 2 5 9 2 2" xfId="6293" xr:uid="{0B91A8BA-076C-481F-ADFB-A7856F4F3E46}"/>
    <cellStyle name="Normal 2 5 9 2 2 2" xfId="25631" xr:uid="{6C3EDB00-8CAF-4CFC-9DE8-3599F9EB5F26}"/>
    <cellStyle name="Normal 2 5 9 2 2 3" xfId="27968" xr:uid="{B970ACEE-F553-41DC-8DCB-FA030DEE0490}"/>
    <cellStyle name="Normal 2 5 9 2 2 4" xfId="15862" xr:uid="{0F440309-72D3-4934-AF8C-1DB3325F7EF9}"/>
    <cellStyle name="Normal 2 5 9 2 3" xfId="8315" xr:uid="{F4394632-4CB4-4401-8E21-5AB05E129132}"/>
    <cellStyle name="Normal 2 5 9 2 3 2" xfId="27352" xr:uid="{61014B98-6863-4EE2-9C3B-0C7310C8CF1B}"/>
    <cellStyle name="Normal 2 5 9 2 3 3" xfId="28890" xr:uid="{BEEE6F3E-1FED-40DD-9227-5E2282FE853D}"/>
    <cellStyle name="Normal 2 5 9 2 3 4" xfId="18695" xr:uid="{A2154F9B-A893-4B53-A8A7-192A73DEF509}"/>
    <cellStyle name="Normal 2 5 9 2 4" xfId="11148" xr:uid="{80A17659-A99E-4BA9-9359-3C23DD1BD919}"/>
    <cellStyle name="Normal 2 5 9 2 4 2" xfId="29478" xr:uid="{EFABE57B-B8CC-4BD2-9E3D-CF65BBFFD636}"/>
    <cellStyle name="Normal 2 5 9 2 4 3" xfId="21528" xr:uid="{B509A441-B731-49A6-96BB-4F34A6F2F384}"/>
    <cellStyle name="Normal 2 5 9 2 5" xfId="24246" xr:uid="{F9B116E2-9B39-4305-ABEF-403951DA8795}"/>
    <cellStyle name="Normal 2 5 9 2 6" xfId="13783" xr:uid="{B7F3693F-EB02-4589-9952-0D16020DDF4E}"/>
    <cellStyle name="Normal 2 5 9 3" xfId="2739" xr:uid="{00000000-0005-0000-0000-0000B8040000}"/>
    <cellStyle name="Normal 2 5 9 3 2" xfId="5957" xr:uid="{1C106CF1-7AAC-412B-81B1-54ED467F200B}"/>
    <cellStyle name="Normal 2 5 9 3 2 2" xfId="27466" xr:uid="{CC4B03BE-8BC6-4C64-AF77-07528B0A7D4A}"/>
    <cellStyle name="Normal 2 5 9 3 2 3" xfId="15410" xr:uid="{E570EFB2-99EA-4234-A4D2-5ABF913393A2}"/>
    <cellStyle name="Normal 2 5 9 3 3" xfId="7863" xr:uid="{302C5420-7804-42BA-B297-E308AAEF5BCE}"/>
    <cellStyle name="Normal 2 5 9 3 3 2" xfId="18243" xr:uid="{A9579B9F-64EE-43F8-9A70-559D79FF8E1D}"/>
    <cellStyle name="Normal 2 5 9 3 4" xfId="10696" xr:uid="{25CD7F1D-4955-4FCA-B4B5-67C0756C0511}"/>
    <cellStyle name="Normal 2 5 9 3 4 2" xfId="21076" xr:uid="{35D0D869-E1F7-4435-8529-8D9C63936AF1}"/>
    <cellStyle name="Normal 2 5 9 3 5" xfId="23940" xr:uid="{70708FAF-6117-43BC-A4C3-2588E56CBF5B}"/>
    <cellStyle name="Normal 2 5 9 3 6" xfId="13177" xr:uid="{5C716C2B-4908-4FE3-92D6-4A1D28A4DF2A}"/>
    <cellStyle name="Normal 2 5 9 4" xfId="2272" xr:uid="{00000000-0005-0000-0000-0000B6040000}"/>
    <cellStyle name="Normal 2 5 9 4 2" xfId="7399" xr:uid="{44CC9008-625D-48A4-A3F4-6A660BC2991B}"/>
    <cellStyle name="Normal 2 5 9 4 2 2" xfId="27954" xr:uid="{1ACE6644-AF73-4258-8A74-DFFE087E6897}"/>
    <cellStyle name="Normal 2 5 9 4 2 3" xfId="17779" xr:uid="{9971C4D6-2A38-4BFF-B60A-B3EEDC94716F}"/>
    <cellStyle name="Normal 2 5 9 4 3" xfId="10232" xr:uid="{5F9F0C4C-2D85-4646-960C-56A8C3B1C93E}"/>
    <cellStyle name="Normal 2 5 9 4 3 2" xfId="20612" xr:uid="{81686D14-218A-4EB9-97EF-B8C9AF73EDE0}"/>
    <cellStyle name="Normal 2 5 9 4 4" xfId="23688" xr:uid="{49D8E19A-075C-4E34-A4CE-79C0FF224597}"/>
    <cellStyle name="Normal 2 5 9 4 5" xfId="14946" xr:uid="{7A1B2A35-2331-4EF4-A6EF-5E897BBCE437}"/>
    <cellStyle name="Normal 2 5 9 5" xfId="3810" xr:uid="{C36B1377-C1A8-4750-9E28-3ABDD05BE518}"/>
    <cellStyle name="Normal 2 5 9 5 2" xfId="8645" xr:uid="{154617DC-6663-42CD-931D-5622CEA77ECE}"/>
    <cellStyle name="Normal 2 5 9 5 2 2" xfId="19025" xr:uid="{CE4701C2-C8C4-4A37-B1F3-6C21AEDEA06A}"/>
    <cellStyle name="Normal 2 5 9 5 3" xfId="11478" xr:uid="{6063A356-5B28-4C34-8859-1EBC8C85D199}"/>
    <cellStyle name="Normal 2 5 9 5 3 2" xfId="21858" xr:uid="{4EE30D17-D780-4166-84BD-EC2FB143CCEC}"/>
    <cellStyle name="Normal 2 5 9 5 4" xfId="28104" xr:uid="{BE95F47A-4672-426F-99A6-ACA33F274C2D}"/>
    <cellStyle name="Normal 2 5 9 5 5" xfId="16192" xr:uid="{0865A172-1CAC-4A74-979F-330CE434C959}"/>
    <cellStyle name="Normal 2 5 9 6" xfId="5172" xr:uid="{B31D40FC-3EBC-4519-B7B0-43B86423AE7E}"/>
    <cellStyle name="Normal 2 5 9 6 2" xfId="14469" xr:uid="{4FBA8EC1-5C39-4D2C-BA4F-5F800D6F3DB5}"/>
    <cellStyle name="Normal 2 5 9 7" xfId="6922" xr:uid="{9AAF25E7-CC15-41BD-B93C-BEB25785AB29}"/>
    <cellStyle name="Normal 2 5 9 7 2" xfId="17302" xr:uid="{EB8FE4D3-0522-4388-8A17-14FEAD0B5AC4}"/>
    <cellStyle name="Normal 2 5 9 8" xfId="9755" xr:uid="{27576975-041A-453B-BB10-E93A0FD07564}"/>
    <cellStyle name="Normal 2 5 9 8 2" xfId="20135" xr:uid="{C871B22F-AA4C-4F56-9BB6-586D7328BD16}"/>
    <cellStyle name="Normal 2 5 9 9" xfId="25521" xr:uid="{D68B2B4B-CB3F-46E5-9B54-D643C1350598}"/>
    <cellStyle name="Normal 2 6" xfId="821" xr:uid="{00000000-0005-0000-0000-0000E1040000}"/>
    <cellStyle name="Normal 2 6 10" xfId="5173" xr:uid="{DD478F15-A083-4817-8175-D763E388BB84}"/>
    <cellStyle name="Normal 2 6 10 2" xfId="14470" xr:uid="{E5309782-CB5A-4A22-A5E7-5A4F7C7A20E6}"/>
    <cellStyle name="Normal 2 6 11" xfId="6923" xr:uid="{B39136A8-D95F-4470-8743-FEB656977D2A}"/>
    <cellStyle name="Normal 2 6 11 2" xfId="17303" xr:uid="{A69F4FF9-21AA-4E7B-93DC-CCCD3D07233C}"/>
    <cellStyle name="Normal 2 6 12" xfId="9756" xr:uid="{2EB3993A-F026-4EED-9A24-7B90B3DD425E}"/>
    <cellStyle name="Normal 2 6 12 2" xfId="20136" xr:uid="{DDDB0523-0818-4E09-A63F-A4F629557835}"/>
    <cellStyle name="Normal 2 6 13" xfId="22825" xr:uid="{49B58377-FBC9-4605-89B7-B6DD49E3E0BC}"/>
    <cellStyle name="Normal 2 6 14" xfId="12398" xr:uid="{6FCA1971-0E11-4060-AEE0-39888A0B4FEC}"/>
    <cellStyle name="Normal 2 6 15" xfId="29569" xr:uid="{D20AE30D-0FA9-4A88-B2A2-8B4705DD5E43}"/>
    <cellStyle name="Normal 2 6 2" xfId="822" xr:uid="{00000000-0005-0000-0000-0000E2040000}"/>
    <cellStyle name="Normal 2 6 2 10" xfId="6924" xr:uid="{6B452C7E-FE71-41C6-AEB2-1CEFD1267B3F}"/>
    <cellStyle name="Normal 2 6 2 10 2" xfId="17304" xr:uid="{C1B45B50-B0BF-4C5A-9E26-73DFBCF43E54}"/>
    <cellStyle name="Normal 2 6 2 11" xfId="9757" xr:uid="{70EE3BED-9444-4771-B0E0-B22D2D681A56}"/>
    <cellStyle name="Normal 2 6 2 11 2" xfId="20137" xr:uid="{B8848E42-84F5-402A-8F44-DF4E26C14C9C}"/>
    <cellStyle name="Normal 2 6 2 12" xfId="24771" xr:uid="{35CF3DA4-DC61-44EA-9462-885C50B93914}"/>
    <cellStyle name="Normal 2 6 2 13" xfId="12458" xr:uid="{560212F9-0533-4461-9920-F70CFBCCFBC5}"/>
    <cellStyle name="Normal 2 6 2 2" xfId="823" xr:uid="{00000000-0005-0000-0000-0000E3040000}"/>
    <cellStyle name="Normal 2 6 2 2 10" xfId="13023" xr:uid="{0D4BBAF6-D8A0-465E-8BC7-1533A0227D43}"/>
    <cellStyle name="Normal 2 6 2 2 2" xfId="2750" xr:uid="{00000000-0005-0000-0000-0000BC040000}"/>
    <cellStyle name="Normal 2 6 2 2 2 2" xfId="3238" xr:uid="{00000000-0005-0000-0000-0000BD040000}"/>
    <cellStyle name="Normal 2 6 2 2 2 2 2" xfId="6296" xr:uid="{0B07470C-85B1-4C6C-8ECD-495CD613F7F9}"/>
    <cellStyle name="Normal 2 6 2 2 2 2 2 2" xfId="25985" xr:uid="{15AEB110-49CC-43EA-914F-C7B5BA29E022}"/>
    <cellStyle name="Normal 2 6 2 2 2 2 2 3" xfId="15865" xr:uid="{6299CCA4-F531-4401-9A04-6E9291B145E1}"/>
    <cellStyle name="Normal 2 6 2 2 2 2 3" xfId="8318" xr:uid="{7D00746B-09DC-4BE8-9F40-2E48AA9B3F4E}"/>
    <cellStyle name="Normal 2 6 2 2 2 2 3 2" xfId="18698" xr:uid="{92375DE8-DFE2-4284-ADB8-E6088B04237C}"/>
    <cellStyle name="Normal 2 6 2 2 2 2 4" xfId="11151" xr:uid="{45876200-9A30-4704-87EC-D9A1EE244809}"/>
    <cellStyle name="Normal 2 6 2 2 2 2 4 2" xfId="21531" xr:uid="{19313E0A-2184-42AB-A62F-564856D82415}"/>
    <cellStyle name="Normal 2 6 2 2 2 2 5" xfId="24865" xr:uid="{22919932-BE07-4BEC-A9C1-1F5690CBF9E8}"/>
    <cellStyle name="Normal 2 6 2 2 2 2 6" xfId="13786" xr:uid="{D92ABE24-15D8-42BF-BA33-29B764548151}"/>
    <cellStyle name="Normal 2 6 2 2 2 3" xfId="4313" xr:uid="{451EFECD-E6FF-49A0-931F-814EEFFD5A8F}"/>
    <cellStyle name="Normal 2 6 2 2 2 3 2" xfId="9085" xr:uid="{3595DF81-ADC3-45A8-9BCF-7689DB946DF4}"/>
    <cellStyle name="Normal 2 6 2 2 2 3 2 2" xfId="29128" xr:uid="{3478CBB0-2BB3-4BBC-BDF5-74924D9D1697}"/>
    <cellStyle name="Normal 2 6 2 2 2 3 2 3" xfId="19465" xr:uid="{53207F61-895A-499D-A277-FF244C663D60}"/>
    <cellStyle name="Normal 2 6 2 2 2 3 3" xfId="11918" xr:uid="{48D8DEA2-984C-4B9D-A7AA-ED5779C04D14}"/>
    <cellStyle name="Normal 2 6 2 2 2 3 3 2" xfId="22298" xr:uid="{7CA70C4C-A7DF-4680-9001-4AC840974DE7}"/>
    <cellStyle name="Normal 2 6 2 2 2 3 4" xfId="23344" xr:uid="{D534D1FF-ED6B-4AFA-A78B-91BFD6963392}"/>
    <cellStyle name="Normal 2 6 2 2 2 3 5" xfId="16632" xr:uid="{D5A661F6-AA69-4A0F-BEEE-49C104A2C658}"/>
    <cellStyle name="Normal 2 6 2 2 2 4" xfId="5968" xr:uid="{298A3100-0F0E-4143-A5EA-0E61FD9A4AB6}"/>
    <cellStyle name="Normal 2 6 2 2 2 4 2" xfId="26480" xr:uid="{11AECB0D-6D22-4FB1-BDEF-36BD0B668DF2}"/>
    <cellStyle name="Normal 2 6 2 2 2 4 3" xfId="15421" xr:uid="{06CF890A-500B-4804-8C18-A9A6100DD4F0}"/>
    <cellStyle name="Normal 2 6 2 2 2 5" xfId="7874" xr:uid="{13D454F1-D94D-4985-B799-7A9EE008A9DD}"/>
    <cellStyle name="Normal 2 6 2 2 2 5 2" xfId="18254" xr:uid="{49C3328D-2308-4F91-B477-7FDE2DDB1AD1}"/>
    <cellStyle name="Normal 2 6 2 2 2 6" xfId="10707" xr:uid="{67F0920D-71CE-4035-957B-64609EFCF7FB}"/>
    <cellStyle name="Normal 2 6 2 2 2 6 2" xfId="21087" xr:uid="{B4910B9D-7FD4-4ABB-8821-B0753D2BA9C3}"/>
    <cellStyle name="Normal 2 6 2 2 2 7" xfId="24555" xr:uid="{A6371983-7A9E-40B5-882F-16BA02B0D5BB}"/>
    <cellStyle name="Normal 2 6 2 2 2 8" xfId="13193" xr:uid="{E94E252D-CEC7-44E3-AE45-EF7C918145D9}"/>
    <cellStyle name="Normal 2 6 2 2 3" xfId="3239" xr:uid="{00000000-0005-0000-0000-0000BE040000}"/>
    <cellStyle name="Normal 2 6 2 2 3 2" xfId="4490" xr:uid="{55CEC6C5-0DF6-4B0F-924A-77BA3BC616DD}"/>
    <cellStyle name="Normal 2 6 2 2 3 2 2" xfId="9262" xr:uid="{06250DE4-EF61-49D8-88D3-8EC22069837C}"/>
    <cellStyle name="Normal 2 6 2 2 3 2 2 2" xfId="19642" xr:uid="{66BB9C65-E528-4C7D-B9E6-BE7C48E04D21}"/>
    <cellStyle name="Normal 2 6 2 2 3 2 3" xfId="12095" xr:uid="{668CB0BD-5154-4E9D-9950-737CB28749D1}"/>
    <cellStyle name="Normal 2 6 2 2 3 2 3 2" xfId="22475" xr:uid="{0927B242-5633-413B-9366-D0BF18B6BEF8}"/>
    <cellStyle name="Normal 2 6 2 2 3 2 4" xfId="27215" xr:uid="{86708BAA-E17F-49EC-854A-0A84CF6C76C2}"/>
    <cellStyle name="Normal 2 6 2 2 3 2 5" xfId="16809" xr:uid="{599B188C-F56C-4FC6-A997-E2906A024AF1}"/>
    <cellStyle name="Normal 2 6 2 2 3 3" xfId="6297" xr:uid="{B79DBA51-6000-4D82-80A8-804A3E8AE8B8}"/>
    <cellStyle name="Normal 2 6 2 2 3 3 2" xfId="15866" xr:uid="{7DC4A406-DF69-4EC5-A326-85572F0B978F}"/>
    <cellStyle name="Normal 2 6 2 2 3 4" xfId="8319" xr:uid="{45F53046-B812-4B00-AF6C-5C1BE3C220C6}"/>
    <cellStyle name="Normal 2 6 2 2 3 4 2" xfId="18699" xr:uid="{4FA5C0D2-5A8F-4244-BA51-715E53E0E9C9}"/>
    <cellStyle name="Normal 2 6 2 2 3 5" xfId="11152" xr:uid="{8FB676D1-A2A5-4791-81A5-AA86212AE9BB}"/>
    <cellStyle name="Normal 2 6 2 2 3 5 2" xfId="21532" xr:uid="{1B7321DF-74C0-4FE4-90B0-A4A4BC518DD0}"/>
    <cellStyle name="Normal 2 6 2 2 3 6" xfId="25445" xr:uid="{63EE90C9-352C-4A42-BCBF-967139EC8398}"/>
    <cellStyle name="Normal 2 6 2 2 3 7" xfId="13787" xr:uid="{003465C1-845E-4AA6-AAC9-38E55E50C248}"/>
    <cellStyle name="Normal 2 6 2 2 4" xfId="3237" xr:uid="{00000000-0005-0000-0000-0000BF040000}"/>
    <cellStyle name="Normal 2 6 2 2 4 2" xfId="6295" xr:uid="{8A71D997-902F-4EC5-BD04-EFA816DE2D95}"/>
    <cellStyle name="Normal 2 6 2 2 4 2 2" xfId="26120" xr:uid="{6C41D414-276B-4750-99C0-84744654015A}"/>
    <cellStyle name="Normal 2 6 2 2 4 2 3" xfId="15864" xr:uid="{58E19D04-F987-48EA-AD62-D757F9DC9301}"/>
    <cellStyle name="Normal 2 6 2 2 4 3" xfId="8317" xr:uid="{D7CD78DF-D605-471F-83D2-64D69091FA77}"/>
    <cellStyle name="Normal 2 6 2 2 4 3 2" xfId="18697" xr:uid="{8ADBC21C-45A3-48A1-89F6-3A2356F32654}"/>
    <cellStyle name="Normal 2 6 2 2 4 4" xfId="11150" xr:uid="{14AD40EB-66C8-45BC-83A2-CCA9B1A5ABF3}"/>
    <cellStyle name="Normal 2 6 2 2 4 4 2" xfId="21530" xr:uid="{214F76B3-3270-4655-8C6B-6FFC20D4F682}"/>
    <cellStyle name="Normal 2 6 2 2 4 5" xfId="24352" xr:uid="{781D88E8-E12F-46EC-82D2-751C026D45CE}"/>
    <cellStyle name="Normal 2 6 2 2 4 6" xfId="13785" xr:uid="{91AAE636-ACAC-4080-91F2-DFC72904F990}"/>
    <cellStyle name="Normal 2 6 2 2 5" xfId="4237" xr:uid="{6213120F-9F90-4BE0-92B7-346DAD0055F1}"/>
    <cellStyle name="Normal 2 6 2 2 5 2" xfId="9009" xr:uid="{B23A0D37-DA54-4EDA-BE34-71A567E5C728}"/>
    <cellStyle name="Normal 2 6 2 2 5 2 2" xfId="29080" xr:uid="{5B35F843-65AE-46F3-BBE9-BA3D0813C538}"/>
    <cellStyle name="Normal 2 6 2 2 5 2 3" xfId="19389" xr:uid="{6714A023-88B7-4F17-BD6B-5FA4ACE1AAC2}"/>
    <cellStyle name="Normal 2 6 2 2 5 3" xfId="11842" xr:uid="{C70035A5-E15B-4D76-88E0-5C3F7C131519}"/>
    <cellStyle name="Normal 2 6 2 2 5 3 2" xfId="22222" xr:uid="{E83365C6-6F43-4F18-8F82-0431B69ED16A}"/>
    <cellStyle name="Normal 2 6 2 2 5 4" xfId="23577" xr:uid="{BBCF9256-3B95-44EB-92C0-669EE74927F6}"/>
    <cellStyle name="Normal 2 6 2 2 5 5" xfId="16556" xr:uid="{2525C136-B1B0-4DFD-A134-1912100B16CB}"/>
    <cellStyle name="Normal 2 6 2 2 6" xfId="5175" xr:uid="{EFD3024B-EF2D-42ED-A19F-E2212A050465}"/>
    <cellStyle name="Normal 2 6 2 2 6 2" xfId="28651" xr:uid="{E51DA777-0808-4589-A231-F6DEACAEA0DC}"/>
    <cellStyle name="Normal 2 6 2 2 6 3" xfId="14472" xr:uid="{CC01BC16-52DB-4F97-85D1-813E789606D7}"/>
    <cellStyle name="Normal 2 6 2 2 7" xfId="6925" xr:uid="{8FEB73BD-73B7-40EC-81B9-13739C227541}"/>
    <cellStyle name="Normal 2 6 2 2 7 2" xfId="17305" xr:uid="{8E9BBD76-FCD0-4DA6-9DE2-B44004DEE9FF}"/>
    <cellStyle name="Normal 2 6 2 2 8" xfId="9758" xr:uid="{E500A65A-BD52-41D2-BA8F-127DE68A173E}"/>
    <cellStyle name="Normal 2 6 2 2 8 2" xfId="20138" xr:uid="{6EAF28EB-AB73-4A7D-8ACB-0F87A24CD8B4}"/>
    <cellStyle name="Normal 2 6 2 2 9" xfId="24336" xr:uid="{550195B9-69B1-41FF-8556-424F9227CAEB}"/>
    <cellStyle name="Normal 2 6 2 3" xfId="2749" xr:uid="{00000000-0005-0000-0000-0000C0040000}"/>
    <cellStyle name="Normal 2 6 2 3 2" xfId="3240" xr:uid="{00000000-0005-0000-0000-0000C1040000}"/>
    <cellStyle name="Normal 2 6 2 3 2 2" xfId="6298" xr:uid="{909EF239-56EC-436B-B207-0C2058E4371C}"/>
    <cellStyle name="Normal 2 6 2 3 2 2 2" xfId="27531" xr:uid="{6A3159D9-295F-4279-B03A-E3C845D77425}"/>
    <cellStyle name="Normal 2 6 2 3 2 2 3" xfId="15867" xr:uid="{2C7CBD9F-6D00-4DFD-8C61-0A5C8FFCB40E}"/>
    <cellStyle name="Normal 2 6 2 3 2 3" xfId="8320" xr:uid="{E8956212-19DA-46E6-AE5B-B477D98F4FC0}"/>
    <cellStyle name="Normal 2 6 2 3 2 3 2" xfId="18700" xr:uid="{63AAA577-4A6D-42C1-AEF3-F0691CE300E7}"/>
    <cellStyle name="Normal 2 6 2 3 2 4" xfId="11153" xr:uid="{3183E437-A385-4F27-8C65-8E24BC3C2386}"/>
    <cellStyle name="Normal 2 6 2 3 2 4 2" xfId="21533" xr:uid="{CCA787AD-396D-48F7-939C-67EA61F5EAFF}"/>
    <cellStyle name="Normal 2 6 2 3 2 5" xfId="22796" xr:uid="{35DE97A9-B50F-44E7-8469-98B46AE21DDC}"/>
    <cellStyle name="Normal 2 6 2 3 2 6" xfId="13788" xr:uid="{DBCCB06C-77FF-48D3-B46A-C7ED0160E78B}"/>
    <cellStyle name="Normal 2 6 2 3 3" xfId="4312" xr:uid="{05338117-EB87-4B41-8F3F-9D96A8C69F48}"/>
    <cellStyle name="Normal 2 6 2 3 3 2" xfId="9084" xr:uid="{06B64086-F2FA-4554-A66A-7DCD7A828594}"/>
    <cellStyle name="Normal 2 6 2 3 3 2 2" xfId="29127" xr:uid="{CD74FA9E-399D-4ABF-9104-22E50EC80906}"/>
    <cellStyle name="Normal 2 6 2 3 3 2 3" xfId="19464" xr:uid="{374CA1CC-12B2-48B1-9D67-A7B3DEEE4CBF}"/>
    <cellStyle name="Normal 2 6 2 3 3 3" xfId="11917" xr:uid="{1DD8F1BF-BCEA-465E-A31C-07F49838B74E}"/>
    <cellStyle name="Normal 2 6 2 3 3 3 2" xfId="22297" xr:uid="{9E6596BA-0FCB-417E-82E2-1524BC5841F5}"/>
    <cellStyle name="Normal 2 6 2 3 3 4" xfId="25349" xr:uid="{42660836-C392-4A95-AB7D-2B10EB886405}"/>
    <cellStyle name="Normal 2 6 2 3 3 5" xfId="16631" xr:uid="{563033DD-F564-4805-B714-6325541D0051}"/>
    <cellStyle name="Normal 2 6 2 3 4" xfId="5967" xr:uid="{E65F83FC-A1C3-4EA4-9529-1202F48F8094}"/>
    <cellStyle name="Normal 2 6 2 3 4 2" xfId="27923" xr:uid="{1E851278-57D4-4AA3-A532-7F287997802C}"/>
    <cellStyle name="Normal 2 6 2 3 4 3" xfId="15420" xr:uid="{69C05F2B-C137-4BB6-8704-13070549C81C}"/>
    <cellStyle name="Normal 2 6 2 3 5" xfId="7873" xr:uid="{621F3C51-E706-4289-808D-3600D7DE2E8D}"/>
    <cellStyle name="Normal 2 6 2 3 5 2" xfId="18253" xr:uid="{2C1E3A01-E7C2-4B75-9362-E23996E4157F}"/>
    <cellStyle name="Normal 2 6 2 3 6" xfId="10706" xr:uid="{0942D83E-6785-4069-93ED-E1FEF867500E}"/>
    <cellStyle name="Normal 2 6 2 3 6 2" xfId="21086" xr:uid="{D0426F11-DBC5-4AD7-A855-E1C40AE9F6EE}"/>
    <cellStyle name="Normal 2 6 2 3 7" xfId="24596" xr:uid="{70CCA74D-0F9E-4C26-BE30-EDEF40B34700}"/>
    <cellStyle name="Normal 2 6 2 3 8" xfId="13192" xr:uid="{082743DC-5C06-434B-9280-28C08901C2E8}"/>
    <cellStyle name="Normal 2 6 2 4" xfId="3241" xr:uid="{00000000-0005-0000-0000-0000C2040000}"/>
    <cellStyle name="Normal 2 6 2 4 2" xfId="4491" xr:uid="{99D999CC-6FD5-486B-8B59-AACF02421660}"/>
    <cellStyle name="Normal 2 6 2 4 2 2" xfId="9263" xr:uid="{693B2310-F2CC-4B51-8DCA-6C985B7E01F6}"/>
    <cellStyle name="Normal 2 6 2 4 2 2 2" xfId="19643" xr:uid="{60CE9961-B196-4E53-9106-4D821DF88F34}"/>
    <cellStyle name="Normal 2 6 2 4 2 3" xfId="12096" xr:uid="{F27E296C-2BF5-4C55-A4BC-C01B2BB3001C}"/>
    <cellStyle name="Normal 2 6 2 4 2 3 2" xfId="22476" xr:uid="{6890BA32-74A1-468A-8E1D-EE5DDA9E01A7}"/>
    <cellStyle name="Normal 2 6 2 4 2 4" xfId="26156" xr:uid="{8E1693E9-A028-4C58-88A3-DCB985228DC4}"/>
    <cellStyle name="Normal 2 6 2 4 2 5" xfId="16810" xr:uid="{C18685EF-A719-4116-BA1B-3BA5E1AA00FD}"/>
    <cellStyle name="Normal 2 6 2 4 3" xfId="6299" xr:uid="{492F9173-ED6E-4509-86DB-B2EA5DF6D7F6}"/>
    <cellStyle name="Normal 2 6 2 4 3 2" xfId="15868" xr:uid="{BA1625F8-53AF-4C89-82AA-C0EB3332B7FA}"/>
    <cellStyle name="Normal 2 6 2 4 4" xfId="8321" xr:uid="{C1DB41E0-32DE-4948-9DB1-AAC9D0DB7206}"/>
    <cellStyle name="Normal 2 6 2 4 4 2" xfId="18701" xr:uid="{875847CA-7CEF-469C-BA9D-AF3CD931B7D7}"/>
    <cellStyle name="Normal 2 6 2 4 5" xfId="11154" xr:uid="{A35979AB-4BBF-40BE-BD16-A63862B7E890}"/>
    <cellStyle name="Normal 2 6 2 4 5 2" xfId="21534" xr:uid="{290E8148-7224-483E-8FEB-44D1A8EBA1D7}"/>
    <cellStyle name="Normal 2 6 2 4 6" xfId="23653" xr:uid="{2E0F261C-8B52-49F0-8467-4A7022122960}"/>
    <cellStyle name="Normal 2 6 2 4 7" xfId="13789" xr:uid="{C67B1CEB-659F-49D7-AF42-A53E6118D022}"/>
    <cellStyle name="Normal 2 6 2 5" xfId="3236" xr:uid="{00000000-0005-0000-0000-0000C3040000}"/>
    <cellStyle name="Normal 2 6 2 5 2" xfId="6294" xr:uid="{864BD532-2191-49D7-A5D9-FF59CCEEAFD4}"/>
    <cellStyle name="Normal 2 6 2 5 2 2" xfId="27655" xr:uid="{A64C6447-BC8F-4094-9873-7775BF9AA8CD}"/>
    <cellStyle name="Normal 2 6 2 5 2 3" xfId="15863" xr:uid="{8CEFF8B3-DBEE-4DA2-9982-4C778CE2B6D8}"/>
    <cellStyle name="Normal 2 6 2 5 3" xfId="8316" xr:uid="{5AEDA475-210E-48A9-ACEE-9CB4F1AEDF16}"/>
    <cellStyle name="Normal 2 6 2 5 3 2" xfId="18696" xr:uid="{8CFC2B20-D82C-4836-8B85-B2DDA40B52F2}"/>
    <cellStyle name="Normal 2 6 2 5 4" xfId="11149" xr:uid="{56BF3207-64C4-44E3-AFF4-0474BABB18FC}"/>
    <cellStyle name="Normal 2 6 2 5 4 2" xfId="21529" xr:uid="{80DEABAB-AAEF-44BF-954B-37CF1AB5F697}"/>
    <cellStyle name="Normal 2 6 2 5 5" xfId="24342" xr:uid="{E7546074-5B21-4067-9EB9-A2806E9B7A0C}"/>
    <cellStyle name="Normal 2 6 2 5 6" xfId="13784" xr:uid="{89D4FEE3-FC36-40D1-A84B-A3B2E206D0DA}"/>
    <cellStyle name="Normal 2 6 2 6" xfId="2532" xr:uid="{00000000-0005-0000-0000-0000C4040000}"/>
    <cellStyle name="Normal 2 6 2 6 2" xfId="5806" xr:uid="{10762A9A-7272-485A-943C-B474B929DFA1}"/>
    <cellStyle name="Normal 2 6 2 6 2 2" xfId="28331" xr:uid="{91C42B10-F180-458D-AFC1-107E53C0EC40}"/>
    <cellStyle name="Normal 2 6 2 6 2 3" xfId="15204" xr:uid="{C481E85C-B006-44B4-B153-234F7CD519A4}"/>
    <cellStyle name="Normal 2 6 2 6 3" xfId="7657" xr:uid="{802B6534-EC9E-4BAF-9ED1-E58A0B5A1B3C}"/>
    <cellStyle name="Normal 2 6 2 6 3 2" xfId="18037" xr:uid="{0C59ABBA-3D43-4EB6-8CC4-6FDE3F98A84D}"/>
    <cellStyle name="Normal 2 6 2 6 4" xfId="10490" xr:uid="{1FCE637C-45EC-4DB5-B22E-0EB0BA1F730F}"/>
    <cellStyle name="Normal 2 6 2 6 4 2" xfId="20870" xr:uid="{3DB16BC8-7567-4D71-BE88-6964F1429595}"/>
    <cellStyle name="Normal 2 6 2 6 5" xfId="23453" xr:uid="{3467CB81-E993-4155-9658-380959AE2084}"/>
    <cellStyle name="Normal 2 6 2 6 6" xfId="12920" xr:uid="{12AC7268-F7FD-4FC4-9DD5-F0A75605BD3E}"/>
    <cellStyle name="Normal 2 6 2 7" xfId="2226" xr:uid="{00000000-0005-0000-0000-0000BA040000}"/>
    <cellStyle name="Normal 2 6 2 7 2" xfId="7353" xr:uid="{D530F37D-DEF4-4170-A7A3-CB1060AA827D}"/>
    <cellStyle name="Normal 2 6 2 7 2 2" xfId="17733" xr:uid="{1AC286B0-EC57-4FEF-9592-7305F7F714D3}"/>
    <cellStyle name="Normal 2 6 2 7 3" xfId="10186" xr:uid="{917FF294-FA44-4D45-86B4-360CE91273CB}"/>
    <cellStyle name="Normal 2 6 2 7 3 2" xfId="20566" xr:uid="{80CC7CE1-1E69-417B-BC19-550A0933C939}"/>
    <cellStyle name="Normal 2 6 2 7 4" xfId="24404" xr:uid="{1502BF02-3285-4572-A39D-B74C8D53DD14}"/>
    <cellStyle name="Normal 2 6 2 7 5" xfId="14900" xr:uid="{1CA6A51E-82D5-4C77-BCEB-1851F5CDC9B4}"/>
    <cellStyle name="Normal 2 6 2 8" xfId="3792" xr:uid="{EA396F53-A8E3-4AAD-AEFE-BE244E793E8F}"/>
    <cellStyle name="Normal 2 6 2 8 2" xfId="8628" xr:uid="{ED8914F2-C102-4167-8F91-AA93ECEF9C27}"/>
    <cellStyle name="Normal 2 6 2 8 2 2" xfId="19008" xr:uid="{70494654-2281-49E4-99E3-8834C809E729}"/>
    <cellStyle name="Normal 2 6 2 8 3" xfId="11461" xr:uid="{56BA38B1-DC32-4B80-B62D-8B1022DA2726}"/>
    <cellStyle name="Normal 2 6 2 8 3 2" xfId="21841" xr:uid="{278BD44B-3A17-484E-ABAC-932535BD4874}"/>
    <cellStyle name="Normal 2 6 2 8 4" xfId="16175" xr:uid="{E09CC765-129B-4103-A5F1-3F1553452D84}"/>
    <cellStyle name="Normal 2 6 2 9" xfId="5174" xr:uid="{C8D33ABA-A6DE-4D30-A213-75A149B1FA83}"/>
    <cellStyle name="Normal 2 6 2 9 2" xfId="14471" xr:uid="{974A2E2F-85FD-42D4-9E21-8199EEBB5EB3}"/>
    <cellStyle name="Normal 2 6 3" xfId="824" xr:uid="{00000000-0005-0000-0000-0000E4040000}"/>
    <cellStyle name="Normal 2 6 3 10" xfId="9759" xr:uid="{A4D62B8B-D218-4840-B61C-71340FE99392}"/>
    <cellStyle name="Normal 2 6 3 10 2" xfId="20139" xr:uid="{FC4D10FB-3755-4F39-A082-152E804D35F2}"/>
    <cellStyle name="Normal 2 6 3 11" xfId="25001" xr:uid="{B09E0DFE-CB49-4293-9A76-68CE4C4AFD3E}"/>
    <cellStyle name="Normal 2 6 3 12" xfId="12575" xr:uid="{6DF2FDF8-BF05-4326-8CED-AF04FE39C9F4}"/>
    <cellStyle name="Normal 2 6 3 2" xfId="2751" xr:uid="{00000000-0005-0000-0000-0000C6040000}"/>
    <cellStyle name="Normal 2 6 3 2 2" xfId="3243" xr:uid="{00000000-0005-0000-0000-0000C7040000}"/>
    <cellStyle name="Normal 2 6 3 2 2 2" xfId="6301" xr:uid="{7304B549-7725-4E18-B383-08AC32602764}"/>
    <cellStyle name="Normal 2 6 3 2 2 2 2" xfId="28082" xr:uid="{92E698A4-443E-4E9F-912D-3316C8057977}"/>
    <cellStyle name="Normal 2 6 3 2 2 2 3" xfId="15870" xr:uid="{E2BEE138-2676-4D8C-9875-BCFE68E134F5}"/>
    <cellStyle name="Normal 2 6 3 2 2 3" xfId="8323" xr:uid="{E291EB98-CB64-4225-A299-2FBB6958D1D8}"/>
    <cellStyle name="Normal 2 6 3 2 2 3 2" xfId="18703" xr:uid="{767B6D43-7AD9-4B29-821F-6A35E2A9C3B4}"/>
    <cellStyle name="Normal 2 6 3 2 2 4" xfId="11156" xr:uid="{748016B8-AB50-4139-A5F0-56CB27A68A9F}"/>
    <cellStyle name="Normal 2 6 3 2 2 4 2" xfId="21536" xr:uid="{95D20107-076A-48EF-AB96-F7E20554289D}"/>
    <cellStyle name="Normal 2 6 3 2 2 5" xfId="23901" xr:uid="{0FBF2B24-DE81-4443-8299-141FA0D649DA}"/>
    <cellStyle name="Normal 2 6 3 2 2 6" xfId="13791" xr:uid="{F9D0B80D-AC75-439E-A28A-B9DE7A394B05}"/>
    <cellStyle name="Normal 2 6 3 2 3" xfId="4314" xr:uid="{FDB00B43-EDE2-439A-8599-5EB1BA9F4CE7}"/>
    <cellStyle name="Normal 2 6 3 2 3 2" xfId="9086" xr:uid="{16808E95-2586-46E7-BE40-B97AEE2CFFB2}"/>
    <cellStyle name="Normal 2 6 3 2 3 2 2" xfId="29129" xr:uid="{7F4B2F7D-F1C0-4A26-B6B2-BD2773891107}"/>
    <cellStyle name="Normal 2 6 3 2 3 2 3" xfId="19466" xr:uid="{8D3D01C1-5F5A-488C-9B61-70485AA27C9D}"/>
    <cellStyle name="Normal 2 6 3 2 3 3" xfId="11919" xr:uid="{3CB88BFF-7034-4492-AA0A-14017708B94E}"/>
    <cellStyle name="Normal 2 6 3 2 3 3 2" xfId="22299" xr:uid="{A14D9E91-F974-4C75-97D6-B6D0E1D8D640}"/>
    <cellStyle name="Normal 2 6 3 2 3 4" xfId="24337" xr:uid="{01B9F8C2-15BC-4CE9-BC27-617DA3FAF2A3}"/>
    <cellStyle name="Normal 2 6 3 2 3 5" xfId="16633" xr:uid="{566336C9-D4DB-4A32-91F6-86EAD6606C09}"/>
    <cellStyle name="Normal 2 6 3 2 4" xfId="5969" xr:uid="{B0225D42-3F43-429F-96D2-B3C4FFF017AF}"/>
    <cellStyle name="Normal 2 6 3 2 4 2" xfId="28155" xr:uid="{5C369DB8-5E78-41E0-9489-A73C67F62EB5}"/>
    <cellStyle name="Normal 2 6 3 2 4 3" xfId="15422" xr:uid="{6AC99C5E-64F7-4525-A5AB-A0680637904B}"/>
    <cellStyle name="Normal 2 6 3 2 5" xfId="7875" xr:uid="{187C8DAC-2EBE-40DA-A2BA-B16800DDFA06}"/>
    <cellStyle name="Normal 2 6 3 2 5 2" xfId="18255" xr:uid="{0AB7271F-C4AF-40EE-8F0E-C9A3C9E23C6A}"/>
    <cellStyle name="Normal 2 6 3 2 6" xfId="10708" xr:uid="{68C15709-F04C-47D1-B067-E8BE43F77BD4}"/>
    <cellStyle name="Normal 2 6 3 2 6 2" xfId="21088" xr:uid="{F447D534-E314-47F2-9E88-C461FD47A87B}"/>
    <cellStyle name="Normal 2 6 3 2 7" xfId="24629" xr:uid="{0EB4ABFD-ACE5-4ABD-B332-42F09D2BA598}"/>
    <cellStyle name="Normal 2 6 3 2 8" xfId="13194" xr:uid="{564E1D4A-1A87-4C0D-840E-13FA45AB478F}"/>
    <cellStyle name="Normal 2 6 3 3" xfId="3244" xr:uid="{00000000-0005-0000-0000-0000C8040000}"/>
    <cellStyle name="Normal 2 6 3 3 2" xfId="4492" xr:uid="{87207243-8C53-4DE5-B92B-7719F293434A}"/>
    <cellStyle name="Normal 2 6 3 3 2 2" xfId="9264" xr:uid="{C3B3E6F4-D12B-40A9-849B-D88600E4EA46}"/>
    <cellStyle name="Normal 2 6 3 3 2 2 2" xfId="29249" xr:uid="{B14741FC-784C-4ADB-98D1-04F07AD5543C}"/>
    <cellStyle name="Normal 2 6 3 3 2 2 3" xfId="19644" xr:uid="{B4928044-04CD-4CFA-B67F-F481551FE4B0}"/>
    <cellStyle name="Normal 2 6 3 3 2 3" xfId="12097" xr:uid="{5214C419-B95F-42D2-BB6F-9BE7C79034EF}"/>
    <cellStyle name="Normal 2 6 3 3 2 3 2" xfId="22477" xr:uid="{9EAB2E54-3029-4DFB-A3CA-3ED052C1C342}"/>
    <cellStyle name="Normal 2 6 3 3 2 4" xfId="22868" xr:uid="{CAD82A59-8985-4FFB-91FB-1C6232C10769}"/>
    <cellStyle name="Normal 2 6 3 3 2 5" xfId="16811" xr:uid="{B62F27E4-1ED2-4F69-B12F-EC7A9B613844}"/>
    <cellStyle name="Normal 2 6 3 3 3" xfId="6302" xr:uid="{A3DE6E02-6E83-4DF7-A1B7-959133430995}"/>
    <cellStyle name="Normal 2 6 3 3 3 2" xfId="26213" xr:uid="{EE394A47-E38F-4441-AE45-E5E0C939CDE8}"/>
    <cellStyle name="Normal 2 6 3 3 3 3" xfId="15871" xr:uid="{EFF3A563-4A4D-4BA2-B5BE-55B10045C84D}"/>
    <cellStyle name="Normal 2 6 3 3 4" xfId="8324" xr:uid="{10A2EFD6-4550-41B9-9D2C-0C6CA4889477}"/>
    <cellStyle name="Normal 2 6 3 3 4 2" xfId="18704" xr:uid="{3F5120F2-2B31-45F7-AB64-C295BD28981B}"/>
    <cellStyle name="Normal 2 6 3 3 5" xfId="11157" xr:uid="{BB8F6FE3-F7F8-415E-B8E6-30E494857739}"/>
    <cellStyle name="Normal 2 6 3 3 5 2" xfId="21537" xr:uid="{74ADF930-A0CD-47CC-9983-8F504FF6F67F}"/>
    <cellStyle name="Normal 2 6 3 3 6" xfId="24480" xr:uid="{38F64182-7581-4BB8-91EB-F95C8B7C6FD9}"/>
    <cellStyle name="Normal 2 6 3 3 7" xfId="13792" xr:uid="{B07449D2-9759-4D4B-84D2-842A75D20F86}"/>
    <cellStyle name="Normal 2 6 3 4" xfId="3242" xr:uid="{00000000-0005-0000-0000-0000C9040000}"/>
    <cellStyle name="Normal 2 6 3 4 2" xfId="6300" xr:uid="{76E59889-A8B4-4D0D-A5C6-DA7E60392EA5}"/>
    <cellStyle name="Normal 2 6 3 4 2 2" xfId="26031" xr:uid="{D7ED80EF-2C71-4AFF-BD14-B827B1696D1D}"/>
    <cellStyle name="Normal 2 6 3 4 2 3" xfId="15869" xr:uid="{D1417E44-7FC8-4EED-B6AB-389147BE2DAC}"/>
    <cellStyle name="Normal 2 6 3 4 3" xfId="8322" xr:uid="{E57003F0-69DC-4BDB-87A5-D5970FC7987A}"/>
    <cellStyle name="Normal 2 6 3 4 3 2" xfId="18702" xr:uid="{5BE996CC-BDE8-4271-939A-B58DE1544666}"/>
    <cellStyle name="Normal 2 6 3 4 4" xfId="11155" xr:uid="{BDB2A5CA-124E-4DB8-8FB4-2F10C553E449}"/>
    <cellStyle name="Normal 2 6 3 4 4 2" xfId="21535" xr:uid="{80215D5B-DD7D-485F-939B-771F38FEBCDD}"/>
    <cellStyle name="Normal 2 6 3 4 5" xfId="25546" xr:uid="{4B134884-26C9-4669-87A5-D352E80BAD43}"/>
    <cellStyle name="Normal 2 6 3 4 6" xfId="13790" xr:uid="{B05C497A-8A05-41D1-96AA-F3A7AB582F5C}"/>
    <cellStyle name="Normal 2 6 3 5" xfId="2575" xr:uid="{00000000-0005-0000-0000-0000CA040000}"/>
    <cellStyle name="Normal 2 6 3 5 2" xfId="5840" xr:uid="{DF0E3358-E753-47A6-BED4-29A4340CC710}"/>
    <cellStyle name="Normal 2 6 3 5 2 2" xfId="26226" xr:uid="{8CBC7597-9E25-4985-AB21-CABF7A1CC924}"/>
    <cellStyle name="Normal 2 6 3 5 2 3" xfId="15247" xr:uid="{F9F030D3-C608-4F08-9C1C-0B51A7D277A5}"/>
    <cellStyle name="Normal 2 6 3 5 3" xfId="7700" xr:uid="{C45C4104-5723-49BB-8658-8B71663BE1F3}"/>
    <cellStyle name="Normal 2 6 3 5 3 2" xfId="18080" xr:uid="{4805201E-4483-45A6-80B7-2FACFD456AAC}"/>
    <cellStyle name="Normal 2 6 3 5 4" xfId="10533" xr:uid="{F588443A-6DD1-4DCF-9335-0C05F6C0E82B}"/>
    <cellStyle name="Normal 2 6 3 5 4 2" xfId="20913" xr:uid="{44532367-E5EB-47CF-A810-C3244C6410ED}"/>
    <cellStyle name="Normal 2 6 3 5 5" xfId="23805" xr:uid="{B831D932-89A5-497D-97E7-E8EFC916E333}"/>
    <cellStyle name="Normal 2 6 3 5 6" xfId="12963" xr:uid="{74DE7D1D-E440-4BEA-806A-E5800002F8B0}"/>
    <cellStyle name="Normal 2 6 3 6" xfId="2341" xr:uid="{00000000-0005-0000-0000-0000C5040000}"/>
    <cellStyle name="Normal 2 6 3 6 2" xfId="7468" xr:uid="{3A60FAA7-236C-4287-AADF-56E2DF722CB0}"/>
    <cellStyle name="Normal 2 6 3 6 2 2" xfId="17848" xr:uid="{791B2BBF-96B1-477D-BD65-FE70725DA7C6}"/>
    <cellStyle name="Normal 2 6 3 6 3" xfId="10301" xr:uid="{A010738C-6954-46F7-B0D6-5D8E10447902}"/>
    <cellStyle name="Normal 2 6 3 6 3 2" xfId="20681" xr:uid="{5CFF61F0-0CCD-4BE0-BA9F-5E49FCC5A30F}"/>
    <cellStyle name="Normal 2 6 3 6 4" xfId="24779" xr:uid="{5866C81F-BCDD-41B4-8389-503ADA704CF2}"/>
    <cellStyle name="Normal 2 6 3 6 5" xfId="15015" xr:uid="{B537DB6D-4B8B-4F24-A17E-59B8AA53E2D2}"/>
    <cellStyle name="Normal 2 6 3 7" xfId="3852" xr:uid="{2F0129F9-6EAF-4AAF-9CE7-DA34D158108D}"/>
    <cellStyle name="Normal 2 6 3 7 2" xfId="8685" xr:uid="{C55A7311-DEFF-40BB-AD48-3EC8C83781BC}"/>
    <cellStyle name="Normal 2 6 3 7 2 2" xfId="19065" xr:uid="{6D1693A2-58F9-4467-9713-1AAD0D03E2A2}"/>
    <cellStyle name="Normal 2 6 3 7 3" xfId="11518" xr:uid="{243DA632-E680-4E69-8C95-E06E0EAF6D1D}"/>
    <cellStyle name="Normal 2 6 3 7 3 2" xfId="21898" xr:uid="{864F57A7-5DC2-4353-9E34-85C3714B0248}"/>
    <cellStyle name="Normal 2 6 3 7 4" xfId="16232" xr:uid="{7A31CD01-4889-4F8B-B42B-1EC4E2C4D6B1}"/>
    <cellStyle name="Normal 2 6 3 8" xfId="5176" xr:uid="{8AE79431-F88A-4C41-B95B-4BA664C147B4}"/>
    <cellStyle name="Normal 2 6 3 8 2" xfId="14473" xr:uid="{40FFDD92-F8D1-4A22-A3DF-4E5C0A8744A6}"/>
    <cellStyle name="Normal 2 6 3 9" xfId="6926" xr:uid="{20101572-6AD5-4DB0-B4EC-D86429EB91A3}"/>
    <cellStyle name="Normal 2 6 3 9 2" xfId="17306" xr:uid="{83D1B01E-C56A-4CBA-A0AC-28D7157D2623}"/>
    <cellStyle name="Normal 2 6 4" xfId="825" xr:uid="{00000000-0005-0000-0000-0000E5040000}"/>
    <cellStyle name="Normal 2 6 4 2" xfId="3245" xr:uid="{00000000-0005-0000-0000-0000CC040000}"/>
    <cellStyle name="Normal 2 6 4 2 2" xfId="6303" xr:uid="{26AA86EE-97E0-48FA-85E2-64D1D01642DB}"/>
    <cellStyle name="Normal 2 6 4 2 2 2" xfId="27738" xr:uid="{62530CFF-EAD0-4DCC-8A0F-51132B070C03}"/>
    <cellStyle name="Normal 2 6 4 2 2 3" xfId="15872" xr:uid="{38DC05D0-1BDA-437F-9A6F-0B1EB9623D15}"/>
    <cellStyle name="Normal 2 6 4 2 3" xfId="8325" xr:uid="{66BF30D8-781F-4445-9403-8B1239B99C01}"/>
    <cellStyle name="Normal 2 6 4 2 3 2" xfId="18705" xr:uid="{696D15CB-68D5-4E6B-AC4E-F2E170C0BE1A}"/>
    <cellStyle name="Normal 2 6 4 2 4" xfId="11158" xr:uid="{9AADA220-B9CE-4749-AE31-CBC01B68FA08}"/>
    <cellStyle name="Normal 2 6 4 2 4 2" xfId="21538" xr:uid="{544947B8-8889-427F-98F8-7DB4E71898AA}"/>
    <cellStyle name="Normal 2 6 4 2 5" xfId="23672" xr:uid="{40D936BC-B2FB-444D-BA06-05C16CD95B47}"/>
    <cellStyle name="Normal 2 6 4 2 6" xfId="13793" xr:uid="{CD9279EA-FE4F-45C0-B021-898B07933199}"/>
    <cellStyle name="Normal 2 6 4 3" xfId="2748" xr:uid="{00000000-0005-0000-0000-0000CD040000}"/>
    <cellStyle name="Normal 2 6 4 3 2" xfId="5966" xr:uid="{3AC6F347-C68D-4FB4-8BD8-2118D9E8EF4B}"/>
    <cellStyle name="Normal 2 6 4 3 2 2" xfId="26001" xr:uid="{6407EC0A-CA09-4F54-A5DC-8C2C028A5521}"/>
    <cellStyle name="Normal 2 6 4 3 2 3" xfId="15419" xr:uid="{C193E26C-D856-4793-947D-EF2429FBC763}"/>
    <cellStyle name="Normal 2 6 4 3 3" xfId="7872" xr:uid="{1E3CF3CE-B1BC-4F2D-A7C8-61E4A10A365D}"/>
    <cellStyle name="Normal 2 6 4 3 3 2" xfId="18252" xr:uid="{8BD55EF0-2C46-4F9F-BF52-2E5AC363DFD0}"/>
    <cellStyle name="Normal 2 6 4 3 4" xfId="10705" xr:uid="{DF3A9D90-F1F1-4774-A6A8-BFA0FB02DDAB}"/>
    <cellStyle name="Normal 2 6 4 3 4 2" xfId="21085" xr:uid="{AECC2B9B-F637-458C-95D4-B8705547F79B}"/>
    <cellStyle name="Normal 2 6 4 3 5" xfId="25086" xr:uid="{F7D65038-43B7-4600-B665-FE61C3DC1D05}"/>
    <cellStyle name="Normal 2 6 4 3 6" xfId="13191" xr:uid="{9FF62838-0196-4BF7-8043-8AD349460ECA}"/>
    <cellStyle name="Normal 2 6 4 4" xfId="4173" xr:uid="{FAAE8149-8145-432C-B91A-EC872542167A}"/>
    <cellStyle name="Normal 2 6 4 4 2" xfId="8945" xr:uid="{A898C8CD-3D30-4C1C-ABD9-8656076B5A81}"/>
    <cellStyle name="Normal 2 6 4 4 2 2" xfId="19325" xr:uid="{1A9ED637-57DF-4EC7-8488-4C7592B288CF}"/>
    <cellStyle name="Normal 2 6 4 4 3" xfId="11778" xr:uid="{3183CE16-5648-42F3-904D-5A8528B42A9C}"/>
    <cellStyle name="Normal 2 6 4 4 3 2" xfId="22158" xr:uid="{D292C677-4EC5-461E-B23B-11316430DFAC}"/>
    <cellStyle name="Normal 2 6 4 4 4" xfId="24115" xr:uid="{4B28783D-BCF0-40D5-BA39-A0BD1889A410}"/>
    <cellStyle name="Normal 2 6 4 4 5" xfId="16492" xr:uid="{FCD70FC5-0B68-4997-9C12-BBFBD166F7A2}"/>
    <cellStyle name="Normal 2 6 4 5" xfId="5177" xr:uid="{7A080356-2637-46E2-A77E-82C5ACAE8493}"/>
    <cellStyle name="Normal 2 6 4 5 2" xfId="14474" xr:uid="{87F5C9D8-9A57-40FE-BC24-29C7BD440DC2}"/>
    <cellStyle name="Normal 2 6 4 6" xfId="6927" xr:uid="{1EB19ED3-15F7-414F-9F66-975C06046ACB}"/>
    <cellStyle name="Normal 2 6 4 6 2" xfId="17307" xr:uid="{E908B670-6EEE-4B27-A219-E53B7B9A3CCF}"/>
    <cellStyle name="Normal 2 6 4 7" xfId="9760" xr:uid="{BBF121FB-D7DF-4229-888D-58897BA66988}"/>
    <cellStyle name="Normal 2 6 4 7 2" xfId="20140" xr:uid="{A447422D-86A8-4D49-B623-57D91E1AC329}"/>
    <cellStyle name="Normal 2 6 4 8" xfId="23439" xr:uid="{2467AEF3-5330-47FD-87A4-229510FDA7FD}"/>
    <cellStyle name="Normal 2 6 4 9" xfId="12733" xr:uid="{4D9A41E0-523B-4A63-AEF3-98D8B656F6EC}"/>
    <cellStyle name="Normal 2 6 5" xfId="3246" xr:uid="{00000000-0005-0000-0000-0000CE040000}"/>
    <cellStyle name="Normal 2 6 5 2" xfId="4493" xr:uid="{A3DD9300-DFB9-4CFD-9A54-92274E601C4B}"/>
    <cellStyle name="Normal 2 6 5 2 2" xfId="9265" xr:uid="{DD784A69-7E3E-4F1A-AC82-8F6F1BD52311}"/>
    <cellStyle name="Normal 2 6 5 2 2 2" xfId="29250" xr:uid="{0D00306C-6116-4176-B54A-03C0D3AA4551}"/>
    <cellStyle name="Normal 2 6 5 2 2 3" xfId="19645" xr:uid="{F2CB09A6-383C-48D6-8D03-D7E890852381}"/>
    <cellStyle name="Normal 2 6 5 2 3" xfId="12098" xr:uid="{6A87C19B-A104-452B-9739-483A28C9AE79}"/>
    <cellStyle name="Normal 2 6 5 2 3 2" xfId="22478" xr:uid="{35392DE0-6C17-4AAF-B1BA-5476F364C1F7}"/>
    <cellStyle name="Normal 2 6 5 2 4" xfId="22645" xr:uid="{1DAD417C-CEC3-4A47-A424-5DFB07AF424F}"/>
    <cellStyle name="Normal 2 6 5 2 5" xfId="16812" xr:uid="{CDCBDCFE-1C6A-46F9-8B05-D7FB38E609D1}"/>
    <cellStyle name="Normal 2 6 5 3" xfId="6304" xr:uid="{D9E241B8-02A4-427F-8AE0-EEAB32CD3011}"/>
    <cellStyle name="Normal 2 6 5 3 2" xfId="28143" xr:uid="{5AE0B9C7-05E0-42CD-9E29-BCFC29DBD4C5}"/>
    <cellStyle name="Normal 2 6 5 3 3" xfId="15873" xr:uid="{F4E50B5F-0237-4929-B47F-EF36A19EE155}"/>
    <cellStyle name="Normal 2 6 5 4" xfId="8326" xr:uid="{EFFF14CB-F067-4F81-B899-6C534B5B4390}"/>
    <cellStyle name="Normal 2 6 5 4 2" xfId="18706" xr:uid="{13BEAD3E-CAD8-4E9A-8C8D-73BA059008A1}"/>
    <cellStyle name="Normal 2 6 5 5" xfId="11159" xr:uid="{8260038C-40B8-4B48-B86B-150E1BB7C91B}"/>
    <cellStyle name="Normal 2 6 5 5 2" xfId="21539" xr:uid="{5E4EEA9D-1019-4434-BE7E-77F65C173361}"/>
    <cellStyle name="Normal 2 6 5 6" xfId="25304" xr:uid="{C39A1771-4B7B-4FA5-A546-E3F549907874}"/>
    <cellStyle name="Normal 2 6 5 7" xfId="13794" xr:uid="{62094DEE-5D6A-4587-B5C3-6B51F53AC0CC}"/>
    <cellStyle name="Normal 2 6 6" xfId="2914" xr:uid="{00000000-0005-0000-0000-0000CF040000}"/>
    <cellStyle name="Normal 2 6 6 2" xfId="6100" xr:uid="{3F07CF2B-E2C3-4A94-86F5-C526D5A30387}"/>
    <cellStyle name="Normal 2 6 6 2 2" xfId="25846" xr:uid="{89030345-8F55-454A-84BA-BF49A031CD02}"/>
    <cellStyle name="Normal 2 6 6 2 3" xfId="15578" xr:uid="{ACA6E232-F876-4D2C-B3F8-1D3F6BDA8948}"/>
    <cellStyle name="Normal 2 6 6 3" xfId="8031" xr:uid="{42120A84-98C8-41ED-A11F-EB419CC9F1E1}"/>
    <cellStyle name="Normal 2 6 6 3 2" xfId="18411" xr:uid="{F02AD8A5-2195-4EF0-9E9F-3259ECBE80B4}"/>
    <cellStyle name="Normal 2 6 6 4" xfId="10864" xr:uid="{67350C24-62FC-42C2-9B15-1073360F93E2}"/>
    <cellStyle name="Normal 2 6 6 4 2" xfId="21244" xr:uid="{7586ABD7-1A9A-4747-83A4-C02958ED7CA3}"/>
    <cellStyle name="Normal 2 6 6 5" xfId="22688" xr:uid="{50EB29A5-FE3E-4EE9-8F15-737CE4DD97F0}"/>
    <cellStyle name="Normal 2 6 6 6" xfId="13431" xr:uid="{FB8F4C21-A5D5-4C65-A7E8-2622D69B734E}"/>
    <cellStyle name="Normal 2 6 7" xfId="2472" xr:uid="{00000000-0005-0000-0000-0000D0040000}"/>
    <cellStyle name="Normal 2 6 7 2" xfId="5760" xr:uid="{D2868D63-22F0-4956-A066-B914852ABDEE}"/>
    <cellStyle name="Normal 2 6 7 2 2" xfId="26263" xr:uid="{70223284-C886-43CC-B95C-40E37BC2C671}"/>
    <cellStyle name="Normal 2 6 7 2 3" xfId="15144" xr:uid="{34CDAF7D-28FF-4D89-9CFB-E0BDDA502805}"/>
    <cellStyle name="Normal 2 6 7 3" xfId="7597" xr:uid="{5893C7BC-E3C2-4EF6-8D7B-A10380A32821}"/>
    <cellStyle name="Normal 2 6 7 3 2" xfId="17977" xr:uid="{3F055587-DB80-4D3B-9368-A460981ED099}"/>
    <cellStyle name="Normal 2 6 7 4" xfId="10430" xr:uid="{B6AAA150-C551-43E3-8964-7E03F1AE4B5A}"/>
    <cellStyle name="Normal 2 6 7 4 2" xfId="20810" xr:uid="{E0EF6062-5071-41CB-889C-987F9B3E8377}"/>
    <cellStyle name="Normal 2 6 7 5" xfId="24538" xr:uid="{ABF28A36-FD7D-46E5-B605-AA7A948D3FC4}"/>
    <cellStyle name="Normal 2 6 7 6" xfId="12860" xr:uid="{A6F2CC7B-F5FD-4ACD-BBD6-115C96CC06F1}"/>
    <cellStyle name="Normal 2 6 8" xfId="2166" xr:uid="{00000000-0005-0000-0000-0000B9040000}"/>
    <cellStyle name="Normal 2 6 8 2" xfId="7293" xr:uid="{0EB573FA-EEF6-439E-A56B-BDBDAE879304}"/>
    <cellStyle name="Normal 2 6 8 2 2" xfId="17673" xr:uid="{4DC08CDF-9F03-44B1-AFD4-F6F5E2B029B7}"/>
    <cellStyle name="Normal 2 6 8 3" xfId="10126" xr:uid="{F5839759-13CE-4805-BB77-B640C64967FE}"/>
    <cellStyle name="Normal 2 6 8 3 2" xfId="20506" xr:uid="{578F8F1F-D0D9-4E82-AEDC-2E3008B84CE1}"/>
    <cellStyle name="Normal 2 6 8 4" xfId="22947" xr:uid="{3E25F616-C5F5-426E-A79E-6C9D09D93F12}"/>
    <cellStyle name="Normal 2 6 8 5" xfId="14840" xr:uid="{6735C330-4283-4D90-AC95-85E796A9B56E}"/>
    <cellStyle name="Normal 2 6 9" xfId="3951" xr:uid="{768BD1A0-E9FC-4057-8CB2-EEB941EB5E31}"/>
    <cellStyle name="Normal 2 6 9 2" xfId="8783" xr:uid="{E40725E7-E25B-4B86-978A-F410327532ED}"/>
    <cellStyle name="Normal 2 6 9 2 2" xfId="19163" xr:uid="{AABAA0C8-6D30-44E6-AFFD-FD33B4ACC440}"/>
    <cellStyle name="Normal 2 6 9 3" xfId="11616" xr:uid="{6C6BEF3B-A7BE-4192-8AFB-AC48CF963000}"/>
    <cellStyle name="Normal 2 6 9 3 2" xfId="21996" xr:uid="{BE8C2767-4BA7-4EEE-903C-B8C4D963EC10}"/>
    <cellStyle name="Normal 2 6 9 4" xfId="16330" xr:uid="{0B82CE58-B896-42FB-B2C2-EBDE2E302BD6}"/>
    <cellStyle name="Normal 2 7" xfId="826" xr:uid="{00000000-0005-0000-0000-0000E6040000}"/>
    <cellStyle name="Normal 2 7 10" xfId="5178" xr:uid="{9CD5321E-0D32-4E21-8C53-766D143E0BA3}"/>
    <cellStyle name="Normal 2 7 10 2" xfId="14475" xr:uid="{599DCDD7-1C0F-49D3-AEAE-1B75E1AE40C9}"/>
    <cellStyle name="Normal 2 7 11" xfId="6928" xr:uid="{80BB76AE-DDE6-4543-A159-C3E3623D1485}"/>
    <cellStyle name="Normal 2 7 11 2" xfId="17308" xr:uid="{AE83A673-8891-44DF-A0F1-AEE7ECD49F20}"/>
    <cellStyle name="Normal 2 7 12" xfId="9761" xr:uid="{6278D750-9C21-4CA5-B2B3-E9BDB0803732}"/>
    <cellStyle name="Normal 2 7 12 2" xfId="20141" xr:uid="{CE1E7404-7B0B-4E6D-92D2-BFBF115EE3DB}"/>
    <cellStyle name="Normal 2 7 13" xfId="25465" xr:uid="{DF6CD18B-2F2D-4207-8C69-DD24C3320652}"/>
    <cellStyle name="Normal 2 7 14" xfId="12413" xr:uid="{BD85830B-CE9E-45F5-AE23-751D67618F47}"/>
    <cellStyle name="Normal 2 7 15" xfId="29570" xr:uid="{F2A4C11B-61FF-44DA-8BB6-067397F32AA5}"/>
    <cellStyle name="Normal 2 7 2" xfId="827" xr:uid="{00000000-0005-0000-0000-0000E7040000}"/>
    <cellStyle name="Normal 2 7 2 10" xfId="6929" xr:uid="{4B2C54F7-1C4B-49F1-AF42-2B99EB4FF8AB}"/>
    <cellStyle name="Normal 2 7 2 10 2" xfId="17309" xr:uid="{E7C730BD-8187-4087-84C7-9A21F8D763A7}"/>
    <cellStyle name="Normal 2 7 2 11" xfId="9762" xr:uid="{30B3C8EE-236F-4D31-A8E1-C6229247C9D4}"/>
    <cellStyle name="Normal 2 7 2 11 2" xfId="20142" xr:uid="{8D265F91-367B-4C32-A21A-6320554103E3}"/>
    <cellStyle name="Normal 2 7 2 12" xfId="22858" xr:uid="{92EF549A-DD3C-46B0-BED7-0C9A1986C83C}"/>
    <cellStyle name="Normal 2 7 2 13" xfId="12473" xr:uid="{6962162F-A72E-489A-AFA8-D860B3AC8C11}"/>
    <cellStyle name="Normal 2 7 2 2" xfId="828" xr:uid="{00000000-0005-0000-0000-0000E8040000}"/>
    <cellStyle name="Normal 2 7 2 2 10" xfId="13038" xr:uid="{0AA01A78-69EF-4114-B2BB-B3045BE91DCA}"/>
    <cellStyle name="Normal 2 7 2 2 2" xfId="2754" xr:uid="{00000000-0005-0000-0000-0000D4040000}"/>
    <cellStyle name="Normal 2 7 2 2 2 2" xfId="3249" xr:uid="{00000000-0005-0000-0000-0000D5040000}"/>
    <cellStyle name="Normal 2 7 2 2 2 2 2" xfId="6307" xr:uid="{3F37FFE1-9605-425C-A216-C5C3766D8891}"/>
    <cellStyle name="Normal 2 7 2 2 2 2 2 2" xfId="27929" xr:uid="{71267D9A-AAD4-4888-BB0F-A6752B1171B8}"/>
    <cellStyle name="Normal 2 7 2 2 2 2 2 3" xfId="15876" xr:uid="{78DF3D38-9F73-439E-A287-89CE869E1EE0}"/>
    <cellStyle name="Normal 2 7 2 2 2 2 3" xfId="8329" xr:uid="{041AEE86-5E87-4121-BE6D-95B8ED5DBD23}"/>
    <cellStyle name="Normal 2 7 2 2 2 2 3 2" xfId="18709" xr:uid="{4FBD9496-DACD-4EED-A203-DAA1B518EB17}"/>
    <cellStyle name="Normal 2 7 2 2 2 2 4" xfId="11162" xr:uid="{D9DB168F-7EE2-4C16-A285-F74B1B4773A6}"/>
    <cellStyle name="Normal 2 7 2 2 2 2 4 2" xfId="21542" xr:uid="{B5176D5B-292B-41E6-931B-ABF05B42C01C}"/>
    <cellStyle name="Normal 2 7 2 2 2 2 5" xfId="23026" xr:uid="{3537CE86-360E-4CCD-8DF9-151C226AFF84}"/>
    <cellStyle name="Normal 2 7 2 2 2 2 6" xfId="13797" xr:uid="{C57A5B3F-A737-4DF9-8FE1-263A28DC07EB}"/>
    <cellStyle name="Normal 2 7 2 2 2 3" xfId="4316" xr:uid="{FFC00805-99EC-4945-BAD6-33C2B8920012}"/>
    <cellStyle name="Normal 2 7 2 2 2 3 2" xfId="9088" xr:uid="{2FF21747-EFA1-424C-8717-55E3A30DD691}"/>
    <cellStyle name="Normal 2 7 2 2 2 3 2 2" xfId="29131" xr:uid="{C3EF06AF-415D-4422-AF34-D98D777D4C72}"/>
    <cellStyle name="Normal 2 7 2 2 2 3 2 3" xfId="19468" xr:uid="{7C746684-E314-4401-AC36-5BD913A672F2}"/>
    <cellStyle name="Normal 2 7 2 2 2 3 3" xfId="11921" xr:uid="{BEA25E24-2834-4578-8A5A-5CCC0A8E9A15}"/>
    <cellStyle name="Normal 2 7 2 2 2 3 3 2" xfId="22301" xr:uid="{421306C6-8FF7-4983-9458-E7E6600E8567}"/>
    <cellStyle name="Normal 2 7 2 2 2 3 4" xfId="23093" xr:uid="{EA2CFD82-7F75-467D-A582-25A18A0DA923}"/>
    <cellStyle name="Normal 2 7 2 2 2 3 5" xfId="16635" xr:uid="{B3808F8F-BD78-4371-BDCC-E034C7C8F9E3}"/>
    <cellStyle name="Normal 2 7 2 2 2 4" xfId="5972" xr:uid="{FB91A383-B100-4FF6-986D-91A9D5125407}"/>
    <cellStyle name="Normal 2 7 2 2 2 4 2" xfId="28520" xr:uid="{F53A6796-1339-411E-9581-FBD442974032}"/>
    <cellStyle name="Normal 2 7 2 2 2 4 3" xfId="15425" xr:uid="{6136F13A-FDEC-48F1-B23C-C2ABD1E7BA13}"/>
    <cellStyle name="Normal 2 7 2 2 2 5" xfId="7878" xr:uid="{80A07288-7984-4F94-9DF1-0D50A1274AD2}"/>
    <cellStyle name="Normal 2 7 2 2 2 5 2" xfId="18258" xr:uid="{47E2FEC9-8946-4F38-8291-63337E373D72}"/>
    <cellStyle name="Normal 2 7 2 2 2 6" xfId="10711" xr:uid="{193B0A73-1D11-422A-941F-0024136F0454}"/>
    <cellStyle name="Normal 2 7 2 2 2 6 2" xfId="21091" xr:uid="{9EEF06D9-0239-4678-AAAE-3FE145793384}"/>
    <cellStyle name="Normal 2 7 2 2 2 7" xfId="23588" xr:uid="{85AD88BB-6EEB-4A4F-906C-9069C5A0D512}"/>
    <cellStyle name="Normal 2 7 2 2 2 8" xfId="13197" xr:uid="{05AAC9C7-D092-4CBE-9B97-DCB68CB9F745}"/>
    <cellStyle name="Normal 2 7 2 2 3" xfId="3250" xr:uid="{00000000-0005-0000-0000-0000D6040000}"/>
    <cellStyle name="Normal 2 7 2 2 3 2" xfId="4494" xr:uid="{7BD627DC-9A61-453D-ACA5-190C16C8BA58}"/>
    <cellStyle name="Normal 2 7 2 2 3 2 2" xfId="9266" xr:uid="{337D26E3-2CFF-44DF-8059-821F7436A063}"/>
    <cellStyle name="Normal 2 7 2 2 3 2 2 2" xfId="19646" xr:uid="{A8BF7C60-23AA-4BAD-856E-100679624A23}"/>
    <cellStyle name="Normal 2 7 2 2 3 2 3" xfId="12099" xr:uid="{45F0224D-3863-4BC9-B20B-7DA4569172ED}"/>
    <cellStyle name="Normal 2 7 2 2 3 2 3 2" xfId="22479" xr:uid="{9D8DCE35-9750-4647-8802-B78CB69B4E1A}"/>
    <cellStyle name="Normal 2 7 2 2 3 2 4" xfId="26917" xr:uid="{0E00F23F-E8BD-40B8-A638-5598DB5B40CE}"/>
    <cellStyle name="Normal 2 7 2 2 3 2 5" xfId="16813" xr:uid="{AEDEBC93-6A37-4253-BD9E-035FB4B64FFC}"/>
    <cellStyle name="Normal 2 7 2 2 3 3" xfId="6308" xr:uid="{1B540ABE-382E-4EC7-BA5C-B9B9D969EABB}"/>
    <cellStyle name="Normal 2 7 2 2 3 3 2" xfId="15877" xr:uid="{56368EE5-3F6A-4213-83FF-06A2867DD031}"/>
    <cellStyle name="Normal 2 7 2 2 3 4" xfId="8330" xr:uid="{FABF5BA2-20C0-4727-BF91-3E08B5C6729F}"/>
    <cellStyle name="Normal 2 7 2 2 3 4 2" xfId="18710" xr:uid="{34211832-17F7-48EC-9752-871DB117CE2D}"/>
    <cellStyle name="Normal 2 7 2 2 3 5" xfId="11163" xr:uid="{EB7CAB05-576E-4098-AF42-5091183ECBA8}"/>
    <cellStyle name="Normal 2 7 2 2 3 5 2" xfId="21543" xr:uid="{EEB8D7AF-A6F3-4E05-B5E4-4D7673A558B2}"/>
    <cellStyle name="Normal 2 7 2 2 3 6" xfId="25415" xr:uid="{F687B384-AE79-4E40-ACF7-96DD38E01573}"/>
    <cellStyle name="Normal 2 7 2 2 3 7" xfId="13798" xr:uid="{B8205858-621C-4A89-A6D0-6CD4FF70F5F2}"/>
    <cellStyle name="Normal 2 7 2 2 4" xfId="3248" xr:uid="{00000000-0005-0000-0000-0000D7040000}"/>
    <cellStyle name="Normal 2 7 2 2 4 2" xfId="6306" xr:uid="{F44F7A92-EB00-4577-AB9B-6F205BD23F40}"/>
    <cellStyle name="Normal 2 7 2 2 4 2 2" xfId="27918" xr:uid="{1DBC5BAF-9CEC-491A-B6F4-2B1B977C86E3}"/>
    <cellStyle name="Normal 2 7 2 2 4 2 3" xfId="15875" xr:uid="{2A5D3804-4633-46A2-805D-B7A2DB7B2E49}"/>
    <cellStyle name="Normal 2 7 2 2 4 3" xfId="8328" xr:uid="{54307EDA-67F1-427A-BB24-0EB4451AAEB4}"/>
    <cellStyle name="Normal 2 7 2 2 4 3 2" xfId="18708" xr:uid="{22B3AAA6-B0CB-4404-BE3B-6A68FA312A1E}"/>
    <cellStyle name="Normal 2 7 2 2 4 4" xfId="11161" xr:uid="{08ACD65D-F031-45DD-B78B-E46A9FAC5C6B}"/>
    <cellStyle name="Normal 2 7 2 2 4 4 2" xfId="21541" xr:uid="{E0164970-C186-4A02-A515-0B39605712D6}"/>
    <cellStyle name="Normal 2 7 2 2 4 5" xfId="24486" xr:uid="{FA6B8D25-7A74-4642-B974-C9AD3830C5D9}"/>
    <cellStyle name="Normal 2 7 2 2 4 6" xfId="13796" xr:uid="{D5B324C0-74E6-4D36-9245-B0A521637CD9}"/>
    <cellStyle name="Normal 2 7 2 2 5" xfId="4239" xr:uid="{95A930D3-0D9E-422E-8A05-F1CFFCAE1F41}"/>
    <cellStyle name="Normal 2 7 2 2 5 2" xfId="9011" xr:uid="{12507572-78BE-42B2-88EE-70516A173534}"/>
    <cellStyle name="Normal 2 7 2 2 5 2 2" xfId="29082" xr:uid="{34B9C282-239A-45F8-9330-F0CA98B202F8}"/>
    <cellStyle name="Normal 2 7 2 2 5 2 3" xfId="19391" xr:uid="{FC5FD584-7541-40A6-B047-72B200AA1381}"/>
    <cellStyle name="Normal 2 7 2 2 5 3" xfId="11844" xr:uid="{444A3CEB-84C5-4874-AB48-B6FDAADF5002}"/>
    <cellStyle name="Normal 2 7 2 2 5 3 2" xfId="22224" xr:uid="{D21C198F-4140-4E5F-89CB-3C60825A4E6B}"/>
    <cellStyle name="Normal 2 7 2 2 5 4" xfId="25377" xr:uid="{BA4ED903-B1AF-4D72-8482-B72971F1F96F}"/>
    <cellStyle name="Normal 2 7 2 2 5 5" xfId="16558" xr:uid="{1096B93B-F377-462B-910C-13E14BDBDE1B}"/>
    <cellStyle name="Normal 2 7 2 2 6" xfId="5180" xr:uid="{F43B598E-1922-42AA-B411-7F29ECE41F77}"/>
    <cellStyle name="Normal 2 7 2 2 6 2" xfId="25961" xr:uid="{4374242D-03D9-45EE-A426-050C499E5392}"/>
    <cellStyle name="Normal 2 7 2 2 6 3" xfId="14477" xr:uid="{E61BB159-C497-4CE4-9208-B4A7D076527F}"/>
    <cellStyle name="Normal 2 7 2 2 7" xfId="6930" xr:uid="{C5FC017B-1281-49EE-A7FE-AD0A58A8ADC7}"/>
    <cellStyle name="Normal 2 7 2 2 7 2" xfId="17310" xr:uid="{88D02D7B-FE1C-4365-A58C-6768F4BF4007}"/>
    <cellStyle name="Normal 2 7 2 2 8" xfId="9763" xr:uid="{B11F3A08-AE12-46CF-8956-93A3125E2059}"/>
    <cellStyle name="Normal 2 7 2 2 8 2" xfId="20143" xr:uid="{BECCE343-5413-41D5-832D-CC080D7D00BE}"/>
    <cellStyle name="Normal 2 7 2 2 9" xfId="24632" xr:uid="{F4A5E673-8448-497C-B47D-E193868297B6}"/>
    <cellStyle name="Normal 2 7 2 3" xfId="2753" xr:uid="{00000000-0005-0000-0000-0000D8040000}"/>
    <cellStyle name="Normal 2 7 2 3 2" xfId="3251" xr:uid="{00000000-0005-0000-0000-0000D9040000}"/>
    <cellStyle name="Normal 2 7 2 3 2 2" xfId="6309" xr:uid="{D7846180-0CE6-4D52-B0E8-C521F952BF80}"/>
    <cellStyle name="Normal 2 7 2 3 2 2 2" xfId="27136" xr:uid="{FD1AB626-FCD5-48E7-BF15-EA8B511346D6}"/>
    <cellStyle name="Normal 2 7 2 3 2 2 3" xfId="15878" xr:uid="{203FD30F-F50A-41A5-9390-74BDCEC03D87}"/>
    <cellStyle name="Normal 2 7 2 3 2 3" xfId="8331" xr:uid="{696E6586-97FD-41C9-9E2B-C0E6F980457E}"/>
    <cellStyle name="Normal 2 7 2 3 2 3 2" xfId="18711" xr:uid="{ECEB8EBD-9FFD-4FEB-9786-17316E7B1B69}"/>
    <cellStyle name="Normal 2 7 2 3 2 4" xfId="11164" xr:uid="{94B6BCF9-4A27-4BB5-A178-28D7027893A5}"/>
    <cellStyle name="Normal 2 7 2 3 2 4 2" xfId="21544" xr:uid="{49640450-8BF2-4513-87FD-CA86A1692F55}"/>
    <cellStyle name="Normal 2 7 2 3 2 5" xfId="22722" xr:uid="{DBF382B6-0D5E-447A-A53A-9AAA10F94EDE}"/>
    <cellStyle name="Normal 2 7 2 3 2 6" xfId="13799" xr:uid="{724F37EB-F72B-4E5A-8AA9-08FDC7AB0EDD}"/>
    <cellStyle name="Normal 2 7 2 3 3" xfId="4315" xr:uid="{958B0FC2-126E-4AE2-8755-60955BB885A8}"/>
    <cellStyle name="Normal 2 7 2 3 3 2" xfId="9087" xr:uid="{07750667-D396-40F9-9E90-590CA6AE19BA}"/>
    <cellStyle name="Normal 2 7 2 3 3 2 2" xfId="29130" xr:uid="{64D184F3-8750-4779-AD7E-3C2670C8C1F9}"/>
    <cellStyle name="Normal 2 7 2 3 3 2 3" xfId="19467" xr:uid="{C55BEBA8-7FED-4FA1-8824-1417E579C19D}"/>
    <cellStyle name="Normal 2 7 2 3 3 3" xfId="11920" xr:uid="{19790472-FDBF-4343-A908-D5227F327227}"/>
    <cellStyle name="Normal 2 7 2 3 3 3 2" xfId="22300" xr:uid="{D32F6789-4B33-4ACE-90BB-18E7DA31FC34}"/>
    <cellStyle name="Normal 2 7 2 3 3 4" xfId="24859" xr:uid="{A4FBD7FA-FBEE-4842-A1E8-43055A965CF0}"/>
    <cellStyle name="Normal 2 7 2 3 3 5" xfId="16634" xr:uid="{43E97128-EC23-4A9B-82E7-5DB4C68F61A8}"/>
    <cellStyle name="Normal 2 7 2 3 4" xfId="5971" xr:uid="{E37172F9-AF05-4B50-BE74-DDE24FC1ECFA}"/>
    <cellStyle name="Normal 2 7 2 3 4 2" xfId="28164" xr:uid="{FB7D729F-D05C-4CFB-AECB-578A7A0E111E}"/>
    <cellStyle name="Normal 2 7 2 3 4 3" xfId="15424" xr:uid="{4BC28C4B-2E55-4758-BFE3-FD794385D915}"/>
    <cellStyle name="Normal 2 7 2 3 5" xfId="7877" xr:uid="{CBC480B9-250E-4752-8C7E-FEECAD33E184}"/>
    <cellStyle name="Normal 2 7 2 3 5 2" xfId="18257" xr:uid="{02A38621-5D51-489E-A9C4-C0034C3E1E4F}"/>
    <cellStyle name="Normal 2 7 2 3 6" xfId="10710" xr:uid="{763846FE-D254-4051-A7F8-A6D9B0A23171}"/>
    <cellStyle name="Normal 2 7 2 3 6 2" xfId="21090" xr:uid="{DDE05959-F911-4E96-A639-A3E9431B0F94}"/>
    <cellStyle name="Normal 2 7 2 3 7" xfId="23815" xr:uid="{38386524-8898-4D1D-8213-35251C1FA35C}"/>
    <cellStyle name="Normal 2 7 2 3 8" xfId="13196" xr:uid="{E7CF5003-47AF-4ED3-860D-20AAD7A72CF2}"/>
    <cellStyle name="Normal 2 7 2 4" xfId="3252" xr:uid="{00000000-0005-0000-0000-0000DA040000}"/>
    <cellStyle name="Normal 2 7 2 4 2" xfId="4495" xr:uid="{2B5F4C4D-2964-42B1-AD6E-6EA6156723F7}"/>
    <cellStyle name="Normal 2 7 2 4 2 2" xfId="9267" xr:uid="{D616D958-AABB-4055-9283-BC0981066AD6}"/>
    <cellStyle name="Normal 2 7 2 4 2 2 2" xfId="19647" xr:uid="{B9F8553E-9544-4AB5-ACE8-E5AB115AB242}"/>
    <cellStyle name="Normal 2 7 2 4 2 3" xfId="12100" xr:uid="{7F8B9777-0E7F-483F-8DD2-A23E5BAAEF5C}"/>
    <cellStyle name="Normal 2 7 2 4 2 3 2" xfId="22480" xr:uid="{93CB87D0-516F-4877-83AC-812AAB80E25D}"/>
    <cellStyle name="Normal 2 7 2 4 2 4" xfId="27888" xr:uid="{0107E775-C3CD-4FC3-96E8-6B1CB5C16DB4}"/>
    <cellStyle name="Normal 2 7 2 4 2 5" xfId="16814" xr:uid="{BE278253-1BF1-4981-AE60-1A8A9A90622F}"/>
    <cellStyle name="Normal 2 7 2 4 3" xfId="6310" xr:uid="{C0BB7D75-75B0-4B27-983C-0A8D2EBD4C74}"/>
    <cellStyle name="Normal 2 7 2 4 3 2" xfId="15879" xr:uid="{DFDD26D1-8C76-4C15-A3F7-1E64C55A1AF7}"/>
    <cellStyle name="Normal 2 7 2 4 4" xfId="8332" xr:uid="{4C3E300F-EE99-4C21-84B3-C4E34C2CA8A5}"/>
    <cellStyle name="Normal 2 7 2 4 4 2" xfId="18712" xr:uid="{C7A34A52-4BA3-42AD-A9E5-0E328121B25C}"/>
    <cellStyle name="Normal 2 7 2 4 5" xfId="11165" xr:uid="{C46616C6-3F24-4C03-9C25-9968C2027064}"/>
    <cellStyle name="Normal 2 7 2 4 5 2" xfId="21545" xr:uid="{52474DD4-4027-48EB-9671-E06736DE8582}"/>
    <cellStyle name="Normal 2 7 2 4 6" xfId="25506" xr:uid="{8A7046FA-FA5B-4560-9DE0-3EDEFA402F35}"/>
    <cellStyle name="Normal 2 7 2 4 7" xfId="13800" xr:uid="{D460E849-04E3-45D2-A14A-FB0901FFCC33}"/>
    <cellStyle name="Normal 2 7 2 5" xfId="3247" xr:uid="{00000000-0005-0000-0000-0000DB040000}"/>
    <cellStyle name="Normal 2 7 2 5 2" xfId="6305" xr:uid="{BE4333F0-C05D-4B14-A1A1-E590D6EDBAD9}"/>
    <cellStyle name="Normal 2 7 2 5 2 2" xfId="28391" xr:uid="{0320A238-0342-4A14-AE2A-497B3DFF82F3}"/>
    <cellStyle name="Normal 2 7 2 5 2 3" xfId="15874" xr:uid="{9A287CA8-8C41-4746-9F51-AB1F2306AE2A}"/>
    <cellStyle name="Normal 2 7 2 5 3" xfId="8327" xr:uid="{272CD5A3-1B0C-4262-A382-8AF74FE454EA}"/>
    <cellStyle name="Normal 2 7 2 5 3 2" xfId="18707" xr:uid="{E38479BA-F997-4544-85B0-C83524F2BDFC}"/>
    <cellStyle name="Normal 2 7 2 5 4" xfId="11160" xr:uid="{C4428E8F-46A5-42B0-84F9-39E1F2CA2692}"/>
    <cellStyle name="Normal 2 7 2 5 4 2" xfId="21540" xr:uid="{497F2DA9-598E-44D7-B61B-D0ADA112B81D}"/>
    <cellStyle name="Normal 2 7 2 5 5" xfId="24353" xr:uid="{0A460A1E-0C6C-4332-9151-D6E996923AC3}"/>
    <cellStyle name="Normal 2 7 2 5 6" xfId="13795" xr:uid="{81B3E93F-8D5A-4A1F-A421-B8426C67CC60}"/>
    <cellStyle name="Normal 2 7 2 6" xfId="2547" xr:uid="{00000000-0005-0000-0000-0000DC040000}"/>
    <cellStyle name="Normal 2 7 2 6 2" xfId="5819" xr:uid="{1D674A74-CA68-4F14-86A3-852BD78DBF62}"/>
    <cellStyle name="Normal 2 7 2 6 2 2" xfId="26113" xr:uid="{3916A2C1-F727-448F-9949-3BC53CBA4AF7}"/>
    <cellStyle name="Normal 2 7 2 6 2 3" xfId="15219" xr:uid="{475B378D-4802-46C9-8541-141DE8D7A611}"/>
    <cellStyle name="Normal 2 7 2 6 3" xfId="7672" xr:uid="{27D543AE-D1E2-4C6C-896C-88156F2BB6EC}"/>
    <cellStyle name="Normal 2 7 2 6 3 2" xfId="18052" xr:uid="{CB20DE0A-CCB4-4FEF-838F-66D5180AC852}"/>
    <cellStyle name="Normal 2 7 2 6 4" xfId="10505" xr:uid="{D2745FDC-32DE-435B-A069-D6CA0C79EB48}"/>
    <cellStyle name="Normal 2 7 2 6 4 2" xfId="20885" xr:uid="{9D7CF0B2-9F8D-42D6-8A93-0AA390D6A34A}"/>
    <cellStyle name="Normal 2 7 2 6 5" xfId="24542" xr:uid="{2F47A91F-BD5F-49D3-8DAE-B69289587EBE}"/>
    <cellStyle name="Normal 2 7 2 6 6" xfId="12935" xr:uid="{000E4F26-F5E8-4094-B174-BBE61AFB4D3B}"/>
    <cellStyle name="Normal 2 7 2 7" xfId="2241" xr:uid="{00000000-0005-0000-0000-0000D2040000}"/>
    <cellStyle name="Normal 2 7 2 7 2" xfId="7368" xr:uid="{5119E13D-4E0E-4D76-8686-5B4526C0C1C7}"/>
    <cellStyle name="Normal 2 7 2 7 2 2" xfId="17748" xr:uid="{FCBA4D9A-FBF7-413B-9350-E19F6DCDCF95}"/>
    <cellStyle name="Normal 2 7 2 7 3" xfId="10201" xr:uid="{29268BB4-8542-4ACA-8912-943E50217DC3}"/>
    <cellStyle name="Normal 2 7 2 7 3 2" xfId="20581" xr:uid="{EF86BB97-B758-4ECF-97B9-1B9AB3D18A92}"/>
    <cellStyle name="Normal 2 7 2 7 4" xfId="24475" xr:uid="{2995AD3E-C9A3-4DBC-B784-99DCCD2CE1FF}"/>
    <cellStyle name="Normal 2 7 2 7 5" xfId="14915" xr:uid="{E726648D-85AB-46CF-86E5-5E3FFD70D0FC}"/>
    <cellStyle name="Normal 2 7 2 8" xfId="3794" xr:uid="{CF4F2132-8A0C-43A3-AB68-C933D526D158}"/>
    <cellStyle name="Normal 2 7 2 8 2" xfId="8630" xr:uid="{5B1BB51F-279A-4AF4-B10A-FFDCE55D05F7}"/>
    <cellStyle name="Normal 2 7 2 8 2 2" xfId="19010" xr:uid="{8D5C05B3-37CC-436B-981B-569D3B6C4AFF}"/>
    <cellStyle name="Normal 2 7 2 8 3" xfId="11463" xr:uid="{A4089863-9C82-4C13-BBA9-39443F4DBAC3}"/>
    <cellStyle name="Normal 2 7 2 8 3 2" xfId="21843" xr:uid="{3FBA34BC-2463-474C-8466-B15DFC67BEB4}"/>
    <cellStyle name="Normal 2 7 2 8 4" xfId="16177" xr:uid="{A4FEF638-BB73-444C-A4F9-7A2B01095EAC}"/>
    <cellStyle name="Normal 2 7 2 9" xfId="5179" xr:uid="{E5D43967-6CEF-4691-8C42-561CDAC6057C}"/>
    <cellStyle name="Normal 2 7 2 9 2" xfId="14476" xr:uid="{99C5F3F4-F27D-484C-98C2-80557E391747}"/>
    <cellStyle name="Normal 2 7 3" xfId="829" xr:uid="{00000000-0005-0000-0000-0000E9040000}"/>
    <cellStyle name="Normal 2 7 3 10" xfId="9764" xr:uid="{B80564E9-6480-4D14-BCE7-7C080664B2B4}"/>
    <cellStyle name="Normal 2 7 3 10 2" xfId="20144" xr:uid="{556952A2-9939-4C12-B86B-39B9853E10B0}"/>
    <cellStyle name="Normal 2 7 3 11" xfId="25524" xr:uid="{234A48C0-02A8-44E1-B3E7-3323B0C7D3D2}"/>
    <cellStyle name="Normal 2 7 3 12" xfId="12576" xr:uid="{00020838-BBC7-41F8-BCA5-E57A9E4B56FE}"/>
    <cellStyle name="Normal 2 7 3 2" xfId="2755" xr:uid="{00000000-0005-0000-0000-0000DE040000}"/>
    <cellStyle name="Normal 2 7 3 2 2" xfId="3254" xr:uid="{00000000-0005-0000-0000-0000DF040000}"/>
    <cellStyle name="Normal 2 7 3 2 2 2" xfId="6312" xr:uid="{51EB6BFC-00E1-4ED8-B0FF-AB5DAADD7864}"/>
    <cellStyle name="Normal 2 7 3 2 2 2 2" xfId="28632" xr:uid="{7D93899E-8F71-4234-AB8C-7C54CC5863CC}"/>
    <cellStyle name="Normal 2 7 3 2 2 2 3" xfId="15881" xr:uid="{6E851EF1-83F0-43C0-8E48-F0C74D9CA53E}"/>
    <cellStyle name="Normal 2 7 3 2 2 3" xfId="8334" xr:uid="{0F84327D-3644-4CD7-BEDF-5CD88CF5F3C7}"/>
    <cellStyle name="Normal 2 7 3 2 2 3 2" xfId="18714" xr:uid="{3CEFA913-4086-4620-8FAE-29374E0926BB}"/>
    <cellStyle name="Normal 2 7 3 2 2 4" xfId="11167" xr:uid="{5DD1EFA7-030D-4944-B43B-A633D59FF435}"/>
    <cellStyle name="Normal 2 7 3 2 2 4 2" xfId="21547" xr:uid="{C0EFD3DF-1AD3-44C5-A3C0-412CBDBD60D2}"/>
    <cellStyle name="Normal 2 7 3 2 2 5" xfId="23552" xr:uid="{CE5A8228-E08C-48A3-9221-6D39D333AAE2}"/>
    <cellStyle name="Normal 2 7 3 2 2 6" xfId="13802" xr:uid="{8F3BFDAD-E95B-439F-AF44-3DD15009B399}"/>
    <cellStyle name="Normal 2 7 3 2 3" xfId="4317" xr:uid="{F0FA149B-8459-42D0-8CB6-1F65390FA2E6}"/>
    <cellStyle name="Normal 2 7 3 2 3 2" xfId="9089" xr:uid="{13EE7781-CB1A-48FF-8B60-CAD4EAC598A7}"/>
    <cellStyle name="Normal 2 7 3 2 3 2 2" xfId="29132" xr:uid="{68BB0749-92B9-49EC-89BD-AA5009509809}"/>
    <cellStyle name="Normal 2 7 3 2 3 2 3" xfId="19469" xr:uid="{6B2CA347-D3CE-4655-9B76-DF7270573970}"/>
    <cellStyle name="Normal 2 7 3 2 3 3" xfId="11922" xr:uid="{0AE48217-5F93-410B-827C-64764A3D87CE}"/>
    <cellStyle name="Normal 2 7 3 2 3 3 2" xfId="22302" xr:uid="{264AD89D-73AB-4AAD-874F-8B4282D5C1CF}"/>
    <cellStyle name="Normal 2 7 3 2 3 4" xfId="25534" xr:uid="{3DC2F328-4B81-425C-ABF4-704C59C8F081}"/>
    <cellStyle name="Normal 2 7 3 2 3 5" xfId="16636" xr:uid="{5BA5B6DA-B259-4A1D-A4F2-1E8888B6843A}"/>
    <cellStyle name="Normal 2 7 3 2 4" xfId="5973" xr:uid="{449DB9B6-AF5A-4D70-90FE-048BB77B6718}"/>
    <cellStyle name="Normal 2 7 3 2 4 2" xfId="27622" xr:uid="{511F04B6-3E27-4407-A4D8-8D70F34EFFF4}"/>
    <cellStyle name="Normal 2 7 3 2 4 3" xfId="15426" xr:uid="{6102C36C-5A29-4F8C-AB06-1B403F2FD649}"/>
    <cellStyle name="Normal 2 7 3 2 5" xfId="7879" xr:uid="{A229218C-02A5-47B0-AA7C-571FC337C148}"/>
    <cellStyle name="Normal 2 7 3 2 5 2" xfId="18259" xr:uid="{B84E5EFA-F2D4-4E1C-BD6A-A7951DD11C32}"/>
    <cellStyle name="Normal 2 7 3 2 6" xfId="10712" xr:uid="{E8EC6D97-24ED-43E3-8522-4A0D809F1DB6}"/>
    <cellStyle name="Normal 2 7 3 2 6 2" xfId="21092" xr:uid="{22073319-E475-4888-823F-028CED0905C3}"/>
    <cellStyle name="Normal 2 7 3 2 7" xfId="23712" xr:uid="{8BCE977C-02D7-4091-AC63-AB94B7E90B71}"/>
    <cellStyle name="Normal 2 7 3 2 8" xfId="13198" xr:uid="{F715D9B3-3B00-4753-ADC4-EEA5AFCB12BF}"/>
    <cellStyle name="Normal 2 7 3 3" xfId="3255" xr:uid="{00000000-0005-0000-0000-0000E0040000}"/>
    <cellStyle name="Normal 2 7 3 3 2" xfId="4496" xr:uid="{E44E24F4-11E3-4C63-B085-E40DE17F6EF7}"/>
    <cellStyle name="Normal 2 7 3 3 2 2" xfId="9268" xr:uid="{F607B122-C1DC-445F-8A88-5E4BE4912255}"/>
    <cellStyle name="Normal 2 7 3 3 2 2 2" xfId="29251" xr:uid="{50F3BC27-435C-4D98-8E31-8F9014CC22C4}"/>
    <cellStyle name="Normal 2 7 3 3 2 2 3" xfId="19648" xr:uid="{DFF9221F-6C54-433A-8154-CDBBD1F490E1}"/>
    <cellStyle name="Normal 2 7 3 3 2 3" xfId="12101" xr:uid="{2C3F255D-9EF4-41F8-B486-1B90CA5CE5DC}"/>
    <cellStyle name="Normal 2 7 3 3 2 3 2" xfId="22481" xr:uid="{6B6B44B1-77DA-4CC4-85E4-7343FE41ED86}"/>
    <cellStyle name="Normal 2 7 3 3 2 4" xfId="25586" xr:uid="{0618D42F-60BE-4BC9-A9C5-E2DD27C26C4E}"/>
    <cellStyle name="Normal 2 7 3 3 2 5" xfId="16815" xr:uid="{FD6B4A63-97D0-4A7C-9618-E0F47BC35482}"/>
    <cellStyle name="Normal 2 7 3 3 3" xfId="6313" xr:uid="{F7B8C740-69D5-45D4-B54F-8FF7F200BF30}"/>
    <cellStyle name="Normal 2 7 3 3 3 2" xfId="27029" xr:uid="{CF63DFF2-DF2D-42A9-9CB0-6897F9DAEC31}"/>
    <cellStyle name="Normal 2 7 3 3 3 3" xfId="15882" xr:uid="{8F12AE2C-93C4-4022-9E00-C55DC14BC030}"/>
    <cellStyle name="Normal 2 7 3 3 4" xfId="8335" xr:uid="{29056D99-3D36-4375-A602-B939E0A4C136}"/>
    <cellStyle name="Normal 2 7 3 3 4 2" xfId="18715" xr:uid="{37A61D48-0330-4E70-966F-C37E4E2BC657}"/>
    <cellStyle name="Normal 2 7 3 3 5" xfId="11168" xr:uid="{83932395-17B4-46E8-945E-51CB87C17AAA}"/>
    <cellStyle name="Normal 2 7 3 3 5 2" xfId="21548" xr:uid="{DDB4E08E-1B10-476A-8A94-73E0C7AA389E}"/>
    <cellStyle name="Normal 2 7 3 3 6" xfId="22993" xr:uid="{AA3E6471-6B09-49D6-A1FA-316B52C2DC9E}"/>
    <cellStyle name="Normal 2 7 3 3 7" xfId="13803" xr:uid="{9BA4A25F-A6CF-4C2A-834C-A66F837A42E3}"/>
    <cellStyle name="Normal 2 7 3 4" xfId="3253" xr:uid="{00000000-0005-0000-0000-0000E1040000}"/>
    <cellStyle name="Normal 2 7 3 4 2" xfId="6311" xr:uid="{952B3B49-6784-4F40-88F5-B4F972EA4693}"/>
    <cellStyle name="Normal 2 7 3 4 2 2" xfId="27915" xr:uid="{45FB4DDF-06EC-4EA8-A9DA-793E40797DBA}"/>
    <cellStyle name="Normal 2 7 3 4 2 3" xfId="15880" xr:uid="{EDEC2EC9-F75A-46B8-BD61-C2A06F311FD2}"/>
    <cellStyle name="Normal 2 7 3 4 3" xfId="8333" xr:uid="{F64895AA-6DC0-474D-BB42-ADCFC5A3F235}"/>
    <cellStyle name="Normal 2 7 3 4 3 2" xfId="18713" xr:uid="{C5D09A53-FC8F-4CBB-B471-31D3C50B273E}"/>
    <cellStyle name="Normal 2 7 3 4 4" xfId="11166" xr:uid="{13B95295-4270-4165-818B-1F05CFA39F6C}"/>
    <cellStyle name="Normal 2 7 3 4 4 2" xfId="21546" xr:uid="{DC6DCDA5-83C2-47D6-B40F-B441C545DE85}"/>
    <cellStyle name="Normal 2 7 3 4 5" xfId="25475" xr:uid="{628DC834-128B-46BA-AE94-946C6D07CD2C}"/>
    <cellStyle name="Normal 2 7 3 4 6" xfId="13801" xr:uid="{6D95D2C3-CFCA-4A68-848A-C0045636431B}"/>
    <cellStyle name="Normal 2 7 3 5" xfId="2590" xr:uid="{00000000-0005-0000-0000-0000E2040000}"/>
    <cellStyle name="Normal 2 7 3 5 2" xfId="5855" xr:uid="{6E5D7FC6-BC25-4F64-AB3B-18F95C472E62}"/>
    <cellStyle name="Normal 2 7 3 5 2 2" xfId="26541" xr:uid="{E929C846-2174-423E-BB86-4AA789DAD5AC}"/>
    <cellStyle name="Normal 2 7 3 5 2 3" xfId="15262" xr:uid="{E40C3F2D-C75D-4D37-AC44-D064C4E43DA4}"/>
    <cellStyle name="Normal 2 7 3 5 3" xfId="7715" xr:uid="{28919E85-E930-481E-A738-005C65D7CD08}"/>
    <cellStyle name="Normal 2 7 3 5 3 2" xfId="18095" xr:uid="{5EE22060-DB55-4D74-A870-5D7A5BC55274}"/>
    <cellStyle name="Normal 2 7 3 5 4" xfId="10548" xr:uid="{659A77B6-F830-4D39-A48E-6409F1F0594B}"/>
    <cellStyle name="Normal 2 7 3 5 4 2" xfId="20928" xr:uid="{5D7F621F-D49F-498F-9F7F-7378F1476F5E}"/>
    <cellStyle name="Normal 2 7 3 5 5" xfId="24548" xr:uid="{A5313C3F-96EE-4060-8783-66ECE116BCDA}"/>
    <cellStyle name="Normal 2 7 3 5 6" xfId="12978" xr:uid="{D7BC3DB9-57B9-4FA4-BDE3-AB038564B4B9}"/>
    <cellStyle name="Normal 2 7 3 6" xfId="2342" xr:uid="{00000000-0005-0000-0000-0000DD040000}"/>
    <cellStyle name="Normal 2 7 3 6 2" xfId="7469" xr:uid="{EB054676-16DD-4F99-B06F-880B10F30D6E}"/>
    <cellStyle name="Normal 2 7 3 6 2 2" xfId="17849" xr:uid="{5A3B8AB1-C0FD-4381-B1C0-759725456496}"/>
    <cellStyle name="Normal 2 7 3 6 3" xfId="10302" xr:uid="{59752E6B-2F9C-422B-A5CF-BF244108AB63}"/>
    <cellStyle name="Normal 2 7 3 6 3 2" xfId="20682" xr:uid="{EFC3C9AC-DD31-49D7-A76B-6630B741ADB7}"/>
    <cellStyle name="Normal 2 7 3 6 4" xfId="24343" xr:uid="{6C2B060D-7F3F-43EA-90DF-811375E8A8DA}"/>
    <cellStyle name="Normal 2 7 3 6 5" xfId="15016" xr:uid="{52151680-D1F4-47E0-B0B6-AC16A955DE7D}"/>
    <cellStyle name="Normal 2 7 3 7" xfId="3853" xr:uid="{59876A13-9C9B-4479-82D9-3B4487A30E85}"/>
    <cellStyle name="Normal 2 7 3 7 2" xfId="8686" xr:uid="{DAEF771C-46E2-4656-9534-C313BFDCC933}"/>
    <cellStyle name="Normal 2 7 3 7 2 2" xfId="19066" xr:uid="{A9F8AFBB-20CF-4D39-A663-20579B9E6A4C}"/>
    <cellStyle name="Normal 2 7 3 7 3" xfId="11519" xr:uid="{E53E25F0-554F-4C03-B995-6B4032C65344}"/>
    <cellStyle name="Normal 2 7 3 7 3 2" xfId="21899" xr:uid="{F2F52DF5-D904-4A85-8BA8-3EEEF873E7E4}"/>
    <cellStyle name="Normal 2 7 3 7 4" xfId="16233" xr:uid="{010B7F2A-24A7-459F-B56F-250D84FB8E56}"/>
    <cellStyle name="Normal 2 7 3 8" xfId="5181" xr:uid="{22912720-0D4C-46AF-8639-04244B5F8F4E}"/>
    <cellStyle name="Normal 2 7 3 8 2" xfId="14478" xr:uid="{448BDAA4-27CE-4B7A-8C21-14DB037BD217}"/>
    <cellStyle name="Normal 2 7 3 9" xfId="6931" xr:uid="{AACDEF32-BE4B-4B88-8424-71DD3D415B58}"/>
    <cellStyle name="Normal 2 7 3 9 2" xfId="17311" xr:uid="{060F623E-363F-4BD7-A35D-5DC56C34B0B3}"/>
    <cellStyle name="Normal 2 7 4" xfId="830" xr:uid="{00000000-0005-0000-0000-0000EA040000}"/>
    <cellStyle name="Normal 2 7 4 2" xfId="3256" xr:uid="{00000000-0005-0000-0000-0000E4040000}"/>
    <cellStyle name="Normal 2 7 4 2 2" xfId="6314" xr:uid="{71CEE823-4AD0-4944-A0A5-A0BF88293776}"/>
    <cellStyle name="Normal 2 7 4 2 2 2" xfId="27390" xr:uid="{CEE0CC8A-EEE2-4444-A522-E668DFDF64DE}"/>
    <cellStyle name="Normal 2 7 4 2 2 3" xfId="15883" xr:uid="{8ADAA1E4-6B32-495F-A7DE-CD304107210B}"/>
    <cellStyle name="Normal 2 7 4 2 3" xfId="8336" xr:uid="{8FC6695D-EC43-4BDE-93D5-305C82CFB52A}"/>
    <cellStyle name="Normal 2 7 4 2 3 2" xfId="18716" xr:uid="{95E66D1D-0F3B-4CC6-A376-6951F4876EF2}"/>
    <cellStyle name="Normal 2 7 4 2 4" xfId="11169" xr:uid="{5DF6F997-CD37-4F51-964E-33446D081265}"/>
    <cellStyle name="Normal 2 7 4 2 4 2" xfId="21549" xr:uid="{59983315-2332-4F8C-8208-D6E0014BC384}"/>
    <cellStyle name="Normal 2 7 4 2 5" xfId="25429" xr:uid="{D0E63B7D-5BC9-4688-B9CF-6746F6EEBEEF}"/>
    <cellStyle name="Normal 2 7 4 2 6" xfId="13804" xr:uid="{CD06FEB9-D84B-4249-912F-F1263917FFA9}"/>
    <cellStyle name="Normal 2 7 4 3" xfId="2752" xr:uid="{00000000-0005-0000-0000-0000E5040000}"/>
    <cellStyle name="Normal 2 7 4 3 2" xfId="5970" xr:uid="{145B2AC7-E138-4228-AF58-40C3AD233F72}"/>
    <cellStyle name="Normal 2 7 4 3 2 2" xfId="26517" xr:uid="{2A85577B-91D0-4CCF-98A7-397E250A4C3F}"/>
    <cellStyle name="Normal 2 7 4 3 2 3" xfId="15423" xr:uid="{848982D3-A451-47CB-8014-C2530F0784D8}"/>
    <cellStyle name="Normal 2 7 4 3 3" xfId="7876" xr:uid="{B71A9E4B-A303-4E37-BFF9-85C5EC5891C9}"/>
    <cellStyle name="Normal 2 7 4 3 3 2" xfId="18256" xr:uid="{228DDBD2-EFCA-4FF2-A944-A65244689CC1}"/>
    <cellStyle name="Normal 2 7 4 3 4" xfId="10709" xr:uid="{50A21E25-123A-4EC3-B4DC-ABCE8859B544}"/>
    <cellStyle name="Normal 2 7 4 3 4 2" xfId="21089" xr:uid="{8ED9BA2A-D7B1-4CF3-AFD0-84C83C86077C}"/>
    <cellStyle name="Normal 2 7 4 3 5" xfId="23978" xr:uid="{8EB8C2B8-786A-42D6-9143-5D4DFD9BFC73}"/>
    <cellStyle name="Normal 2 7 4 3 6" xfId="13195" xr:uid="{515F9088-1B79-40D4-8535-FE257CE33DE7}"/>
    <cellStyle name="Normal 2 7 4 4" xfId="4174" xr:uid="{8AC50F76-D3E6-41CF-9C06-029A048ABCE8}"/>
    <cellStyle name="Normal 2 7 4 4 2" xfId="8946" xr:uid="{772C9F48-4D58-4B83-A954-095A564A0D15}"/>
    <cellStyle name="Normal 2 7 4 4 2 2" xfId="19326" xr:uid="{F71795C8-7D43-4499-B687-6A053FA1DE38}"/>
    <cellStyle name="Normal 2 7 4 4 3" xfId="11779" xr:uid="{1638D4BF-F1C5-4F51-B1FC-B5BD54ABF90A}"/>
    <cellStyle name="Normal 2 7 4 4 3 2" xfId="22159" xr:uid="{AF0389C7-E3B2-4F45-870B-8DC1F1EEA5B3}"/>
    <cellStyle name="Normal 2 7 4 4 4" xfId="25049" xr:uid="{7CC9B72E-3642-44F3-AF24-C6D0606626FF}"/>
    <cellStyle name="Normal 2 7 4 4 5" xfId="16493" xr:uid="{8F2EC2B8-9FE6-40E7-A228-62ED530AC17F}"/>
    <cellStyle name="Normal 2 7 4 5" xfId="5182" xr:uid="{717DE2C8-2F2E-4098-81A0-E0FA74614B37}"/>
    <cellStyle name="Normal 2 7 4 5 2" xfId="14479" xr:uid="{E74B6E9E-DE02-443A-B853-CFDBE2F2BB9D}"/>
    <cellStyle name="Normal 2 7 4 6" xfId="6932" xr:uid="{3B77EAA3-7C6C-4770-9571-6AC26DFBFF32}"/>
    <cellStyle name="Normal 2 7 4 6 2" xfId="17312" xr:uid="{F461C47C-701C-47D3-BA57-45790E5533C4}"/>
    <cellStyle name="Normal 2 7 4 7" xfId="9765" xr:uid="{FB8127CE-A3A1-4439-98A8-ECC6B82A8295}"/>
    <cellStyle name="Normal 2 7 4 7 2" xfId="20145" xr:uid="{5AF0005F-F0E6-4D89-9C47-D2C9BB2CD303}"/>
    <cellStyle name="Normal 2 7 4 8" xfId="22994" xr:uid="{562F3934-A9DB-4292-8085-6013FA723BAD}"/>
    <cellStyle name="Normal 2 7 4 9" xfId="12734" xr:uid="{3125FADE-A930-44DF-8690-A3014C853D23}"/>
    <cellStyle name="Normal 2 7 5" xfId="3257" xr:uid="{00000000-0005-0000-0000-0000E6040000}"/>
    <cellStyle name="Normal 2 7 5 2" xfId="4497" xr:uid="{6B1E980C-131C-4198-B764-D6BE5D211DA5}"/>
    <cellStyle name="Normal 2 7 5 2 2" xfId="9269" xr:uid="{B7AAB0C6-24BF-4D46-9AA8-24A20F188FDA}"/>
    <cellStyle name="Normal 2 7 5 2 2 2" xfId="29252" xr:uid="{E4734FF7-FCA2-4419-9732-777445AC6B10}"/>
    <cellStyle name="Normal 2 7 5 2 2 3" xfId="19649" xr:uid="{AE84BA61-752F-4654-AE01-737BED40B691}"/>
    <cellStyle name="Normal 2 7 5 2 3" xfId="12102" xr:uid="{DB0328AF-7516-46F1-91E1-E91A6AB86926}"/>
    <cellStyle name="Normal 2 7 5 2 3 2" xfId="22482" xr:uid="{DFB245FF-558E-4727-AEC3-34DB84043612}"/>
    <cellStyle name="Normal 2 7 5 2 4" xfId="25419" xr:uid="{749BA87B-9475-4996-BE56-534F2E8B02B8}"/>
    <cellStyle name="Normal 2 7 5 2 5" xfId="16816" xr:uid="{C9A14064-E63B-40C9-A73D-AFE5C51F8BEF}"/>
    <cellStyle name="Normal 2 7 5 3" xfId="6315" xr:uid="{016DB043-5EF2-4057-AF73-300D6DBDEF75}"/>
    <cellStyle name="Normal 2 7 5 3 2" xfId="26476" xr:uid="{13D0BCA5-0E56-4BC8-9755-AC8E6E21A552}"/>
    <cellStyle name="Normal 2 7 5 3 3" xfId="15884" xr:uid="{B0344709-8316-48B7-9700-1B797A8C7642}"/>
    <cellStyle name="Normal 2 7 5 4" xfId="8337" xr:uid="{4DA050E3-2232-4805-BC13-40346E73E54B}"/>
    <cellStyle name="Normal 2 7 5 4 2" xfId="18717" xr:uid="{A976D288-5856-4ED8-804A-4ECF8534B765}"/>
    <cellStyle name="Normal 2 7 5 5" xfId="11170" xr:uid="{DA5D3750-153B-426B-9D39-B81E3AAF7F63}"/>
    <cellStyle name="Normal 2 7 5 5 2" xfId="21550" xr:uid="{0C6072E1-0399-40E2-BDF9-50D23FE32DFC}"/>
    <cellStyle name="Normal 2 7 5 6" xfId="24232" xr:uid="{8C853527-3A85-4D80-A47F-7032AA059977}"/>
    <cellStyle name="Normal 2 7 5 7" xfId="13805" xr:uid="{0838E1E9-5B0D-41A5-A8FD-58D14A45CBB8}"/>
    <cellStyle name="Normal 2 7 6" xfId="2915" xr:uid="{00000000-0005-0000-0000-0000E7040000}"/>
    <cellStyle name="Normal 2 7 6 2" xfId="6101" xr:uid="{A72DA3E3-628A-466B-B484-2AD061942FF4}"/>
    <cellStyle name="Normal 2 7 6 2 2" xfId="26188" xr:uid="{E3525FCE-0E8B-4363-86AA-5DB0CA30EAC7}"/>
    <cellStyle name="Normal 2 7 6 2 3" xfId="15579" xr:uid="{AD7A8575-854D-44EA-B785-2F1001A2A045}"/>
    <cellStyle name="Normal 2 7 6 3" xfId="8032" xr:uid="{8C399678-619D-4551-9E61-7E718BD25A05}"/>
    <cellStyle name="Normal 2 7 6 3 2" xfId="18412" xr:uid="{B105745C-B71D-49AF-A6E4-9531ED33804E}"/>
    <cellStyle name="Normal 2 7 6 4" xfId="10865" xr:uid="{A3744CBC-45DE-4DAA-BA85-096F6E9261F1}"/>
    <cellStyle name="Normal 2 7 6 4 2" xfId="21245" xr:uid="{E6A6B3B1-E09F-4A41-954C-56180BE9BB5F}"/>
    <cellStyle name="Normal 2 7 6 5" xfId="23488" xr:uid="{ED24D4F5-7011-4B51-BC0D-6F22A62E844E}"/>
    <cellStyle name="Normal 2 7 6 6" xfId="13432" xr:uid="{F9DC699A-8F1C-4AE1-9057-A1937D783382}"/>
    <cellStyle name="Normal 2 7 7" xfId="2487" xr:uid="{00000000-0005-0000-0000-0000E8040000}"/>
    <cellStyle name="Normal 2 7 7 2" xfId="5772" xr:uid="{AC1B6218-AD1E-4FB2-B01B-3690B7A69759}"/>
    <cellStyle name="Normal 2 7 7 2 2" xfId="28751" xr:uid="{00B60B50-D380-4FF6-9C2A-D02F7AC372E8}"/>
    <cellStyle name="Normal 2 7 7 2 3" xfId="15159" xr:uid="{397FE296-624B-4C47-90C5-13988B62CA4A}"/>
    <cellStyle name="Normal 2 7 7 3" xfId="7612" xr:uid="{B75D5F0E-2123-44E6-AED0-AF402A568DD1}"/>
    <cellStyle name="Normal 2 7 7 3 2" xfId="17992" xr:uid="{562B3F72-ACAA-49FA-986D-18354E0EAC7E}"/>
    <cellStyle name="Normal 2 7 7 4" xfId="10445" xr:uid="{44FF3E11-BB54-432F-9989-F88AFDD01007}"/>
    <cellStyle name="Normal 2 7 7 4 2" xfId="20825" xr:uid="{DEBB59F7-4C48-408A-BD45-419079E7F30B}"/>
    <cellStyle name="Normal 2 7 7 5" xfId="23357" xr:uid="{09A29A52-3B42-4616-92F6-5CBC0EA39103}"/>
    <cellStyle name="Normal 2 7 7 6" xfId="12875" xr:uid="{CA745FC1-03D0-438C-BF2F-B04F366ACD19}"/>
    <cellStyle name="Normal 2 7 8" xfId="2181" xr:uid="{00000000-0005-0000-0000-0000D1040000}"/>
    <cellStyle name="Normal 2 7 8 2" xfId="7308" xr:uid="{0830F5DD-6D21-49F4-A9B3-604959D8120F}"/>
    <cellStyle name="Normal 2 7 8 2 2" xfId="17688" xr:uid="{29EDD52C-37AD-477B-AFB3-3D788AE07F90}"/>
    <cellStyle name="Normal 2 7 8 3" xfId="10141" xr:uid="{DB91861C-0F9C-4892-A88B-7DBA1139476D}"/>
    <cellStyle name="Normal 2 7 8 3 2" xfId="20521" xr:uid="{00B74FED-9925-4107-AD01-E9A8F8C22E98}"/>
    <cellStyle name="Normal 2 7 8 4" xfId="24852" xr:uid="{9F222FCF-80AD-4A76-8591-13E84C4F1B1E}"/>
    <cellStyle name="Normal 2 7 8 5" xfId="14855" xr:uid="{55F52EA5-B516-4C11-A49F-8421E51557FF}"/>
    <cellStyle name="Normal 2 7 9" xfId="3952" xr:uid="{A6386ADA-3287-4373-839E-4D0FB01F6C53}"/>
    <cellStyle name="Normal 2 7 9 2" xfId="8784" xr:uid="{99D06A28-198A-451C-9CC5-BBFF21DD87E2}"/>
    <cellStyle name="Normal 2 7 9 2 2" xfId="19164" xr:uid="{3775A87A-2918-4CCC-82B1-39DC7F69925D}"/>
    <cellStyle name="Normal 2 7 9 3" xfId="11617" xr:uid="{C785F9A9-9F97-4EFB-9C31-10DEE8DC4130}"/>
    <cellStyle name="Normal 2 7 9 3 2" xfId="21997" xr:uid="{C92B6D30-0CB7-48C0-AFA2-0393924E08D1}"/>
    <cellStyle name="Normal 2 7 9 4" xfId="16331" xr:uid="{20C1B482-BFD0-465A-8590-E53314C7EF9A}"/>
    <cellStyle name="Normal 2 8" xfId="831" xr:uid="{00000000-0005-0000-0000-0000EB040000}"/>
    <cellStyle name="Normal 2 8 10" xfId="5183" xr:uid="{40380ED7-DDE8-4CE3-82C0-99469D30D652}"/>
    <cellStyle name="Normal 2 8 10 2" xfId="14480" xr:uid="{E1EB6AAD-E630-4183-B6FD-218D1F36B279}"/>
    <cellStyle name="Normal 2 8 11" xfId="6933" xr:uid="{4E51C6D5-27D3-44AA-BAF2-C86DDDAF7446}"/>
    <cellStyle name="Normal 2 8 11 2" xfId="17313" xr:uid="{837D9E52-6906-4D0D-8672-AB683F7730B4}"/>
    <cellStyle name="Normal 2 8 12" xfId="9766" xr:uid="{A749656F-3C03-463C-BB9D-2A573B397E89}"/>
    <cellStyle name="Normal 2 8 12 2" xfId="20146" xr:uid="{C8F920DA-218B-44F4-8186-69E8299B7674}"/>
    <cellStyle name="Normal 2 8 13" xfId="24146" xr:uid="{0963CDEC-E371-42BB-9422-ACE52BBA0CF3}"/>
    <cellStyle name="Normal 2 8 14" xfId="12447" xr:uid="{A31E1099-78CC-4B71-A141-F56A2524A61E}"/>
    <cellStyle name="Normal 2 8 2" xfId="832" xr:uid="{00000000-0005-0000-0000-0000EC040000}"/>
    <cellStyle name="Normal 2 8 2 10" xfId="9767" xr:uid="{4D9DFE05-B631-403C-BCF3-EF6C419A7C37}"/>
    <cellStyle name="Normal 2 8 2 10 2" xfId="20147" xr:uid="{0277E97B-E62E-427C-BF5C-3E79B155C3BF}"/>
    <cellStyle name="Normal 2 8 2 11" xfId="22935" xr:uid="{A9E5B6A5-7BA3-4B67-B5F4-6B9016B71202}"/>
    <cellStyle name="Normal 2 8 2 12" xfId="12577" xr:uid="{9AA20E7D-A7C9-4928-BD7B-329E347E1DF8}"/>
    <cellStyle name="Normal 2 8 2 2" xfId="833" xr:uid="{00000000-0005-0000-0000-0000ED040000}"/>
    <cellStyle name="Normal 2 8 2 2 2" xfId="3259" xr:uid="{00000000-0005-0000-0000-0000EC040000}"/>
    <cellStyle name="Normal 2 8 2 2 2 2" xfId="6317" xr:uid="{E8CEFCD8-20B3-4E94-9B5B-50A8F801EC89}"/>
    <cellStyle name="Normal 2 8 2 2 2 2 2" xfId="28452" xr:uid="{9B2527F5-BBB3-4B72-A313-3D4FC3D3FC8C}"/>
    <cellStyle name="Normal 2 8 2 2 2 2 3" xfId="28092" xr:uid="{550DFAE7-40CC-4013-9279-7A91D3B432AF}"/>
    <cellStyle name="Normal 2 8 2 2 2 2 4" xfId="15886" xr:uid="{A5BAF042-E853-4939-BD0A-B23D58C90756}"/>
    <cellStyle name="Normal 2 8 2 2 2 3" xfId="8339" xr:uid="{E29A79B0-B795-4C94-814D-9A47992D2E01}"/>
    <cellStyle name="Normal 2 8 2 2 2 3 2" xfId="28891" xr:uid="{90C5D1D6-906A-4005-92B0-64FAE9DF8EF7}"/>
    <cellStyle name="Normal 2 8 2 2 2 3 3" xfId="18719" xr:uid="{C0CF3DCE-97A0-498E-B04F-FBE73C34FEA1}"/>
    <cellStyle name="Normal 2 8 2 2 2 4" xfId="11172" xr:uid="{C6533BE9-E499-41F1-BEC4-3AA5F4A737A6}"/>
    <cellStyle name="Normal 2 8 2 2 2 4 2" xfId="21552" xr:uid="{979617F4-9BC4-4068-AF89-9D803C9B722D}"/>
    <cellStyle name="Normal 2 8 2 2 2 5" xfId="23678" xr:uid="{F7A09A72-CE90-45E7-A8FB-448103B44903}"/>
    <cellStyle name="Normal 2 8 2 2 2 6" xfId="13807" xr:uid="{9A71CDC9-C58C-47F5-8EB7-FCF081FA00A5}"/>
    <cellStyle name="Normal 2 8 2 2 3" xfId="4319" xr:uid="{00641515-B8EE-4462-A5E1-92E8AD68B412}"/>
    <cellStyle name="Normal 2 8 2 2 3 2" xfId="9091" xr:uid="{E5787134-1742-4497-B391-2B38C5521001}"/>
    <cellStyle name="Normal 2 8 2 2 3 2 2" xfId="29134" xr:uid="{60591CF2-D428-4AF2-BB3D-111D24C78CB3}"/>
    <cellStyle name="Normal 2 8 2 2 3 2 3" xfId="19471" xr:uid="{D12FADAD-F941-49B0-A161-CFAB573B85AA}"/>
    <cellStyle name="Normal 2 8 2 2 3 3" xfId="11924" xr:uid="{E4C4019B-05FA-4C55-A2FF-B1FA27230812}"/>
    <cellStyle name="Normal 2 8 2 2 3 3 2" xfId="22304" xr:uid="{AA4D6692-15F2-4F6C-B9B3-B232C24BA114}"/>
    <cellStyle name="Normal 2 8 2 2 3 4" xfId="24490" xr:uid="{31D545F0-70D4-4D94-9FC6-A6B195271AF7}"/>
    <cellStyle name="Normal 2 8 2 2 3 5" xfId="16638" xr:uid="{59F603B3-032B-46B7-BB26-026DED68F117}"/>
    <cellStyle name="Normal 2 8 2 2 4" xfId="5185" xr:uid="{3CFE1E7C-2C46-4B24-A72F-B89B6CD06028}"/>
    <cellStyle name="Normal 2 8 2 2 4 2" xfId="28350" xr:uid="{60632920-281C-46EA-AC97-42678D7DB885}"/>
    <cellStyle name="Normal 2 8 2 2 4 3" xfId="14482" xr:uid="{51350F7B-30E1-4F4E-891E-CAB00AFBC1F8}"/>
    <cellStyle name="Normal 2 8 2 2 5" xfId="6935" xr:uid="{35DC256B-D160-4416-83A4-3BD5F907605A}"/>
    <cellStyle name="Normal 2 8 2 2 5 2" xfId="17315" xr:uid="{125BA631-0382-4A16-9B52-79AC361B8BE7}"/>
    <cellStyle name="Normal 2 8 2 2 6" xfId="9768" xr:uid="{6F07800B-1F18-4E12-8ADD-86321C659FBE}"/>
    <cellStyle name="Normal 2 8 2 2 6 2" xfId="20148" xr:uid="{74537F53-6B31-44FB-ABF9-7042343A8374}"/>
    <cellStyle name="Normal 2 8 2 2 7" xfId="24601" xr:uid="{4354B5C0-2B0E-4A08-A5F4-F2F6E931B73C}"/>
    <cellStyle name="Normal 2 8 2 2 8" xfId="13200" xr:uid="{0A02F550-76AE-4963-938D-99C871307A70}"/>
    <cellStyle name="Normal 2 8 2 3" xfId="3260" xr:uid="{00000000-0005-0000-0000-0000ED040000}"/>
    <cellStyle name="Normal 2 8 2 3 2" xfId="4498" xr:uid="{0BBF4EAF-2EEB-4640-BA38-DBDFC058B749}"/>
    <cellStyle name="Normal 2 8 2 3 2 2" xfId="9270" xr:uid="{48BFEDD3-7392-4C4A-B002-66AD38724562}"/>
    <cellStyle name="Normal 2 8 2 3 2 2 2" xfId="29253" xr:uid="{238C0550-505F-490B-9C2D-23264E218DA0}"/>
    <cellStyle name="Normal 2 8 2 3 2 2 3" xfId="19650" xr:uid="{9EA528C0-22A5-49DE-8E75-D6F59A2F526C}"/>
    <cellStyle name="Normal 2 8 2 3 2 3" xfId="12103" xr:uid="{1F1673D3-C7B3-4070-944F-11A3F491560D}"/>
    <cellStyle name="Normal 2 8 2 3 2 3 2" xfId="22483" xr:uid="{4EC5530C-B788-49D1-B8AD-24172D3E9448}"/>
    <cellStyle name="Normal 2 8 2 3 2 4" xfId="25716" xr:uid="{23044FBC-8E1B-4EE7-B299-D46361B75083}"/>
    <cellStyle name="Normal 2 8 2 3 2 5" xfId="16817" xr:uid="{F64422A4-F1AB-4878-BBE9-CCF2850EC9DB}"/>
    <cellStyle name="Normal 2 8 2 3 3" xfId="6318" xr:uid="{70319F9C-8C6C-4280-B5A7-FA70D7D4E8EC}"/>
    <cellStyle name="Normal 2 8 2 3 3 2" xfId="27176" xr:uid="{944CDA04-5C80-4EA1-80A7-A40B22BF04C9}"/>
    <cellStyle name="Normal 2 8 2 3 3 3" xfId="15887" xr:uid="{2E65C6E6-7705-4581-B6DB-48A3329BC3F3}"/>
    <cellStyle name="Normal 2 8 2 3 4" xfId="8340" xr:uid="{89F6381F-D0A9-48DA-84B5-04BBD4FA5670}"/>
    <cellStyle name="Normal 2 8 2 3 4 2" xfId="18720" xr:uid="{8F0AFD53-0182-4B64-897F-CD52C1FD9A88}"/>
    <cellStyle name="Normal 2 8 2 3 5" xfId="11173" xr:uid="{E4AD119B-BB10-43C1-AED6-D358178586EF}"/>
    <cellStyle name="Normal 2 8 2 3 5 2" xfId="21553" xr:uid="{7A6F2011-0DC7-41B4-858C-64B84CC192DA}"/>
    <cellStyle name="Normal 2 8 2 3 6" xfId="22834" xr:uid="{8923D2E7-2DA7-4CCF-A63E-0536F14CB31F}"/>
    <cellStyle name="Normal 2 8 2 3 7" xfId="13808" xr:uid="{B28A44E3-FA3B-4166-B3F5-6786840ACCA1}"/>
    <cellStyle name="Normal 2 8 2 4" xfId="3258" xr:uid="{00000000-0005-0000-0000-0000EE040000}"/>
    <cellStyle name="Normal 2 8 2 4 2" xfId="6316" xr:uid="{968A0815-396A-4C1F-ACF4-0899CC97A8BE}"/>
    <cellStyle name="Normal 2 8 2 4 2 2" xfId="27079" xr:uid="{169A6153-9C29-40DB-B39A-F4DDE627EFA0}"/>
    <cellStyle name="Normal 2 8 2 4 2 3" xfId="15885" xr:uid="{2870D56E-C8E3-4B29-9892-B687B606CDEA}"/>
    <cellStyle name="Normal 2 8 2 4 3" xfId="8338" xr:uid="{2F49353E-3D79-4C99-AD1D-F70CD5D1E16D}"/>
    <cellStyle name="Normal 2 8 2 4 3 2" xfId="18718" xr:uid="{CC2B2CAA-02A0-48A3-92AE-8DBF048D4E88}"/>
    <cellStyle name="Normal 2 8 2 4 4" xfId="11171" xr:uid="{FC40FFB0-4FEC-4115-AB03-33E0128807DE}"/>
    <cellStyle name="Normal 2 8 2 4 4 2" xfId="21551" xr:uid="{5A6FD68D-ABDC-4917-A965-2A7AF6BA2198}"/>
    <cellStyle name="Normal 2 8 2 4 5" xfId="24521" xr:uid="{147CC830-D3CD-4478-90B8-BCC4D363D848}"/>
    <cellStyle name="Normal 2 8 2 4 6" xfId="13806" xr:uid="{D4E5B640-704A-427D-86D2-AE67A1DDF6F9}"/>
    <cellStyle name="Normal 2 8 2 5" xfId="2521" xr:uid="{00000000-0005-0000-0000-0000EF040000}"/>
    <cellStyle name="Normal 2 8 2 5 2" xfId="5798" xr:uid="{47DCC92F-54E9-4911-AC1D-47F2B7FB5C2F}"/>
    <cellStyle name="Normal 2 8 2 5 2 2" xfId="26992" xr:uid="{4D34E770-5F98-4A6F-9C61-581E4CC543E3}"/>
    <cellStyle name="Normal 2 8 2 5 2 3" xfId="15193" xr:uid="{FDD16847-3A23-4F2B-93C4-65D91B7D4AE2}"/>
    <cellStyle name="Normal 2 8 2 5 3" xfId="7646" xr:uid="{1EF7B022-A18D-4AB6-A3C4-D739248B73E8}"/>
    <cellStyle name="Normal 2 8 2 5 3 2" xfId="18026" xr:uid="{3E320686-9FFB-4CD3-BCAA-76D0D9A5627A}"/>
    <cellStyle name="Normal 2 8 2 5 4" xfId="10479" xr:uid="{AFB5CAA6-E1B0-4B42-960C-3E43FD85A6FF}"/>
    <cellStyle name="Normal 2 8 2 5 4 2" xfId="20859" xr:uid="{BA75980F-6F1F-4861-85F6-25FEDA469C6F}"/>
    <cellStyle name="Normal 2 8 2 5 5" xfId="22804" xr:uid="{8C5AB9D4-325C-4C09-8367-86F84CBEDFC1}"/>
    <cellStyle name="Normal 2 8 2 5 6" xfId="12909" xr:uid="{F3AC945C-F83D-4E22-AA51-69CA9A117B98}"/>
    <cellStyle name="Normal 2 8 2 6" xfId="2343" xr:uid="{00000000-0005-0000-0000-0000EA040000}"/>
    <cellStyle name="Normal 2 8 2 6 2" xfId="7470" xr:uid="{F25297D3-D501-42A1-AA59-8886F1FEEAF3}"/>
    <cellStyle name="Normal 2 8 2 6 2 2" xfId="17850" xr:uid="{D677E904-4008-48A5-A7F7-B9A14DAA6580}"/>
    <cellStyle name="Normal 2 8 2 6 3" xfId="10303" xr:uid="{DC3DB0BA-F8F6-4476-B45D-AD550463A2F8}"/>
    <cellStyle name="Normal 2 8 2 6 3 2" xfId="20683" xr:uid="{F69C4960-EE6C-4465-B5B3-0F5FFFD2313C}"/>
    <cellStyle name="Normal 2 8 2 6 4" xfId="23143" xr:uid="{2E10A497-7F6A-4EC1-9EF8-2439084B8E12}"/>
    <cellStyle name="Normal 2 8 2 6 5" xfId="15017" xr:uid="{8B4776D4-7302-426E-94DD-26E671A43624}"/>
    <cellStyle name="Normal 2 8 2 7" xfId="3854" xr:uid="{B99E1F2C-77D1-436B-A020-A22F5F81BD72}"/>
    <cellStyle name="Normal 2 8 2 7 2" xfId="8687" xr:uid="{362A60B7-29E5-4E02-8394-414C56F97128}"/>
    <cellStyle name="Normal 2 8 2 7 2 2" xfId="19067" xr:uid="{A296323F-529D-4171-83EA-E9E750DE7ADD}"/>
    <cellStyle name="Normal 2 8 2 7 3" xfId="11520" xr:uid="{13CF40C2-23CF-4CF9-80AF-FEDE8F52F4E6}"/>
    <cellStyle name="Normal 2 8 2 7 3 2" xfId="21900" xr:uid="{EED8F838-167F-4C79-89E3-CA02AA7F75C9}"/>
    <cellStyle name="Normal 2 8 2 7 4" xfId="16234" xr:uid="{9B383E1C-F202-4249-AA30-5F4039972BD6}"/>
    <cellStyle name="Normal 2 8 2 8" xfId="5184" xr:uid="{9A79AB6A-5F15-47BD-854C-4704EA6A1DF5}"/>
    <cellStyle name="Normal 2 8 2 8 2" xfId="14481" xr:uid="{9EC2CC00-3494-48C2-A9A9-E28A61A3C528}"/>
    <cellStyle name="Normal 2 8 2 9" xfId="6934" xr:uid="{64F0A1D1-B9AC-43C0-A9B9-60617BD5F23A}"/>
    <cellStyle name="Normal 2 8 2 9 2" xfId="17314" xr:uid="{1BB0B183-2132-4C6F-B5A4-5DB449444F25}"/>
    <cellStyle name="Normal 2 8 3" xfId="834" xr:uid="{00000000-0005-0000-0000-0000EE040000}"/>
    <cellStyle name="Normal 2 8 3 10" xfId="25381" xr:uid="{17E62A56-8EBA-4252-82CC-1F7F66844708}"/>
    <cellStyle name="Normal 2 8 3 11" xfId="12735" xr:uid="{7AC5C086-4CD1-43AF-AB6F-2B1CB78A380D}"/>
    <cellStyle name="Normal 2 8 3 2" xfId="2756" xr:uid="{00000000-0005-0000-0000-0000F1040000}"/>
    <cellStyle name="Normal 2 8 3 2 2" xfId="3262" xr:uid="{00000000-0005-0000-0000-0000F2040000}"/>
    <cellStyle name="Normal 2 8 3 2 2 2" xfId="6320" xr:uid="{BD9D0536-3699-40B6-98E2-EBDCDE845069}"/>
    <cellStyle name="Normal 2 8 3 2 2 2 2" xfId="28184" xr:uid="{3D61B14B-CE7E-4248-A4BA-EDB3E926A8F3}"/>
    <cellStyle name="Normal 2 8 3 2 2 2 3" xfId="15889" xr:uid="{D474407B-F78D-432C-9CED-E3E72F989BBC}"/>
    <cellStyle name="Normal 2 8 3 2 2 3" xfId="8342" xr:uid="{E09CD465-5962-475E-9310-F67B4BA857B8}"/>
    <cellStyle name="Normal 2 8 3 2 2 3 2" xfId="18722" xr:uid="{33F267E9-C350-475A-A4EB-1FC086DF9A10}"/>
    <cellStyle name="Normal 2 8 3 2 2 4" xfId="11175" xr:uid="{30F924E3-F7AF-46C5-A6F8-FC91ED43DBF6}"/>
    <cellStyle name="Normal 2 8 3 2 2 4 2" xfId="21555" xr:uid="{5D81271B-7FBC-40B0-AFF4-8821475572AF}"/>
    <cellStyle name="Normal 2 8 3 2 2 5" xfId="24309" xr:uid="{71376A80-8FAD-4364-968E-982EA9EED0E1}"/>
    <cellStyle name="Normal 2 8 3 2 2 6" xfId="13810" xr:uid="{E05E4D94-3931-46D8-8FC2-EA60D07A61D9}"/>
    <cellStyle name="Normal 2 8 3 2 3" xfId="4320" xr:uid="{D25E4437-4EA4-45F0-9EE5-3638C42BF349}"/>
    <cellStyle name="Normal 2 8 3 2 3 2" xfId="9092" xr:uid="{D69750B2-0EEE-483F-8EF6-9527410F7451}"/>
    <cellStyle name="Normal 2 8 3 2 3 2 2" xfId="29135" xr:uid="{F0AEA303-C52B-4222-8F9D-1F49270C7021}"/>
    <cellStyle name="Normal 2 8 3 2 3 2 3" xfId="19472" xr:uid="{83DD875B-4FE6-4C30-9638-308A9D584DA6}"/>
    <cellStyle name="Normal 2 8 3 2 3 3" xfId="11925" xr:uid="{D6C02531-49AF-4900-8FE3-26F387CE2252}"/>
    <cellStyle name="Normal 2 8 3 2 3 3 2" xfId="22305" xr:uid="{10370E83-08B0-4273-B3A8-E4754264DC3C}"/>
    <cellStyle name="Normal 2 8 3 2 3 4" xfId="23090" xr:uid="{9440B033-98C1-4D25-BC1D-B1882C4FF38B}"/>
    <cellStyle name="Normal 2 8 3 2 3 5" xfId="16639" xr:uid="{B8AB671E-A73C-4504-A03D-D60071FC3531}"/>
    <cellStyle name="Normal 2 8 3 2 4" xfId="5974" xr:uid="{3BB15D85-FDB9-45F7-9409-52962EA45647}"/>
    <cellStyle name="Normal 2 8 3 2 4 2" xfId="27167" xr:uid="{5303FDA9-5ADF-4827-A7AF-96E24920E174}"/>
    <cellStyle name="Normal 2 8 3 2 4 3" xfId="15427" xr:uid="{41CF9545-43B1-47D9-A01C-B25CC5567E38}"/>
    <cellStyle name="Normal 2 8 3 2 5" xfId="7880" xr:uid="{EABEFE2C-BFCA-49C6-A627-85CFB20F1B17}"/>
    <cellStyle name="Normal 2 8 3 2 5 2" xfId="18260" xr:uid="{ED132D4B-2A6F-489F-AFA3-258F5D08FE52}"/>
    <cellStyle name="Normal 2 8 3 2 6" xfId="10713" xr:uid="{4F852A99-764E-45D0-9E91-B7C10AB77553}"/>
    <cellStyle name="Normal 2 8 3 2 6 2" xfId="21093" xr:uid="{BB8E2CBC-5234-4425-B63F-C0213B1BFD16}"/>
    <cellStyle name="Normal 2 8 3 2 7" xfId="22793" xr:uid="{59CB398D-CA33-4225-9761-66A39892865A}"/>
    <cellStyle name="Normal 2 8 3 2 8" xfId="13201" xr:uid="{159B5130-3221-4602-A1C2-C3A0E6216CA5}"/>
    <cellStyle name="Normal 2 8 3 3" xfId="3263" xr:uid="{00000000-0005-0000-0000-0000F3040000}"/>
    <cellStyle name="Normal 2 8 3 3 2" xfId="4499" xr:uid="{3EA06542-8B36-463A-8E1E-CC73CF39FB59}"/>
    <cellStyle name="Normal 2 8 3 3 2 2" xfId="9271" xr:uid="{CC554882-7403-4872-B9D3-30DD53E78D1A}"/>
    <cellStyle name="Normal 2 8 3 3 2 2 2" xfId="29254" xr:uid="{84DF408D-0CED-42F5-962F-7651692141DE}"/>
    <cellStyle name="Normal 2 8 3 3 2 2 3" xfId="19651" xr:uid="{31758A29-DC95-462A-B632-3B363553A416}"/>
    <cellStyle name="Normal 2 8 3 3 2 3" xfId="12104" xr:uid="{9E3EE59A-0169-4C8D-9C7D-BD05A70F4E78}"/>
    <cellStyle name="Normal 2 8 3 3 2 3 2" xfId="22484" xr:uid="{6B4E2281-DEF4-4690-A99A-075310AB67A0}"/>
    <cellStyle name="Normal 2 8 3 3 2 4" xfId="23943" xr:uid="{A24C8BCD-CA8C-4BDF-B9CD-D0461D22C827}"/>
    <cellStyle name="Normal 2 8 3 3 2 5" xfId="16818" xr:uid="{74422C01-685B-4355-AAEA-AF1C6B3E7D79}"/>
    <cellStyle name="Normal 2 8 3 3 3" xfId="6321" xr:uid="{279D0E37-90D2-4222-9285-6030E28A6DF6}"/>
    <cellStyle name="Normal 2 8 3 3 3 2" xfId="27667" xr:uid="{6FB621B3-9AD1-4BB6-8F80-C57F0EE981D3}"/>
    <cellStyle name="Normal 2 8 3 3 3 3" xfId="15890" xr:uid="{CB285C85-0806-410C-B223-4962D476FEC6}"/>
    <cellStyle name="Normal 2 8 3 3 4" xfId="8343" xr:uid="{3FD44BF7-A114-4295-8619-ECA18BD88F96}"/>
    <cellStyle name="Normal 2 8 3 3 4 2" xfId="18723" xr:uid="{7D706125-C714-41D5-8B57-9266C8E5E41D}"/>
    <cellStyle name="Normal 2 8 3 3 5" xfId="11176" xr:uid="{3FCC255D-4B84-44AD-9636-A3A2B72B6B99}"/>
    <cellStyle name="Normal 2 8 3 3 5 2" xfId="21556" xr:uid="{572DC6E6-8985-4FD9-AC2A-016B7FFE0041}"/>
    <cellStyle name="Normal 2 8 3 3 6" xfId="22846" xr:uid="{2BB0CEB5-1638-407D-92A5-AF6A231A7822}"/>
    <cellStyle name="Normal 2 8 3 3 7" xfId="13811" xr:uid="{9296A94C-12A0-42CC-BB7A-168FD37B53E6}"/>
    <cellStyle name="Normal 2 8 3 4" xfId="3261" xr:uid="{00000000-0005-0000-0000-0000F4040000}"/>
    <cellStyle name="Normal 2 8 3 4 2" xfId="6319" xr:uid="{14919506-F606-461B-B41D-72C7D86A95BD}"/>
    <cellStyle name="Normal 2 8 3 4 2 2" xfId="27072" xr:uid="{76F5C591-49A1-4806-9F92-9DB76AB64083}"/>
    <cellStyle name="Normal 2 8 3 4 2 3" xfId="15888" xr:uid="{016EB0A9-4FE7-4904-93A8-9D4FD346A065}"/>
    <cellStyle name="Normal 2 8 3 4 3" xfId="8341" xr:uid="{84E0DE4A-7166-4129-84FC-03A751374921}"/>
    <cellStyle name="Normal 2 8 3 4 3 2" xfId="18721" xr:uid="{1BFCEABB-CA3D-43AE-9144-A7C7BBD81D2A}"/>
    <cellStyle name="Normal 2 8 3 4 4" xfId="11174" xr:uid="{FDCB34B3-A7C8-410F-8351-51348C246EC1}"/>
    <cellStyle name="Normal 2 8 3 4 4 2" xfId="21554" xr:uid="{42CFB193-07F8-4960-A351-EE292CD41811}"/>
    <cellStyle name="Normal 2 8 3 4 5" xfId="25201" xr:uid="{48EE267E-D509-48D9-8E1E-EB7D4D2017E6}"/>
    <cellStyle name="Normal 2 8 3 4 6" xfId="13809" xr:uid="{05B8532D-B56A-489B-98BE-3669A7F17100}"/>
    <cellStyle name="Normal 2 8 3 5" xfId="2624" xr:uid="{00000000-0005-0000-0000-0000F5040000}"/>
    <cellStyle name="Normal 2 8 3 5 2" xfId="5886" xr:uid="{9A8A9323-7AE6-40BB-B754-36EC30028BE6}"/>
    <cellStyle name="Normal 2 8 3 5 2 2" xfId="26157" xr:uid="{A20DC687-5F32-4034-8A17-2601DBC372EB}"/>
    <cellStyle name="Normal 2 8 3 5 2 3" xfId="15296" xr:uid="{990C1D93-C515-4F0D-8131-322B43F7B8CC}"/>
    <cellStyle name="Normal 2 8 3 5 3" xfId="7749" xr:uid="{454114AE-7AEB-49B9-B36B-768C7BCF914E}"/>
    <cellStyle name="Normal 2 8 3 5 3 2" xfId="18129" xr:uid="{71E1F9B9-4024-488D-A226-945B9AB0FA01}"/>
    <cellStyle name="Normal 2 8 3 5 4" xfId="10582" xr:uid="{2B3C5ECB-70C4-4606-9DDC-843CAAA98B1F}"/>
    <cellStyle name="Normal 2 8 3 5 4 2" xfId="20962" xr:uid="{3697A04A-1C78-41C6-8177-74F6DB38E2E7}"/>
    <cellStyle name="Normal 2 8 3 5 5" xfId="23263" xr:uid="{86FB51D7-8590-48B1-BFEC-304D10C56C6C}"/>
    <cellStyle name="Normal 2 8 3 5 6" xfId="13012" xr:uid="{CB326828-C6BC-4D99-8C3E-6149D0EE0BC5}"/>
    <cellStyle name="Normal 2 8 3 6" xfId="4175" xr:uid="{2BF2C53F-CF90-4E79-B6F1-AA1C6B49B262}"/>
    <cellStyle name="Normal 2 8 3 6 2" xfId="8947" xr:uid="{CC1D5B72-12BC-49AE-8051-9F414A0754E5}"/>
    <cellStyle name="Normal 2 8 3 6 2 2" xfId="19327" xr:uid="{11F599AC-CEF8-443B-94B9-0D10200E6597}"/>
    <cellStyle name="Normal 2 8 3 6 3" xfId="11780" xr:uid="{2F3FEE01-A477-4489-9A49-9BC60CBB444B}"/>
    <cellStyle name="Normal 2 8 3 6 3 2" xfId="22160" xr:uid="{394D04A4-DDA6-4BA4-8CC4-CA26E692393C}"/>
    <cellStyle name="Normal 2 8 3 6 4" xfId="24465" xr:uid="{700999BE-0B15-4696-B088-844B62FC8475}"/>
    <cellStyle name="Normal 2 8 3 6 5" xfId="16494" xr:uid="{3D12A16F-E536-4B3A-9019-F138C7D11A92}"/>
    <cellStyle name="Normal 2 8 3 7" xfId="5186" xr:uid="{14A31ADD-2E6B-46C3-9E3A-E7C64FECAC27}"/>
    <cellStyle name="Normal 2 8 3 7 2" xfId="14483" xr:uid="{8061915E-3A6A-482D-9422-9284FF76093D}"/>
    <cellStyle name="Normal 2 8 3 8" xfId="6936" xr:uid="{0467EFA4-6627-44FD-AEEB-166630D9B8BE}"/>
    <cellStyle name="Normal 2 8 3 8 2" xfId="17316" xr:uid="{922BED87-D10C-464F-98AB-8EA4B34D6DFA}"/>
    <cellStyle name="Normal 2 8 3 9" xfId="9769" xr:uid="{9C875BDA-2981-48B8-ADBB-377E072090EF}"/>
    <cellStyle name="Normal 2 8 3 9 2" xfId="20149" xr:uid="{9CDE13C9-8692-47A0-88B9-85608CF777E8}"/>
    <cellStyle name="Normal 2 8 4" xfId="835" xr:uid="{00000000-0005-0000-0000-0000EF040000}"/>
    <cellStyle name="Normal 2 8 4 2" xfId="3264" xr:uid="{00000000-0005-0000-0000-0000F7040000}"/>
    <cellStyle name="Normal 2 8 4 2 2" xfId="6322" xr:uid="{85D5D0ED-3998-423F-85D6-D7F2C7EEB6F6}"/>
    <cellStyle name="Normal 2 8 4 2 2 2" xfId="28414" xr:uid="{7B6C017D-A110-4B25-AC70-1FFF71EBB8FF}"/>
    <cellStyle name="Normal 2 8 4 2 2 3" xfId="15891" xr:uid="{3289FA99-5F4F-4107-ABB3-6495CC572AC2}"/>
    <cellStyle name="Normal 2 8 4 2 3" xfId="8344" xr:uid="{FB0342AB-9DF9-4F40-B43B-8979CBC51628}"/>
    <cellStyle name="Normal 2 8 4 2 3 2" xfId="18724" xr:uid="{60975CA2-8649-4683-82BB-53D1F33969FB}"/>
    <cellStyle name="Normal 2 8 4 2 4" xfId="11177" xr:uid="{6E433FE9-9821-49C9-A393-B052723ADD27}"/>
    <cellStyle name="Normal 2 8 4 2 4 2" xfId="21557" xr:uid="{A28635D2-C8A0-4D50-A0B5-FDCFD80FECBE}"/>
    <cellStyle name="Normal 2 8 4 2 5" xfId="24881" xr:uid="{245BB831-80AE-44B3-9E10-6B402E97DCF8}"/>
    <cellStyle name="Normal 2 8 4 2 6" xfId="13812" xr:uid="{98B15CF9-1ED3-43C2-98D6-29F7FB5E7FEA}"/>
    <cellStyle name="Normal 2 8 4 3" xfId="4318" xr:uid="{BCB18D81-EA89-4B82-A56D-4F6ABD77718E}"/>
    <cellStyle name="Normal 2 8 4 3 2" xfId="9090" xr:uid="{13DC86AC-6F69-4A59-BBCE-A4FAF1E15F90}"/>
    <cellStyle name="Normal 2 8 4 3 2 2" xfId="29133" xr:uid="{2E1D8AC7-D2E8-4AAA-BCDD-339074F81B81}"/>
    <cellStyle name="Normal 2 8 4 3 2 3" xfId="19470" xr:uid="{5E32389D-45B0-4C64-A0EF-2DF86E2B2567}"/>
    <cellStyle name="Normal 2 8 4 3 3" xfId="11923" xr:uid="{CEA9BC84-DAEB-42D8-ABF9-A3962AED31E7}"/>
    <cellStyle name="Normal 2 8 4 3 3 2" xfId="22303" xr:uid="{1028DFFD-EC58-472D-8554-DFF6C3768473}"/>
    <cellStyle name="Normal 2 8 4 3 4" xfId="23311" xr:uid="{C6C77F9D-6399-41CE-A380-A99D83F12098}"/>
    <cellStyle name="Normal 2 8 4 3 5" xfId="16637" xr:uid="{A416AFA9-6AFC-4011-A3D2-91C0AFB8D4D9}"/>
    <cellStyle name="Normal 2 8 4 4" xfId="5187" xr:uid="{A2219C34-4BD7-46B2-82F1-573F84CAEB23}"/>
    <cellStyle name="Normal 2 8 4 4 2" xfId="25858" xr:uid="{944FF65E-C124-4482-8EE6-206DFE1DEC94}"/>
    <cellStyle name="Normal 2 8 4 4 3" xfId="14484" xr:uid="{AC7FFCC3-39B8-483B-9053-711A7D4DBA6C}"/>
    <cellStyle name="Normal 2 8 4 5" xfId="6937" xr:uid="{C93BB016-41FA-4908-B435-B37956C8DA8F}"/>
    <cellStyle name="Normal 2 8 4 5 2" xfId="17317" xr:uid="{58DECF45-AB2C-4597-9E9F-91FC270AA1C6}"/>
    <cellStyle name="Normal 2 8 4 6" xfId="9770" xr:uid="{627620D3-F821-46A0-A7BF-2BFCC84DC435}"/>
    <cellStyle name="Normal 2 8 4 6 2" xfId="20150" xr:uid="{FF9D7BA1-BAA8-4E88-AA3F-9136D759C909}"/>
    <cellStyle name="Normal 2 8 4 7" xfId="23267" xr:uid="{1DAD77E2-B79D-4ED5-9EF7-A316C3DB968D}"/>
    <cellStyle name="Normal 2 8 4 8" xfId="13199" xr:uid="{9A496A9C-CBD9-4D16-8FC2-C445D0CD8337}"/>
    <cellStyle name="Normal 2 8 5" xfId="3265" xr:uid="{00000000-0005-0000-0000-0000F8040000}"/>
    <cellStyle name="Normal 2 8 5 2" xfId="4500" xr:uid="{95CE7CBC-1CDF-4046-832D-591E97A7B94B}"/>
    <cellStyle name="Normal 2 8 5 2 2" xfId="9272" xr:uid="{B4C87EE0-318C-4084-A168-600F15E93567}"/>
    <cellStyle name="Normal 2 8 5 2 2 2" xfId="29255" xr:uid="{A2446C45-DFF1-4140-9BA8-BB45DEE21411}"/>
    <cellStyle name="Normal 2 8 5 2 2 3" xfId="19652" xr:uid="{2BE5E4A7-BA9E-4FE9-B23C-9E3986D4913F}"/>
    <cellStyle name="Normal 2 8 5 2 3" xfId="12105" xr:uid="{B0D6BD58-A5C7-490B-A536-78A00116E9D9}"/>
    <cellStyle name="Normal 2 8 5 2 3 2" xfId="22485" xr:uid="{FFF32534-C8EF-4D49-8E8D-5F47F097BC80}"/>
    <cellStyle name="Normal 2 8 5 2 4" xfId="22638" xr:uid="{2A814E38-8C81-4220-A0FB-6ADE38D1F438}"/>
    <cellStyle name="Normal 2 8 5 2 5" xfId="16819" xr:uid="{DAD025AD-137B-4154-BB4B-4383D25FB0B6}"/>
    <cellStyle name="Normal 2 8 5 3" xfId="6323" xr:uid="{854B9F0F-FE80-4F2A-8D9A-6A844AFA80D8}"/>
    <cellStyle name="Normal 2 8 5 3 2" xfId="27937" xr:uid="{E44DBAFE-CE90-40B9-857B-8F4493FB6303}"/>
    <cellStyle name="Normal 2 8 5 3 3" xfId="15892" xr:uid="{78CAEF5E-B984-4B48-9CA2-5761637A23FA}"/>
    <cellStyle name="Normal 2 8 5 4" xfId="8345" xr:uid="{5CD86AA9-79AF-4DDE-B39C-B50CD8EE6E85}"/>
    <cellStyle name="Normal 2 8 5 4 2" xfId="18725" xr:uid="{63D7B1FD-84E9-4095-B076-B2D617BEDCAC}"/>
    <cellStyle name="Normal 2 8 5 5" xfId="11178" xr:uid="{4069BDF2-1CD4-482D-AA9D-B13EFEC32A9B}"/>
    <cellStyle name="Normal 2 8 5 5 2" xfId="21558" xr:uid="{6DB0EF5D-EFB5-482F-9AAF-268EF1369D1A}"/>
    <cellStyle name="Normal 2 8 5 6" xfId="23607" xr:uid="{DFE117AC-76B4-4D0E-AA1A-E74940FB7B57}"/>
    <cellStyle name="Normal 2 8 5 7" xfId="13813" xr:uid="{6728430F-0CB2-4D6D-BAB9-8F1200CD5761}"/>
    <cellStyle name="Normal 2 8 6" xfId="2916" xr:uid="{00000000-0005-0000-0000-0000F9040000}"/>
    <cellStyle name="Normal 2 8 6 2" xfId="6102" xr:uid="{3693C27C-9C82-4C65-9591-784D8D626FCB}"/>
    <cellStyle name="Normal 2 8 6 2 2" xfId="27482" xr:uid="{6BBD19E0-688D-42C3-8C43-1C1960668AC1}"/>
    <cellStyle name="Normal 2 8 6 2 3" xfId="15580" xr:uid="{D0A58AE8-0DB1-4F0C-8D4C-F1DD7F8F4680}"/>
    <cellStyle name="Normal 2 8 6 3" xfId="8033" xr:uid="{096BBCC9-9439-4C9F-9334-39835D0032F4}"/>
    <cellStyle name="Normal 2 8 6 3 2" xfId="18413" xr:uid="{B649D071-9CDD-4A73-8D53-4EAA7CF837BE}"/>
    <cellStyle name="Normal 2 8 6 4" xfId="10866" xr:uid="{14ACB2B7-C1CE-4C26-824D-067072A7B1AD}"/>
    <cellStyle name="Normal 2 8 6 4 2" xfId="21246" xr:uid="{774D63A6-A79C-4CEB-9E63-2073C231EAAD}"/>
    <cellStyle name="Normal 2 8 6 5" xfId="24171" xr:uid="{231ED169-C61C-42F7-BA8F-F4012A3181B1}"/>
    <cellStyle name="Normal 2 8 6 6" xfId="13433" xr:uid="{659CBC7B-9ABB-4AB1-8F3D-357496DEED41}"/>
    <cellStyle name="Normal 2 8 7" xfId="2461" xr:uid="{00000000-0005-0000-0000-0000FA040000}"/>
    <cellStyle name="Normal 2 8 7 2" xfId="5752" xr:uid="{420CE77F-EE6E-4112-8B6D-3CFBF78B7730}"/>
    <cellStyle name="Normal 2 8 7 2 2" xfId="27991" xr:uid="{20103475-62D2-4261-B302-1B01631AE386}"/>
    <cellStyle name="Normal 2 8 7 2 3" xfId="15133" xr:uid="{2A5CAF93-C37E-4FC4-8D37-9AA66B390343}"/>
    <cellStyle name="Normal 2 8 7 3" xfId="7586" xr:uid="{E1369DA1-6936-445E-9776-756E8BC8A4CB}"/>
    <cellStyle name="Normal 2 8 7 3 2" xfId="17966" xr:uid="{3C4D9E62-5CFD-4054-BAD8-1A521F76900D}"/>
    <cellStyle name="Normal 2 8 7 4" xfId="10419" xr:uid="{E79E2D67-6E66-4D1F-A14C-80F69888CADF}"/>
    <cellStyle name="Normal 2 8 7 4 2" xfId="20799" xr:uid="{77C04EC2-1CB6-4C6B-A6F3-CC7D2DFEDD82}"/>
    <cellStyle name="Normal 2 8 7 5" xfId="25411" xr:uid="{25ECFBBE-39EF-4C18-A5C1-1F5517440866}"/>
    <cellStyle name="Normal 2 8 7 6" xfId="12849" xr:uid="{79B52061-FC86-493E-A650-BAAF17EF6A1E}"/>
    <cellStyle name="Normal 2 8 8" xfId="2215" xr:uid="{00000000-0005-0000-0000-0000E9040000}"/>
    <cellStyle name="Normal 2 8 8 2" xfId="7342" xr:uid="{CA5977A6-D876-44D7-9FEE-2357535D8C47}"/>
    <cellStyle name="Normal 2 8 8 2 2" xfId="17722" xr:uid="{091F2F03-EE83-4D67-BD98-6A61487DE4CE}"/>
    <cellStyle name="Normal 2 8 8 3" xfId="10175" xr:uid="{35FD768A-F8BE-4139-B45B-9B79276C13A7}"/>
    <cellStyle name="Normal 2 8 8 3 2" xfId="20555" xr:uid="{B4DDFE62-1DA1-4DB4-8C1A-EF71AA2CC2BA}"/>
    <cellStyle name="Normal 2 8 8 4" xfId="23036" xr:uid="{21C5D77E-84B8-432F-BAC9-2B1CD3BC24D3}"/>
    <cellStyle name="Normal 2 8 8 5" xfId="14889" xr:uid="{F67F2C44-1844-4646-8932-02499AB1508C}"/>
    <cellStyle name="Normal 2 8 9" xfId="3953" xr:uid="{7F9AEA47-05A2-4632-BE95-7A005B713566}"/>
    <cellStyle name="Normal 2 8 9 2" xfId="8785" xr:uid="{05CB76DB-E328-4BB1-8299-DD519B85DB30}"/>
    <cellStyle name="Normal 2 8 9 2 2" xfId="19165" xr:uid="{E1EBE4D3-4C7E-4FCC-A577-72C43EB1B830}"/>
    <cellStyle name="Normal 2 8 9 3" xfId="11618" xr:uid="{93958A23-51FE-4E74-9ED4-25D8F1D51CAC}"/>
    <cellStyle name="Normal 2 8 9 3 2" xfId="21998" xr:uid="{D0DD4502-6BC4-4349-9F52-3C6FADA4652B}"/>
    <cellStyle name="Normal 2 8 9 4" xfId="16332" xr:uid="{DB231EA8-1B2B-4EB4-8D41-C5FF5053E382}"/>
    <cellStyle name="Normal 2 9" xfId="836" xr:uid="{00000000-0005-0000-0000-0000F0040000}"/>
    <cellStyle name="Normal 2 9 10" xfId="6938" xr:uid="{AE91DB65-462D-4B5C-AB78-BB7A9C4C1098}"/>
    <cellStyle name="Normal 2 9 10 2" xfId="17318" xr:uid="{81D91532-F291-45F6-BE73-94B8507E2777}"/>
    <cellStyle name="Normal 2 9 11" xfId="9771" xr:uid="{813114C5-7C81-4734-A594-0734672162FA}"/>
    <cellStyle name="Normal 2 9 11 2" xfId="20151" xr:uid="{C6CAD91E-5E0F-404D-8669-680F55BB61FD}"/>
    <cellStyle name="Normal 2 9 12" xfId="23147" xr:uid="{E3BC9E6D-5A75-453D-B04D-76D55DE24A17}"/>
    <cellStyle name="Normal 2 9 13" xfId="12430" xr:uid="{1372F135-4AD4-4119-8683-E26CA330B9F6}"/>
    <cellStyle name="Normal 2 9 2" xfId="837" xr:uid="{00000000-0005-0000-0000-0000F1040000}"/>
    <cellStyle name="Normal 2 9 2 10" xfId="9772" xr:uid="{E01CF497-B008-4467-9C31-E0F563EBE783}"/>
    <cellStyle name="Normal 2 9 2 10 2" xfId="20152" xr:uid="{FFB455CC-C063-4331-9150-ACA5B7A096E8}"/>
    <cellStyle name="Normal 2 9 2 11" xfId="23145" xr:uid="{648A3B76-8A1F-41BA-98A6-3039BE86B862}"/>
    <cellStyle name="Normal 2 9 2 12" xfId="12578" xr:uid="{3FAE6098-EF46-4075-BFD7-F975FAE69D97}"/>
    <cellStyle name="Normal 2 9 2 2" xfId="838" xr:uid="{00000000-0005-0000-0000-0000F2040000}"/>
    <cellStyle name="Normal 2 9 2 2 2" xfId="3267" xr:uid="{00000000-0005-0000-0000-0000FE040000}"/>
    <cellStyle name="Normal 2 9 2 2 2 2" xfId="6325" xr:uid="{BC3E04BF-06A6-49DA-9BDD-1001E2153D9B}"/>
    <cellStyle name="Normal 2 9 2 2 2 2 2" xfId="27094" xr:uid="{78DB5D1E-2581-4FDD-9855-9E9066146A65}"/>
    <cellStyle name="Normal 2 9 2 2 2 2 3" xfId="26346" xr:uid="{6070CD22-E1E7-4A24-8700-D6D38B259B17}"/>
    <cellStyle name="Normal 2 9 2 2 2 2 4" xfId="15894" xr:uid="{98AE0B87-97FF-4087-9D55-923819B6276F}"/>
    <cellStyle name="Normal 2 9 2 2 2 3" xfId="8347" xr:uid="{6F69A483-05D6-408C-AF66-3801C6D82C5C}"/>
    <cellStyle name="Normal 2 9 2 2 2 3 2" xfId="28892" xr:uid="{3B3DF95B-9710-43C0-B4FE-D32747372805}"/>
    <cellStyle name="Normal 2 9 2 2 2 3 3" xfId="18727" xr:uid="{72F0DD08-55BA-45C8-A9B6-53726D6507C9}"/>
    <cellStyle name="Normal 2 9 2 2 2 4" xfId="11180" xr:uid="{690270E6-BDEE-4DE1-A5C9-6CEE194A944E}"/>
    <cellStyle name="Normal 2 9 2 2 2 4 2" xfId="21560" xr:uid="{D892CF92-4C9A-47C2-8E76-BB7A8D5320C3}"/>
    <cellStyle name="Normal 2 9 2 2 2 5" xfId="23613" xr:uid="{2FED118A-E829-41D7-9C40-71245A77AE30}"/>
    <cellStyle name="Normal 2 9 2 2 2 6" xfId="13815" xr:uid="{E0E0AAB3-5DFC-4FF3-A25B-55EECC2EF0BA}"/>
    <cellStyle name="Normal 2 9 2 2 3" xfId="4321" xr:uid="{86E8F31E-C380-4499-BDA0-8BBA65CBE9AE}"/>
    <cellStyle name="Normal 2 9 2 2 3 2" xfId="9093" xr:uid="{7EA7BE6E-5CC5-489E-AD09-83AD5DA976D9}"/>
    <cellStyle name="Normal 2 9 2 2 3 2 2" xfId="29136" xr:uid="{A895FE8F-DEDD-44A2-B9B0-6C5C1919C77C}"/>
    <cellStyle name="Normal 2 9 2 2 3 2 3" xfId="19473" xr:uid="{ED575612-F87A-4071-99D9-7B625270E99B}"/>
    <cellStyle name="Normal 2 9 2 2 3 3" xfId="11926" xr:uid="{CBAC65B9-B5DF-4B11-B8DE-4F388D902F23}"/>
    <cellStyle name="Normal 2 9 2 2 3 3 2" xfId="22306" xr:uid="{887A88F4-A0F8-49E7-A3A3-F8D97084DF81}"/>
    <cellStyle name="Normal 2 9 2 2 3 4" xfId="25366" xr:uid="{57475732-5FC8-4A50-92D6-7ED3409C951A}"/>
    <cellStyle name="Normal 2 9 2 2 3 5" xfId="16640" xr:uid="{EEF5B393-3F27-4FEC-892E-4D904216A071}"/>
    <cellStyle name="Normal 2 9 2 2 4" xfId="5190" xr:uid="{4F8F5739-9B5B-4D25-9AF3-72DBD73FC352}"/>
    <cellStyle name="Normal 2 9 2 2 4 2" xfId="26717" xr:uid="{872ABD52-BCA1-46B8-B6B1-EB5CC24308E9}"/>
    <cellStyle name="Normal 2 9 2 2 4 3" xfId="14487" xr:uid="{EB7AA30A-1930-4DCB-8EDC-424353899242}"/>
    <cellStyle name="Normal 2 9 2 2 5" xfId="6940" xr:uid="{2471E609-4543-4A59-B2B1-EA297D8EF1B6}"/>
    <cellStyle name="Normal 2 9 2 2 5 2" xfId="17320" xr:uid="{63BDBE83-3696-4219-82B8-38C6485A4DFE}"/>
    <cellStyle name="Normal 2 9 2 2 6" xfId="9773" xr:uid="{1EE7E42D-EEEC-44DC-973F-C2C11F9E4AC9}"/>
    <cellStyle name="Normal 2 9 2 2 6 2" xfId="20153" xr:uid="{47C76B62-FBA5-4520-951D-E4DD4C60C5DC}"/>
    <cellStyle name="Normal 2 9 2 2 7" xfId="25093" xr:uid="{CE6BC1E3-520B-4A77-81D9-6F6DFA50E449}"/>
    <cellStyle name="Normal 2 9 2 2 8" xfId="13203" xr:uid="{636C9AE1-F46B-4B02-A568-66AC5BFA40F3}"/>
    <cellStyle name="Normal 2 9 2 3" xfId="3268" xr:uid="{00000000-0005-0000-0000-0000FF040000}"/>
    <cellStyle name="Normal 2 9 2 3 2" xfId="4501" xr:uid="{62C96393-4FE8-40F3-8D74-4345E5A07775}"/>
    <cellStyle name="Normal 2 9 2 3 2 2" xfId="9273" xr:uid="{6DAC3865-A2FF-4794-A46C-C8C5852D9D7A}"/>
    <cellStyle name="Normal 2 9 2 3 2 2 2" xfId="29256" xr:uid="{ECC46C3C-044D-4249-93BF-3BB0FE3D99F0}"/>
    <cellStyle name="Normal 2 9 2 3 2 2 3" xfId="19653" xr:uid="{D72677FB-ABC5-4536-8A88-A3721A9427DB}"/>
    <cellStyle name="Normal 2 9 2 3 2 3" xfId="12106" xr:uid="{304DFD41-DA44-4610-9E54-C9515243D7AC}"/>
    <cellStyle name="Normal 2 9 2 3 2 3 2" xfId="22486" xr:uid="{080EB41A-5EF9-4DB2-81D4-3991C5B50D46}"/>
    <cellStyle name="Normal 2 9 2 3 2 4" xfId="25656" xr:uid="{2C35C3F0-D685-4F1A-8870-5100053CE3DE}"/>
    <cellStyle name="Normal 2 9 2 3 2 5" xfId="16820" xr:uid="{93A1B342-A329-436E-A67A-CDFEF105EA9D}"/>
    <cellStyle name="Normal 2 9 2 3 3" xfId="6326" xr:uid="{36B46BEF-5272-4DEB-B8C9-D309A4C0D01A}"/>
    <cellStyle name="Normal 2 9 2 3 3 2" xfId="26623" xr:uid="{7EF5CCC7-1661-41C8-8F51-91A82D582E05}"/>
    <cellStyle name="Normal 2 9 2 3 3 3" xfId="15895" xr:uid="{D62A693F-7E62-461C-B2AC-771054239156}"/>
    <cellStyle name="Normal 2 9 2 3 4" xfId="8348" xr:uid="{9106625A-06CF-4249-9194-B32D172824AA}"/>
    <cellStyle name="Normal 2 9 2 3 4 2" xfId="18728" xr:uid="{72B4B531-7683-420D-9534-E54473519D07}"/>
    <cellStyle name="Normal 2 9 2 3 5" xfId="11181" xr:uid="{0446E31B-373D-4B61-B842-661ED9BFB34F}"/>
    <cellStyle name="Normal 2 9 2 3 5 2" xfId="21561" xr:uid="{3239258A-CB82-4477-BD4D-A18CEEAECFE0}"/>
    <cellStyle name="Normal 2 9 2 3 6" xfId="24406" xr:uid="{9CA6F528-E4B1-4655-9801-A946FB4A526B}"/>
    <cellStyle name="Normal 2 9 2 3 7" xfId="13816" xr:uid="{631B24A0-C0BB-4E46-BF30-FA5F4E08494F}"/>
    <cellStyle name="Normal 2 9 2 4" xfId="3266" xr:uid="{00000000-0005-0000-0000-000000050000}"/>
    <cellStyle name="Normal 2 9 2 4 2" xfId="6324" xr:uid="{1E3C4857-9BEB-4C7B-81E4-DDF53B409D91}"/>
    <cellStyle name="Normal 2 9 2 4 2 2" xfId="27399" xr:uid="{81A83845-D759-42FC-8F40-AB74B0C376FD}"/>
    <cellStyle name="Normal 2 9 2 4 2 3" xfId="15893" xr:uid="{179A5118-F3DE-4E11-97A8-DC1769150E8D}"/>
    <cellStyle name="Normal 2 9 2 4 3" xfId="8346" xr:uid="{07B7AB1B-27C9-410F-BFC3-7D3954BAF0D9}"/>
    <cellStyle name="Normal 2 9 2 4 3 2" xfId="18726" xr:uid="{CFBC9074-8994-40B4-8FD5-98190E218E58}"/>
    <cellStyle name="Normal 2 9 2 4 4" xfId="11179" xr:uid="{9F426A67-9181-4D6B-8518-FBC4828F7967}"/>
    <cellStyle name="Normal 2 9 2 4 4 2" xfId="21559" xr:uid="{0E2FDCDC-F11E-40FE-9010-9B189C24F7B1}"/>
    <cellStyle name="Normal 2 9 2 4 5" xfId="23276" xr:uid="{B32EF0C1-0295-401D-AFC5-5D8711CCD00E}"/>
    <cellStyle name="Normal 2 9 2 4 6" xfId="13814" xr:uid="{B76AD3A9-160A-4598-9630-B593C0FBDB5D}"/>
    <cellStyle name="Normal 2 9 2 5" xfId="2607" xr:uid="{00000000-0005-0000-0000-000001050000}"/>
    <cellStyle name="Normal 2 9 2 5 2" xfId="5871" xr:uid="{DD5BE773-1AF6-446D-B356-77AF6C8C18AF}"/>
    <cellStyle name="Normal 2 9 2 5 2 2" xfId="26930" xr:uid="{992A6211-84BA-489B-8549-5EDC5C8CB2CE}"/>
    <cellStyle name="Normal 2 9 2 5 2 3" xfId="15279" xr:uid="{BDAD92F1-CA7C-4B52-8C8B-8172C043EA4A}"/>
    <cellStyle name="Normal 2 9 2 5 3" xfId="7732" xr:uid="{828B97EE-A4FA-44E2-9289-EC087A9630A6}"/>
    <cellStyle name="Normal 2 9 2 5 3 2" xfId="18112" xr:uid="{84C3E0AD-267D-4531-9F14-16BA000856FE}"/>
    <cellStyle name="Normal 2 9 2 5 4" xfId="10565" xr:uid="{2D48B757-10C2-44D5-9D13-D6630200FCA6}"/>
    <cellStyle name="Normal 2 9 2 5 4 2" xfId="20945" xr:uid="{9E5DC150-175A-49E1-95A0-D9C2E168F842}"/>
    <cellStyle name="Normal 2 9 2 5 5" xfId="23618" xr:uid="{235E0E35-E516-4C73-8F56-488438A8219B}"/>
    <cellStyle name="Normal 2 9 2 5 6" xfId="12995" xr:uid="{EBFF9979-BDAF-4056-9939-7C4F71623F59}"/>
    <cellStyle name="Normal 2 9 2 6" xfId="2344" xr:uid="{00000000-0005-0000-0000-0000FC040000}"/>
    <cellStyle name="Normal 2 9 2 6 2" xfId="7471" xr:uid="{A3825031-8A35-4751-8319-16D4250773A9}"/>
    <cellStyle name="Normal 2 9 2 6 2 2" xfId="17851" xr:uid="{6A6D7382-3B15-4E63-A0C5-35AE511A4D28}"/>
    <cellStyle name="Normal 2 9 2 6 3" xfId="10304" xr:uid="{6C9F06F4-90AC-4A47-8BE9-19945091BC32}"/>
    <cellStyle name="Normal 2 9 2 6 3 2" xfId="20684" xr:uid="{752FD9A0-BE7C-48C3-B6D8-DE200E7B8317}"/>
    <cellStyle name="Normal 2 9 2 6 4" xfId="23980" xr:uid="{882BB1E2-213A-40B5-801C-F92C8B2F8CAB}"/>
    <cellStyle name="Normal 2 9 2 6 5" xfId="15018" xr:uid="{454A5831-CC45-4159-9566-0B45C4292BCE}"/>
    <cellStyle name="Normal 2 9 2 7" xfId="3856" xr:uid="{84458B14-819A-4001-A5E2-AA7DE137479C}"/>
    <cellStyle name="Normal 2 9 2 7 2" xfId="8688" xr:uid="{7C231452-00D8-44C5-850F-2F5CF8904CAD}"/>
    <cellStyle name="Normal 2 9 2 7 2 2" xfId="19068" xr:uid="{57B9845F-62D3-4CBC-BB13-8F55090DAEFE}"/>
    <cellStyle name="Normal 2 9 2 7 3" xfId="11521" xr:uid="{099BBE67-BED5-46EE-A703-C1CC2A10DAD7}"/>
    <cellStyle name="Normal 2 9 2 7 3 2" xfId="21901" xr:uid="{CCEB56CF-F371-4221-BA1B-97CB9CFBBB55}"/>
    <cellStyle name="Normal 2 9 2 7 4" xfId="16235" xr:uid="{7988E97A-6A84-4E79-ACD1-EF42CE5806AC}"/>
    <cellStyle name="Normal 2 9 2 8" xfId="5189" xr:uid="{07B9A2AF-5381-4C50-BB18-E66CF69E1F35}"/>
    <cellStyle name="Normal 2 9 2 8 2" xfId="14486" xr:uid="{594BB21B-5250-4B9D-BCAA-F58B21B491EC}"/>
    <cellStyle name="Normal 2 9 2 9" xfId="6939" xr:uid="{10380160-24E4-4287-B345-BB123C557CF3}"/>
    <cellStyle name="Normal 2 9 2 9 2" xfId="17319" xr:uid="{6910957C-21B0-45DC-86B8-B601CB266F32}"/>
    <cellStyle name="Normal 2 9 3" xfId="839" xr:uid="{00000000-0005-0000-0000-0000F3040000}"/>
    <cellStyle name="Normal 2 9 3 2" xfId="3269" xr:uid="{00000000-0005-0000-0000-000003050000}"/>
    <cellStyle name="Normal 2 9 3 2 2" xfId="6327" xr:uid="{BBC012F7-9A7D-49DD-8FF5-40D30FC91CF8}"/>
    <cellStyle name="Normal 2 9 3 2 2 2" xfId="23646" xr:uid="{1C18D9CE-FF64-4E6C-9490-310C9DBD14D3}"/>
    <cellStyle name="Normal 2 9 3 2 2 3" xfId="25864" xr:uid="{E38453D7-3CA2-4BCD-A759-A27ED0D7C85F}"/>
    <cellStyle name="Normal 2 9 3 2 2 4" xfId="15896" xr:uid="{5D0B3E18-45EC-4A34-999C-A38B5D11956C}"/>
    <cellStyle name="Normal 2 9 3 2 3" xfId="8349" xr:uid="{6FE1859B-1F4B-4AE5-B006-253E9A85D689}"/>
    <cellStyle name="Normal 2 9 3 2 3 2" xfId="28893" xr:uid="{DB4F1271-2971-47BB-9434-EBC1A9A77D51}"/>
    <cellStyle name="Normal 2 9 3 2 3 3" xfId="18729" xr:uid="{A08FB64C-FD02-4DE1-98B2-CC76AD59860A}"/>
    <cellStyle name="Normal 2 9 3 2 4" xfId="11182" xr:uid="{D1F60B17-0A0A-48B6-B3F6-A364C2E8A65E}"/>
    <cellStyle name="Normal 2 9 3 2 4 2" xfId="21562" xr:uid="{F691DC2F-37A1-4850-B6B6-294ABF216EC7}"/>
    <cellStyle name="Normal 2 9 3 2 5" xfId="23450" xr:uid="{A902EA6F-8779-467F-A0AB-F89FA1D314DA}"/>
    <cellStyle name="Normal 2 9 3 2 6" xfId="13817" xr:uid="{2EF0206B-D1E4-49DF-A0B2-624BAFABC794}"/>
    <cellStyle name="Normal 2 9 3 3" xfId="2757" xr:uid="{00000000-0005-0000-0000-000004050000}"/>
    <cellStyle name="Normal 2 9 3 3 2" xfId="5975" xr:uid="{EE14B9B9-556B-4E73-97A6-A602B420A67B}"/>
    <cellStyle name="Normal 2 9 3 3 2 2" xfId="26397" xr:uid="{8A300D6B-CBD2-4CC9-A53A-F97F14E934C1}"/>
    <cellStyle name="Normal 2 9 3 3 2 3" xfId="15428" xr:uid="{1FAAA7AB-A683-47F0-8721-44B50F7F608B}"/>
    <cellStyle name="Normal 2 9 3 3 3" xfId="7881" xr:uid="{9D10ADB1-B487-465E-8521-091EAA3B6159}"/>
    <cellStyle name="Normal 2 9 3 3 3 2" xfId="18261" xr:uid="{7A07D050-F54B-44A6-B0AA-F357C660692E}"/>
    <cellStyle name="Normal 2 9 3 3 4" xfId="10714" xr:uid="{A57E7F78-0E3F-45A7-BA96-B8F956BEFD7B}"/>
    <cellStyle name="Normal 2 9 3 3 4 2" xfId="21094" xr:uid="{6F769498-F9B3-4DF4-830D-1FAC4D3441B0}"/>
    <cellStyle name="Normal 2 9 3 3 5" xfId="24394" xr:uid="{9C2732CD-0C98-47E4-8332-7F5C415C6F25}"/>
    <cellStyle name="Normal 2 9 3 3 6" xfId="13202" xr:uid="{382F7612-55F2-48F9-B04C-497CD00DF9FE}"/>
    <cellStyle name="Normal 2 9 3 4" xfId="4176" xr:uid="{6C57CACD-054E-48B2-A048-29786C24F379}"/>
    <cellStyle name="Normal 2 9 3 4 2" xfId="8948" xr:uid="{F8F2A1C3-DE61-448C-88ED-75D178793C21}"/>
    <cellStyle name="Normal 2 9 3 4 2 2" xfId="29038" xr:uid="{9B6DF6C0-F95C-461C-A3E5-633655C6CFFA}"/>
    <cellStyle name="Normal 2 9 3 4 2 3" xfId="19328" xr:uid="{108B8A07-2F86-434C-8E61-03419833586D}"/>
    <cellStyle name="Normal 2 9 3 4 3" xfId="11781" xr:uid="{BF76D129-6B8D-483E-AB44-23C8CC66B708}"/>
    <cellStyle name="Normal 2 9 3 4 3 2" xfId="22161" xr:uid="{4F7FD296-5668-47CF-84E4-4F6E07AA5347}"/>
    <cellStyle name="Normal 2 9 3 4 4" xfId="23024" xr:uid="{2720F342-B677-4933-B845-E4A73983D0D3}"/>
    <cellStyle name="Normal 2 9 3 4 5" xfId="16495" xr:uid="{1A872D12-5750-4868-B7D1-42CBA1351032}"/>
    <cellStyle name="Normal 2 9 3 5" xfId="5191" xr:uid="{5339BEE7-49BF-4EED-8093-076FF44C11A1}"/>
    <cellStyle name="Normal 2 9 3 5 2" xfId="28360" xr:uid="{18FB857A-43C8-481D-8EDE-42C5616E6A78}"/>
    <cellStyle name="Normal 2 9 3 5 3" xfId="14488" xr:uid="{BB94EF29-4372-4B52-A3B4-CAF5219F54BF}"/>
    <cellStyle name="Normal 2 9 3 6" xfId="6941" xr:uid="{6706ADBA-47C3-45D1-98BA-070E553BC50D}"/>
    <cellStyle name="Normal 2 9 3 6 2" xfId="17321" xr:uid="{16BC5282-6013-4F36-A49D-EF1DCD57E844}"/>
    <cellStyle name="Normal 2 9 3 7" xfId="9774" xr:uid="{765AB162-B962-473F-8533-4F365D25A101}"/>
    <cellStyle name="Normal 2 9 3 7 2" xfId="20154" xr:uid="{FA141201-5DC3-40D7-B45E-56E5963C75AA}"/>
    <cellStyle name="Normal 2 9 3 8" xfId="23562" xr:uid="{98595726-F428-4B11-B725-2105F6E0049B}"/>
    <cellStyle name="Normal 2 9 3 9" xfId="12736" xr:uid="{9693C5B5-154F-4ECD-B366-CF4444A44404}"/>
    <cellStyle name="Normal 2 9 4" xfId="840" xr:uid="{00000000-0005-0000-0000-0000F4040000}"/>
    <cellStyle name="Normal 2 9 4 2" xfId="4502" xr:uid="{F552828F-4638-433C-95A0-F70F96FF42C6}"/>
    <cellStyle name="Normal 2 9 4 2 2" xfId="9274" xr:uid="{8B5882C0-34B7-4018-B8AF-8A9666E84A30}"/>
    <cellStyle name="Normal 2 9 4 2 2 2" xfId="29257" xr:uid="{3A41186D-EB5D-4BF6-BAF2-DC3012D4F2F9}"/>
    <cellStyle name="Normal 2 9 4 2 2 3" xfId="19654" xr:uid="{2EEE7974-63E8-4333-B47E-0810051F19DB}"/>
    <cellStyle name="Normal 2 9 4 2 3" xfId="12107" xr:uid="{77FFCCCE-B339-49A3-AF57-6C591B460D33}"/>
    <cellStyle name="Normal 2 9 4 2 3 2" xfId="22487" xr:uid="{02ECC56F-030A-45B7-B5A5-4889A9B0C6DF}"/>
    <cellStyle name="Normal 2 9 4 2 4" xfId="23151" xr:uid="{1B612711-E694-403C-8DA7-3C97E3C646DC}"/>
    <cellStyle name="Normal 2 9 4 2 5" xfId="16821" xr:uid="{B78AA123-AC1B-44A7-8A77-2E25735F9C80}"/>
    <cellStyle name="Normal 2 9 4 3" xfId="5192" xr:uid="{72D4440E-BC3A-4554-9FB6-A1D858FC9D2E}"/>
    <cellStyle name="Normal 2 9 4 3 2" xfId="26204" xr:uid="{0A911DBC-6518-4F42-A5C9-14C7CC68276A}"/>
    <cellStyle name="Normal 2 9 4 3 3" xfId="14489" xr:uid="{FC52A404-F2D5-4898-B6ED-8CCCAF81E21C}"/>
    <cellStyle name="Normal 2 9 4 4" xfId="6942" xr:uid="{D4EB3F78-59DE-47CB-9C01-1E493E674689}"/>
    <cellStyle name="Normal 2 9 4 4 2" xfId="17322" xr:uid="{B116099D-E97C-496D-A06A-32D374CD2B84}"/>
    <cellStyle name="Normal 2 9 4 5" xfId="9775" xr:uid="{A72709CB-35E5-428D-AD5E-8448C8835858}"/>
    <cellStyle name="Normal 2 9 4 5 2" xfId="20155" xr:uid="{BD1FFA4C-667D-4073-82BA-12518B20D366}"/>
    <cellStyle name="Normal 2 9 4 6" xfId="23130" xr:uid="{9C2BDFD0-30EE-4EBC-A625-26ACF55129C4}"/>
    <cellStyle name="Normal 2 9 4 7" xfId="13818" xr:uid="{B2A2F5FB-83D0-425A-87BB-6FAD4739F9A2}"/>
    <cellStyle name="Normal 2 9 5" xfId="2917" xr:uid="{00000000-0005-0000-0000-000006050000}"/>
    <cellStyle name="Normal 2 9 5 2" xfId="6103" xr:uid="{58528CC1-6AD2-4279-88B3-36D6609DF850}"/>
    <cellStyle name="Normal 2 9 5 2 2" xfId="24075" xr:uid="{C2C5EE96-9995-440E-9BAB-6728372E79CC}"/>
    <cellStyle name="Normal 2 9 5 2 3" xfId="26764" xr:uid="{B71227A7-8E15-40FE-AB6C-C312F130A5E3}"/>
    <cellStyle name="Normal 2 9 5 2 4" xfId="15581" xr:uid="{BC502C78-C287-4AAA-B2B4-855DDE2775FC}"/>
    <cellStyle name="Normal 2 9 5 3" xfId="8034" xr:uid="{5BDB75E0-42B9-47B7-BC4F-32339D7EE5F4}"/>
    <cellStyle name="Normal 2 9 5 3 2" xfId="27595" xr:uid="{4DE08653-E695-4105-8FAF-2EC4861B3D14}"/>
    <cellStyle name="Normal 2 9 5 3 3" xfId="18414" xr:uid="{4E72B610-0225-4948-95A6-B8293541BCC2}"/>
    <cellStyle name="Normal 2 9 5 4" xfId="10867" xr:uid="{32AA6B69-933E-4213-BBD8-E8160E16B6D4}"/>
    <cellStyle name="Normal 2 9 5 4 2" xfId="21247" xr:uid="{F35A2EDB-01FD-4EF0-997D-CE0011391BF6}"/>
    <cellStyle name="Normal 2 9 5 5" xfId="22953" xr:uid="{98F40136-10FD-4A5D-954E-95D1BD6B1790}"/>
    <cellStyle name="Normal 2 9 5 6" xfId="13434" xr:uid="{6FF45A3C-E951-49D1-9CC8-9EC9CB2C2C99}"/>
    <cellStyle name="Normal 2 9 6" xfId="2444" xr:uid="{00000000-0005-0000-0000-000007050000}"/>
    <cellStyle name="Normal 2 9 6 2" xfId="5738" xr:uid="{C0BED993-F139-4C6B-A792-E132324F2C14}"/>
    <cellStyle name="Normal 2 9 6 2 2" xfId="26273" xr:uid="{E224AED6-5478-4071-AAE4-531DAAE09ED8}"/>
    <cellStyle name="Normal 2 9 6 2 3" xfId="15116" xr:uid="{C4B322CF-7FF4-46FB-9710-2B9CF49427F9}"/>
    <cellStyle name="Normal 2 9 6 3" xfId="7569" xr:uid="{6E09B0F8-1818-40FD-B0B9-2BE03937EBA0}"/>
    <cellStyle name="Normal 2 9 6 3 2" xfId="17949" xr:uid="{A2D2891C-9A94-42CD-AE40-9576749EACD4}"/>
    <cellStyle name="Normal 2 9 6 4" xfId="10402" xr:uid="{FAF89A14-3615-4B8B-9728-F0D7110BDD46}"/>
    <cellStyle name="Normal 2 9 6 4 2" xfId="20782" xr:uid="{BF8F50E0-AEAA-451D-B4EA-D6C5391055A7}"/>
    <cellStyle name="Normal 2 9 6 5" xfId="23771" xr:uid="{E27B1D7E-8871-4391-9BAF-DCBA9D83669B}"/>
    <cellStyle name="Normal 2 9 6 6" xfId="12832" xr:uid="{06E2C9D0-79AB-4E4D-B154-4572A5AC5714}"/>
    <cellStyle name="Normal 2 9 7" xfId="2198" xr:uid="{00000000-0005-0000-0000-0000FB040000}"/>
    <cellStyle name="Normal 2 9 7 2" xfId="7325" xr:uid="{EA8C2445-2A00-4AF1-8B3A-62B72269B8D5}"/>
    <cellStyle name="Normal 2 9 7 2 2" xfId="17705" xr:uid="{575865A4-C903-444A-BEFF-E672E9F80B26}"/>
    <cellStyle name="Normal 2 9 7 3" xfId="10158" xr:uid="{F12035F6-C739-489C-9EFC-F90E08ECF96A}"/>
    <cellStyle name="Normal 2 9 7 3 2" xfId="20538" xr:uid="{2453241E-7F61-4AE6-844D-52675AF13A67}"/>
    <cellStyle name="Normal 2 9 7 4" xfId="23373" xr:uid="{9E8031DF-A2E9-4D45-BFC8-2E12170B31A2}"/>
    <cellStyle name="Normal 2 9 7 5" xfId="14872" xr:uid="{E01FAD09-3F53-4B7B-A156-7DBA1FBB85AD}"/>
    <cellStyle name="Normal 2 9 8" xfId="3954" xr:uid="{CED8D824-48D3-4AEF-8F7F-55717388E9E6}"/>
    <cellStyle name="Normal 2 9 8 2" xfId="8786" xr:uid="{C9D54B9E-2B71-467B-A443-019A549ED388}"/>
    <cellStyle name="Normal 2 9 8 2 2" xfId="19166" xr:uid="{AF764DA1-8EEC-4F37-BAFF-823F4512B564}"/>
    <cellStyle name="Normal 2 9 8 3" xfId="11619" xr:uid="{4D51BDD7-64D1-4472-9612-C42DAC1C76C4}"/>
    <cellStyle name="Normal 2 9 8 3 2" xfId="21999" xr:uid="{DF92F74E-7642-42AD-AA75-8CBC2EDD46C4}"/>
    <cellStyle name="Normal 2 9 8 4" xfId="16333" xr:uid="{DEB08D9E-3D2C-4A32-A794-F6E6A1CE67C3}"/>
    <cellStyle name="Normal 2 9 9" xfId="5188" xr:uid="{FC4BB2AD-7E18-4984-98C0-6FFD72EC7400}"/>
    <cellStyle name="Normal 2 9 9 2" xfId="14485" xr:uid="{FD71FD44-744A-47E9-9921-B8D7F3880453}"/>
    <cellStyle name="Normal 20" xfId="12253" xr:uid="{27372840-47D8-489B-95A7-2CD989EBD34B}"/>
    <cellStyle name="Normal 20 2" xfId="22633" xr:uid="{40D62CA8-3A96-48B0-BE9D-F7CE8F4D3E78}"/>
    <cellStyle name="Normal 21" xfId="12384" xr:uid="{FF094764-875A-4C99-A567-5596200E8909}"/>
    <cellStyle name="Normal 22" xfId="12383" xr:uid="{8C915B8E-2FA3-4DC4-BD95-7A870649C7C0}"/>
    <cellStyle name="Normal 23" xfId="30099" xr:uid="{C20B993B-01C2-4C51-8F98-6A9CBB8E2F4D}"/>
    <cellStyle name="Normal 23 2" xfId="30396" xr:uid="{287CA121-5416-4078-9572-C7B4DE184957}"/>
    <cellStyle name="Normal 23 3" xfId="31725" xr:uid="{C3AF9F28-95DF-4937-90C3-A513EEB3B326}"/>
    <cellStyle name="Normal 25" xfId="30098" xr:uid="{07506169-A6FD-44A0-8C52-1A1EF451F172}"/>
    <cellStyle name="Normal 26" xfId="30103" xr:uid="{7027CCDA-B9FD-43DE-A40A-182DF76F28F4}"/>
    <cellStyle name="Normal 3" xfId="841" xr:uid="{00000000-0005-0000-0000-0000F5040000}"/>
    <cellStyle name="Normal 3 2" xfId="842" xr:uid="{00000000-0005-0000-0000-0000F6040000}"/>
    <cellStyle name="Normal 3 2 2" xfId="843" xr:uid="{00000000-0005-0000-0000-0000F7040000}"/>
    <cellStyle name="Normal 3 2 2 2" xfId="844" xr:uid="{00000000-0005-0000-0000-0000F8040000}"/>
    <cellStyle name="Normal 3 2 2 3" xfId="845" xr:uid="{00000000-0005-0000-0000-0000F9040000}"/>
    <cellStyle name="Normal 3 2 2 3 2" xfId="846" xr:uid="{00000000-0005-0000-0000-0000FA040000}"/>
    <cellStyle name="Normal 3 2 2 3 3" xfId="23223" xr:uid="{08D264DB-FBA0-4E76-A0A6-DD15CBF7F5DA}"/>
    <cellStyle name="Normal 3 2 2 4" xfId="847" xr:uid="{00000000-0005-0000-0000-0000FB040000}"/>
    <cellStyle name="Normal 3 2 2 4 2" xfId="848" xr:uid="{00000000-0005-0000-0000-0000FC040000}"/>
    <cellStyle name="Normal 3 2 2 4 3" xfId="3711" xr:uid="{00000000-0005-0000-0000-000069040000}"/>
    <cellStyle name="Normal 3 2 2 4 3 2" xfId="4804" xr:uid="{7E0E1DE2-FFD9-4B6C-A96E-E7DA851E3AAB}"/>
    <cellStyle name="Normal 3 2 2 4 3 3" xfId="30236" xr:uid="{B775CA85-A94A-4FA2-B016-4DD4E6773E9E}"/>
    <cellStyle name="Normal 3 2 2 4 3 3 2" xfId="31379" xr:uid="{FE22CF11-4570-4966-8D0D-C6F52D65F8E8}"/>
    <cellStyle name="Normal 3 2 2 4 3 4" xfId="31576" xr:uid="{D3F1F72C-C507-475E-BFC1-88BFEC9AABA6}"/>
    <cellStyle name="Normal 3 2 2 5" xfId="31263" xr:uid="{45F1AD26-CE1F-46C4-A103-5777DD7B21F9}"/>
    <cellStyle name="Normal 3 2 3" xfId="849" xr:uid="{00000000-0005-0000-0000-0000FD040000}"/>
    <cellStyle name="Normal 3 2 3 2" xfId="850" xr:uid="{00000000-0005-0000-0000-0000FE040000}"/>
    <cellStyle name="Normal 3 2 3 3" xfId="851" xr:uid="{00000000-0005-0000-0000-0000FF040000}"/>
    <cellStyle name="Normal 3 2 3 3 2" xfId="852" xr:uid="{00000000-0005-0000-0000-000000050000}"/>
    <cellStyle name="Normal 3 2 3 3 2 2" xfId="853" xr:uid="{00000000-0005-0000-0000-000001050000}"/>
    <cellStyle name="Normal 3 2 3 3 2 3" xfId="854" xr:uid="{00000000-0005-0000-0000-000002050000}"/>
    <cellStyle name="Normal 3 2 3 3 2 3 2" xfId="855" xr:uid="{00000000-0005-0000-0000-000003050000}"/>
    <cellStyle name="Normal 3 2 3 3 2 3 2 2" xfId="856" xr:uid="{00000000-0005-0000-0000-000004050000}"/>
    <cellStyle name="Normal 3 2 3 3 2 3 2 2 2" xfId="25720" xr:uid="{032D5C75-76E2-40CA-A12D-BA86BF6B3032}"/>
    <cellStyle name="Normal 3 2 3 3 2 3 2 2 3" xfId="25324" xr:uid="{42CBD767-BF5C-42DC-AAFD-E88B7DD8534B}"/>
    <cellStyle name="Normal 3 2 3 3 2 3 2 3" xfId="857" xr:uid="{00000000-0005-0000-0000-000005050000}"/>
    <cellStyle name="Normal 3 2 3 3 2 3 2 3 2" xfId="1988" xr:uid="{00000000-0005-0000-0000-000006050000}"/>
    <cellStyle name="Normal 3 2 3 3 2 3 2 3 3" xfId="3712" xr:uid="{00000000-0005-0000-0000-000073040000}"/>
    <cellStyle name="Normal 3 2 3 3 2 3 2 3 3 2" xfId="4699" xr:uid="{51E09282-E913-4ED6-8E0D-C413A5D4A1F2}"/>
    <cellStyle name="Normal 3 2 3 3 2 3 2 3 3 3" xfId="30237" xr:uid="{B4011CD2-DE1E-4B51-8A66-B3C8C7A5D421}"/>
    <cellStyle name="Normal 3 2 3 3 2 3 2 3 3 3 2" xfId="31380" xr:uid="{BE93AEFA-7DA3-4658-9FC8-146A8E24F6DB}"/>
    <cellStyle name="Normal 3 2 3 3 2 3 2 3 3 4" xfId="31577" xr:uid="{9B4EC05B-CF70-4662-9DB5-17BD8DAB0B95}"/>
    <cellStyle name="Normal 3 2 3 3 2 3 2 4" xfId="25759" xr:uid="{5EC9D443-D6FF-49B3-87CB-0CAAE76577FA}"/>
    <cellStyle name="Normal 3 2 3 3 2 3 3" xfId="858" xr:uid="{00000000-0005-0000-0000-000007050000}"/>
    <cellStyle name="Normal 3 2 3 3 2 3 4" xfId="2919" xr:uid="{00000000-0005-0000-0000-000014050000}"/>
    <cellStyle name="Normal 3 2 3 3 2 3 4 2" xfId="31292" xr:uid="{EB8BC9D9-A033-4C6E-8AEF-B73E94BB5D44}"/>
    <cellStyle name="Normal 3 2 3 3 2 3 5" xfId="2094" xr:uid="{00000000-0005-0000-0000-000008020000}"/>
    <cellStyle name="Normal 3 2 3 3 2 3 5 2" xfId="4649" xr:uid="{F5C0EA0D-9822-4FF4-BD48-55FE3EF7782D}"/>
    <cellStyle name="Normal 3 2 3 3 2 3 5 3" xfId="30175" xr:uid="{EFD41364-146C-4C8A-A23B-7D13531E8C1D}"/>
    <cellStyle name="Normal 3 2 3 3 2 3 5 3 2" xfId="31319" xr:uid="{B91B5B5F-A506-42B7-A20E-383BCA9FFAF5}"/>
    <cellStyle name="Normal 3 2 3 3 2 3 5 4" xfId="31515" xr:uid="{6D671EEF-9106-4A0F-AE0E-B3AC82C22655}"/>
    <cellStyle name="Normal 3 2 3 3 2 3 6" xfId="3957" xr:uid="{0E1DF840-3114-4679-8527-B4509133BFD3}"/>
    <cellStyle name="Normal 3 2 3 3 2 3 6 2" xfId="4703" xr:uid="{EBED180B-3325-462A-919B-62911980F3E3}"/>
    <cellStyle name="Normal 3 2 3 3 2 3 6 3" xfId="30297" xr:uid="{E136CEC1-43EF-4959-B635-DE56F5F46204}"/>
    <cellStyle name="Normal 3 2 3 3 2 3 6 3 2" xfId="31440" xr:uid="{56DB6537-5079-42DC-8C0E-B9EB0AF26203}"/>
    <cellStyle name="Normal 3 2 3 3 2 3 6 4" xfId="31637" xr:uid="{D8E5B5D1-0B28-44DE-9618-995E05721A23}"/>
    <cellStyle name="Normal 3 2 3 3 2 3 7" xfId="30118" xr:uid="{3A8EA0EB-6553-4DE0-BA6D-E554B6EEBC52}"/>
    <cellStyle name="Normal 3 2 3 3 2 3 7 2" xfId="30479" xr:uid="{12261BA5-6EBE-49C8-858C-4433B97E2B8F}"/>
    <cellStyle name="Normal 3 2 3 3 2 4" xfId="859" xr:uid="{00000000-0005-0000-0000-000008050000}"/>
    <cellStyle name="Normal 3 2 3 3 2 4 2" xfId="2918" xr:uid="{00000000-0005-0000-0000-000015050000}"/>
    <cellStyle name="Normal 3 2 3 3 2 4 3" xfId="23493" xr:uid="{8625022A-D38B-4880-84F6-02FA13E60E21}"/>
    <cellStyle name="Normal 3 2 3 3 2 4 3 2" xfId="29619" xr:uid="{0FEE1F9F-C76F-4B8E-A83F-EAD315906FD7}"/>
    <cellStyle name="Normal 3 2 3 3 2 4 3 3" xfId="29598" xr:uid="{ED318358-FA7F-4BE8-8DAF-D6F7186FE3D7}"/>
    <cellStyle name="Normal 3 2 3 3 2 4 3 3 2" xfId="29642" xr:uid="{6DF48563-C650-48F9-9DC2-55B9B6148D77}"/>
    <cellStyle name="Normal 3 2 3 3 2 4 3 3 3" xfId="30384" xr:uid="{BAC9BCB8-EF57-4DA4-B9C1-3F2B8C7FC657}"/>
    <cellStyle name="Normal 3 2 3 3 2 4 3 3 4" xfId="30371" xr:uid="{34267B84-BB81-4C12-8C46-473BBA220C20}"/>
    <cellStyle name="Normal 3 2 3 3 2 4 3 3 4 2" xfId="31710" xr:uid="{592A1166-586C-44C0-A573-38C22F19E4A2}"/>
    <cellStyle name="Normal 3 2 3 3 2 4 3 4" xfId="30354" xr:uid="{93657840-58F4-4379-9A8A-0046F497FB51}"/>
    <cellStyle name="Normal 3 2 3 3 2 4 3 4 2" xfId="31696" xr:uid="{A40DE0E8-AD45-4E9B-94C0-51490D3093FE}"/>
    <cellStyle name="Normal 3 2 3 3 2 5" xfId="2093" xr:uid="{00000000-0005-0000-0000-000006020000}"/>
    <cellStyle name="Normal 3 2 3 3 2 5 2" xfId="4666" xr:uid="{1B4AA995-6D1E-409F-BFE5-CBE6CD7AB94F}"/>
    <cellStyle name="Normal 3 2 3 3 2 5 3" xfId="30174" xr:uid="{5165A243-F4B8-4207-B6E2-4C6179B2331B}"/>
    <cellStyle name="Normal 3 2 3 3 2 5 3 2" xfId="31318" xr:uid="{FE81CBED-C272-45C6-9FD4-ED32FBB04F14}"/>
    <cellStyle name="Normal 3 2 3 3 2 5 4" xfId="31514" xr:uid="{00EFE9D6-E228-47B1-B203-283A8667D08C}"/>
    <cellStyle name="Normal 3 2 3 3 2 6" xfId="3956" xr:uid="{F8E8F1E1-BBD4-4256-B483-D824BDAE78F4}"/>
    <cellStyle name="Normal 3 2 3 3 2 6 2" xfId="4764" xr:uid="{9F42B403-8D69-4B35-A1B8-4F04141A4544}"/>
    <cellStyle name="Normal 3 2 3 3 2 6 3" xfId="30296" xr:uid="{C496E6E4-1282-47C2-B1C7-9961AE8A150D}"/>
    <cellStyle name="Normal 3 2 3 3 2 6 3 2" xfId="31439" xr:uid="{5A0EDD58-F48D-4E4E-BD06-54CD1EEB56F7}"/>
    <cellStyle name="Normal 3 2 3 3 2 6 4" xfId="31636" xr:uid="{C5452A9F-2C0C-47BC-AC38-CC8ACD830D2A}"/>
    <cellStyle name="Normal 3 2 3 3 2 7" xfId="30117" xr:uid="{019B4B8F-7996-40B8-8487-A11E7446390C}"/>
    <cellStyle name="Normal 3 2 3 3 2 7 2" xfId="30478" xr:uid="{A9A1F17C-F870-4AC2-99F8-4C92612CB29A}"/>
    <cellStyle name="Normal 3 2 3 3 3" xfId="860" xr:uid="{00000000-0005-0000-0000-000009050000}"/>
    <cellStyle name="Normal 3 2 3 3 4" xfId="861" xr:uid="{00000000-0005-0000-0000-00000A050000}"/>
    <cellStyle name="Normal 3 2 3 3 4 2" xfId="862" xr:uid="{00000000-0005-0000-0000-00000B050000}"/>
    <cellStyle name="Normal 3 2 3 3 4 2 2" xfId="863" xr:uid="{00000000-0005-0000-0000-00000C050000}"/>
    <cellStyle name="Normal 3 2 3 3 4 2 2 2" xfId="864" xr:uid="{00000000-0005-0000-0000-00000D050000}"/>
    <cellStyle name="Normal 3 2 3 3 4 2 2 2 2" xfId="1989" xr:uid="{00000000-0005-0000-0000-00000E050000}"/>
    <cellStyle name="Normal 3 2 3 3 4 2 2 2 2 2" xfId="30086" xr:uid="{89E53FE7-94C9-4D91-BBC4-6F94CBF85A44}"/>
    <cellStyle name="Normal 3 2 3 3 4 2 2 2 3" xfId="3713" xr:uid="{00000000-0005-0000-0000-00007A040000}"/>
    <cellStyle name="Normal 3 2 3 3 4 2 2 2 3 2" xfId="4775" xr:uid="{3EE6A992-6E14-412B-A546-1161B9E0D3AE}"/>
    <cellStyle name="Normal 3 2 3 3 4 2 2 2 3 3" xfId="30238" xr:uid="{86BCA4BE-8FF9-4E7A-B9DD-185C56EFBE75}"/>
    <cellStyle name="Normal 3 2 3 3 4 2 2 2 3 3 2" xfId="31381" xr:uid="{1A51DAD1-F532-4907-8058-33633595C8CE}"/>
    <cellStyle name="Normal 3 2 3 3 4 2 2 2 3 4" xfId="31578" xr:uid="{E311BA82-333E-46A3-AD01-6013A34DAC67}"/>
    <cellStyle name="Normal 3 2 3 3 4 2 2 2 4" xfId="24732" xr:uid="{08713468-6514-49F8-B4E6-F61F3C4FDA44}"/>
    <cellStyle name="Normal 3 2 3 3 4 2 2 3" xfId="1990" xr:uid="{00000000-0005-0000-0000-00000F050000}"/>
    <cellStyle name="Normal 3 2 3 3 4 2 2 4" xfId="22853" xr:uid="{FAB5457A-0A0A-428D-8F1B-DAFEE4F83219}"/>
    <cellStyle name="Normal 3 2 3 3 4 2 3" xfId="865" xr:uid="{00000000-0005-0000-0000-000010050000}"/>
    <cellStyle name="Normal 3 2 3 3 4 2 3 2" xfId="866" xr:uid="{00000000-0005-0000-0000-000011050000}"/>
    <cellStyle name="Normal 3 2 3 3 4 2 3 2 2" xfId="24504" xr:uid="{EE8B293B-87C8-42E1-AF32-679531BFDE2A}"/>
    <cellStyle name="Normal 3 2 3 3 4 2 3 2 3" xfId="25816" xr:uid="{7C09AC0D-5F28-421E-9E99-2079FC6A8637}"/>
    <cellStyle name="Normal 3 2 3 3 4 2 3 3" xfId="867" xr:uid="{00000000-0005-0000-0000-000012050000}"/>
    <cellStyle name="Normal 3 2 3 3 4 2 3 3 2" xfId="24082" xr:uid="{5907E1A0-6497-4B7D-B2B6-A65DF4324FD1}"/>
    <cellStyle name="Normal 3 2 3 3 4 2 3 3 3" xfId="24459" xr:uid="{1AA0180D-7B02-4838-9AC9-29190EA47CF7}"/>
    <cellStyle name="Normal 3 2 3 3 4 2 3 4" xfId="2096" xr:uid="{00000000-0005-0000-0000-00000E020000}"/>
    <cellStyle name="Normal 3 2 3 3 4 2 3 4 2" xfId="4716" xr:uid="{84F79AEF-86F1-430E-9A02-46E9B0EA2D4B}"/>
    <cellStyle name="Normal 3 2 3 3 4 2 3 4 3" xfId="30177" xr:uid="{DE26479C-16AF-4053-ADA2-2366C14A6988}"/>
    <cellStyle name="Normal 3 2 3 3 4 2 3 4 3 2" xfId="31321" xr:uid="{98ADDAB9-7E5D-4B1A-B857-1BF8F72E74B4}"/>
    <cellStyle name="Normal 3 2 3 3 4 2 3 4 4" xfId="31517" xr:uid="{C975A579-45FB-4F57-850C-66AA6B19B7DF}"/>
    <cellStyle name="Normal 3 2 3 3 4 2 3 5" xfId="25609" xr:uid="{AE0E7AAC-A35C-4739-83F7-24B2349D3A43}"/>
    <cellStyle name="Normal 3 2 3 3 4 2 3 6" xfId="30536" xr:uid="{5DF49D80-F591-4B6B-AC8D-0AA109DB5F47}"/>
    <cellStyle name="Normal 3 2 3 3 4 2 4" xfId="23282" xr:uid="{607B55E2-785A-4475-A5AF-715CB366B607}"/>
    <cellStyle name="Normal 3 2 3 3 4 3" xfId="868" xr:uid="{00000000-0005-0000-0000-000013050000}"/>
    <cellStyle name="Normal 3 2 3 3 4 4" xfId="2920" xr:uid="{00000000-0005-0000-0000-00001D050000}"/>
    <cellStyle name="Normal 3 2 3 3 4 4 2" xfId="31296" xr:uid="{324C98B1-8E30-4CDB-8616-21FD670B2E3A}"/>
    <cellStyle name="Normal 3 2 3 3 4 5" xfId="2095" xr:uid="{00000000-0005-0000-0000-00000B020000}"/>
    <cellStyle name="Normal 3 2 3 3 4 5 2" xfId="3808" xr:uid="{88D4B6F8-D038-4FA2-9B5E-8BA2B2639DFB}"/>
    <cellStyle name="Normal 3 2 3 3 4 5 3" xfId="30176" xr:uid="{CB02CBFB-77EE-4C98-92E6-6936F3E8C9D8}"/>
    <cellStyle name="Normal 3 2 3 3 4 5 3 2" xfId="31320" xr:uid="{F2C34778-01E7-4E78-BC6F-88ABEE2BEE7D}"/>
    <cellStyle name="Normal 3 2 3 3 4 5 4" xfId="31516" xr:uid="{A79C0C5A-7EDD-4B02-A14A-86F26A0520E9}"/>
    <cellStyle name="Normal 3 2 3 3 4 6" xfId="3958" xr:uid="{5C36214B-B9A0-42AD-97C5-679BC9758736}"/>
    <cellStyle name="Normal 3 2 3 3 4 6 2" xfId="4776" xr:uid="{C6EA1D90-BF83-4CD0-B22B-769466A8D247}"/>
    <cellStyle name="Normal 3 2 3 3 4 6 3" xfId="30298" xr:uid="{9F6F5CBA-D16F-48D0-91E5-EA178C3A599A}"/>
    <cellStyle name="Normal 3 2 3 3 4 6 3 2" xfId="31441" xr:uid="{A0375E49-2C8F-471E-911A-A63C71DA3145}"/>
    <cellStyle name="Normal 3 2 3 3 4 6 4" xfId="31638" xr:uid="{849E470A-FB03-4831-8FE0-135351CE5670}"/>
    <cellStyle name="Normal 3 2 3 3 4 7" xfId="30119" xr:uid="{21708935-4338-4B04-A5B4-2B12A5C766F5}"/>
    <cellStyle name="Normal 3 2 3 3 4 7 2" xfId="30480" xr:uid="{F378E57F-2EEC-4F55-AB97-A5FA15FB5A75}"/>
    <cellStyle name="Normal 3 2 3 3 5" xfId="869" xr:uid="{00000000-0005-0000-0000-000014050000}"/>
    <cellStyle name="Normal 3 2 3 3 5 2" xfId="870" xr:uid="{00000000-0005-0000-0000-000015050000}"/>
    <cellStyle name="Normal 3 2 3 3 5 3" xfId="3714" xr:uid="{00000000-0005-0000-0000-000081040000}"/>
    <cellStyle name="Normal 3 2 3 3 5 3 2" xfId="4789" xr:uid="{345DF071-92C4-4D83-A3A4-5CDB82EFF459}"/>
    <cellStyle name="Normal 3 2 3 3 5 3 2 2" xfId="27326" xr:uid="{36392154-9601-4751-B21A-9FC0AC69F7FB}"/>
    <cellStyle name="Normal 3 2 3 3 5 3 3" xfId="25727" xr:uid="{5EC24068-D279-40A6-85E3-7D41DE988994}"/>
    <cellStyle name="Normal 3 2 3 3 5 3 4" xfId="30239" xr:uid="{57A3C330-EEF1-4F13-A663-4A6AAFC7B558}"/>
    <cellStyle name="Normal 3 2 3 3 5 3 4 2" xfId="31382" xr:uid="{BFC026E1-24FA-40A5-A536-7FBCD1AA6124}"/>
    <cellStyle name="Normal 3 2 3 3 5 3 5" xfId="31579" xr:uid="{78178B15-934C-461A-998B-6869636634B9}"/>
    <cellStyle name="Normal 3 2 3 3 5 4" xfId="25712" xr:uid="{FCFAC2BB-862B-4984-8025-D41B2E849CF9}"/>
    <cellStyle name="Normal 3 2 3 4" xfId="871" xr:uid="{00000000-0005-0000-0000-000016050000}"/>
    <cellStyle name="Normal 3 2 3 4 2" xfId="872" xr:uid="{00000000-0005-0000-0000-000017050000}"/>
    <cellStyle name="Normal 3 2 3 4 3" xfId="873" xr:uid="{00000000-0005-0000-0000-000018050000}"/>
    <cellStyle name="Normal 3 2 3 4 3 2" xfId="874" xr:uid="{00000000-0005-0000-0000-000019050000}"/>
    <cellStyle name="Normal 3 2 3 4 3 2 2" xfId="875" xr:uid="{00000000-0005-0000-0000-00001A050000}"/>
    <cellStyle name="Normal 3 2 3 4 3 2 2 2" xfId="25787" xr:uid="{CF3F732A-3464-44B7-ACAC-54207065C4A1}"/>
    <cellStyle name="Normal 3 2 3 4 3 2 2 3" xfId="24091" xr:uid="{464BB80B-BDC8-41C8-913C-E7E41BB7A4DF}"/>
    <cellStyle name="Normal 3 2 3 4 3 2 3" xfId="876" xr:uid="{00000000-0005-0000-0000-00001B050000}"/>
    <cellStyle name="Normal 3 2 3 4 3 2 3 2" xfId="1991" xr:uid="{00000000-0005-0000-0000-00001C050000}"/>
    <cellStyle name="Normal 3 2 3 4 3 2 3 3" xfId="3715" xr:uid="{00000000-0005-0000-0000-000088040000}"/>
    <cellStyle name="Normal 3 2 3 4 3 2 3 3 2" xfId="4771" xr:uid="{3F5C8904-0CB7-4A62-A566-1B839756158A}"/>
    <cellStyle name="Normal 3 2 3 4 3 2 3 3 3" xfId="30240" xr:uid="{09A3577F-9760-4766-9C2F-D9019747DF4A}"/>
    <cellStyle name="Normal 3 2 3 4 3 2 3 3 3 2" xfId="31383" xr:uid="{A4473E79-1F75-4888-8BBE-EA2C63CD76A1}"/>
    <cellStyle name="Normal 3 2 3 4 3 2 3 3 4" xfId="31580" xr:uid="{4CCDC4C7-EF66-4862-AB6F-4192F6078FC6}"/>
    <cellStyle name="Normal 3 2 3 4 3 2 4" xfId="25825" xr:uid="{1A6B0C1D-1919-427D-8E6B-3883E899BAEA}"/>
    <cellStyle name="Normal 3 2 3 4 3 3" xfId="877" xr:uid="{00000000-0005-0000-0000-00001D050000}"/>
    <cellStyle name="Normal 3 2 3 4 3 4" xfId="2921" xr:uid="{00000000-0005-0000-0000-000023050000}"/>
    <cellStyle name="Normal 3 2 3 4 3 4 2" xfId="31285" xr:uid="{8B70590F-73CC-44E1-B466-2B324B3DBBCB}"/>
    <cellStyle name="Normal 3 2 3 4 3 5" xfId="2098" xr:uid="{00000000-0005-0000-0000-000012020000}"/>
    <cellStyle name="Normal 3 2 3 4 3 5 2" xfId="4671" xr:uid="{C7488697-347C-4027-9144-3C9AC3B4D98F}"/>
    <cellStyle name="Normal 3 2 3 4 3 5 3" xfId="30179" xr:uid="{72FD9D08-8B3A-4237-9D8B-137B965D383B}"/>
    <cellStyle name="Normal 3 2 3 4 3 5 3 2" xfId="31323" xr:uid="{45EA9506-8E31-4B6C-9642-21F6D94811EA}"/>
    <cellStyle name="Normal 3 2 3 4 3 5 4" xfId="31519" xr:uid="{57B4B3E7-6D59-438C-A24A-74EBC3100FE4}"/>
    <cellStyle name="Normal 3 2 3 4 3 6" xfId="3960" xr:uid="{D1FAA155-8172-43EB-ACF9-9A7AA25E3D6E}"/>
    <cellStyle name="Normal 3 2 3 4 3 6 2" xfId="4784" xr:uid="{8A9EA233-ABD3-42E4-B860-F2A4E0132FC1}"/>
    <cellStyle name="Normal 3 2 3 4 3 6 3" xfId="30300" xr:uid="{81B67AB2-71E6-4678-8CF3-9987E9088F9B}"/>
    <cellStyle name="Normal 3 2 3 4 3 6 3 2" xfId="31443" xr:uid="{A98CF9BE-AAE6-4825-8E47-7EAA17C2BBF3}"/>
    <cellStyle name="Normal 3 2 3 4 3 6 4" xfId="31640" xr:uid="{AAEDCB10-67E7-4420-AA2F-0DDA1928FE65}"/>
    <cellStyle name="Normal 3 2 3 4 3 7" xfId="30121" xr:uid="{B13A17FC-0920-42D9-BFD0-704A408A0A4C}"/>
    <cellStyle name="Normal 3 2 3 4 3 7 2" xfId="30482" xr:uid="{10C38449-8AAA-4472-A41E-21A90DBA3EF1}"/>
    <cellStyle name="Normal 3 2 3 4 4" xfId="878" xr:uid="{00000000-0005-0000-0000-00001E050000}"/>
    <cellStyle name="Normal 3 2 3 4 4 2" xfId="1992" xr:uid="{00000000-0005-0000-0000-00001F050000}"/>
    <cellStyle name="Normal 3 2 3 4 4 3" xfId="3716" xr:uid="{00000000-0005-0000-0000-00008B040000}"/>
    <cellStyle name="Normal 3 2 3 4 4 3 2" xfId="4731" xr:uid="{6712E95B-D981-4590-85C2-AC9FC672C3C9}"/>
    <cellStyle name="Normal 3 2 3 4 4 3 3" xfId="30241" xr:uid="{4F7F6943-EDBD-49B8-92F4-C7F6E5EFC9D8}"/>
    <cellStyle name="Normal 3 2 3 4 4 3 3 2" xfId="31384" xr:uid="{7D216875-FD6D-42D1-B93A-66F40255D01A}"/>
    <cellStyle name="Normal 3 2 3 4 4 3 4" xfId="31581" xr:uid="{E9786FEF-20D7-44D2-9C67-93A7FB8E137B}"/>
    <cellStyle name="Normal 3 2 3 4 5" xfId="2097" xr:uid="{00000000-0005-0000-0000-000010020000}"/>
    <cellStyle name="Normal 3 2 3 4 5 2" xfId="3778" xr:uid="{8B0DC8D1-7DE9-4171-A63D-3B65DE7CC539}"/>
    <cellStyle name="Normal 3 2 3 4 5 3" xfId="30178" xr:uid="{92251D01-4C43-436B-89CC-A84B9DD25DD4}"/>
    <cellStyle name="Normal 3 2 3 4 5 3 2" xfId="31322" xr:uid="{FCE2C500-F43A-4375-A00C-E81F083CEF3F}"/>
    <cellStyle name="Normal 3 2 3 4 5 4" xfId="31518" xr:uid="{EB794679-BCC2-4055-AC27-37AACFDD1FB4}"/>
    <cellStyle name="Normal 3 2 3 4 6" xfId="3959" xr:uid="{C6836599-ECCD-4EBB-AA38-ABF0279C67FA}"/>
    <cellStyle name="Normal 3 2 3 4 6 2" xfId="4749" xr:uid="{E32033F8-C2D4-4D9A-8197-D59BB0805FFB}"/>
    <cellStyle name="Normal 3 2 3 4 6 3" xfId="30299" xr:uid="{D8F87D88-0F19-481C-A1CC-3146338754DB}"/>
    <cellStyle name="Normal 3 2 3 4 6 3 2" xfId="31442" xr:uid="{B4A69638-323B-49E7-90F5-90FE0D97664A}"/>
    <cellStyle name="Normal 3 2 3 4 6 4" xfId="31639" xr:uid="{7FD9D19C-1E53-40EA-BF81-22379F781951}"/>
    <cellStyle name="Normal 3 2 3 4 7" xfId="30120" xr:uid="{2902EA16-525C-4490-96D7-08F0557F0425}"/>
    <cellStyle name="Normal 3 2 3 4 7 2" xfId="30481" xr:uid="{DF6E23B2-6945-41B0-8306-2F702DBA91A9}"/>
    <cellStyle name="Normal 3 2 3 5" xfId="2066" xr:uid="{00000000-0005-0000-0000-000003020000}"/>
    <cellStyle name="Normal 3 2 3 5 2" xfId="4738" xr:uid="{1DEEA62F-24B4-4396-B677-5B3167946642}"/>
    <cellStyle name="Normal 3 2 3 5 3" xfId="30166" xr:uid="{75BDF039-D1D0-4720-91AF-54BBB162394D}"/>
    <cellStyle name="Normal 3 2 3 5 3 2" xfId="30483" xr:uid="{7C8CED2E-CFB8-4B18-9B98-486CBBF1CEE6}"/>
    <cellStyle name="Normal 3 2 3 5 4" xfId="31506" xr:uid="{D2C494B6-B581-4571-B629-4078CCA1DF19}"/>
    <cellStyle name="Normal 3 2 3 6" xfId="30112" xr:uid="{2DA27080-57C7-488E-9E66-228C66F3BB6F}"/>
    <cellStyle name="Normal 3 2 3 6 2" xfId="30471" xr:uid="{CBE48B84-9220-4165-B20B-487010328F48}"/>
    <cellStyle name="Normal 3 2 4" xfId="879" xr:uid="{00000000-0005-0000-0000-000020050000}"/>
    <cellStyle name="Normal 3 2 4 2" xfId="880" xr:uid="{00000000-0005-0000-0000-000021050000}"/>
    <cellStyle name="Normal 3 2 4 3" xfId="881" xr:uid="{00000000-0005-0000-0000-000022050000}"/>
    <cellStyle name="Normal 3 2 4 3 2" xfId="882" xr:uid="{00000000-0005-0000-0000-000023050000}"/>
    <cellStyle name="Normal 3 2 4 3 2 2" xfId="883" xr:uid="{00000000-0005-0000-0000-000024050000}"/>
    <cellStyle name="Normal 3 2 4 3 2 2 2" xfId="25818" xr:uid="{3EF99F25-A57D-4DC0-97CB-91B0DD3F630F}"/>
    <cellStyle name="Normal 3 2 4 3 2 2 3" xfId="25695" xr:uid="{19CA29BA-DCD1-4906-9A5C-D706283E436C}"/>
    <cellStyle name="Normal 3 2 4 3 2 3" xfId="884" xr:uid="{00000000-0005-0000-0000-000025050000}"/>
    <cellStyle name="Normal 3 2 4 3 2 3 2" xfId="1993" xr:uid="{00000000-0005-0000-0000-000026050000}"/>
    <cellStyle name="Normal 3 2 4 3 2 3 3" xfId="3717" xr:uid="{00000000-0005-0000-0000-000092040000}"/>
    <cellStyle name="Normal 3 2 4 3 2 3 3 2" xfId="4701" xr:uid="{E7124F84-1902-4C52-813A-2AD87B201F7F}"/>
    <cellStyle name="Normal 3 2 4 3 2 3 3 3" xfId="30242" xr:uid="{FB3B0704-45A1-4B1D-8FF2-DBF25C1101E3}"/>
    <cellStyle name="Normal 3 2 4 3 2 3 3 3 2" xfId="31385" xr:uid="{C389EE42-3048-406A-ACE1-5B5798D31786}"/>
    <cellStyle name="Normal 3 2 4 3 2 3 3 4" xfId="31582" xr:uid="{E69F89CA-AEBA-4937-8B6F-1B0F7B1F1450}"/>
    <cellStyle name="Normal 3 2 4 3 2 4" xfId="23427" xr:uid="{F5F16304-98F9-4382-9EBD-05DA6A2307A4}"/>
    <cellStyle name="Normal 3 2 4 3 3" xfId="885" xr:uid="{00000000-0005-0000-0000-000027050000}"/>
    <cellStyle name="Normal 3 2 4 3 4" xfId="2923" xr:uid="{00000000-0005-0000-0000-00002A050000}"/>
    <cellStyle name="Normal 3 2 4 3 4 2" xfId="31287" xr:uid="{C5493F1B-7833-429B-A3F9-F86186048626}"/>
    <cellStyle name="Normal 3 2 4 3 5" xfId="2100" xr:uid="{00000000-0005-0000-0000-000016020000}"/>
    <cellStyle name="Normal 3 2 4 3 5 2" xfId="4686" xr:uid="{06BFEBE3-1397-400F-9E69-D60195609A34}"/>
    <cellStyle name="Normal 3 2 4 3 5 3" xfId="30181" xr:uid="{CAF84CE8-A6AE-4653-8439-E2C2CC100971}"/>
    <cellStyle name="Normal 3 2 4 3 5 3 2" xfId="31325" xr:uid="{CD2BA927-620B-4490-8DBC-65DFEFB5E7E2}"/>
    <cellStyle name="Normal 3 2 4 3 5 4" xfId="31521" xr:uid="{F7EE645A-A73D-47E9-8833-528052C962F3}"/>
    <cellStyle name="Normal 3 2 4 3 6" xfId="3963" xr:uid="{C9BE7447-0E91-41CB-9714-02F1C566D84A}"/>
    <cellStyle name="Normal 3 2 4 3 6 2" xfId="4788" xr:uid="{0C195683-FC3A-4228-8CFA-81C976438B43}"/>
    <cellStyle name="Normal 3 2 4 3 6 3" xfId="30302" xr:uid="{5B46428E-4B5D-4956-93B7-0F396B73A2B2}"/>
    <cellStyle name="Normal 3 2 4 3 6 3 2" xfId="31445" xr:uid="{5A6B4B77-3513-4B99-8042-BE10B0FA72A0}"/>
    <cellStyle name="Normal 3 2 4 3 6 4" xfId="31642" xr:uid="{B3547189-4D1A-4E73-AD27-78C5227CE173}"/>
    <cellStyle name="Normal 3 2 4 3 7" xfId="30123" xr:uid="{2FC8C8CB-77C8-4CE3-9500-8BBF0E8D3D67}"/>
    <cellStyle name="Normal 3 2 4 3 7 2" xfId="30485" xr:uid="{FF9CD143-3DC5-4E78-9669-CDD5E69991DD}"/>
    <cellStyle name="Normal 3 2 4 4" xfId="2922" xr:uid="{00000000-0005-0000-0000-00002B050000}"/>
    <cellStyle name="Normal 3 2 4 4 2" xfId="25747" xr:uid="{F4A474D2-41DD-4D0C-B5D7-FFDAF17C5566}"/>
    <cellStyle name="Normal 3 2 4 4 2 2" xfId="29626" xr:uid="{0DCF3C32-0EA3-482C-941C-B4A52CDFF34B}"/>
    <cellStyle name="Normal 3 2 4 4 2 3" xfId="29599" xr:uid="{193FC249-A10F-445C-95C0-0B33E7ED076A}"/>
    <cellStyle name="Normal 3 2 4 4 2 3 2" xfId="29643" xr:uid="{150E5878-774A-4368-848F-E3C08FDFC92C}"/>
    <cellStyle name="Normal 3 2 4 4 2 3 3" xfId="30385" xr:uid="{EAB09D60-EC65-4583-A401-605E05C9795F}"/>
    <cellStyle name="Normal 3 2 4 4 2 3 4" xfId="30372" xr:uid="{EC861FD9-BC0C-408C-9531-DE32A58E2953}"/>
    <cellStyle name="Normal 3 2 4 4 2 3 4 2" xfId="31711" xr:uid="{3FB41312-390E-4923-8C3C-F8147726A4F3}"/>
    <cellStyle name="Normal 3 2 4 4 2 4" xfId="30355" xr:uid="{C34059E2-DD63-4FD3-8EEB-54B190A38F45}"/>
    <cellStyle name="Normal 3 2 4 4 2 4 2" xfId="31697" xr:uid="{6DCD7FB8-B5FD-4C77-BBC6-EAED650E4CF3}"/>
    <cellStyle name="Normal 3 2 4 4 3" xfId="24728" xr:uid="{154F7FD8-B3F3-4487-878D-5A0175DAC264}"/>
    <cellStyle name="Normal 3 2 4 5" xfId="2099" xr:uid="{00000000-0005-0000-0000-000014020000}"/>
    <cellStyle name="Normal 3 2 4 5 2" xfId="4645" xr:uid="{3EC2113D-E49B-4038-9F23-778F9B5DB2AD}"/>
    <cellStyle name="Normal 3 2 4 5 3" xfId="30180" xr:uid="{8EA82334-E7EE-4E69-990C-4DEAF38099AA}"/>
    <cellStyle name="Normal 3 2 4 5 3 2" xfId="31324" xr:uid="{E9CBBCA5-54AD-468F-B466-AB0737888486}"/>
    <cellStyle name="Normal 3 2 4 5 4" xfId="31520" xr:uid="{B5FE814E-E042-40D9-B41A-A129B9C70AF7}"/>
    <cellStyle name="Normal 3 2 4 6" xfId="3962" xr:uid="{7B02E248-334A-4390-803D-03A9529B2562}"/>
    <cellStyle name="Normal 3 2 4 6 2" xfId="4817" xr:uid="{2DE6B781-6A0F-4C4A-A762-5BA32CF9F8AB}"/>
    <cellStyle name="Normal 3 2 4 6 3" xfId="30301" xr:uid="{DD7F06BC-48FB-45F1-B5D9-2F7DC116529F}"/>
    <cellStyle name="Normal 3 2 4 6 3 2" xfId="31444" xr:uid="{F10D9DC9-263D-4EE8-996D-1DD37EFF76EA}"/>
    <cellStyle name="Normal 3 2 4 6 4" xfId="31641" xr:uid="{BCC20E6B-1DD8-47F1-B716-180F52FE094F}"/>
    <cellStyle name="Normal 3 2 4 7" xfId="30122" xr:uid="{2CF31ED3-BF8A-4420-A35A-63A9374EE9CB}"/>
    <cellStyle name="Normal 3 2 4 7 2" xfId="30484" xr:uid="{E8D1DD0B-859F-4702-9615-4F14D8E78C95}"/>
    <cellStyle name="Normal 3 2 5" xfId="29571" xr:uid="{750150B5-C7CA-4EA6-BA0D-6C0AEF29E2A9}"/>
    <cellStyle name="Normal 3 2 5 2" xfId="29630" xr:uid="{FC40ABBD-3EDE-4371-9FF9-A208F204AC39}"/>
    <cellStyle name="Normal 3 2 5 2 2" xfId="31250" xr:uid="{F12AF8C4-3DE1-4158-AA8E-7806F3A8EF51}"/>
    <cellStyle name="Normal 3 2 5 2 3" xfId="30467" xr:uid="{A19572E5-C2FE-4995-B8C9-236F90541CCE}"/>
    <cellStyle name="Normal 3 2 5 3" xfId="29600" xr:uid="{4BE0FB2A-CFA3-46C2-A6F3-5BD4CCDE876F}"/>
    <cellStyle name="Normal 3 2 5 3 2" xfId="29644" xr:uid="{012C5423-63EC-45C8-AB0D-9143CDABBBAF}"/>
    <cellStyle name="Normal 3 2 5 3 3" xfId="30386" xr:uid="{61D53CD0-CA5E-4F77-91D4-46F773F8DF85}"/>
    <cellStyle name="Normal 3 2 5 3 4" xfId="30373" xr:uid="{901B8119-F76A-44E0-936C-BA78095F8F22}"/>
    <cellStyle name="Normal 3 2 5 3 4 2" xfId="31712" xr:uid="{48E12EBD-4D36-46FA-BCC1-A806C8B17EDF}"/>
    <cellStyle name="Normal 3 2 5 4" xfId="29634" xr:uid="{B70E0C93-0F24-4A65-9A4C-6AA94B1973D9}"/>
    <cellStyle name="Normal 3 2 5 5" xfId="30356" xr:uid="{8D54E739-13BE-4332-8917-3C2D88CE836D}"/>
    <cellStyle name="Normal 3 2 5 5 2" xfId="31244" xr:uid="{93394BE0-19B6-4E50-8418-A98C9A434D03}"/>
    <cellStyle name="Normal 3 2 5 5 3" xfId="31698" xr:uid="{59429AA2-65FA-427B-BCCC-AF076B796573}"/>
    <cellStyle name="Normal 3 2 6" xfId="30109" xr:uid="{E75C1CB2-D09F-4E20-9707-91B0AD896C89}"/>
    <cellStyle name="Normal 3 2 6 2" xfId="31495" xr:uid="{75618FDA-0DC1-449E-A37B-B4C7EE151DBA}"/>
    <cellStyle name="Normal 3 3" xfId="886" xr:uid="{00000000-0005-0000-0000-000028050000}"/>
    <cellStyle name="Normal 3 3 2" xfId="29572" xr:uid="{255EAE38-A587-454A-A10E-047DE88AEFA0}"/>
    <cellStyle name="Normal 3 4" xfId="29573" xr:uid="{2F3070F6-1C88-4374-9425-21AEE0A4DFFB}"/>
    <cellStyle name="Normal 3 4 2" xfId="29631" xr:uid="{56437A54-78A7-4336-835A-B2D545FA46F6}"/>
    <cellStyle name="Normal 3 4 3" xfId="29592" xr:uid="{8EA9A8F3-AE43-4EF4-960D-AD7C26FB738D}"/>
    <cellStyle name="Normal 4" xfId="887" xr:uid="{00000000-0005-0000-0000-000029050000}"/>
    <cellStyle name="Normal 4 10" xfId="888" xr:uid="{00000000-0005-0000-0000-00002A050000}"/>
    <cellStyle name="Normal 4 10 10" xfId="9777" xr:uid="{124714D4-58FE-4A1A-95C3-0A3FC13E102A}"/>
    <cellStyle name="Normal 4 10 10 2" xfId="20157" xr:uid="{75151CA6-0830-4718-974F-DA1C711EC993}"/>
    <cellStyle name="Normal 4 10 11" xfId="22800" xr:uid="{DF8820E2-133B-4E33-BD57-2890C0DB6BE3}"/>
    <cellStyle name="Normal 4 10 12" xfId="12579" xr:uid="{A0231339-5278-4006-B10A-D98724736073}"/>
    <cellStyle name="Normal 4 10 2" xfId="889" xr:uid="{00000000-0005-0000-0000-00002B050000}"/>
    <cellStyle name="Normal 4 10 2 2" xfId="890" xr:uid="{00000000-0005-0000-0000-00002C050000}"/>
    <cellStyle name="Normal 4 10 2 2 2" xfId="5196" xr:uid="{2F990ED6-C403-433B-9416-DF936D9A58B9}"/>
    <cellStyle name="Normal 4 10 2 2 2 2" xfId="25733" xr:uid="{8EAC1899-FCAE-42AF-B292-F3C46DB240FD}"/>
    <cellStyle name="Normal 4 10 2 2 2 3" xfId="27275" xr:uid="{A64401EC-5285-4578-B7C7-D6B097D78689}"/>
    <cellStyle name="Normal 4 10 2 2 2 4" xfId="14493" xr:uid="{E7C4EC7E-9AAD-49FD-B157-0C8E5BCC24FC}"/>
    <cellStyle name="Normal 4 10 2 2 3" xfId="6946" xr:uid="{52EE871B-7087-409F-9C4F-E922AA7F83F3}"/>
    <cellStyle name="Normal 4 10 2 2 3 2" xfId="27607" xr:uid="{EDB7409E-4EFD-4903-9940-6903E7494269}"/>
    <cellStyle name="Normal 4 10 2 2 3 3" xfId="26627" xr:uid="{BAC96558-61F5-4DE7-BDC4-B43C1B7A7531}"/>
    <cellStyle name="Normal 4 10 2 2 3 4" xfId="17326" xr:uid="{76CC529E-0A0D-42AD-81FA-974DF2153082}"/>
    <cellStyle name="Normal 4 10 2 2 4" xfId="9779" xr:uid="{DBBF66FF-173D-4216-935C-22F75CD999F5}"/>
    <cellStyle name="Normal 4 10 2 2 4 2" xfId="29407" xr:uid="{89B580D3-DD76-45DF-8750-08C22EC08327}"/>
    <cellStyle name="Normal 4 10 2 2 4 3" xfId="20159" xr:uid="{4ECA2B16-6E25-4D5B-AFA6-B30E1F70021C}"/>
    <cellStyle name="Normal 4 10 2 2 5" xfId="23921" xr:uid="{104E3D88-6CBC-44D8-B9F2-BEAC9DD3083B}"/>
    <cellStyle name="Normal 4 10 2 2 6" xfId="13819" xr:uid="{9E4BF900-B394-4381-A3AD-81D1670F5184}"/>
    <cellStyle name="Normal 4 10 2 3" xfId="2759" xr:uid="{00000000-0005-0000-0000-000031050000}"/>
    <cellStyle name="Normal 4 10 2 3 2" xfId="5977" xr:uid="{CD34A8B9-3B58-4C5E-9CD2-ACBBE4EE33D3}"/>
    <cellStyle name="Normal 4 10 2 3 2 2" xfId="27608" xr:uid="{57EC37BA-FA62-4027-8554-F8D55147A022}"/>
    <cellStyle name="Normal 4 10 2 3 2 3" xfId="15430" xr:uid="{AD4EA0E3-BDF6-4138-BDE3-11682B8BF146}"/>
    <cellStyle name="Normal 4 10 2 3 3" xfId="7883" xr:uid="{A88F4761-7BB3-4048-BEB8-B05CE1392E24}"/>
    <cellStyle name="Normal 4 10 2 3 3 2" xfId="18263" xr:uid="{4F2930A9-615B-4D19-A7D8-75C546950B3C}"/>
    <cellStyle name="Normal 4 10 2 3 4" xfId="10716" xr:uid="{1A351FCC-9811-46B5-BF3B-5BB71B02F51D}"/>
    <cellStyle name="Normal 4 10 2 3 4 2" xfId="21096" xr:uid="{003F525A-3718-4585-88D3-595F3991A7B1}"/>
    <cellStyle name="Normal 4 10 2 3 5" xfId="23269" xr:uid="{F222276F-E2A3-49D9-8473-5AB2636BB857}"/>
    <cellStyle name="Normal 4 10 2 3 6" xfId="13205" xr:uid="{F353F1D6-BE84-4FA7-99E5-62DCA8E8199A}"/>
    <cellStyle name="Normal 4 10 2 4" xfId="4177" xr:uid="{64D4522C-9833-489C-A11E-8967B3AE04DC}"/>
    <cellStyle name="Normal 4 10 2 4 2" xfId="8949" xr:uid="{4A4CF90D-1119-4D6F-9E60-40792F233AB2}"/>
    <cellStyle name="Normal 4 10 2 4 2 2" xfId="29039" xr:uid="{C6649890-FA54-4194-AFE2-7FB2A9751A0E}"/>
    <cellStyle name="Normal 4 10 2 4 2 3" xfId="19329" xr:uid="{E43D67DB-6AFB-4D7F-A589-3770049FB9B0}"/>
    <cellStyle name="Normal 4 10 2 4 3" xfId="11782" xr:uid="{4A9C5750-FFB1-49CA-96CA-C07EBA6AC803}"/>
    <cellStyle name="Normal 4 10 2 4 3 2" xfId="22162" xr:uid="{2468264E-ABFB-4540-9DD4-0F7D7AD581B4}"/>
    <cellStyle name="Normal 4 10 2 4 4" xfId="23561" xr:uid="{B21780F6-0BF4-45CE-A462-C823F73BF55B}"/>
    <cellStyle name="Normal 4 10 2 4 5" xfId="16496" xr:uid="{DAFC14F9-0A12-427D-99CD-D54784F738DB}"/>
    <cellStyle name="Normal 4 10 2 5" xfId="5195" xr:uid="{4C483B6D-F99C-4B05-A1C7-57FA01DAB4FE}"/>
    <cellStyle name="Normal 4 10 2 5 2" xfId="28295" xr:uid="{FEBE1B3F-2BA5-47F7-BDDB-4A373A169525}"/>
    <cellStyle name="Normal 4 10 2 5 3" xfId="14492" xr:uid="{47A2088D-36D2-43B9-BB01-2CE873797F06}"/>
    <cellStyle name="Normal 4 10 2 6" xfId="6945" xr:uid="{1812DBF2-AC43-42C8-BB06-3A4BCCF931A4}"/>
    <cellStyle name="Normal 4 10 2 6 2" xfId="17325" xr:uid="{BD41452F-9AA6-46CE-9258-469684009A0E}"/>
    <cellStyle name="Normal 4 10 2 7" xfId="9778" xr:uid="{38551E4C-25A5-4760-BDFD-02D162B85D0F}"/>
    <cellStyle name="Normal 4 10 2 7 2" xfId="20158" xr:uid="{FCFD3159-8091-4CAA-9037-3A42E64BE277}"/>
    <cellStyle name="Normal 4 10 2 8" xfId="23611" xr:uid="{7F941E2A-5B00-435A-803E-7194FC9FD7CA}"/>
    <cellStyle name="Normal 4 10 2 9" xfId="12737" xr:uid="{9CDAF916-CA42-4BCB-898B-C40C959CFE87}"/>
    <cellStyle name="Normal 4 10 3" xfId="891" xr:uid="{00000000-0005-0000-0000-00002D050000}"/>
    <cellStyle name="Normal 4 10 3 2" xfId="4503" xr:uid="{6D16362C-AFEA-486B-8920-367F7420926C}"/>
    <cellStyle name="Normal 4 10 3 2 2" xfId="9275" xr:uid="{99780004-FDCD-4A0B-8152-2B60D64E3786}"/>
    <cellStyle name="Normal 4 10 3 2 2 2" xfId="29258" xr:uid="{2F30D234-DB78-4265-8658-4B0C0ACB0F03}"/>
    <cellStyle name="Normal 4 10 3 2 2 3" xfId="19655" xr:uid="{B1679AD5-1DD9-4259-88D7-6A9BEE476E54}"/>
    <cellStyle name="Normal 4 10 3 2 3" xfId="12108" xr:uid="{50409475-3339-438E-80D2-61FED637081C}"/>
    <cellStyle name="Normal 4 10 3 2 3 2" xfId="22488" xr:uid="{F584AAFA-DE45-43FC-AAB2-E438922775AE}"/>
    <cellStyle name="Normal 4 10 3 2 4" xfId="22876" xr:uid="{997B49FD-8D98-4B16-80E4-A50EDD2F2198}"/>
    <cellStyle name="Normal 4 10 3 2 5" xfId="16822" xr:uid="{ABF2F5DB-F94C-4116-9E2C-9D552532713D}"/>
    <cellStyle name="Normal 4 10 3 3" xfId="5197" xr:uid="{B1CC3607-94B5-4810-A1F3-7395FF18D1D6}"/>
    <cellStyle name="Normal 4 10 3 3 2" xfId="26813" xr:uid="{DF47A49C-0534-4116-AF38-6B71D8670BF1}"/>
    <cellStyle name="Normal 4 10 3 3 3" xfId="28469" xr:uid="{444FA6A7-6F81-48B9-A252-972A6C01D4C5}"/>
    <cellStyle name="Normal 4 10 3 3 4" xfId="14494" xr:uid="{0A2C7E0F-5ACA-417E-80A8-ECD75776F153}"/>
    <cellStyle name="Normal 4 10 3 4" xfId="6947" xr:uid="{4CF10D0D-797B-4C01-A8B0-EA55739C4E27}"/>
    <cellStyle name="Normal 4 10 3 4 2" xfId="25988" xr:uid="{D21D2495-EC4E-44BB-94AE-D83A4A64BA0B}"/>
    <cellStyle name="Normal 4 10 3 4 3" xfId="27106" xr:uid="{D70869A4-D7A0-4CD3-B673-5D493D3B83D5}"/>
    <cellStyle name="Normal 4 10 3 4 4" xfId="17327" xr:uid="{9BAD3453-D6AB-4662-8C5A-2F959146F325}"/>
    <cellStyle name="Normal 4 10 3 5" xfId="9780" xr:uid="{31153C1E-094A-4FAD-A2C8-AED2E6C459AA}"/>
    <cellStyle name="Normal 4 10 3 5 2" xfId="29408" xr:uid="{4DE15F0B-35BB-4D38-A351-1ACED23A656C}"/>
    <cellStyle name="Normal 4 10 3 5 3" xfId="20160" xr:uid="{FD4E44EC-FD3D-4838-A3BF-0409A06AAEAC}"/>
    <cellStyle name="Normal 4 10 3 6" xfId="22990" xr:uid="{909C1C0E-4459-460F-951C-D2504AD3D7ED}"/>
    <cellStyle name="Normal 4 10 3 7" xfId="13820" xr:uid="{78C8ED3A-E916-42F1-9E5C-77BEA5976622}"/>
    <cellStyle name="Normal 4 10 4" xfId="892" xr:uid="{00000000-0005-0000-0000-00002E050000}"/>
    <cellStyle name="Normal 4 10 4 2" xfId="5198" xr:uid="{29225B61-10D6-49E4-B689-7DA29A6BC097}"/>
    <cellStyle name="Normal 4 10 4 2 2" xfId="24956" xr:uid="{AEE2E6C1-3E49-4E6D-88C0-09DAAF73B352}"/>
    <cellStyle name="Normal 4 10 4 2 3" xfId="26659" xr:uid="{A8DEA6AF-CFB8-44D7-88A6-3CE79EA9FEB1}"/>
    <cellStyle name="Normal 4 10 4 2 4" xfId="14495" xr:uid="{67D78960-714B-470E-9828-13225757EC63}"/>
    <cellStyle name="Normal 4 10 4 3" xfId="6948" xr:uid="{3512A52E-2E69-4AEB-A4C3-1CFB7C727ABA}"/>
    <cellStyle name="Normal 4 10 4 3 2" xfId="26558" xr:uid="{BDC09E19-A8DC-4F8A-839B-81911E093972}"/>
    <cellStyle name="Normal 4 10 4 3 3" xfId="17328" xr:uid="{65139410-F264-46EF-B0CB-80BB4D5CA6DD}"/>
    <cellStyle name="Normal 4 10 4 4" xfId="9781" xr:uid="{9A037222-1BFE-4570-BCCA-F6B2B6A7F055}"/>
    <cellStyle name="Normal 4 10 4 4 2" xfId="20161" xr:uid="{6F7FF800-D959-46B1-8723-FBFEA0A67264}"/>
    <cellStyle name="Normal 4 10 4 5" xfId="25038" xr:uid="{23F471A2-23CF-485A-9470-EB8A1B60AB72}"/>
    <cellStyle name="Normal 4 10 4 6" xfId="13435" xr:uid="{CF48DE48-ED86-4D90-A8D2-8D05C52D06FF}"/>
    <cellStyle name="Normal 4 10 5" xfId="2566" xr:uid="{00000000-0005-0000-0000-000034050000}"/>
    <cellStyle name="Normal 4 10 5 2" xfId="5835" xr:uid="{C063FE69-F0E2-4D45-A560-F5030001885F}"/>
    <cellStyle name="Normal 4 10 5 2 2" xfId="27254" xr:uid="{D2E07114-4D43-403F-A8D1-6F81A59FAB76}"/>
    <cellStyle name="Normal 4 10 5 2 3" xfId="15238" xr:uid="{D834FF16-A543-4408-8F3B-37AD9D7D2200}"/>
    <cellStyle name="Normal 4 10 5 3" xfId="7691" xr:uid="{2C1D8F17-BEC3-43B3-8BDF-5F14666295EC}"/>
    <cellStyle name="Normal 4 10 5 3 2" xfId="18071" xr:uid="{2B470397-D95B-4E23-BB26-A2E974794C44}"/>
    <cellStyle name="Normal 4 10 5 4" xfId="10524" xr:uid="{067679B1-BCB4-410A-8AA3-E3D744CAAEFF}"/>
    <cellStyle name="Normal 4 10 5 4 2" xfId="20904" xr:uid="{10588034-D425-43C5-89B9-4325837A8516}"/>
    <cellStyle name="Normal 4 10 5 5" xfId="23394" xr:uid="{2F2F2D2C-FA05-499B-AC2D-4792A25519FF}"/>
    <cellStyle name="Normal 4 10 5 6" xfId="12954" xr:uid="{229E4CD9-6EB7-4CD6-A1B1-887CC1AE238F}"/>
    <cellStyle name="Normal 4 10 6" xfId="2345" xr:uid="{00000000-0005-0000-0000-00002E050000}"/>
    <cellStyle name="Normal 4 10 6 2" xfId="7472" xr:uid="{4C75DB08-23F8-4CAF-ABBC-50AD2AC7055B}"/>
    <cellStyle name="Normal 4 10 6 2 2" xfId="28667" xr:uid="{3A3895A9-3B5F-45D0-A0E2-D3A24D46753B}"/>
    <cellStyle name="Normal 4 10 6 2 3" xfId="17852" xr:uid="{1B249912-E446-4B58-99F3-1998A4168EE2}"/>
    <cellStyle name="Normal 4 10 6 3" xfId="10305" xr:uid="{019AA4D4-5DAF-44D6-AC54-157997CAA51B}"/>
    <cellStyle name="Normal 4 10 6 3 2" xfId="20685" xr:uid="{BFE40670-4102-4F76-B79E-BD0D3BEDD483}"/>
    <cellStyle name="Normal 4 10 6 4" xfId="23919" xr:uid="{AFB31ABC-E8BD-41CA-A82D-D9A333DD9C47}"/>
    <cellStyle name="Normal 4 10 6 5" xfId="15019" xr:uid="{BEB35555-2A89-47A1-9F06-ED7C9DB51EF0}"/>
    <cellStyle name="Normal 4 10 7" xfId="3965" xr:uid="{B398D8AF-AF4D-4953-A867-252CD87A368E}"/>
    <cellStyle name="Normal 4 10 7 2" xfId="8789" xr:uid="{8009325E-848F-44CF-8CE7-93567544C7F0}"/>
    <cellStyle name="Normal 4 10 7 2 2" xfId="19169" xr:uid="{F9015C3A-97F9-40AC-AB6E-36EC3FAA1859}"/>
    <cellStyle name="Normal 4 10 7 3" xfId="11622" xr:uid="{3B9E4398-FE99-49EB-BEBD-84478FB70F66}"/>
    <cellStyle name="Normal 4 10 7 3 2" xfId="22002" xr:uid="{F1D371AA-EE04-4AC1-936E-CABB6B6751A1}"/>
    <cellStyle name="Normal 4 10 7 4" xfId="26388" xr:uid="{8DF31F90-53E0-4729-BD5F-E35C09717A45}"/>
    <cellStyle name="Normal 4 10 7 5" xfId="16336" xr:uid="{A15950AC-AE0A-4B55-ABE7-98852093A5BE}"/>
    <cellStyle name="Normal 4 10 8" xfId="5194" xr:uid="{28570514-D5C4-4905-B43B-63E1E8E56905}"/>
    <cellStyle name="Normal 4 10 8 2" xfId="14491" xr:uid="{50DA1219-777D-49E6-9D7E-F5CD8917938C}"/>
    <cellStyle name="Normal 4 10 9" xfId="6944" xr:uid="{5E75A7EC-434D-4DBD-819F-AAC90135CA2A}"/>
    <cellStyle name="Normal 4 10 9 2" xfId="17324" xr:uid="{3784540D-38F1-4BA6-9FE3-DFA0FD8CD5D0}"/>
    <cellStyle name="Normal 4 11" xfId="893" xr:uid="{00000000-0005-0000-0000-00002F050000}"/>
    <cellStyle name="Normal 4 11 10" xfId="23938" xr:uid="{A29A5C35-9497-4456-94B7-96B69D98276A}"/>
    <cellStyle name="Normal 4 11 11" xfId="12580" xr:uid="{6D83FB98-F686-4977-84D3-7788A74DA022}"/>
    <cellStyle name="Normal 4 11 2" xfId="894" xr:uid="{00000000-0005-0000-0000-000030050000}"/>
    <cellStyle name="Normal 4 11 2 2" xfId="3270" xr:uid="{00000000-0005-0000-0000-000037050000}"/>
    <cellStyle name="Normal 4 11 2 2 2" xfId="6328" xr:uid="{422257B6-64B6-4FD2-9169-C308AC37E45B}"/>
    <cellStyle name="Normal 4 11 2 2 2 2" xfId="27125" xr:uid="{F46424DB-376F-4411-A9D8-5605D89B692E}"/>
    <cellStyle name="Normal 4 11 2 2 2 3" xfId="26633" xr:uid="{DD024171-1188-40BE-8A31-1FE665EDBEA7}"/>
    <cellStyle name="Normal 4 11 2 2 2 4" xfId="15897" xr:uid="{97A83557-1579-438A-BFE1-094E8A17055E}"/>
    <cellStyle name="Normal 4 11 2 2 3" xfId="8350" xr:uid="{4569C23E-23A8-48A1-9133-B6C5EA369EA8}"/>
    <cellStyle name="Normal 4 11 2 2 3 2" xfId="28894" xr:uid="{BCF56927-59AB-4D53-A564-B32C950163A7}"/>
    <cellStyle name="Normal 4 11 2 2 3 3" xfId="18730" xr:uid="{C19E651D-1BFC-49D5-9552-22C808F0466F}"/>
    <cellStyle name="Normal 4 11 2 2 4" xfId="11183" xr:uid="{CC767DF2-F9B1-4098-924A-07048EBA91A7}"/>
    <cellStyle name="Normal 4 11 2 2 4 2" xfId="21563" xr:uid="{2CD66983-92E9-4B98-85FC-BBC62957B6BE}"/>
    <cellStyle name="Normal 4 11 2 2 5" xfId="24395" xr:uid="{AC710497-B596-40CF-B1B6-07673D4BCB8A}"/>
    <cellStyle name="Normal 4 11 2 2 6" xfId="13821" xr:uid="{9D6D4C85-F89E-4BAD-909D-3CEEAEE3060E}"/>
    <cellStyle name="Normal 4 11 2 3" xfId="4178" xr:uid="{A3D9FC9E-C884-4182-99A1-15D851A03328}"/>
    <cellStyle name="Normal 4 11 2 3 2" xfId="8950" xr:uid="{C7D67904-A6B5-4E58-A37E-C61881918787}"/>
    <cellStyle name="Normal 4 11 2 3 2 2" xfId="29040" xr:uid="{11405609-5EB2-410C-B25F-19EA09DFA030}"/>
    <cellStyle name="Normal 4 11 2 3 2 3" xfId="19330" xr:uid="{6AE5F748-CAC3-448E-B693-7E762FA3B88C}"/>
    <cellStyle name="Normal 4 11 2 3 3" xfId="11783" xr:uid="{7656FD9F-4FAD-40CE-A345-FB3061CF248B}"/>
    <cellStyle name="Normal 4 11 2 3 3 2" xfId="22163" xr:uid="{A54CC9F8-27FF-48D5-9D56-9F66588D7148}"/>
    <cellStyle name="Normal 4 11 2 3 4" xfId="25441" xr:uid="{BE5BA760-5708-4590-9737-59AD92AAA8C0}"/>
    <cellStyle name="Normal 4 11 2 3 5" xfId="16497" xr:uid="{EDA214D0-3AC0-41E4-B616-F2DF26D4EADC}"/>
    <cellStyle name="Normal 4 11 2 4" xfId="5200" xr:uid="{EF58BE6A-9D74-4955-A514-6CA8700A9761}"/>
    <cellStyle name="Normal 4 11 2 4 2" xfId="27748" xr:uid="{69DE0498-5475-4844-A90A-D921B160EFC8}"/>
    <cellStyle name="Normal 4 11 2 4 3" xfId="26361" xr:uid="{E6DE96F4-08A3-4961-9CB4-43EBCB6DE24A}"/>
    <cellStyle name="Normal 4 11 2 4 4" xfId="14497" xr:uid="{C972E08F-E1D7-4653-AD82-C092706F6C00}"/>
    <cellStyle name="Normal 4 11 2 5" xfId="6950" xr:uid="{007FB6E7-99CC-45B7-ACD4-30A70BB9F5BC}"/>
    <cellStyle name="Normal 4 11 2 5 2" xfId="28220" xr:uid="{FB989381-3645-4DDC-9DE2-E0E023733860}"/>
    <cellStyle name="Normal 4 11 2 5 3" xfId="17330" xr:uid="{471B6248-D563-42FC-A1C8-9DB1B363A447}"/>
    <cellStyle name="Normal 4 11 2 6" xfId="9783" xr:uid="{98266657-D830-4610-8642-E34883EA72F7}"/>
    <cellStyle name="Normal 4 11 2 6 2" xfId="20163" xr:uid="{49BA9DDC-07D8-4507-AF2B-3F39882F6F56}"/>
    <cellStyle name="Normal 4 11 2 7" xfId="25481" xr:uid="{ECF008C8-FC1C-4156-9A22-45B511EE75F9}"/>
    <cellStyle name="Normal 4 11 2 8" xfId="12738" xr:uid="{CE750F0B-A59A-4848-8DA5-C2DA04F39545}"/>
    <cellStyle name="Normal 4 11 3" xfId="895" xr:uid="{00000000-0005-0000-0000-000031050000}"/>
    <cellStyle name="Normal 4 11 3 2" xfId="5201" xr:uid="{2E1820E0-DE5F-4951-BE40-AF1BF1A5D85C}"/>
    <cellStyle name="Normal 4 11 3 2 2" xfId="24248" xr:uid="{C3DCA927-B467-4C00-A75E-43B6B016A296}"/>
    <cellStyle name="Normal 4 11 3 2 3" xfId="27242" xr:uid="{6E42BF50-B2C1-4048-8C98-9746AA620B1F}"/>
    <cellStyle name="Normal 4 11 3 2 4" xfId="14498" xr:uid="{663F1602-3A8D-4050-9CB9-361C7838F1F8}"/>
    <cellStyle name="Normal 4 11 3 3" xfId="6951" xr:uid="{973B1C10-A9BC-4745-B24D-13C25E42E6D2}"/>
    <cellStyle name="Normal 4 11 3 3 2" xfId="26571" xr:uid="{1DAFE79A-FE64-4642-B880-E98401DB157E}"/>
    <cellStyle name="Normal 4 11 3 3 3" xfId="28711" xr:uid="{75F174E4-2B25-4693-A6D5-871A4C36939D}"/>
    <cellStyle name="Normal 4 11 3 3 4" xfId="17331" xr:uid="{FEC46F4D-76FF-4B41-8C9D-7F4B291D7522}"/>
    <cellStyle name="Normal 4 11 3 4" xfId="9784" xr:uid="{EC7D2FDD-2E66-42A9-AC23-21C61A1E8C9A}"/>
    <cellStyle name="Normal 4 11 3 4 2" xfId="27752" xr:uid="{F3C55A00-23B5-4E74-9342-14BB92757CAF}"/>
    <cellStyle name="Normal 4 11 3 4 3" xfId="29409" xr:uid="{23CECA96-2D78-4419-AADB-1FA77B4D92E3}"/>
    <cellStyle name="Normal 4 11 3 4 4" xfId="20164" xr:uid="{FF34C308-F182-4723-B386-56478E6A88EF}"/>
    <cellStyle name="Normal 4 11 3 5" xfId="24593" xr:uid="{DF4D5370-9363-4815-A144-5ED2EF678EC5}"/>
    <cellStyle name="Normal 4 11 3 6" xfId="27721" xr:uid="{237FAA27-9CA0-450E-9D6F-0C0AB50910A1}"/>
    <cellStyle name="Normal 4 11 3 7" xfId="13436" xr:uid="{A0E6ECE3-32F4-42B3-A9FE-51B01B004F69}"/>
    <cellStyle name="Normal 4 11 4" xfId="2760" xr:uid="{00000000-0005-0000-0000-000039050000}"/>
    <cellStyle name="Normal 4 11 4 2" xfId="5978" xr:uid="{87A430AB-7C63-4393-8C18-8DE595F89E92}"/>
    <cellStyle name="Normal 4 11 4 2 2" xfId="28308" xr:uid="{31479A3D-AA0F-433C-B726-845ECA7A4BC0}"/>
    <cellStyle name="Normal 4 11 4 2 3" xfId="15431" xr:uid="{75316486-30EA-4BAD-8A8A-4DB3E06AE648}"/>
    <cellStyle name="Normal 4 11 4 3" xfId="7884" xr:uid="{59D3A377-8E3F-490C-AFC1-D62BE1481183}"/>
    <cellStyle name="Normal 4 11 4 3 2" xfId="18264" xr:uid="{7674B51C-0A1C-4E03-ABDF-45DA282D52AB}"/>
    <cellStyle name="Normal 4 11 4 4" xfId="10717" xr:uid="{C782FBDC-F705-474F-8D14-AA325DD20226}"/>
    <cellStyle name="Normal 4 11 4 4 2" xfId="21097" xr:uid="{600158EB-E64C-439A-929E-ACD4D2F9D856}"/>
    <cellStyle name="Normal 4 11 4 5" xfId="24950" xr:uid="{7FF11B45-EE3F-4E2E-9A33-BF5853286B4F}"/>
    <cellStyle name="Normal 4 11 4 6" xfId="13206" xr:uid="{460D5277-D7C3-45F0-8C8B-3F5DBB214757}"/>
    <cellStyle name="Normal 4 11 5" xfId="2346" xr:uid="{00000000-0005-0000-0000-000035050000}"/>
    <cellStyle name="Normal 4 11 5 2" xfId="7473" xr:uid="{A7C97C58-31CC-48D5-BFB5-342305988F1C}"/>
    <cellStyle name="Normal 4 11 5 2 2" xfId="26211" xr:uid="{A2A640B7-60A5-49CF-BE18-57135DF6ECC8}"/>
    <cellStyle name="Normal 4 11 5 2 3" xfId="17853" xr:uid="{DEF1BADF-27BA-40D9-9927-23D01BD0883B}"/>
    <cellStyle name="Normal 4 11 5 3" xfId="10306" xr:uid="{9E9C59F0-0F99-4144-8617-DC0696ED2F12}"/>
    <cellStyle name="Normal 4 11 5 3 2" xfId="20686" xr:uid="{0C5B0B88-29E2-46B6-9CA2-37732EDBCBE4}"/>
    <cellStyle name="Normal 4 11 5 4" xfId="25363" xr:uid="{81C3F1E4-9E0A-4E0A-A47A-CBC1B9184618}"/>
    <cellStyle name="Normal 4 11 5 5" xfId="15020" xr:uid="{DB74DC40-0A53-4821-AE60-5974F9179CC8}"/>
    <cellStyle name="Normal 4 11 6" xfId="3966" xr:uid="{D703879A-933B-41A7-9664-DAA4B46FCA44}"/>
    <cellStyle name="Normal 4 11 6 2" xfId="8790" xr:uid="{0149D366-A63E-4BD8-B369-D310338AE810}"/>
    <cellStyle name="Normal 4 11 6 2 2" xfId="28983" xr:uid="{62A53759-9DD3-459A-AB38-1EF4A4B0B2DA}"/>
    <cellStyle name="Normal 4 11 6 2 3" xfId="19170" xr:uid="{C3D1823F-54EF-4F86-84D8-24599B1B7392}"/>
    <cellStyle name="Normal 4 11 6 3" xfId="11623" xr:uid="{9C84C254-5ADB-4981-A58D-3707101C53F7}"/>
    <cellStyle name="Normal 4 11 6 3 2" xfId="22003" xr:uid="{C6B4FB51-3192-4CB1-83D5-9EA7767ED264}"/>
    <cellStyle name="Normal 4 11 6 4" xfId="26956" xr:uid="{ACEEAE4C-42A7-46E1-8B88-C05C490ABBA1}"/>
    <cellStyle name="Normal 4 11 6 5" xfId="16337" xr:uid="{6C119AF7-4A86-4498-8290-777197E2AC60}"/>
    <cellStyle name="Normal 4 11 7" xfId="5199" xr:uid="{FD4783AB-79C3-462C-A7FF-FAEA4D5C2554}"/>
    <cellStyle name="Normal 4 11 7 2" xfId="28179" xr:uid="{1653654F-B952-43C3-8408-1156CECA0D2A}"/>
    <cellStyle name="Normal 4 11 7 3" xfId="14496" xr:uid="{2C7E8C08-4106-4B1D-86AC-6D30513B53E4}"/>
    <cellStyle name="Normal 4 11 8" xfId="6949" xr:uid="{2D3ADE6F-1842-4DCA-B659-5658EE21816A}"/>
    <cellStyle name="Normal 4 11 8 2" xfId="17329" xr:uid="{09F1D264-CA33-4FD5-8177-CD4AC8AC82D8}"/>
    <cellStyle name="Normal 4 11 9" xfId="9782" xr:uid="{5CC4D5CD-5FF7-4908-8DE7-35F60A6F9315}"/>
    <cellStyle name="Normal 4 11 9 2" xfId="20162" xr:uid="{E34969DE-2D7D-4AB6-A25A-9CB7EBA817FC}"/>
    <cellStyle name="Normal 4 12" xfId="896" xr:uid="{00000000-0005-0000-0000-000032050000}"/>
    <cellStyle name="Normal 4 12 10" xfId="12581" xr:uid="{DCABE360-45B6-4EA3-B5F4-36017D22F2CC}"/>
    <cellStyle name="Normal 4 12 2" xfId="897" xr:uid="{00000000-0005-0000-0000-000033050000}"/>
    <cellStyle name="Normal 4 12 2 2" xfId="2924" xr:uid="{00000000-0005-0000-0000-00003C050000}"/>
    <cellStyle name="Normal 4 12 2 2 2" xfId="6104" xr:uid="{634A1D84-B3FF-4062-B730-9391367CEA8B}"/>
    <cellStyle name="Normal 4 12 2 2 2 2" xfId="27168" xr:uid="{6CEFEC1B-9FDD-49AE-9D25-3A2253BCED70}"/>
    <cellStyle name="Normal 4 12 2 2 2 3" xfId="28747" xr:uid="{1D2F5DE6-BEA4-4A5C-B0C7-7D184973EF21}"/>
    <cellStyle name="Normal 4 12 2 2 2 4" xfId="15582" xr:uid="{27B295EA-F7A8-45B4-AB68-556507B428EA}"/>
    <cellStyle name="Normal 4 12 2 2 3" xfId="8035" xr:uid="{616C26B3-947A-49FA-BD36-3B2A420356CF}"/>
    <cellStyle name="Normal 4 12 2 2 3 2" xfId="28459" xr:uid="{05AA4C15-B790-495B-8255-79ED4BFB713F}"/>
    <cellStyle name="Normal 4 12 2 2 3 3" xfId="18415" xr:uid="{7403AFF8-7A6D-4366-8E7B-04CB4DA435BF}"/>
    <cellStyle name="Normal 4 12 2 2 4" xfId="10868" xr:uid="{0B66BEA1-2DA0-4971-AF66-14DA741A6ABA}"/>
    <cellStyle name="Normal 4 12 2 2 4 2" xfId="21248" xr:uid="{9A9A3C3E-A45C-4BB5-AD82-E772F9CC6453}"/>
    <cellStyle name="Normal 4 12 2 2 5" xfId="24515" xr:uid="{04AB7646-A1EF-4009-8334-09BD6D6CBC7F}"/>
    <cellStyle name="Normal 4 12 2 2 6" xfId="13437" xr:uid="{625EDEB5-736B-4FA7-9D86-01E759B994F5}"/>
    <cellStyle name="Normal 4 12 2 3" xfId="5203" xr:uid="{B217F201-1C7B-45FA-A90D-4F20461B5B19}"/>
    <cellStyle name="Normal 4 12 2 3 2" xfId="25722" xr:uid="{AA7395DA-514E-4EC9-B956-A8C021B2863E}"/>
    <cellStyle name="Normal 4 12 2 3 3" xfId="28389" xr:uid="{64F7476D-DA2B-4C85-830C-601C77AECF00}"/>
    <cellStyle name="Normal 4 12 2 3 4" xfId="14500" xr:uid="{26027C43-C40B-400B-AE4D-8C8B51EBBF56}"/>
    <cellStyle name="Normal 4 12 2 4" xfId="6953" xr:uid="{2DF026E7-287B-46D0-B40E-31BC81BB5547}"/>
    <cellStyle name="Normal 4 12 2 4 2" xfId="26894" xr:uid="{285CBFB0-56D2-43FA-9CDA-49B0387CB8AB}"/>
    <cellStyle name="Normal 4 12 2 4 3" xfId="26340" xr:uid="{F75AB44A-7251-4C39-8A84-FF4B43878775}"/>
    <cellStyle name="Normal 4 12 2 4 4" xfId="17333" xr:uid="{ADE3DD7F-7755-4823-9BD2-920113558A47}"/>
    <cellStyle name="Normal 4 12 2 5" xfId="9786" xr:uid="{9F0D8B6E-82C2-41E7-B057-8D66EF34F6CA}"/>
    <cellStyle name="Normal 4 12 2 5 2" xfId="29410" xr:uid="{183E9DC0-EE97-4D29-A17B-EFFA4F49DFB9}"/>
    <cellStyle name="Normal 4 12 2 5 3" xfId="20166" xr:uid="{5592E532-6E39-4B49-BE7D-5AD8AD3151C4}"/>
    <cellStyle name="Normal 4 12 2 6" xfId="23953" xr:uid="{EE0AA853-C38D-4770-A55C-847C9BC23139}"/>
    <cellStyle name="Normal 4 12 2 7" xfId="12739" xr:uid="{98562FE7-8A01-4979-A47E-9D928F196E2D}"/>
    <cellStyle name="Normal 4 12 3" xfId="898" xr:uid="{00000000-0005-0000-0000-000034050000}"/>
    <cellStyle name="Normal 4 12 3 2" xfId="5204" xr:uid="{CD64FA4D-5C8C-4AAF-9645-E09F3284E44B}"/>
    <cellStyle name="Normal 4 12 3 2 2" xfId="26741" xr:uid="{E5D20643-BFEE-45D2-B711-C150E749A21F}"/>
    <cellStyle name="Normal 4 12 3 2 3" xfId="26210" xr:uid="{3D2A3F0B-3F2B-4DA2-BD81-0958B9476F82}"/>
    <cellStyle name="Normal 4 12 3 2 4" xfId="14501" xr:uid="{267076F1-174C-4F9E-91BC-8AC70DB875E3}"/>
    <cellStyle name="Normal 4 12 3 3" xfId="6954" xr:uid="{CCF2BDA1-E7FE-4016-B600-01C32C5F9F63}"/>
    <cellStyle name="Normal 4 12 3 3 2" xfId="28627" xr:uid="{016B5C70-6D14-4500-B488-0CBAA4F7952F}"/>
    <cellStyle name="Normal 4 12 3 3 3" xfId="27124" xr:uid="{8695EB15-05C1-4107-80DB-8ABED91F2CFA}"/>
    <cellStyle name="Normal 4 12 3 3 4" xfId="17334" xr:uid="{46A2F113-93FC-4F7A-85D5-26AF1CF23737}"/>
    <cellStyle name="Normal 4 12 3 4" xfId="9787" xr:uid="{DE57C4DF-BE71-4218-B83D-48C5AFE60B98}"/>
    <cellStyle name="Normal 4 12 3 4 2" xfId="29411" xr:uid="{45DDAEE3-5E62-49C3-95DD-4C3223D521A4}"/>
    <cellStyle name="Normal 4 12 3 4 3" xfId="20167" xr:uid="{85DC60C8-A7EE-48C4-9507-C530C54A7198}"/>
    <cellStyle name="Normal 4 12 3 5" xfId="25021" xr:uid="{CEE429F4-2DEE-4700-A91D-D56E10462C09}"/>
    <cellStyle name="Normal 4 12 3 6" xfId="13207" xr:uid="{72AB36CC-13CA-44A9-8D88-F8D15F095357}"/>
    <cellStyle name="Normal 4 12 4" xfId="2347" xr:uid="{00000000-0005-0000-0000-00003A050000}"/>
    <cellStyle name="Normal 4 12 4 2" xfId="7474" xr:uid="{7C3BF43B-8669-497C-BFB5-14A2ECFB945C}"/>
    <cellStyle name="Normal 4 12 4 2 2" xfId="27277" xr:uid="{1A352666-929F-4969-ACBD-A3F9BE3A52DC}"/>
    <cellStyle name="Normal 4 12 4 2 3" xfId="17854" xr:uid="{70C770E9-C532-4702-8143-601419A1FBB6}"/>
    <cellStyle name="Normal 4 12 4 3" xfId="10307" xr:uid="{1769F406-21D2-4352-B632-41BA7F254E85}"/>
    <cellStyle name="Normal 4 12 4 3 2" xfId="20687" xr:uid="{C3EC5278-2AEB-4E7D-AE2A-7D13C0631397}"/>
    <cellStyle name="Normal 4 12 4 4" xfId="24205" xr:uid="{7EA7E858-9348-4727-8A46-7F661803DF3D}"/>
    <cellStyle name="Normal 4 12 4 5" xfId="15021" xr:uid="{18E7A2D1-2F0E-4D38-9A05-EF980972580D}"/>
    <cellStyle name="Normal 4 12 5" xfId="3967" xr:uid="{E45DB84D-C2E0-41C1-9817-A5A46BDFB000}"/>
    <cellStyle name="Normal 4 12 5 2" xfId="8791" xr:uid="{F2BE4F5B-71C8-4D96-ABD8-802C9C633C70}"/>
    <cellStyle name="Normal 4 12 5 2 2" xfId="28984" xr:uid="{92BDFB93-1FD9-434E-8573-AF9736FCD7A7}"/>
    <cellStyle name="Normal 4 12 5 2 3" xfId="19171" xr:uid="{BD863C3A-8279-4A1E-B14C-0410FBE9F500}"/>
    <cellStyle name="Normal 4 12 5 3" xfId="11624" xr:uid="{BBCEF7F9-6A49-4FB3-86B4-02ADBA6CD554}"/>
    <cellStyle name="Normal 4 12 5 3 2" xfId="22004" xr:uid="{07DBF146-159A-4C15-B659-0C96044AC077}"/>
    <cellStyle name="Normal 4 12 5 4" xfId="25644" xr:uid="{A5F3C60B-AED3-4A29-9B95-F4A30F1DF929}"/>
    <cellStyle name="Normal 4 12 5 5" xfId="16338" xr:uid="{A77CB27A-ACC2-4C79-AB61-710C18F409EB}"/>
    <cellStyle name="Normal 4 12 6" xfId="5202" xr:uid="{EC53401F-CAAA-4867-B8ED-56C47D0610B5}"/>
    <cellStyle name="Normal 4 12 6 2" xfId="26059" xr:uid="{C281C420-68F2-4658-9DF6-CB6D0F13247C}"/>
    <cellStyle name="Normal 4 12 6 3" xfId="28422" xr:uid="{53F68093-9E82-42A7-A119-0A0FDA27C4BD}"/>
    <cellStyle name="Normal 4 12 6 4" xfId="14499" xr:uid="{9CE49185-622B-4EE6-BA94-468245DBE3FA}"/>
    <cellStyle name="Normal 4 12 7" xfId="6952" xr:uid="{AB12BA99-8CB8-4001-822E-D3382C3B3961}"/>
    <cellStyle name="Normal 4 12 7 2" xfId="27258" xr:uid="{FE51C0DF-1F95-404A-8CDD-AEC36234FE02}"/>
    <cellStyle name="Normal 4 12 7 3" xfId="17332" xr:uid="{C06A5309-1141-4736-99C1-5A24C3FBE809}"/>
    <cellStyle name="Normal 4 12 8" xfId="9785" xr:uid="{3B503EFA-B53C-4520-AACE-13B0CFC6C78C}"/>
    <cellStyle name="Normal 4 12 8 2" xfId="20165" xr:uid="{F415702A-119B-45E9-A42F-CF6408FB0FCA}"/>
    <cellStyle name="Normal 4 12 9" xfId="23519" xr:uid="{51DA6533-86E2-4A52-81E2-09E783706291}"/>
    <cellStyle name="Normal 4 13" xfId="899" xr:uid="{00000000-0005-0000-0000-000035050000}"/>
    <cellStyle name="Normal 4 13 10" xfId="12500" xr:uid="{6B604244-E829-40F9-98FE-4ACF87DC7CC1}"/>
    <cellStyle name="Normal 4 13 2" xfId="3271" xr:uid="{00000000-0005-0000-0000-00003F050000}"/>
    <cellStyle name="Normal 4 13 2 2" xfId="6329" xr:uid="{87E1E428-F807-4D64-81F2-955CE5B9B15F}"/>
    <cellStyle name="Normal 4 13 2 2 2" xfId="23792" xr:uid="{D59CB827-DA22-4C9A-A52B-E8F689D31C7B}"/>
    <cellStyle name="Normal 4 13 2 2 3" xfId="27011" xr:uid="{EDEDC26E-BB3C-4921-9AD1-63E35B5FC1BD}"/>
    <cellStyle name="Normal 4 13 2 2 4" xfId="15898" xr:uid="{5EC8B708-034C-491D-8D80-3CB801241982}"/>
    <cellStyle name="Normal 4 13 2 3" xfId="8351" xr:uid="{A5932099-57E5-46AA-ADFF-147C9F815D1D}"/>
    <cellStyle name="Normal 4 13 2 3 2" xfId="26724" xr:uid="{D5472A88-48DB-4A92-AE76-CA0D4820680B}"/>
    <cellStyle name="Normal 4 13 2 3 3" xfId="28895" xr:uid="{68A91AF3-5B81-42F6-B542-E4A668378359}"/>
    <cellStyle name="Normal 4 13 2 3 4" xfId="18731" xr:uid="{2A7B73D7-2DA6-467E-B0F7-59DB2FDA1F45}"/>
    <cellStyle name="Normal 4 13 2 4" xfId="11184" xr:uid="{E6522B3F-B534-46BD-B1F8-E54B81978DEC}"/>
    <cellStyle name="Normal 4 13 2 4 2" xfId="29479" xr:uid="{C1EB1113-6F91-497D-8098-6077F7CA659F}"/>
    <cellStyle name="Normal 4 13 2 4 3" xfId="21564" xr:uid="{FFF1C304-F737-4899-85FF-4F64A82DC472}"/>
    <cellStyle name="Normal 4 13 2 5" xfId="25426" xr:uid="{5491DF8B-C668-47D9-9220-D57FC8C467BC}"/>
    <cellStyle name="Normal 4 13 2 6" xfId="13822" xr:uid="{19879D26-6E15-4A92-9AB5-6B1E4BA4702D}"/>
    <cellStyle name="Normal 4 13 3" xfId="2758" xr:uid="{00000000-0005-0000-0000-000040050000}"/>
    <cellStyle name="Normal 4 13 3 2" xfId="5976" xr:uid="{C5EBFA5E-4319-4D3B-9BA4-DA655EC302A5}"/>
    <cellStyle name="Normal 4 13 3 2 2" xfId="28296" xr:uid="{61B746F0-A0A8-49EA-A38A-D7E02619383E}"/>
    <cellStyle name="Normal 4 13 3 2 3" xfId="15429" xr:uid="{49E07FAD-520C-461D-BF81-97ACCA028A04}"/>
    <cellStyle name="Normal 4 13 3 3" xfId="7882" xr:uid="{F15A2016-2E3F-4981-9D85-2509551721D6}"/>
    <cellStyle name="Normal 4 13 3 3 2" xfId="18262" xr:uid="{59689636-9CA9-4DD4-AF26-D903B88C20A7}"/>
    <cellStyle name="Normal 4 13 3 4" xfId="10715" xr:uid="{87267858-A412-47D6-B81C-F9291A8BD5CE}"/>
    <cellStyle name="Normal 4 13 3 4 2" xfId="21095" xr:uid="{E59208FE-AB0D-4A91-8D81-DB6EC642A5C0}"/>
    <cellStyle name="Normal 4 13 3 5" xfId="24496" xr:uid="{292F3C2C-45F5-41AC-9A63-9806C86405F1}"/>
    <cellStyle name="Normal 4 13 3 6" xfId="13204" xr:uid="{CBDD1BC2-019F-46E0-922C-A5BAA6699982}"/>
    <cellStyle name="Normal 4 13 4" xfId="2268" xr:uid="{00000000-0005-0000-0000-00003E050000}"/>
    <cellStyle name="Normal 4 13 4 2" xfId="7395" xr:uid="{CC8487F6-CCB4-41CE-835A-BEEA09CABA5E}"/>
    <cellStyle name="Normal 4 13 4 2 2" xfId="27476" xr:uid="{9F4BE9A4-3425-45F5-8DAE-7C5BF41D0AEB}"/>
    <cellStyle name="Normal 4 13 4 2 3" xfId="17775" xr:uid="{FF1AF18A-B797-44D2-B284-F8888F5A911F}"/>
    <cellStyle name="Normal 4 13 4 3" xfId="10228" xr:uid="{2C42D95E-B991-44DF-9601-FDADFC4CABDB}"/>
    <cellStyle name="Normal 4 13 4 3 2" xfId="20608" xr:uid="{974A8033-DFF9-459A-9D5D-8EF269D2436D}"/>
    <cellStyle name="Normal 4 13 4 4" xfId="23138" xr:uid="{2FD6C9DA-8D5F-4F13-B981-BAEBE4081DE2}"/>
    <cellStyle name="Normal 4 13 4 5" xfId="14942" xr:uid="{53A7D4DD-540F-4215-BED1-BF79C1505C0B}"/>
    <cellStyle name="Normal 4 13 5" xfId="3964" xr:uid="{D16F06B3-A21C-479B-BEAB-1C1F90798DCF}"/>
    <cellStyle name="Normal 4 13 5 2" xfId="8788" xr:uid="{7D2EC6B6-27CF-415C-877B-93F017867EA0}"/>
    <cellStyle name="Normal 4 13 5 2 2" xfId="19168" xr:uid="{3403774A-C847-42DD-A15B-97CBD1BB539B}"/>
    <cellStyle name="Normal 4 13 5 3" xfId="11621" xr:uid="{4A67412A-AE8F-47B8-86EC-E986A2B0F1AB}"/>
    <cellStyle name="Normal 4 13 5 3 2" xfId="22001" xr:uid="{4AA1970C-3286-43D8-BE64-B700185DED2E}"/>
    <cellStyle name="Normal 4 13 5 4" xfId="27541" xr:uid="{5495F43B-CA44-4C8E-A854-BBEA35C4B19E}"/>
    <cellStyle name="Normal 4 13 5 5" xfId="16335" xr:uid="{06ECD207-B95A-4CFB-B99F-29EF69CE1FE3}"/>
    <cellStyle name="Normal 4 13 6" xfId="5205" xr:uid="{C458F4C8-14E2-4929-AFBF-06E395360C9E}"/>
    <cellStyle name="Normal 4 13 6 2" xfId="14502" xr:uid="{98CBFEFC-BE88-4A48-A09D-64FA5D3C9D98}"/>
    <cellStyle name="Normal 4 13 7" xfId="6955" xr:uid="{6171A00A-3FDF-4AC1-A965-8F0260EEC5A4}"/>
    <cellStyle name="Normal 4 13 7 2" xfId="17335" xr:uid="{6013EC13-8117-47F8-92F3-8A0922204AA6}"/>
    <cellStyle name="Normal 4 13 8" xfId="9788" xr:uid="{7A79EDC7-8CDC-4DA3-B8F3-F5218C551A8A}"/>
    <cellStyle name="Normal 4 13 8 2" xfId="20168" xr:uid="{2977E316-911C-4135-90C7-F85F921695AA}"/>
    <cellStyle name="Normal 4 13 9" xfId="23188" xr:uid="{0049094B-652F-4256-9DD1-5AC18D12FCB3}"/>
    <cellStyle name="Normal 4 14" xfId="900" xr:uid="{00000000-0005-0000-0000-000036050000}"/>
    <cellStyle name="Normal 4 14 2" xfId="3272" xr:uid="{00000000-0005-0000-0000-000042050000}"/>
    <cellStyle name="Normal 4 14 2 2" xfId="6330" xr:uid="{EBF0C4C7-22BC-4678-943F-7A8954364E8B}"/>
    <cellStyle name="Normal 4 14 2 2 2" xfId="25709" xr:uid="{24A5C626-BB17-41A5-8763-466C638DF9F5}"/>
    <cellStyle name="Normal 4 14 2 2 3" xfId="25945" xr:uid="{031FE5C5-FD31-45B2-B65F-D7A409591BBF}"/>
    <cellStyle name="Normal 4 14 2 2 4" xfId="15899" xr:uid="{C4139796-D729-47B9-A9EE-0C56577F82F1}"/>
    <cellStyle name="Normal 4 14 2 3" xfId="8352" xr:uid="{D18C4476-9EE3-4274-8EC9-41510C85EED9}"/>
    <cellStyle name="Normal 4 14 2 3 2" xfId="28896" xr:uid="{31EDBDC0-1C01-448C-80A3-0C1102463E42}"/>
    <cellStyle name="Normal 4 14 2 3 3" xfId="18732" xr:uid="{116CE884-36E6-458B-8EBF-0CF878CCB78D}"/>
    <cellStyle name="Normal 4 14 2 4" xfId="11185" xr:uid="{FF23DBB9-B391-4C40-8E22-DDB496BA0E70}"/>
    <cellStyle name="Normal 4 14 2 4 2" xfId="21565" xr:uid="{1D06F5B9-AC29-459C-8496-1E6985E6C505}"/>
    <cellStyle name="Normal 4 14 2 5" xfId="23443" xr:uid="{03ADCF2E-14D6-4252-BF04-660ECEFE52F0}"/>
    <cellStyle name="Normal 4 14 2 6" xfId="13823" xr:uid="{C9B8FDAE-C790-45AE-AF63-31AFDC27CD8A}"/>
    <cellStyle name="Normal 4 14 3" xfId="2867" xr:uid="{00000000-0005-0000-0000-000043050000}"/>
    <cellStyle name="Normal 4 14 3 2" xfId="6075" xr:uid="{2B80869F-2692-405E-B16B-761108533BDA}"/>
    <cellStyle name="Normal 4 14 3 2 2" xfId="28590" xr:uid="{2E8A635F-9F23-4FFE-A72D-8675581E8DF5}"/>
    <cellStyle name="Normal 4 14 3 2 3" xfId="15531" xr:uid="{66BD48B7-5DAA-4A82-8221-6527E8424D69}"/>
    <cellStyle name="Normal 4 14 3 3" xfId="7984" xr:uid="{446A1E6B-8CE3-4D2B-BFE0-178AE7CA6D15}"/>
    <cellStyle name="Normal 4 14 3 3 2" xfId="18364" xr:uid="{4E2B77D4-8D83-4DF2-90FA-F834308F4915}"/>
    <cellStyle name="Normal 4 14 3 4" xfId="10817" xr:uid="{BD86AA57-322F-4C1B-B018-62F6EACC4910}"/>
    <cellStyle name="Normal 4 14 3 4 2" xfId="21197" xr:uid="{0504E1B0-AD3F-4389-9F56-F5429C40419E}"/>
    <cellStyle name="Normal 4 14 3 5" xfId="24736" xr:uid="{AC9459C8-51C0-4A5B-A344-3EC32A48C7BC}"/>
    <cellStyle name="Normal 4 14 3 6" xfId="13352" xr:uid="{65544E5E-2E80-4374-94E1-E4633750314F}"/>
    <cellStyle name="Normal 4 14 4" xfId="4115" xr:uid="{614CDF0E-3883-47E3-B9E2-FC75AA6846B9}"/>
    <cellStyle name="Normal 4 14 4 2" xfId="8887" xr:uid="{CE0D2979-3CC2-4E16-99A1-E495EE2BF7BB}"/>
    <cellStyle name="Normal 4 14 4 2 2" xfId="29002" xr:uid="{02DC788F-D4EF-4769-90C2-42EE0E81F1C9}"/>
    <cellStyle name="Normal 4 14 4 2 3" xfId="19267" xr:uid="{34D3EBDB-64A3-49E2-8A69-EBE888B3B041}"/>
    <cellStyle name="Normal 4 14 4 3" xfId="11720" xr:uid="{CEC56EE9-02B4-4DAB-892F-AB3794B969BF}"/>
    <cellStyle name="Normal 4 14 4 3 2" xfId="22100" xr:uid="{2554EE88-C67C-4BCF-8418-02565EE91145}"/>
    <cellStyle name="Normal 4 14 4 4" xfId="23381" xr:uid="{0077080F-BFF5-424B-B2CB-B34D7942044F}"/>
    <cellStyle name="Normal 4 14 4 5" xfId="16434" xr:uid="{3A6C3A53-5140-4FDC-A0C3-5329963CFD37}"/>
    <cellStyle name="Normal 4 14 5" xfId="5206" xr:uid="{A457423E-1DF2-41DC-A4B5-DBB724771767}"/>
    <cellStyle name="Normal 4 14 5 2" xfId="26351" xr:uid="{B9924351-25AD-4A91-AF05-C171052E973F}"/>
    <cellStyle name="Normal 4 14 5 3" xfId="14503" xr:uid="{6FEBAEFD-D88F-4EB7-B72C-78789019A780}"/>
    <cellStyle name="Normal 4 14 6" xfId="6956" xr:uid="{CF72D73A-0632-421B-BDE2-E5D27A6E7A5A}"/>
    <cellStyle name="Normal 4 14 6 2" xfId="17336" xr:uid="{B4D81D25-1620-47CB-B9AF-15F441DD38DC}"/>
    <cellStyle name="Normal 4 14 7" xfId="9789" xr:uid="{BEDF55D9-9FFB-448B-833B-BBF689AE81E0}"/>
    <cellStyle name="Normal 4 14 7 2" xfId="20169" xr:uid="{4D3BEF02-6CB7-43D0-AB6B-141BC70CEAA7}"/>
    <cellStyle name="Normal 4 14 8" xfId="24097" xr:uid="{A6114E6A-4694-4940-BCA7-3B1717FB1401}"/>
    <cellStyle name="Normal 4 14 9" xfId="12658" xr:uid="{4B4642A6-DBBF-4669-8C69-8BCA481779DA}"/>
    <cellStyle name="Normal 4 15" xfId="901" xr:uid="{00000000-0005-0000-0000-000037050000}"/>
    <cellStyle name="Normal 4 15 2" xfId="5207" xr:uid="{2152EC8C-061D-420B-9D6B-B58F12C90A49}"/>
    <cellStyle name="Normal 4 15 2 2" xfId="24363" xr:uid="{4DDE4A4D-5F2B-4F7F-A5BA-15ADDE58C8FC}"/>
    <cellStyle name="Normal 4 15 2 3" xfId="27478" xr:uid="{32D9C258-AB46-44AB-8C29-2E03E7D079E8}"/>
    <cellStyle name="Normal 4 15 2 4" xfId="14504" xr:uid="{0D8F390E-A323-4C57-A1F7-8CBC2BB21E12}"/>
    <cellStyle name="Normal 4 15 2 5" xfId="30033" xr:uid="{69245435-96EF-48AD-A85F-F3C086021E6B}"/>
    <cellStyle name="Normal 4 15 3" xfId="6957" xr:uid="{6F949056-3DA3-4A4D-905A-8E552E3BD423}"/>
    <cellStyle name="Normal 4 15 3 2" xfId="25310" xr:uid="{D3F1DA03-AAD8-427C-9A93-A07E7808BF9D}"/>
    <cellStyle name="Normal 4 15 3 3" xfId="28385" xr:uid="{FA57FE5A-D7CC-482F-93E0-9A985B1546BB}"/>
    <cellStyle name="Normal 4 15 3 4" xfId="17337" xr:uid="{B2F5535D-F7D8-46A1-9426-87745292EA13}"/>
    <cellStyle name="Normal 4 15 4" xfId="9790" xr:uid="{7EFFA494-332C-4FF7-A18A-C4360C8277FD}"/>
    <cellStyle name="Normal 4 15 4 2" xfId="23556" xr:uid="{F8920579-D83A-4A1C-ACCE-0CFDA508B5D8}"/>
    <cellStyle name="Normal 4 15 4 3" xfId="20170" xr:uid="{A1DA45D1-08B2-44C7-B81E-B11857218F7E}"/>
    <cellStyle name="Normal 4 15 5" xfId="23966" xr:uid="{8CE3825A-C4F9-42C0-9621-05B76667C1F6}"/>
    <cellStyle name="Normal 4 15 6" xfId="13356" xr:uid="{A4669137-42CE-4AC9-95A3-3115BD22BB14}"/>
    <cellStyle name="Normal 4 16" xfId="902" xr:uid="{00000000-0005-0000-0000-000038050000}"/>
    <cellStyle name="Normal 4 16 2" xfId="5208" xr:uid="{FED3D8FC-DAFF-40C4-8DD7-BDE8EFB0E59C}"/>
    <cellStyle name="Normal 4 16 2 2" xfId="25769" xr:uid="{A75464D4-4AA7-42A5-BE86-C487126C1AC8}"/>
    <cellStyle name="Normal 4 16 2 3" xfId="14505" xr:uid="{6F1450C7-6852-41A6-99A6-860D40DDC944}"/>
    <cellStyle name="Normal 4 16 3" xfId="6958" xr:uid="{32BD0D16-5F5E-4167-A5E7-3E9B6E5A12B2}"/>
    <cellStyle name="Normal 4 16 3 2" xfId="25721" xr:uid="{BE9FDC77-A0F5-49B4-ACAB-A6AC91492FDD}"/>
    <cellStyle name="Normal 4 16 3 3" xfId="17338" xr:uid="{5FFB2571-FC61-46DC-AED1-B16F7DBA081F}"/>
    <cellStyle name="Normal 4 16 4" xfId="9791" xr:uid="{5607ABC0-E2B7-46E2-BB78-C9823B632A67}"/>
    <cellStyle name="Normal 4 16 4 2" xfId="20171" xr:uid="{AD2B9DBC-1BBE-452C-B586-31C906581171}"/>
    <cellStyle name="Normal 4 16 5" xfId="25148" xr:uid="{AE767CAC-5D02-4A93-A7AF-0BCE2601708A}"/>
    <cellStyle name="Normal 4 16 6" xfId="12817" xr:uid="{30E9AB7D-7F47-4B82-9C96-E2CA60C87215}"/>
    <cellStyle name="Normal 4 17" xfId="903" xr:uid="{00000000-0005-0000-0000-000039050000}"/>
    <cellStyle name="Normal 4 17 2" xfId="6959" xr:uid="{4A5672F2-61BE-4A26-A933-6069F299B438}"/>
    <cellStyle name="Normal 4 17 2 2" xfId="22970" xr:uid="{47BAEC2D-A30D-47E4-9F65-430C047338C1}"/>
    <cellStyle name="Normal 4 17 2 3" xfId="17339" xr:uid="{CB82390D-6283-4C29-B770-C95BE2A9E212}"/>
    <cellStyle name="Normal 4 17 3" xfId="9792" xr:uid="{F63229C1-550B-4ECA-9EA5-A392957143B7}"/>
    <cellStyle name="Normal 4 17 3 2" xfId="25671" xr:uid="{89A62B8C-B8B9-4918-BC48-D0A81FD726B1}"/>
    <cellStyle name="Normal 4 17 3 3" xfId="20172" xr:uid="{0E4FEF04-9206-48B5-B5BC-5E74285A7EC7}"/>
    <cellStyle name="Normal 4 17 4" xfId="25172" xr:uid="{401EA57A-55C0-47C2-8C89-5D0F48CD4901}"/>
    <cellStyle name="Normal 4 17 5" xfId="14506" xr:uid="{E46752DF-F9B2-4E78-B3A7-2D1EDDB35A8C}"/>
    <cellStyle name="Normal 4 18" xfId="3781" xr:uid="{498D3F45-FE58-4FFC-9753-731FB0ECD3C7}"/>
    <cellStyle name="Normal 4 18 2" xfId="8621" xr:uid="{2A84A90A-6745-4823-8323-8E280FE19B84}"/>
    <cellStyle name="Normal 4 18 2 2" xfId="25799" xr:uid="{DF47F90B-F627-44A8-A898-BE5751EC10DE}"/>
    <cellStyle name="Normal 4 18 2 3" xfId="19001" xr:uid="{F6671693-CA65-4EF4-9FDC-1C434716A144}"/>
    <cellStyle name="Normal 4 18 3" xfId="11454" xr:uid="{3D4288CC-D7A0-4E04-8090-27E9F64B29C3}"/>
    <cellStyle name="Normal 4 18 3 2" xfId="25820" xr:uid="{D49A171E-BC4A-4F1F-B755-F85082362E30}"/>
    <cellStyle name="Normal 4 18 3 3" xfId="21834" xr:uid="{EFC46C14-B2D6-475A-BCEA-D6DA30959BBB}"/>
    <cellStyle name="Normal 4 18 4" xfId="25742" xr:uid="{F7DD7180-DF6E-4610-8D3D-C1A548134F19}"/>
    <cellStyle name="Normal 4 18 5" xfId="16168" xr:uid="{E12B28AA-2ED9-4B37-A7BA-87C97A253640}"/>
    <cellStyle name="Normal 4 19" xfId="5193" xr:uid="{A7BC2BA0-0079-4964-AC4B-AEA350E58462}"/>
    <cellStyle name="Normal 4 19 2" xfId="25675" xr:uid="{DBF43541-1C55-4BB7-AD13-4C9F15C3B47E}"/>
    <cellStyle name="Normal 4 19 3" xfId="24782" xr:uid="{903C44A5-017A-4D5E-A0BB-942EB7E8D36D}"/>
    <cellStyle name="Normal 4 19 4" xfId="23923" xr:uid="{3B4CD16E-8E3C-430D-A3D8-3B182181D5ED}"/>
    <cellStyle name="Normal 4 19 5" xfId="14490" xr:uid="{13D57E3E-453D-45DA-956B-A9DC2EB73F7A}"/>
    <cellStyle name="Normal 4 2" xfId="904" xr:uid="{00000000-0005-0000-0000-00003A050000}"/>
    <cellStyle name="Normal 4 2 10" xfId="905" xr:uid="{00000000-0005-0000-0000-00003B050000}"/>
    <cellStyle name="Normal 4 2 10 10" xfId="12582" xr:uid="{1C1F3AF7-3FC1-4AF5-9260-175B9A0608D1}"/>
    <cellStyle name="Normal 4 2 10 2" xfId="906" xr:uid="{00000000-0005-0000-0000-00003C050000}"/>
    <cellStyle name="Normal 4 2 10 2 2" xfId="2925" xr:uid="{00000000-0005-0000-0000-000049050000}"/>
    <cellStyle name="Normal 4 2 10 2 2 2" xfId="6105" xr:uid="{2CD4AF38-1293-44D3-82FD-381A4547F7B7}"/>
    <cellStyle name="Normal 4 2 10 2 2 2 2" xfId="27610" xr:uid="{887708D4-A3AB-480B-98B7-F11C45DA195B}"/>
    <cellStyle name="Normal 4 2 10 2 2 2 3" xfId="27034" xr:uid="{F192572E-FA3E-4598-99B0-F88A932A5295}"/>
    <cellStyle name="Normal 4 2 10 2 2 2 4" xfId="15583" xr:uid="{15A7E389-7689-4BDC-A601-961369D4FD92}"/>
    <cellStyle name="Normal 4 2 10 2 2 3" xfId="8036" xr:uid="{828286EA-7AA6-42BA-9E2D-104102B86FF6}"/>
    <cellStyle name="Normal 4 2 10 2 2 3 2" xfId="26874" xr:uid="{381EB044-756A-4CF6-B112-722C8D9A299C}"/>
    <cellStyle name="Normal 4 2 10 2 2 3 3" xfId="18416" xr:uid="{E1C40F26-5762-414A-B56B-8AC5973DA0ED}"/>
    <cellStyle name="Normal 4 2 10 2 2 4" xfId="10869" xr:uid="{7A892757-E0BA-4BDD-8C0A-11B8DA7F1D97}"/>
    <cellStyle name="Normal 4 2 10 2 2 4 2" xfId="21249" xr:uid="{AE99E40C-C079-43E4-972C-D74167BF3429}"/>
    <cellStyle name="Normal 4 2 10 2 2 5" xfId="23954" xr:uid="{F2243CEE-2965-4A24-872D-A2AF7333F309}"/>
    <cellStyle name="Normal 4 2 10 2 2 6" xfId="13438" xr:uid="{3E22C284-E8F9-4AA6-8BAE-4DC6B7F62D90}"/>
    <cellStyle name="Normal 4 2 10 2 3" xfId="5211" xr:uid="{9E65A668-589A-46F2-A32A-A1C562E8551F}"/>
    <cellStyle name="Normal 4 2 10 2 3 2" xfId="23900" xr:uid="{E5C68282-A426-45FB-9A48-C863A41A3E5A}"/>
    <cellStyle name="Normal 4 2 10 2 3 3" xfId="28528" xr:uid="{37344D2D-FCB4-48A5-8B55-4E29C951C58C}"/>
    <cellStyle name="Normal 4 2 10 2 3 4" xfId="14509" xr:uid="{89F5FE66-9B28-4ECC-91DC-9E14D076BA8C}"/>
    <cellStyle name="Normal 4 2 10 2 4" xfId="6962" xr:uid="{F52CCE02-B732-4BA3-8AFE-DE0AF264F111}"/>
    <cellStyle name="Normal 4 2 10 2 4 2" xfId="28210" xr:uid="{FE22950C-8E64-4B3B-A5F8-003256BBE512}"/>
    <cellStyle name="Normal 4 2 10 2 4 3" xfId="26123" xr:uid="{43697AA5-C880-44F1-B32B-03B95CC3DF49}"/>
    <cellStyle name="Normal 4 2 10 2 4 4" xfId="17342" xr:uid="{43B24351-9F6E-4914-ACB2-477734EB2CCA}"/>
    <cellStyle name="Normal 4 2 10 2 5" xfId="9795" xr:uid="{28AC10B2-7BB0-4F20-825B-41B1E2AE93C8}"/>
    <cellStyle name="Normal 4 2 10 2 5 2" xfId="29412" xr:uid="{C8A3F48B-174F-4CDF-BF57-C3C2F558B252}"/>
    <cellStyle name="Normal 4 2 10 2 5 3" xfId="20175" xr:uid="{77BBB3EB-0C3C-4801-A6E3-6DFD2E77628F}"/>
    <cellStyle name="Normal 4 2 10 2 6" xfId="22802" xr:uid="{123F473C-911A-4770-95C8-FE7C33678C1B}"/>
    <cellStyle name="Normal 4 2 10 2 7" xfId="12740" xr:uid="{71B1A28C-A5A6-420E-82C3-2A2CD5871B5B}"/>
    <cellStyle name="Normal 4 2 10 3" xfId="907" xr:uid="{00000000-0005-0000-0000-00003D050000}"/>
    <cellStyle name="Normal 4 2 10 3 2" xfId="5212" xr:uid="{8975F72F-D0D1-4725-B25D-9618BD91B371}"/>
    <cellStyle name="Normal 4 2 10 3 2 2" xfId="26363" xr:uid="{4D41C7EA-7484-4536-8C34-C5C9B4859874}"/>
    <cellStyle name="Normal 4 2 10 3 2 3" xfId="26899" xr:uid="{86E894B8-780C-4340-8693-ADE2E5899790}"/>
    <cellStyle name="Normal 4 2 10 3 2 4" xfId="14510" xr:uid="{533CA289-1D73-4347-84A1-0DFBDDD3F8FB}"/>
    <cellStyle name="Normal 4 2 10 3 3" xfId="6963" xr:uid="{B3CA0F27-F4B7-4C63-B850-5C2CE75B6DA8}"/>
    <cellStyle name="Normal 4 2 10 3 3 2" xfId="27323" xr:uid="{1A707BEF-7010-4AE4-A4BB-FA2D06D6AA2E}"/>
    <cellStyle name="Normal 4 2 10 3 3 3" xfId="26897" xr:uid="{2AAD49CE-880D-499C-ACF2-026ED1631D1F}"/>
    <cellStyle name="Normal 4 2 10 3 3 4" xfId="17343" xr:uid="{E52061AB-851B-4536-A0F8-0B5AEE32FF85}"/>
    <cellStyle name="Normal 4 2 10 3 4" xfId="9796" xr:uid="{523F02B9-2BA8-4A3A-9530-DCCDB5AA4B06}"/>
    <cellStyle name="Normal 4 2 10 3 4 2" xfId="29413" xr:uid="{60897F67-55EC-4F07-9C22-3EA69EF53A89}"/>
    <cellStyle name="Normal 4 2 10 3 4 3" xfId="20176" xr:uid="{E526AFD1-0256-43FD-B196-BED2BF3B44C9}"/>
    <cellStyle name="Normal 4 2 10 3 5" xfId="23865" xr:uid="{D093FDC0-6426-4978-A82E-0CB54027E4C6}"/>
    <cellStyle name="Normal 4 2 10 3 6" xfId="13209" xr:uid="{C6392642-0716-4D14-82FD-0E3646BAFCE1}"/>
    <cellStyle name="Normal 4 2 10 4" xfId="2348" xr:uid="{00000000-0005-0000-0000-000047050000}"/>
    <cellStyle name="Normal 4 2 10 4 2" xfId="7475" xr:uid="{5328430A-944E-49B1-AEF6-B5C2F374381D}"/>
    <cellStyle name="Normal 4 2 10 4 2 2" xfId="26225" xr:uid="{8AD8243A-60C9-4B97-B713-D73A48CC2E83}"/>
    <cellStyle name="Normal 4 2 10 4 2 3" xfId="17855" xr:uid="{F611490C-610C-4B2B-99F6-21ED2EC5EB60}"/>
    <cellStyle name="Normal 4 2 10 4 3" xfId="10308" xr:uid="{39F63380-B06A-4B83-9287-B5BD44FC19A7}"/>
    <cellStyle name="Normal 4 2 10 4 3 2" xfId="20688" xr:uid="{9E0A6208-1AD8-4912-8171-8B69711FF9BF}"/>
    <cellStyle name="Normal 4 2 10 4 4" xfId="25313" xr:uid="{CDF812E3-72A6-4230-8038-5F24CF006DAC}"/>
    <cellStyle name="Normal 4 2 10 4 5" xfId="15022" xr:uid="{4C791D4B-FE7D-489A-8C76-E4CB6E277DEF}"/>
    <cellStyle name="Normal 4 2 10 5" xfId="3969" xr:uid="{5996B1B9-A7BD-475C-AA9E-7A83E249082B}"/>
    <cellStyle name="Normal 4 2 10 5 2" xfId="8793" xr:uid="{8F0B5B0A-F029-436A-BBAD-0CFE62AF8BD5}"/>
    <cellStyle name="Normal 4 2 10 5 2 2" xfId="28985" xr:uid="{650C1DE3-5727-426D-989E-C20D2CF3A5AA}"/>
    <cellStyle name="Normal 4 2 10 5 2 3" xfId="19173" xr:uid="{A2D633B8-973E-41F1-AA16-B3AB165CF25B}"/>
    <cellStyle name="Normal 4 2 10 5 3" xfId="11626" xr:uid="{2015F5DE-56CF-436F-AB5E-A7A6158128AB}"/>
    <cellStyle name="Normal 4 2 10 5 3 2" xfId="22006" xr:uid="{30C73229-9442-4B78-8A30-595244F9DEAD}"/>
    <cellStyle name="Normal 4 2 10 5 4" xfId="22908" xr:uid="{2583863C-D271-4D90-9F52-F208277C096D}"/>
    <cellStyle name="Normal 4 2 10 5 5" xfId="16340" xr:uid="{2C97BFC6-BB76-40E9-AD18-3C85D14907A3}"/>
    <cellStyle name="Normal 4 2 10 6" xfId="5210" xr:uid="{7459E4B8-8B62-4EAA-A827-940BFBA6FF6A}"/>
    <cellStyle name="Normal 4 2 10 6 2" xfId="27440" xr:uid="{BA04A4F7-4B2A-4328-A73E-5676854BE081}"/>
    <cellStyle name="Normal 4 2 10 6 3" xfId="26795" xr:uid="{AF87D0D5-F953-41E6-B3A6-2192A80CB766}"/>
    <cellStyle name="Normal 4 2 10 6 4" xfId="14508" xr:uid="{B695B458-2531-4728-B4B1-DCE341083A59}"/>
    <cellStyle name="Normal 4 2 10 7" xfId="6961" xr:uid="{D82B3822-C6A6-4197-9644-17BB0260DAC1}"/>
    <cellStyle name="Normal 4 2 10 7 2" xfId="27340" xr:uid="{1E33A25E-5900-4252-8E58-DED04262F6E4}"/>
    <cellStyle name="Normal 4 2 10 7 3" xfId="17341" xr:uid="{F60F3B04-A426-4F69-BD42-D9B3A45E81F0}"/>
    <cellStyle name="Normal 4 2 10 8" xfId="9794" xr:uid="{42CAC7D8-8534-4BAB-A687-1326501055A5}"/>
    <cellStyle name="Normal 4 2 10 8 2" xfId="20174" xr:uid="{1DE78D67-20A2-4EFB-8D84-458E5AAFFB0D}"/>
    <cellStyle name="Normal 4 2 10 9" xfId="24419" xr:uid="{4AB66C56-8C99-443A-99F7-92D80BCF7025}"/>
    <cellStyle name="Normal 4 2 11" xfId="908" xr:uid="{00000000-0005-0000-0000-00003E050000}"/>
    <cellStyle name="Normal 4 2 11 10" xfId="12501" xr:uid="{82FE4754-DCE8-4B64-A21E-29A06E00D4CD}"/>
    <cellStyle name="Normal 4 2 11 2" xfId="3273" xr:uid="{00000000-0005-0000-0000-00004C050000}"/>
    <cellStyle name="Normal 4 2 11 2 2" xfId="6331" xr:uid="{3C203743-DF6E-4A04-8565-9755DB1F4CA6}"/>
    <cellStyle name="Normal 4 2 11 2 2 2" xfId="23686" xr:uid="{C92B1744-22AD-4EA7-AE28-431EAA341AC6}"/>
    <cellStyle name="Normal 4 2 11 2 2 3" xfId="27085" xr:uid="{35868BFB-4865-4F17-83C6-445B51E8AC96}"/>
    <cellStyle name="Normal 4 2 11 2 2 4" xfId="15900" xr:uid="{51505143-F4E8-43E3-8E67-616BEB8A118A}"/>
    <cellStyle name="Normal 4 2 11 2 3" xfId="8353" xr:uid="{B9119ACF-DBF3-42DA-9795-7AF14DD2F561}"/>
    <cellStyle name="Normal 4 2 11 2 3 2" xfId="27973" xr:uid="{F8019C84-1CFE-4052-A5AC-1E5A131E1BB1}"/>
    <cellStyle name="Normal 4 2 11 2 3 3" xfId="28897" xr:uid="{C4FAB93F-9F72-4D0D-88BF-E4D59DA23AAF}"/>
    <cellStyle name="Normal 4 2 11 2 3 4" xfId="18733" xr:uid="{E1545138-1DF5-4929-BC30-0193935CBD6F}"/>
    <cellStyle name="Normal 4 2 11 2 4" xfId="11186" xr:uid="{B52E1FAC-3E81-4BAB-AB24-976BD2396174}"/>
    <cellStyle name="Normal 4 2 11 2 4 2" xfId="29480" xr:uid="{D6314228-13D1-48DA-9E27-0F30B8D9A2F6}"/>
    <cellStyle name="Normal 4 2 11 2 4 3" xfId="21566" xr:uid="{2451CC2A-117C-430E-9DFD-DE02DE6C3D00}"/>
    <cellStyle name="Normal 4 2 11 2 5" xfId="22874" xr:uid="{3F4E4A5F-4B50-4CDE-8F3E-536A49BDAFDD}"/>
    <cellStyle name="Normal 4 2 11 2 6" xfId="13824" xr:uid="{08AD87F2-2F3B-462B-81D3-DDD4297D05CF}"/>
    <cellStyle name="Normal 4 2 11 3" xfId="2761" xr:uid="{00000000-0005-0000-0000-00004D050000}"/>
    <cellStyle name="Normal 4 2 11 3 2" xfId="5979" xr:uid="{E778F592-8C4F-4F05-B7F8-FE05CFA5DD84}"/>
    <cellStyle name="Normal 4 2 11 3 2 2" xfId="28097" xr:uid="{E6A28BE8-67A0-436F-9730-C21C920A2F19}"/>
    <cellStyle name="Normal 4 2 11 3 2 3" xfId="15432" xr:uid="{DC4F2176-65E5-4192-BD37-E5EDE12B869B}"/>
    <cellStyle name="Normal 4 2 11 3 3" xfId="7885" xr:uid="{48A8E4B2-9E08-4646-95CF-2B2AC6C4BE97}"/>
    <cellStyle name="Normal 4 2 11 3 3 2" xfId="18265" xr:uid="{4AEFFEEF-80E6-4E04-9208-5928F5FA860F}"/>
    <cellStyle name="Normal 4 2 11 3 4" xfId="10718" xr:uid="{4A3E78A9-DA38-479D-9560-2A56A42EDE2E}"/>
    <cellStyle name="Normal 4 2 11 3 4 2" xfId="21098" xr:uid="{167E9FCA-9FBC-4FAD-9C38-9F2A59DE88BF}"/>
    <cellStyle name="Normal 4 2 11 3 5" xfId="22670" xr:uid="{A876EBD5-B8C4-4845-BA45-27AAAD52BC06}"/>
    <cellStyle name="Normal 4 2 11 3 6" xfId="13208" xr:uid="{C072739A-7930-4220-816B-56D8B9F019DF}"/>
    <cellStyle name="Normal 4 2 11 4" xfId="2269" xr:uid="{00000000-0005-0000-0000-00004B050000}"/>
    <cellStyle name="Normal 4 2 11 4 2" xfId="7396" xr:uid="{D3EBD313-E8E6-498E-9C69-81C7C91B4EF9}"/>
    <cellStyle name="Normal 4 2 11 4 2 2" xfId="26958" xr:uid="{24706F7D-8E66-4631-9E2D-73CE0996E932}"/>
    <cellStyle name="Normal 4 2 11 4 2 3" xfId="17776" xr:uid="{44BEC249-2C26-4D7D-8A7B-6EA093550D06}"/>
    <cellStyle name="Normal 4 2 11 4 3" xfId="10229" xr:uid="{37145A3E-5207-4822-9371-1701F1171EAC}"/>
    <cellStyle name="Normal 4 2 11 4 3 2" xfId="20609" xr:uid="{2648A42C-AFC5-4B2A-A487-921917475C33}"/>
    <cellStyle name="Normal 4 2 11 4 4" xfId="22720" xr:uid="{04B88765-A487-4E4C-9901-A4AFCC2BEA9D}"/>
    <cellStyle name="Normal 4 2 11 4 5" xfId="14943" xr:uid="{54722A99-E9CD-42FD-ADE5-3002164BBFB0}"/>
    <cellStyle name="Normal 4 2 11 5" xfId="3968" xr:uid="{40437C33-ED0F-4C4F-A451-25B473F93DC5}"/>
    <cellStyle name="Normal 4 2 11 5 2" xfId="8792" xr:uid="{F601A150-0B31-41E0-8DA0-B0CA702CE233}"/>
    <cellStyle name="Normal 4 2 11 5 2 2" xfId="19172" xr:uid="{C055CD5A-EEA0-4E2F-9C4C-0FFA1884F164}"/>
    <cellStyle name="Normal 4 2 11 5 3" xfId="11625" xr:uid="{18C1F18F-8736-4F0E-9183-DAE598D48C29}"/>
    <cellStyle name="Normal 4 2 11 5 3 2" xfId="22005" xr:uid="{5BD16FAA-15E3-4F97-BD1F-6159CFC80DB3}"/>
    <cellStyle name="Normal 4 2 11 5 4" xfId="28478" xr:uid="{107AD78C-92F9-4F1E-8FBC-B882481E552A}"/>
    <cellStyle name="Normal 4 2 11 5 5" xfId="16339" xr:uid="{FCFE0DAB-F5F6-45F3-A5B5-EC52EB7A7B1C}"/>
    <cellStyle name="Normal 4 2 11 6" xfId="5213" xr:uid="{B46CAF38-B055-486A-8BE3-EDDA147D0CE2}"/>
    <cellStyle name="Normal 4 2 11 6 2" xfId="14511" xr:uid="{9979028E-74D2-48FA-8DDB-B0FB662A7327}"/>
    <cellStyle name="Normal 4 2 11 7" xfId="6964" xr:uid="{2103BA03-C730-48E1-8A8E-3EA6EBE0DC67}"/>
    <cellStyle name="Normal 4 2 11 7 2" xfId="17344" xr:uid="{44ED385A-2AE5-488B-9AF7-EC162777E131}"/>
    <cellStyle name="Normal 4 2 11 8" xfId="9797" xr:uid="{3D1A39C1-0F2B-4485-8F3B-282F54907637}"/>
    <cellStyle name="Normal 4 2 11 8 2" xfId="20177" xr:uid="{1462CF82-5627-415F-A5F1-5446D590116B}"/>
    <cellStyle name="Normal 4 2 11 9" xfId="25482" xr:uid="{0AACD3D2-46F8-4DA4-BBF8-728F9B0062DF}"/>
    <cellStyle name="Normal 4 2 12" xfId="909" xr:uid="{00000000-0005-0000-0000-00003F050000}"/>
    <cellStyle name="Normal 4 2 12 2" xfId="3274" xr:uid="{00000000-0005-0000-0000-00004F050000}"/>
    <cellStyle name="Normal 4 2 12 2 2" xfId="6332" xr:uid="{57243C19-697E-473A-B248-624327C4602A}"/>
    <cellStyle name="Normal 4 2 12 2 2 2" xfId="28200" xr:uid="{7AE55AE3-FE7A-4884-B9D0-FF83A0F217D0}"/>
    <cellStyle name="Normal 4 2 12 2 2 3" xfId="15901" xr:uid="{3FE29F57-3DFD-4507-B092-AE152A169DD6}"/>
    <cellStyle name="Normal 4 2 12 2 3" xfId="8354" xr:uid="{5AD9B8F9-11BB-42FD-9C0F-B2ACEF54F25E}"/>
    <cellStyle name="Normal 4 2 12 2 3 2" xfId="18734" xr:uid="{F2D6770D-4D1C-4B5F-B4AE-F933182345A3}"/>
    <cellStyle name="Normal 4 2 12 2 4" xfId="11187" xr:uid="{22DEECCE-A0CD-40ED-AACB-44B8A1591DC2}"/>
    <cellStyle name="Normal 4 2 12 2 4 2" xfId="21567" xr:uid="{057485CF-B3AB-4D7F-A7B1-06107B4DC1A2}"/>
    <cellStyle name="Normal 4 2 12 2 5" xfId="24213" xr:uid="{A62A4FA9-8C7C-48B5-9FD5-D9DBE6429A79}"/>
    <cellStyle name="Normal 4 2 12 2 6" xfId="13825" xr:uid="{6B44576E-1ADF-4AAB-8E8F-03C03CF5113B}"/>
    <cellStyle name="Normal 4 2 12 3" xfId="4116" xr:uid="{C0E2A95B-A1C1-45B5-ABD0-12419E732CDB}"/>
    <cellStyle name="Normal 4 2 12 3 2" xfId="8888" xr:uid="{64CAA0F6-7251-41FA-B955-52C98B1D866C}"/>
    <cellStyle name="Normal 4 2 12 3 2 2" xfId="29003" xr:uid="{EAA76D94-DAD4-411C-9672-FB8590B35F01}"/>
    <cellStyle name="Normal 4 2 12 3 2 3" xfId="19268" xr:uid="{8DDE7DFE-B407-4EC4-9B14-CFB8194E7F6F}"/>
    <cellStyle name="Normal 4 2 12 3 3" xfId="11721" xr:uid="{3123DE6C-788F-444D-AB15-34EE5957B888}"/>
    <cellStyle name="Normal 4 2 12 3 3 2" xfId="22101" xr:uid="{F9A360FE-0F2C-4A6A-8E01-733B824AA1D3}"/>
    <cellStyle name="Normal 4 2 12 3 4" xfId="24660" xr:uid="{05599161-2CD7-4A59-BB2B-EC7793B7AAD8}"/>
    <cellStyle name="Normal 4 2 12 3 5" xfId="16435" xr:uid="{59BD7CDC-1EE6-43DC-846C-DEB35DC39991}"/>
    <cellStyle name="Normal 4 2 12 4" xfId="5214" xr:uid="{663F3992-2E3B-4876-9DF9-D8F9D70D6972}"/>
    <cellStyle name="Normal 4 2 12 4 2" xfId="24938" xr:uid="{545761CC-FC14-4597-9478-9D21E16AE88C}"/>
    <cellStyle name="Normal 4 2 12 4 3" xfId="26149" xr:uid="{2F7F0F47-228E-4280-8856-CE0E3D9B355A}"/>
    <cellStyle name="Normal 4 2 12 4 4" xfId="14512" xr:uid="{B29831FF-22CC-4496-B741-AED3B23604FD}"/>
    <cellStyle name="Normal 4 2 12 5" xfId="6965" xr:uid="{F9954EFB-9273-41C8-9A78-25F5E8F1288A}"/>
    <cellStyle name="Normal 4 2 12 5 2" xfId="26583" xr:uid="{03D41094-D075-4F1C-BF8B-A5362ED5EBAA}"/>
    <cellStyle name="Normal 4 2 12 5 3" xfId="17345" xr:uid="{C3F3474C-C1A6-41B5-979F-298D44083AF5}"/>
    <cellStyle name="Normal 4 2 12 6" xfId="9798" xr:uid="{76B95C7D-0586-474F-B8AF-B0CCFF19C26A}"/>
    <cellStyle name="Normal 4 2 12 6 2" xfId="20178" xr:uid="{7AEFD330-56B6-4B26-B329-F828984E1315}"/>
    <cellStyle name="Normal 4 2 12 7" xfId="24446" xr:uid="{58AE3336-1CE4-4012-A7DE-217525D1A1BC}"/>
    <cellStyle name="Normal 4 2 12 8" xfId="12659" xr:uid="{7F5BCED3-8E97-496B-A83E-ED562CA0D877}"/>
    <cellStyle name="Normal 4 2 13" xfId="910" xr:uid="{00000000-0005-0000-0000-000040050000}"/>
    <cellStyle name="Normal 4 2 13 2" xfId="5215" xr:uid="{B9CFA165-2251-4903-B5AF-7F91BE12455C}"/>
    <cellStyle name="Normal 4 2 13 2 2" xfId="25277" xr:uid="{683E918D-C673-4735-B0F8-FAC7A5B01144}"/>
    <cellStyle name="Normal 4 2 13 2 3" xfId="28339" xr:uid="{6051871C-D20C-4522-BEFE-D4EBAA8EA9F8}"/>
    <cellStyle name="Normal 4 2 13 2 4" xfId="14513" xr:uid="{D6AFA65F-6472-4E8B-91C1-FBAD54B3CD4F}"/>
    <cellStyle name="Normal 4 2 13 3" xfId="6966" xr:uid="{8C09D563-2893-4843-BCD4-CC10B1168477}"/>
    <cellStyle name="Normal 4 2 13 3 2" xfId="22912" xr:uid="{DCFAB4E1-ADFB-4B54-91B7-297FFF170CCE}"/>
    <cellStyle name="Normal 4 2 13 3 3" xfId="17346" xr:uid="{81640F5B-6D16-441B-9AE6-A663077F7A59}"/>
    <cellStyle name="Normal 4 2 13 4" xfId="9799" xr:uid="{9489FE99-E323-4CE2-AB84-C2870FBC4082}"/>
    <cellStyle name="Normal 4 2 13 4 2" xfId="20179" xr:uid="{EB5230F9-A7EA-4766-9CC0-A005FECC8416}"/>
    <cellStyle name="Normal 4 2 13 5" xfId="23199" xr:uid="{1F99CF31-EECD-4601-A448-FBD0619A42A1}"/>
    <cellStyle name="Normal 4 2 13 6" xfId="13357" xr:uid="{F6163DAC-A749-4C4C-BF5B-FBD5FE08AB67}"/>
    <cellStyle name="Normal 4 2 14" xfId="2431" xr:uid="{00000000-0005-0000-0000-000051050000}"/>
    <cellStyle name="Normal 4 2 14 2" xfId="5728" xr:uid="{1944C359-D1BC-4C47-8FAE-38DD4B5810C8}"/>
    <cellStyle name="Normal 4 2 14 2 2" xfId="28568" xr:uid="{ABE07BF4-324A-46E7-A17D-09E199107C54}"/>
    <cellStyle name="Normal 4 2 14 2 3" xfId="15103" xr:uid="{C59EDB31-B160-4473-BBB4-631B98FC424F}"/>
    <cellStyle name="Normal 4 2 14 3" xfId="7556" xr:uid="{0F980473-09F3-48ED-AC29-9374C6927889}"/>
    <cellStyle name="Normal 4 2 14 3 2" xfId="17936" xr:uid="{C350FC9B-C3ED-4025-BA32-18A6180B4119}"/>
    <cellStyle name="Normal 4 2 14 4" xfId="10389" xr:uid="{34FC9352-DF33-4BA8-8F66-F791B7E33A15}"/>
    <cellStyle name="Normal 4 2 14 4 2" xfId="20769" xr:uid="{6F721377-F3A7-491A-A3F2-EB95C437E24B}"/>
    <cellStyle name="Normal 4 2 14 5" xfId="23755" xr:uid="{EA0D995E-5FF6-4F57-868E-149D4A60FA02}"/>
    <cellStyle name="Normal 4 2 14 6" xfId="12818" xr:uid="{3DCF1676-21AA-4089-A749-0BE68428EC7A}"/>
    <cellStyle name="Normal 4 2 15" xfId="2158" xr:uid="{00000000-0005-0000-0000-000046050000}"/>
    <cellStyle name="Normal 4 2 15 2" xfId="7285" xr:uid="{68D389C6-B65B-4B57-8695-00107252F18A}"/>
    <cellStyle name="Normal 4 2 15 2 2" xfId="27149" xr:uid="{17A309DB-A644-477D-9B0D-A0536F0E8417}"/>
    <cellStyle name="Normal 4 2 15 2 3" xfId="17665" xr:uid="{7C4FD314-CB10-403B-83A5-8290EBEAC479}"/>
    <cellStyle name="Normal 4 2 15 3" xfId="10118" xr:uid="{CFC204A1-6795-48DE-89AF-D3D874DAFB26}"/>
    <cellStyle name="Normal 4 2 15 3 2" xfId="20498" xr:uid="{069D1D85-8652-419E-9121-EA4F3A6D8CD0}"/>
    <cellStyle name="Normal 4 2 15 4" xfId="23115" xr:uid="{0700854F-4580-478D-B6AB-331935D9045D}"/>
    <cellStyle name="Normal 4 2 15 5" xfId="14832" xr:uid="{9E532901-D255-4CD4-A05C-2D4608C4EE1A}"/>
    <cellStyle name="Normal 4 2 16" xfId="3782" xr:uid="{27CC7272-F4E2-4520-8C54-59A332157E49}"/>
    <cellStyle name="Normal 4 2 16 2" xfId="8622" xr:uid="{4EAA9704-FCEC-48C5-8844-C9B8227FEA16}"/>
    <cellStyle name="Normal 4 2 16 2 2" xfId="19002" xr:uid="{E0F32574-3B85-4CF3-BDB9-E03BC42D58A4}"/>
    <cellStyle name="Normal 4 2 16 3" xfId="11455" xr:uid="{E9BA206A-0C6C-4F83-914B-9E2E07F02FA7}"/>
    <cellStyle name="Normal 4 2 16 3 2" xfId="21835" xr:uid="{59BB904D-D1F2-4354-B67B-DE0EA2C8F00A}"/>
    <cellStyle name="Normal 4 2 16 4" xfId="25791" xr:uid="{35B12276-71AF-461C-AE9A-427A350131B5}"/>
    <cellStyle name="Normal 4 2 16 5" xfId="16169" xr:uid="{1545F333-97CF-46AF-850C-51D5368240A3}"/>
    <cellStyle name="Normal 4 2 17" xfId="5209" xr:uid="{40A45B17-08A7-429D-8BD0-7720AD32C752}"/>
    <cellStyle name="Normal 4 2 17 2" xfId="14507" xr:uid="{5B1A016E-2D09-4B3B-98B7-731CCA32B5ED}"/>
    <cellStyle name="Normal 4 2 18" xfId="6960" xr:uid="{1F9797DC-AAF9-450A-834E-2C1BBEA5DA7A}"/>
    <cellStyle name="Normal 4 2 18 2" xfId="17340" xr:uid="{30EFEE0E-5220-4048-9358-20DAC758A838}"/>
    <cellStyle name="Normal 4 2 19" xfId="9793" xr:uid="{9B414E89-376D-43A7-AFAD-BF33BE972A2C}"/>
    <cellStyle name="Normal 4 2 19 2" xfId="20173" xr:uid="{FB5A6142-9B43-46BF-9D60-43609F1B4AAD}"/>
    <cellStyle name="Normal 4 2 2" xfId="911" xr:uid="{00000000-0005-0000-0000-000041050000}"/>
    <cellStyle name="Normal 4 2 2 10" xfId="912" xr:uid="{00000000-0005-0000-0000-000042050000}"/>
    <cellStyle name="Normal 4 2 2 10 2" xfId="3275" xr:uid="{00000000-0005-0000-0000-000054050000}"/>
    <cellStyle name="Normal 4 2 2 10 2 2" xfId="6333" xr:uid="{185D5FB2-85C2-4416-AC75-4FDE5AC6B1DF}"/>
    <cellStyle name="Normal 4 2 2 10 2 2 2" xfId="26580" xr:uid="{B42086E8-B959-4099-801F-672DEC2E0025}"/>
    <cellStyle name="Normal 4 2 2 10 2 2 3" xfId="15902" xr:uid="{452F1F5D-5074-4FD2-95C9-D04823D47F33}"/>
    <cellStyle name="Normal 4 2 2 10 2 3" xfId="8355" xr:uid="{153892A2-F93F-4E14-B3F3-08E2EA9DECD7}"/>
    <cellStyle name="Normal 4 2 2 10 2 3 2" xfId="18735" xr:uid="{E97DF94D-DCCB-4B23-B8B5-E2072511C9D1}"/>
    <cellStyle name="Normal 4 2 2 10 2 4" xfId="11188" xr:uid="{132DB61E-A0F6-40EA-8A14-D18FC83EE2CE}"/>
    <cellStyle name="Normal 4 2 2 10 2 4 2" xfId="21568" xr:uid="{B16012CC-04A6-4971-91F8-10D17303B46B}"/>
    <cellStyle name="Normal 4 2 2 10 2 5" xfId="24012" xr:uid="{77E7BDF6-8B7A-4EB6-B150-4D77A6C11D38}"/>
    <cellStyle name="Normal 4 2 2 10 2 6" xfId="13826" xr:uid="{DA35EE25-1A4B-4F9B-B2C0-C383A2CD0766}"/>
    <cellStyle name="Normal 4 2 2 10 3" xfId="4179" xr:uid="{E8F62DEC-F5C8-42CD-A259-9BE651747801}"/>
    <cellStyle name="Normal 4 2 2 10 3 2" xfId="8951" xr:uid="{75BCDBA2-0158-4D5A-9CD1-5F782654B6F2}"/>
    <cellStyle name="Normal 4 2 2 10 3 2 2" xfId="29041" xr:uid="{BC5579B2-43A0-4EA1-A35A-04487637E72F}"/>
    <cellStyle name="Normal 4 2 2 10 3 2 3" xfId="19331" xr:uid="{5F984210-6810-47A9-B5F3-B59C911EC90B}"/>
    <cellStyle name="Normal 4 2 2 10 3 3" xfId="11784" xr:uid="{3339DDCC-70EA-478E-A9F8-32DBB8D883B2}"/>
    <cellStyle name="Normal 4 2 2 10 3 3 2" xfId="22164" xr:uid="{54E497B8-380D-4ACC-8784-CD20EE42FE48}"/>
    <cellStyle name="Normal 4 2 2 10 3 4" xfId="23608" xr:uid="{2C8585E0-C069-4507-BAC1-CCDE8C3D2477}"/>
    <cellStyle name="Normal 4 2 2 10 3 5" xfId="16498" xr:uid="{000A0721-BE3F-4DE6-A670-AAE937D1F561}"/>
    <cellStyle name="Normal 4 2 2 10 4" xfId="5217" xr:uid="{4EB3040A-9666-465A-9EBA-F4CF9D32B3C0}"/>
    <cellStyle name="Normal 4 2 2 10 4 2" xfId="25598" xr:uid="{203D3871-DD7E-4628-82BB-2C2F31A1BC76}"/>
    <cellStyle name="Normal 4 2 2 10 4 3" xfId="26291" xr:uid="{43B93DD7-EA6B-4238-A94D-730A91ED13F8}"/>
    <cellStyle name="Normal 4 2 2 10 4 4" xfId="14515" xr:uid="{87915702-98F2-4892-B3E9-B71660CD3F1A}"/>
    <cellStyle name="Normal 4 2 2 10 5" xfId="6968" xr:uid="{A464D24B-E40E-4838-AB46-D234D06B716F}"/>
    <cellStyle name="Normal 4 2 2 10 5 2" xfId="26301" xr:uid="{C027921C-8B3B-430A-9639-5218B95214C9}"/>
    <cellStyle name="Normal 4 2 2 10 5 3" xfId="17348" xr:uid="{B035E0E2-CAB1-4239-95B7-D4414DE2A23A}"/>
    <cellStyle name="Normal 4 2 2 10 6" xfId="9801" xr:uid="{CDFC3378-980C-472A-910D-BFCC669BD829}"/>
    <cellStyle name="Normal 4 2 2 10 6 2" xfId="20181" xr:uid="{940DF854-35D4-4CBB-9499-CA473C6DE8FA}"/>
    <cellStyle name="Normal 4 2 2 10 7" xfId="23009" xr:uid="{959DFF94-1B52-45F5-ADCF-7A6870F80A28}"/>
    <cellStyle name="Normal 4 2 2 10 8" xfId="12741" xr:uid="{C95538CA-7F08-4DE8-9100-45949CACB198}"/>
    <cellStyle name="Normal 4 2 2 11" xfId="913" xr:uid="{00000000-0005-0000-0000-000043050000}"/>
    <cellStyle name="Normal 4 2 2 11 2" xfId="5218" xr:uid="{27E7D2F7-8A58-4417-81DC-C797F66B222E}"/>
    <cellStyle name="Normal 4 2 2 11 2 2" xfId="22940" xr:uid="{E4853C26-B6A5-4022-B8BA-094D7181B69D}"/>
    <cellStyle name="Normal 4 2 2 11 2 3" xfId="28122" xr:uid="{803779A3-B52D-4DB8-9BA3-E064CEDB4EDF}"/>
    <cellStyle name="Normal 4 2 2 11 2 4" xfId="14516" xr:uid="{607B8411-1C42-495F-A5F9-E4A8C274DF3A}"/>
    <cellStyle name="Normal 4 2 2 11 3" xfId="6969" xr:uid="{5A4AC2D8-0476-44F7-850F-EBE5B9E95294}"/>
    <cellStyle name="Normal 4 2 2 11 3 2" xfId="27038" xr:uid="{EE41EE3F-7DAB-4326-8B66-E1F148D3036C}"/>
    <cellStyle name="Normal 4 2 2 11 3 3" xfId="17349" xr:uid="{E6278A32-D60F-4D6F-BA08-E494E08F2CBE}"/>
    <cellStyle name="Normal 4 2 2 11 4" xfId="9802" xr:uid="{071AFB65-363D-4AEF-8405-D54E4F6B7A51}"/>
    <cellStyle name="Normal 4 2 2 11 4 2" xfId="20182" xr:uid="{F96BCF8A-523F-4905-8DC7-50E08DFF478B}"/>
    <cellStyle name="Normal 4 2 2 11 5" xfId="23709" xr:uid="{DC3F3100-3942-4219-BF9A-89EFA33F2CAA}"/>
    <cellStyle name="Normal 4 2 2 11 6" xfId="13439" xr:uid="{25A1D4A9-1F40-41D7-995E-CD0254D7F015}"/>
    <cellStyle name="Normal 4 2 2 12" xfId="2439" xr:uid="{00000000-0005-0000-0000-000056050000}"/>
    <cellStyle name="Normal 4 2 2 12 2" xfId="5734" xr:uid="{8547517B-8782-4609-B33A-3D63C44BF131}"/>
    <cellStyle name="Normal 4 2 2 12 2 2" xfId="26015" xr:uid="{1CB25410-FC96-496C-8EB8-798C5784FD28}"/>
    <cellStyle name="Normal 4 2 2 12 2 3" xfId="15111" xr:uid="{0FE9A20C-C962-4A7A-AD94-954A69DDA6A6}"/>
    <cellStyle name="Normal 4 2 2 12 3" xfId="7564" xr:uid="{64007956-3482-47D2-9868-CCC187CEB834}"/>
    <cellStyle name="Normal 4 2 2 12 3 2" xfId="17944" xr:uid="{5606201E-E1C2-4C8B-828E-E5CB02270946}"/>
    <cellStyle name="Normal 4 2 2 12 4" xfId="10397" xr:uid="{86A3DC0E-5108-4020-8B99-37CB5341841F}"/>
    <cellStyle name="Normal 4 2 2 12 4 2" xfId="20777" xr:uid="{696A862E-EDD7-4007-BD2B-226DF2627FFB}"/>
    <cellStyle name="Normal 4 2 2 12 5" xfId="23021" xr:uid="{BAF468B8-ED33-44EA-A05D-FDAF302D77CB}"/>
    <cellStyle name="Normal 4 2 2 12 6" xfId="12826" xr:uid="{C759DABA-98F7-4310-A754-1D0D20A4DE9F}"/>
    <cellStyle name="Normal 4 2 2 13" xfId="2169" xr:uid="{00000000-0005-0000-0000-000052050000}"/>
    <cellStyle name="Normal 4 2 2 13 2" xfId="7296" xr:uid="{6FB8E346-A4FC-4EC0-B955-F22EE28F903C}"/>
    <cellStyle name="Normal 4 2 2 13 2 2" xfId="25881" xr:uid="{89DE9C29-9D64-4A61-9946-9E17F5F858CE}"/>
    <cellStyle name="Normal 4 2 2 13 2 3" xfId="17676" xr:uid="{317C0F3D-5A95-46DC-A00F-A42DFA954F0A}"/>
    <cellStyle name="Normal 4 2 2 13 3" xfId="10129" xr:uid="{008BE103-F31A-4EE0-9CE8-279CC533AB21}"/>
    <cellStyle name="Normal 4 2 2 13 3 2" xfId="20509" xr:uid="{6B6C2BA2-CE92-4379-BE26-7E3DB75D7A30}"/>
    <cellStyle name="Normal 4 2 2 13 4" xfId="25003" xr:uid="{51999392-4F95-43AF-A5E4-7A589442CCCB}"/>
    <cellStyle name="Normal 4 2 2 13 5" xfId="14843" xr:uid="{50A31E45-B226-41F3-96D7-F7AE06317ADE}"/>
    <cellStyle name="Normal 4 2 2 14" xfId="3970" xr:uid="{506337B6-E5FF-4C3A-AC3F-7F5EB249ADE2}"/>
    <cellStyle name="Normal 4 2 2 14 2" xfId="8794" xr:uid="{6816267C-CA97-4402-BD8A-30BAE9FFD2EB}"/>
    <cellStyle name="Normal 4 2 2 14 2 2" xfId="19174" xr:uid="{FEE2672A-26C4-496E-8CCD-E2CD8439F4EE}"/>
    <cellStyle name="Normal 4 2 2 14 3" xfId="11627" xr:uid="{0412BC77-676E-48C0-B280-5E17E1F24B54}"/>
    <cellStyle name="Normal 4 2 2 14 3 2" xfId="22007" xr:uid="{C47AF24F-E0E2-4DB5-8006-6E21B6128F61}"/>
    <cellStyle name="Normal 4 2 2 14 4" xfId="28255" xr:uid="{B55D04E7-6FDE-47CC-B0E4-A2E698104F39}"/>
    <cellStyle name="Normal 4 2 2 14 5" xfId="16341" xr:uid="{6FC29E5D-3ECF-4292-BEC7-408E86683948}"/>
    <cellStyle name="Normal 4 2 2 15" xfId="5216" xr:uid="{F75B133F-711A-4428-B6C2-C87F953FE4CB}"/>
    <cellStyle name="Normal 4 2 2 15 2" xfId="14514" xr:uid="{8D7CE6F0-F1F5-4E29-A5FE-BEC7F61EA2C6}"/>
    <cellStyle name="Normal 4 2 2 16" xfId="6967" xr:uid="{227B8A98-21E7-4B31-8E84-EB7743178BF0}"/>
    <cellStyle name="Normal 4 2 2 16 2" xfId="17347" xr:uid="{059F3E2E-C8A1-4492-8C20-7D394D910061}"/>
    <cellStyle name="Normal 4 2 2 17" xfId="9800" xr:uid="{A4C1941F-E307-4CEB-983A-FA32E492783F}"/>
    <cellStyle name="Normal 4 2 2 17 2" xfId="20180" xr:uid="{DB2017BF-18F0-4687-AD41-27960EC6A76F}"/>
    <cellStyle name="Normal 4 2 2 18" xfId="23650" xr:uid="{0A8A455A-A8EF-430F-92FD-55612F61147B}"/>
    <cellStyle name="Normal 4 2 2 19" xfId="12401" xr:uid="{7232607F-40C2-428E-83EC-64C6242A32AC}"/>
    <cellStyle name="Normal 4 2 2 2" xfId="914" xr:uid="{00000000-0005-0000-0000-000044050000}"/>
    <cellStyle name="Normal 4 2 2 2 10" xfId="5219" xr:uid="{364E115F-8F58-470F-8CA2-708DF92C7DC9}"/>
    <cellStyle name="Normal 4 2 2 2 10 2" xfId="14517" xr:uid="{7160F19E-8775-4FA0-900D-158F6A3203ED}"/>
    <cellStyle name="Normal 4 2 2 2 11" xfId="6970" xr:uid="{DCD49193-39B7-416C-B686-ADE5E64F7630}"/>
    <cellStyle name="Normal 4 2 2 2 11 2" xfId="17350" xr:uid="{1056EB77-8C93-489F-A457-7C6479E8980D}"/>
    <cellStyle name="Normal 4 2 2 2 12" xfId="9803" xr:uid="{0B953A81-D92E-44F0-A54A-527F8DE97B99}"/>
    <cellStyle name="Normal 4 2 2 2 12 2" xfId="20183" xr:uid="{09116E36-69EE-4EE1-AB7C-6ED61FACEDB4}"/>
    <cellStyle name="Normal 4 2 2 2 13" xfId="24789" xr:uid="{B823D996-2878-4B0A-BD9F-8035BEA5F8C9}"/>
    <cellStyle name="Normal 4 2 2 2 14" xfId="12424" xr:uid="{EF2096D0-6203-4F9D-8317-B60DD2079030}"/>
    <cellStyle name="Normal 4 2 2 2 2" xfId="915" xr:uid="{00000000-0005-0000-0000-000045050000}"/>
    <cellStyle name="Normal 4 2 2 2 2 10" xfId="6971" xr:uid="{FBFD471C-F7A4-4045-9E45-7FC9C20E281F}"/>
    <cellStyle name="Normal 4 2 2 2 2 10 2" xfId="17351" xr:uid="{81BE71D8-3FB8-45C2-9262-D46F9334548D}"/>
    <cellStyle name="Normal 4 2 2 2 2 11" xfId="9804" xr:uid="{6B2B4B35-2608-4CF9-9808-23B644968073}"/>
    <cellStyle name="Normal 4 2 2 2 2 11 2" xfId="20184" xr:uid="{4BD94397-7859-4669-8DE7-21131FC76711}"/>
    <cellStyle name="Normal 4 2 2 2 2 12" xfId="24467" xr:uid="{2675B592-A58D-4B77-8B94-8676EAB45A3C}"/>
    <cellStyle name="Normal 4 2 2 2 2 13" xfId="12484" xr:uid="{0078570A-5EDE-4ACF-8733-E2FB68784F0C}"/>
    <cellStyle name="Normal 4 2 2 2 2 2" xfId="916" xr:uid="{00000000-0005-0000-0000-000046050000}"/>
    <cellStyle name="Normal 4 2 2 2 2 2 10" xfId="13049" xr:uid="{381C7113-683D-43E6-BCCA-0D1F2EB08DFC}"/>
    <cellStyle name="Normal 4 2 2 2 2 2 2" xfId="2765" xr:uid="{00000000-0005-0000-0000-00005A050000}"/>
    <cellStyle name="Normal 4 2 2 2 2 2 2 2" xfId="3278" xr:uid="{00000000-0005-0000-0000-00005B050000}"/>
    <cellStyle name="Normal 4 2 2 2 2 2 2 2 2" xfId="6336" xr:uid="{B8ACEB30-0CE2-4173-B279-A6A7C4B74632}"/>
    <cellStyle name="Normal 4 2 2 2 2 2 2 2 2 2" xfId="27886" xr:uid="{7BD79C04-A0A8-4BF9-BA89-7647764278B8}"/>
    <cellStyle name="Normal 4 2 2 2 2 2 2 2 2 3" xfId="15905" xr:uid="{056C4EB1-52EB-49F9-8A39-8E3104E2BD69}"/>
    <cellStyle name="Normal 4 2 2 2 2 2 2 2 3" xfId="8358" xr:uid="{09D49612-BF5E-42A4-81E7-8D0CF8A45DFB}"/>
    <cellStyle name="Normal 4 2 2 2 2 2 2 2 3 2" xfId="18738" xr:uid="{A3F72BED-15B3-4F0D-B23D-DDE223D168C3}"/>
    <cellStyle name="Normal 4 2 2 2 2 2 2 2 4" xfId="11191" xr:uid="{4F15445F-E254-4744-AFD8-98DD5955A3F6}"/>
    <cellStyle name="Normal 4 2 2 2 2 2 2 2 4 2" xfId="21571" xr:uid="{5720F82A-957C-469D-B4DE-DEA634CA4FF5}"/>
    <cellStyle name="Normal 4 2 2 2 2 2 2 2 5" xfId="25448" xr:uid="{104A3E42-31B4-4435-A191-36A34B559480}"/>
    <cellStyle name="Normal 4 2 2 2 2 2 2 2 6" xfId="13829" xr:uid="{4CB194F4-5771-4E79-8CC9-8C1142B493C0}"/>
    <cellStyle name="Normal 4 2 2 2 2 2 2 3" xfId="4323" xr:uid="{F0596E22-3024-46AE-9601-D6EC0250F4CC}"/>
    <cellStyle name="Normal 4 2 2 2 2 2 2 3 2" xfId="9095" xr:uid="{BA6C2552-E7CD-45EC-8D65-1D81C7C490FD}"/>
    <cellStyle name="Normal 4 2 2 2 2 2 2 3 2 2" xfId="29138" xr:uid="{2ED4F116-AE48-4DD7-B2DC-0FA0ED7D4D2F}"/>
    <cellStyle name="Normal 4 2 2 2 2 2 2 3 2 3" xfId="19475" xr:uid="{E2B1A06E-BC42-48EB-A399-5AD1CF4AFF9A}"/>
    <cellStyle name="Normal 4 2 2 2 2 2 2 3 3" xfId="11928" xr:uid="{7B61F769-7681-4E74-8261-76194DC96EA4}"/>
    <cellStyle name="Normal 4 2 2 2 2 2 2 3 3 2" xfId="22308" xr:uid="{4B15C1DE-14C7-47ED-B545-930AF3BE57FD}"/>
    <cellStyle name="Normal 4 2 2 2 2 2 2 3 4" xfId="23971" xr:uid="{E14D23FD-4C6E-4A17-BDB4-4BC1E4323E26}"/>
    <cellStyle name="Normal 4 2 2 2 2 2 2 3 5" xfId="16642" xr:uid="{55064A3D-6723-44F9-BCAC-D31647776C51}"/>
    <cellStyle name="Normal 4 2 2 2 2 2 2 4" xfId="5983" xr:uid="{2D391F71-8852-498E-919B-1BC4D82E05D1}"/>
    <cellStyle name="Normal 4 2 2 2 2 2 2 4 2" xfId="28159" xr:uid="{47AFD2F5-31E0-4592-8088-089B9256271A}"/>
    <cellStyle name="Normal 4 2 2 2 2 2 2 4 3" xfId="15436" xr:uid="{85ED1564-DEA1-4D4E-86E0-9F3C30586B03}"/>
    <cellStyle name="Normal 4 2 2 2 2 2 2 5" xfId="7889" xr:uid="{3BEDB544-4F3A-460B-8604-4A7F80F80213}"/>
    <cellStyle name="Normal 4 2 2 2 2 2 2 5 2" xfId="18269" xr:uid="{7403030F-0C12-4503-9663-025B88F1465A}"/>
    <cellStyle name="Normal 4 2 2 2 2 2 2 6" xfId="10722" xr:uid="{D4E14310-DBD6-45F8-8432-B1F4E22B2EE9}"/>
    <cellStyle name="Normal 4 2 2 2 2 2 2 6 2" xfId="21102" xr:uid="{863C0D28-CD95-4B89-AD02-44CE4C7F79C9}"/>
    <cellStyle name="Normal 4 2 2 2 2 2 2 7" xfId="24429" xr:uid="{51103B87-10AF-43AF-9352-1EA17A854C2C}"/>
    <cellStyle name="Normal 4 2 2 2 2 2 2 8" xfId="13213" xr:uid="{8F923523-AF98-4C51-8FCF-0A238C899859}"/>
    <cellStyle name="Normal 4 2 2 2 2 2 3" xfId="3279" xr:uid="{00000000-0005-0000-0000-00005C050000}"/>
    <cellStyle name="Normal 4 2 2 2 2 2 3 2" xfId="4504" xr:uid="{C4960D59-ABB2-4263-B98F-3ADF28BD29AD}"/>
    <cellStyle name="Normal 4 2 2 2 2 2 3 2 2" xfId="9276" xr:uid="{5E2E79B0-1FA2-4ACF-9126-695F56DFD9EE}"/>
    <cellStyle name="Normal 4 2 2 2 2 2 3 2 2 2" xfId="19656" xr:uid="{FEECDFFA-5CAD-446C-B6DB-9EC0ACAF8C97}"/>
    <cellStyle name="Normal 4 2 2 2 2 2 3 2 3" xfId="12109" xr:uid="{C4879C75-18E5-4C23-8AF2-EA7F4561FCE3}"/>
    <cellStyle name="Normal 4 2 2 2 2 2 3 2 3 2" xfId="22489" xr:uid="{B343FD7E-829C-402E-B665-34829A6EF2A0}"/>
    <cellStyle name="Normal 4 2 2 2 2 2 3 2 4" xfId="26758" xr:uid="{D8DF39DE-DEBC-4B6D-BF97-3D569CC19CCF}"/>
    <cellStyle name="Normal 4 2 2 2 2 2 3 2 5" xfId="16823" xr:uid="{8D6CD8B5-B9D3-4D1A-932C-4FDA296EAACE}"/>
    <cellStyle name="Normal 4 2 2 2 2 2 3 3" xfId="6337" xr:uid="{3D22DF39-A235-4A42-AC45-2DFC73B9B481}"/>
    <cellStyle name="Normal 4 2 2 2 2 2 3 3 2" xfId="15906" xr:uid="{20EFF842-34D6-413B-A22E-5B91EEB0AD2A}"/>
    <cellStyle name="Normal 4 2 2 2 2 2 3 4" xfId="8359" xr:uid="{B62D4CB3-E43D-4F06-8BB2-4ED8C9FE06BC}"/>
    <cellStyle name="Normal 4 2 2 2 2 2 3 4 2" xfId="18739" xr:uid="{D52C76AA-AA51-4268-BE14-158A9A6BBDFF}"/>
    <cellStyle name="Normal 4 2 2 2 2 2 3 5" xfId="11192" xr:uid="{3E981503-59DE-4E02-9232-C87B1235CD5D}"/>
    <cellStyle name="Normal 4 2 2 2 2 2 3 5 2" xfId="21572" xr:uid="{44313A65-735C-4B6F-9E3D-EC1D47FD9835}"/>
    <cellStyle name="Normal 4 2 2 2 2 2 3 6" xfId="23992" xr:uid="{A66FD1E4-2484-479A-8073-731C626FE251}"/>
    <cellStyle name="Normal 4 2 2 2 2 2 3 7" xfId="13830" xr:uid="{7F59F0FA-9FEF-403D-A242-D34BDDD37F66}"/>
    <cellStyle name="Normal 4 2 2 2 2 2 4" xfId="3277" xr:uid="{00000000-0005-0000-0000-00005D050000}"/>
    <cellStyle name="Normal 4 2 2 2 2 2 4 2" xfId="6335" xr:uid="{7A735161-B8C5-44A4-A4CE-A5FEEF41D92B}"/>
    <cellStyle name="Normal 4 2 2 2 2 2 4 2 2" xfId="26631" xr:uid="{6DAB9FC2-EFC9-4B64-AED0-A9FEE05D1429}"/>
    <cellStyle name="Normal 4 2 2 2 2 2 4 2 3" xfId="15904" xr:uid="{82A4BE76-6424-490A-BAD3-E9981441ADFF}"/>
    <cellStyle name="Normal 4 2 2 2 2 2 4 3" xfId="8357" xr:uid="{C0A69965-9CE8-4AAD-90D3-8CD6D399852A}"/>
    <cellStyle name="Normal 4 2 2 2 2 2 4 3 2" xfId="18737" xr:uid="{F02D0328-7796-4150-9617-E54D067863F7}"/>
    <cellStyle name="Normal 4 2 2 2 2 2 4 4" xfId="11190" xr:uid="{DA82A739-2A85-4F7E-93B4-0A10E74E95B8}"/>
    <cellStyle name="Normal 4 2 2 2 2 2 4 4 2" xfId="21570" xr:uid="{2ADCF35A-5C13-4FBF-9683-A53E1D794BB6}"/>
    <cellStyle name="Normal 4 2 2 2 2 2 4 5" xfId="24755" xr:uid="{E3ED486C-C073-4F6D-924E-826C33313BA5}"/>
    <cellStyle name="Normal 4 2 2 2 2 2 4 6" xfId="13828" xr:uid="{D7B5A615-11BF-4D15-A925-307EF0939938}"/>
    <cellStyle name="Normal 4 2 2 2 2 2 5" xfId="4248" xr:uid="{CC6D375D-BD4D-40F5-9C57-7D2555740F5E}"/>
    <cellStyle name="Normal 4 2 2 2 2 2 5 2" xfId="9020" xr:uid="{4DC7DB8F-38A3-4B33-A67C-CF99CC9D11EE}"/>
    <cellStyle name="Normal 4 2 2 2 2 2 5 2 2" xfId="29091" xr:uid="{91B21A91-3A94-4F37-A8DC-9EB5B6AD36FC}"/>
    <cellStyle name="Normal 4 2 2 2 2 2 5 2 3" xfId="19400" xr:uid="{5CD80ABA-E1E9-4602-8258-8E1497F69587}"/>
    <cellStyle name="Normal 4 2 2 2 2 2 5 3" xfId="11853" xr:uid="{C0EF5E50-5348-49CA-B68D-21DE54DE347E}"/>
    <cellStyle name="Normal 4 2 2 2 2 2 5 3 2" xfId="22233" xr:uid="{91C55B56-521E-473A-B31D-860E68AB3DC2}"/>
    <cellStyle name="Normal 4 2 2 2 2 2 5 4" xfId="25470" xr:uid="{28BA4A29-AD1A-4A54-AE20-AEB3BC2E7175}"/>
    <cellStyle name="Normal 4 2 2 2 2 2 5 5" xfId="16567" xr:uid="{943696B2-CEE6-4E22-B067-25005356976F}"/>
    <cellStyle name="Normal 4 2 2 2 2 2 6" xfId="5221" xr:uid="{8D425C41-DB49-4C08-8292-EEBA558AED65}"/>
    <cellStyle name="Normal 4 2 2 2 2 2 6 2" xfId="26103" xr:uid="{3797F20E-714F-47D7-AABA-4F2A42BBC04D}"/>
    <cellStyle name="Normal 4 2 2 2 2 2 6 3" xfId="14519" xr:uid="{1EF54C17-758F-4721-881E-32B942577160}"/>
    <cellStyle name="Normal 4 2 2 2 2 2 7" xfId="6972" xr:uid="{4D95FE9B-573B-4455-80C7-E879AF30CE0A}"/>
    <cellStyle name="Normal 4 2 2 2 2 2 7 2" xfId="17352" xr:uid="{5E91A820-70D7-4845-B9B2-02D632E906BC}"/>
    <cellStyle name="Normal 4 2 2 2 2 2 8" xfId="9805" xr:uid="{6435EA55-4A57-4026-BBFE-853758CC3F04}"/>
    <cellStyle name="Normal 4 2 2 2 2 2 8 2" xfId="20185" xr:uid="{0040778D-3436-4031-B47B-7043A6EDC977}"/>
    <cellStyle name="Normal 4 2 2 2 2 2 9" xfId="22805" xr:uid="{405BFEED-439C-4ECB-9DD2-C937295F820A}"/>
    <cellStyle name="Normal 4 2 2 2 2 3" xfId="2764" xr:uid="{00000000-0005-0000-0000-00005E050000}"/>
    <cellStyle name="Normal 4 2 2 2 2 3 2" xfId="3280" xr:uid="{00000000-0005-0000-0000-00005F050000}"/>
    <cellStyle name="Normal 4 2 2 2 2 3 2 2" xfId="6338" xr:uid="{6F599886-50AC-44C8-BB63-387A109B2C0C}"/>
    <cellStyle name="Normal 4 2 2 2 2 3 2 2 2" xfId="28294" xr:uid="{C3D29537-2C39-45E4-9B83-9A7C9FBB291E}"/>
    <cellStyle name="Normal 4 2 2 2 2 3 2 2 3" xfId="15907" xr:uid="{12E46451-17A2-49E9-B949-BA87973F3990}"/>
    <cellStyle name="Normal 4 2 2 2 2 3 2 3" xfId="8360" xr:uid="{CAAA5857-6B10-4F1C-BD3B-47F91B744DDD}"/>
    <cellStyle name="Normal 4 2 2 2 2 3 2 3 2" xfId="18740" xr:uid="{366D2C2C-2663-4830-93C1-A3A75DC980BA}"/>
    <cellStyle name="Normal 4 2 2 2 2 3 2 4" xfId="11193" xr:uid="{AF994CEA-8DDC-4B2D-8F5B-4191DA0CEAA3}"/>
    <cellStyle name="Normal 4 2 2 2 2 3 2 4 2" xfId="21573" xr:uid="{3E972101-8543-4643-99BC-C2BC9EA6E181}"/>
    <cellStyle name="Normal 4 2 2 2 2 3 2 5" xfId="23819" xr:uid="{8317A978-06D6-47EF-A1A5-03A902BCAEFE}"/>
    <cellStyle name="Normal 4 2 2 2 2 3 2 6" xfId="13831" xr:uid="{33CB82B1-B3D6-4C39-97FB-08508AEE9FCB}"/>
    <cellStyle name="Normal 4 2 2 2 2 3 3" xfId="4322" xr:uid="{C3395475-EFDB-4698-84AF-97E8EB448CA9}"/>
    <cellStyle name="Normal 4 2 2 2 2 3 3 2" xfId="9094" xr:uid="{064CBE81-A934-4A21-A818-105ED985EC0D}"/>
    <cellStyle name="Normal 4 2 2 2 2 3 3 2 2" xfId="29137" xr:uid="{00C57CEC-F247-4291-9634-6F04CED5819E}"/>
    <cellStyle name="Normal 4 2 2 2 2 3 3 2 3" xfId="19474" xr:uid="{B03D30EE-5FE1-497E-A5A7-ADF8B01A2439}"/>
    <cellStyle name="Normal 4 2 2 2 2 3 3 3" xfId="11927" xr:uid="{E304E41F-6D35-4010-8A1E-A3B506FC073C}"/>
    <cellStyle name="Normal 4 2 2 2 2 3 3 3 2" xfId="22307" xr:uid="{1CCC0997-75C1-4453-B046-2440FA702C06}"/>
    <cellStyle name="Normal 4 2 2 2 2 3 3 4" xfId="23905" xr:uid="{331EDECF-7D60-4CE5-A477-CF6F841D8940}"/>
    <cellStyle name="Normal 4 2 2 2 2 3 3 5" xfId="16641" xr:uid="{DC8E110D-2CDC-4699-92F3-98582196137E}"/>
    <cellStyle name="Normal 4 2 2 2 2 3 4" xfId="5982" xr:uid="{82511949-F407-4787-AB88-3B911D3733BD}"/>
    <cellStyle name="Normal 4 2 2 2 2 3 4 2" xfId="28545" xr:uid="{567136AE-C2C4-4AD1-97D8-639A684F147D}"/>
    <cellStyle name="Normal 4 2 2 2 2 3 4 3" xfId="15435" xr:uid="{74A6AA41-E4EB-43E7-9C1E-5328428D32C7}"/>
    <cellStyle name="Normal 4 2 2 2 2 3 5" xfId="7888" xr:uid="{DE58D20C-2F88-4D7D-BD01-3512CBDC095E}"/>
    <cellStyle name="Normal 4 2 2 2 2 3 5 2" xfId="18268" xr:uid="{184D57AF-D37C-42E0-A9BF-D97A730CC4A5}"/>
    <cellStyle name="Normal 4 2 2 2 2 3 6" xfId="10721" xr:uid="{0B4729B8-3E78-47E4-A1D3-CC04345AB3EF}"/>
    <cellStyle name="Normal 4 2 2 2 2 3 6 2" xfId="21101" xr:uid="{3D377C8A-6FB9-41F2-BFA6-AE9A8EB3742C}"/>
    <cellStyle name="Normal 4 2 2 2 2 3 7" xfId="23862" xr:uid="{6D28C593-A7B1-439A-855E-26108A25625D}"/>
    <cellStyle name="Normal 4 2 2 2 2 3 8" xfId="13212" xr:uid="{2F74BFD1-832B-4EDB-8525-BB152BCEF047}"/>
    <cellStyle name="Normal 4 2 2 2 2 4" xfId="3281" xr:uid="{00000000-0005-0000-0000-000060050000}"/>
    <cellStyle name="Normal 4 2 2 2 2 4 2" xfId="4505" xr:uid="{A423A57F-4B31-4ABC-94E5-261B442008F4}"/>
    <cellStyle name="Normal 4 2 2 2 2 4 2 2" xfId="9277" xr:uid="{01125D3C-A911-41C1-A52A-E9713F0CA091}"/>
    <cellStyle name="Normal 4 2 2 2 2 4 2 2 2" xfId="19657" xr:uid="{4EAFBCB5-9E0A-4E27-87FE-F6B6E7A1E05A}"/>
    <cellStyle name="Normal 4 2 2 2 2 4 2 3" xfId="12110" xr:uid="{0C9A767A-4E2E-44B8-83BE-81C71939CEFE}"/>
    <cellStyle name="Normal 4 2 2 2 2 4 2 3 2" xfId="22490" xr:uid="{2A927B39-6FD2-4FF0-AB17-9AE29384958F}"/>
    <cellStyle name="Normal 4 2 2 2 2 4 2 4" xfId="27942" xr:uid="{7426BC20-4997-46FE-BA4F-2F944E01A8DB}"/>
    <cellStyle name="Normal 4 2 2 2 2 4 2 5" xfId="16824" xr:uid="{95E11B15-F74B-4978-B820-74FD92A3F434}"/>
    <cellStyle name="Normal 4 2 2 2 2 4 3" xfId="6339" xr:uid="{FF70B162-4850-4388-B5CA-EEFAEB34D3E2}"/>
    <cellStyle name="Normal 4 2 2 2 2 4 3 2" xfId="15908" xr:uid="{C215E602-59B2-4BC4-B2B0-158367296468}"/>
    <cellStyle name="Normal 4 2 2 2 2 4 4" xfId="8361" xr:uid="{A19C8D5D-4DAD-4D76-AEEE-A5DC9E9F75B7}"/>
    <cellStyle name="Normal 4 2 2 2 2 4 4 2" xfId="18741" xr:uid="{A805E533-3D68-46DF-A972-069B1DB12A96}"/>
    <cellStyle name="Normal 4 2 2 2 2 4 5" xfId="11194" xr:uid="{1E7601FC-DD29-49F5-AE25-E5EF8894E07D}"/>
    <cellStyle name="Normal 4 2 2 2 2 4 5 2" xfId="21574" xr:uid="{78D30B21-FCE6-4C62-B0A2-8757813E3BA7}"/>
    <cellStyle name="Normal 4 2 2 2 2 4 6" xfId="23534" xr:uid="{98E53F46-CB64-45E1-84CB-035C4715276C}"/>
    <cellStyle name="Normal 4 2 2 2 2 4 7" xfId="13832" xr:uid="{F6122276-2D32-4C10-8C43-5F49D34D894B}"/>
    <cellStyle name="Normal 4 2 2 2 2 5" xfId="3276" xr:uid="{00000000-0005-0000-0000-000061050000}"/>
    <cellStyle name="Normal 4 2 2 2 2 5 2" xfId="6334" xr:uid="{60F73424-790C-46E1-B5C6-885A1AF07FF6}"/>
    <cellStyle name="Normal 4 2 2 2 2 5 2 2" xfId="28000" xr:uid="{8BC18318-709F-4054-902A-E7AE5D25BFF9}"/>
    <cellStyle name="Normal 4 2 2 2 2 5 2 3" xfId="15903" xr:uid="{9C0574D4-FB05-4BD5-826A-8C05666DCD78}"/>
    <cellStyle name="Normal 4 2 2 2 2 5 3" xfId="8356" xr:uid="{CD849E83-F7D1-4A92-955F-9C1A6644143D}"/>
    <cellStyle name="Normal 4 2 2 2 2 5 3 2" xfId="18736" xr:uid="{4F487EA7-6651-4245-BF24-630B16ED073B}"/>
    <cellStyle name="Normal 4 2 2 2 2 5 4" xfId="11189" xr:uid="{D225D92F-E41F-42B4-B89D-25457A02BFCA}"/>
    <cellStyle name="Normal 4 2 2 2 2 5 4 2" xfId="21569" xr:uid="{12619C35-F315-4D9D-A84E-273D6CC5238A}"/>
    <cellStyle name="Normal 4 2 2 2 2 5 5" xfId="24252" xr:uid="{A296CF64-4476-444F-98F6-78180AB82126}"/>
    <cellStyle name="Normal 4 2 2 2 2 5 6" xfId="13827" xr:uid="{5FE98964-64C5-40FC-87C7-397116A3E87B}"/>
    <cellStyle name="Normal 4 2 2 2 2 6" xfId="2558" xr:uid="{00000000-0005-0000-0000-000062050000}"/>
    <cellStyle name="Normal 4 2 2 2 2 6 2" xfId="5828" xr:uid="{0DF684C7-764C-4AAC-8CD8-14201A6C6590}"/>
    <cellStyle name="Normal 4 2 2 2 2 6 2 2" xfId="27216" xr:uid="{0B025752-5132-41E9-99B4-38149AF0795A}"/>
    <cellStyle name="Normal 4 2 2 2 2 6 2 3" xfId="15230" xr:uid="{58068AC9-58D3-461F-BB08-9F9B2240891D}"/>
    <cellStyle name="Normal 4 2 2 2 2 6 3" xfId="7683" xr:uid="{230B2416-A2F5-44E7-8B0D-FE6882FF5675}"/>
    <cellStyle name="Normal 4 2 2 2 2 6 3 2" xfId="18063" xr:uid="{CC6576D4-B509-4518-9ED6-F821A660E7F9}"/>
    <cellStyle name="Normal 4 2 2 2 2 6 4" xfId="10516" xr:uid="{FDB8EBD0-01F4-4E5C-A1B8-6FB6E9030363}"/>
    <cellStyle name="Normal 4 2 2 2 2 6 4 2" xfId="20896" xr:uid="{7CF60288-1231-484C-BDA0-74CA89989A7F}"/>
    <cellStyle name="Normal 4 2 2 2 2 6 5" xfId="24947" xr:uid="{20493766-E88B-4D6A-BA0E-13FDFE62A073}"/>
    <cellStyle name="Normal 4 2 2 2 2 6 6" xfId="12946" xr:uid="{8A840297-6404-4D8D-BFD8-B0944E3D8CE5}"/>
    <cellStyle name="Normal 4 2 2 2 2 7" xfId="2252" xr:uid="{00000000-0005-0000-0000-000058050000}"/>
    <cellStyle name="Normal 4 2 2 2 2 7 2" xfId="7379" xr:uid="{6254E648-DD1A-4488-82E8-25A0BE964A06}"/>
    <cellStyle name="Normal 4 2 2 2 2 7 2 2" xfId="17759" xr:uid="{52AE3BC1-BB63-4E5C-BE16-6713D509A65E}"/>
    <cellStyle name="Normal 4 2 2 2 2 7 3" xfId="10212" xr:uid="{1E482F3D-96F8-440C-BE60-A80086D8B3A8}"/>
    <cellStyle name="Normal 4 2 2 2 2 7 3 2" xfId="20592" xr:uid="{6CC03342-5797-44F3-996E-B8275468CEDF}"/>
    <cellStyle name="Normal 4 2 2 2 2 7 4" xfId="22790" xr:uid="{9BCF720B-752D-48A4-9E53-8CFF0F96D762}"/>
    <cellStyle name="Normal 4 2 2 2 2 7 5" xfId="14926" xr:uid="{0FBE1125-EB6C-4287-97AB-777916CFB58B}"/>
    <cellStyle name="Normal 4 2 2 2 2 8" xfId="3803" xr:uid="{24DA41A7-685F-424A-BFC2-2BBAB9FDCAE4}"/>
    <cellStyle name="Normal 4 2 2 2 2 8 2" xfId="8639" xr:uid="{EE91C2E1-CEEC-4FA3-B153-68C755A4A508}"/>
    <cellStyle name="Normal 4 2 2 2 2 8 2 2" xfId="19019" xr:uid="{592F2261-B02C-4FA5-B080-1625E0E8FD5F}"/>
    <cellStyle name="Normal 4 2 2 2 2 8 3" xfId="11472" xr:uid="{3B65E4CB-832D-49D9-97A9-556C3AFB1965}"/>
    <cellStyle name="Normal 4 2 2 2 2 8 3 2" xfId="21852" xr:uid="{E01C12FF-0186-410A-A58F-A8D094EE9F31}"/>
    <cellStyle name="Normal 4 2 2 2 2 8 4" xfId="16186" xr:uid="{16C9592A-6A5B-4535-B26D-DF226ACE4CCA}"/>
    <cellStyle name="Normal 4 2 2 2 2 9" xfId="5220" xr:uid="{098FB361-0977-449C-A54A-751652BABDB3}"/>
    <cellStyle name="Normal 4 2 2 2 2 9 2" xfId="14518" xr:uid="{6C2C943B-1F73-4481-B253-8FC5292D5710}"/>
    <cellStyle name="Normal 4 2 2 2 3" xfId="917" xr:uid="{00000000-0005-0000-0000-000047050000}"/>
    <cellStyle name="Normal 4 2 2 2 3 10" xfId="9806" xr:uid="{47D7B61C-4B5F-48EF-AE2A-F6164E629AC3}"/>
    <cellStyle name="Normal 4 2 2 2 3 10 2" xfId="20186" xr:uid="{D188C3D8-E33C-44DA-A6D5-05210E795B88}"/>
    <cellStyle name="Normal 4 2 2 2 3 11" xfId="23765" xr:uid="{1FA630D4-DC6C-4FED-822C-365CE5A7D548}"/>
    <cellStyle name="Normal 4 2 2 2 3 12" xfId="12584" xr:uid="{56C1FD10-DAD2-4CAA-A17F-5A72D2C2C2C9}"/>
    <cellStyle name="Normal 4 2 2 2 3 2" xfId="2766" xr:uid="{00000000-0005-0000-0000-000064050000}"/>
    <cellStyle name="Normal 4 2 2 2 3 2 2" xfId="3283" xr:uid="{00000000-0005-0000-0000-000065050000}"/>
    <cellStyle name="Normal 4 2 2 2 3 2 2 2" xfId="6341" xr:uid="{23D571E8-0208-4D73-98AA-0AAC948AC8F0}"/>
    <cellStyle name="Normal 4 2 2 2 3 2 2 2 2" xfId="28086" xr:uid="{5BC5DC13-3946-4B4D-95D2-B4BCFDD9D2AE}"/>
    <cellStyle name="Normal 4 2 2 2 3 2 2 2 3" xfId="15910" xr:uid="{08EA4DAE-CBBF-42F3-991F-65568DD9D8C9}"/>
    <cellStyle name="Normal 4 2 2 2 3 2 2 3" xfId="8363" xr:uid="{5209D608-A312-4385-A725-D938A6D35EC6}"/>
    <cellStyle name="Normal 4 2 2 2 3 2 2 3 2" xfId="18743" xr:uid="{D9A02B23-C4B8-47F7-9E8B-68A9D5E2F43D}"/>
    <cellStyle name="Normal 4 2 2 2 3 2 2 4" xfId="11196" xr:uid="{9F13AB9E-7EC7-4554-AB2B-4E151B9AA314}"/>
    <cellStyle name="Normal 4 2 2 2 3 2 2 4 2" xfId="21576" xr:uid="{4EC84CC0-3C85-4F09-8318-6F62D9478C5A}"/>
    <cellStyle name="Normal 4 2 2 2 3 2 2 5" xfId="24054" xr:uid="{CB7E155F-202C-4244-8B23-502BD8CB1D41}"/>
    <cellStyle name="Normal 4 2 2 2 3 2 2 6" xfId="13834" xr:uid="{6E75D810-67ED-4B4C-8F20-A0E3D6FECAFB}"/>
    <cellStyle name="Normal 4 2 2 2 3 2 3" xfId="4324" xr:uid="{4FABEAB4-BFF2-4733-B2E3-5947C5455FC7}"/>
    <cellStyle name="Normal 4 2 2 2 3 2 3 2" xfId="9096" xr:uid="{640A9CF6-988B-43DD-9C1D-13B8166CF6A6}"/>
    <cellStyle name="Normal 4 2 2 2 3 2 3 2 2" xfId="29139" xr:uid="{ED13436E-3563-44D4-B170-08A5FAEABBCA}"/>
    <cellStyle name="Normal 4 2 2 2 3 2 3 2 3" xfId="19476" xr:uid="{DA1B4311-E792-4739-AAF3-B687F4D4F731}"/>
    <cellStyle name="Normal 4 2 2 2 3 2 3 3" xfId="11929" xr:uid="{B2075360-9661-4E49-A14A-B7FF820019B4}"/>
    <cellStyle name="Normal 4 2 2 2 3 2 3 3 2" xfId="22309" xr:uid="{3ED2E095-0567-4CF4-A874-D928FDC61044}"/>
    <cellStyle name="Normal 4 2 2 2 3 2 3 4" xfId="24002" xr:uid="{E80D8598-27AE-4BB1-93E8-53F0FDEABD7D}"/>
    <cellStyle name="Normal 4 2 2 2 3 2 3 5" xfId="16643" xr:uid="{77361467-D4BA-4CAE-AEE8-26900A67AE3F}"/>
    <cellStyle name="Normal 4 2 2 2 3 2 4" xfId="5984" xr:uid="{C72175AA-C9EA-4F44-8B5C-0438F0FD2F0B}"/>
    <cellStyle name="Normal 4 2 2 2 3 2 4 2" xfId="26192" xr:uid="{5C3FD90B-B17F-43D9-BD17-983240DFCE39}"/>
    <cellStyle name="Normal 4 2 2 2 3 2 4 3" xfId="15437" xr:uid="{27BBE414-D942-48C6-9663-F4403ACCD803}"/>
    <cellStyle name="Normal 4 2 2 2 3 2 5" xfId="7890" xr:uid="{41896ECE-885C-4CE2-8060-2565205E09B1}"/>
    <cellStyle name="Normal 4 2 2 2 3 2 5 2" xfId="18270" xr:uid="{65AEFC6B-78E4-4DB4-A21E-9056ED9F7F28}"/>
    <cellStyle name="Normal 4 2 2 2 3 2 6" xfId="10723" xr:uid="{FCBF7084-238B-4855-B8E2-AAD00D84AC09}"/>
    <cellStyle name="Normal 4 2 2 2 3 2 6 2" xfId="21103" xr:uid="{2774C62D-697B-41CD-9CAE-8906AD8BD80D}"/>
    <cellStyle name="Normal 4 2 2 2 3 2 7" xfId="24602" xr:uid="{23407B31-2950-4252-B410-1E954824E197}"/>
    <cellStyle name="Normal 4 2 2 2 3 2 8" xfId="13214" xr:uid="{8A13A376-05AC-4A95-9E3A-B70CB94A17E3}"/>
    <cellStyle name="Normal 4 2 2 2 3 3" xfId="3284" xr:uid="{00000000-0005-0000-0000-000066050000}"/>
    <cellStyle name="Normal 4 2 2 2 3 3 2" xfId="4506" xr:uid="{B51A62CE-E34A-4E74-9C18-46C2C94512CA}"/>
    <cellStyle name="Normal 4 2 2 2 3 3 2 2" xfId="9278" xr:uid="{2CCC404B-302C-4853-908C-10864B09B373}"/>
    <cellStyle name="Normal 4 2 2 2 3 3 2 2 2" xfId="29259" xr:uid="{A03F0689-EB93-4231-8FD5-B048413C71AC}"/>
    <cellStyle name="Normal 4 2 2 2 3 3 2 2 3" xfId="19658" xr:uid="{889C5688-D942-4CF4-92A9-4775679CC015}"/>
    <cellStyle name="Normal 4 2 2 2 3 3 2 3" xfId="12111" xr:uid="{9055429D-ECF7-46AB-9299-2C04CEFF549E}"/>
    <cellStyle name="Normal 4 2 2 2 3 3 2 3 2" xfId="22491" xr:uid="{B1D25EE4-F4B9-4EEE-BBE8-2F5C3345CEF8}"/>
    <cellStyle name="Normal 4 2 2 2 3 3 2 4" xfId="25060" xr:uid="{38AD75FE-55CD-4010-BCC9-A1FAA2F90A67}"/>
    <cellStyle name="Normal 4 2 2 2 3 3 2 5" xfId="16825" xr:uid="{2A67E511-EDDD-4A20-9C27-078451C900C7}"/>
    <cellStyle name="Normal 4 2 2 2 3 3 3" xfId="6342" xr:uid="{63CF34C2-9C02-4748-BD86-E2B2E19C348A}"/>
    <cellStyle name="Normal 4 2 2 2 3 3 3 2" xfId="26159" xr:uid="{8280DF36-EEE6-491A-9D09-664698192FC7}"/>
    <cellStyle name="Normal 4 2 2 2 3 3 3 3" xfId="15911" xr:uid="{34FDF884-0B17-49C1-BACF-F02E078DE7F8}"/>
    <cellStyle name="Normal 4 2 2 2 3 3 4" xfId="8364" xr:uid="{343CF02A-958B-4B44-8833-A4B600F0E7EC}"/>
    <cellStyle name="Normal 4 2 2 2 3 3 4 2" xfId="18744" xr:uid="{C508E7EE-F3B7-434D-BEF2-A9B5219E428B}"/>
    <cellStyle name="Normal 4 2 2 2 3 3 5" xfId="11197" xr:uid="{CD0BAF0A-1603-43A8-BCA6-7C56D9B4F913}"/>
    <cellStyle name="Normal 4 2 2 2 3 3 5 2" xfId="21577" xr:uid="{EF6C10FF-43B8-4280-B1FA-DF459CAE5F5E}"/>
    <cellStyle name="Normal 4 2 2 2 3 3 6" xfId="25018" xr:uid="{12EB2416-BD58-454B-9959-18E03C063F32}"/>
    <cellStyle name="Normal 4 2 2 2 3 3 7" xfId="13835" xr:uid="{CB5DEEED-B8EE-485A-9634-C2434881B8F5}"/>
    <cellStyle name="Normal 4 2 2 2 3 4" xfId="3282" xr:uid="{00000000-0005-0000-0000-000067050000}"/>
    <cellStyle name="Normal 4 2 2 2 3 4 2" xfId="6340" xr:uid="{84906B7B-D4F1-47A1-ABC3-A02A1312675E}"/>
    <cellStyle name="Normal 4 2 2 2 3 4 2 2" xfId="26647" xr:uid="{2C145300-C97C-4971-BF83-8398451F4330}"/>
    <cellStyle name="Normal 4 2 2 2 3 4 2 3" xfId="15909" xr:uid="{75841195-DF04-4BA5-82DE-9684B1D713F6}"/>
    <cellStyle name="Normal 4 2 2 2 3 4 3" xfId="8362" xr:uid="{AC708855-A337-4B62-A848-0B24072AFEEF}"/>
    <cellStyle name="Normal 4 2 2 2 3 4 3 2" xfId="18742" xr:uid="{0E1C300D-5ABE-4497-B2C7-47C2748CE773}"/>
    <cellStyle name="Normal 4 2 2 2 3 4 4" xfId="11195" xr:uid="{92CF7EB8-8E4F-4F3D-81F3-11FF89BB63E3}"/>
    <cellStyle name="Normal 4 2 2 2 3 4 4 2" xfId="21575" xr:uid="{19C844FD-E66B-4B11-A942-0C0DFBE1AA29}"/>
    <cellStyle name="Normal 4 2 2 2 3 4 5" xfId="24917" xr:uid="{11FE66E9-72D7-4C23-867F-9FD3DA77D68A}"/>
    <cellStyle name="Normal 4 2 2 2 3 4 6" xfId="13833" xr:uid="{ADE1AFF2-8C1A-4670-BFA5-266DCD9E2748}"/>
    <cellStyle name="Normal 4 2 2 2 3 5" xfId="2601" xr:uid="{00000000-0005-0000-0000-000068050000}"/>
    <cellStyle name="Normal 4 2 2 2 3 5 2" xfId="5866" xr:uid="{83688F7B-15CE-4845-A4A9-062CEA153E02}"/>
    <cellStyle name="Normal 4 2 2 2 3 5 2 2" xfId="28039" xr:uid="{66BDFECE-8E62-482C-B315-AAC3B030A9AD}"/>
    <cellStyle name="Normal 4 2 2 2 3 5 2 3" xfId="15273" xr:uid="{DA135101-8362-4D70-B2BA-A90EDCAD79F7}"/>
    <cellStyle name="Normal 4 2 2 2 3 5 3" xfId="7726" xr:uid="{722BF4E1-1CE2-4E31-B297-1429B8FCA87C}"/>
    <cellStyle name="Normal 4 2 2 2 3 5 3 2" xfId="18106" xr:uid="{B88ECCA1-EE4B-4376-B76B-EE8330706F0A}"/>
    <cellStyle name="Normal 4 2 2 2 3 5 4" xfId="10559" xr:uid="{88BE88D3-ECFE-4943-A802-391E49668A93}"/>
    <cellStyle name="Normal 4 2 2 2 3 5 4 2" xfId="20939" xr:uid="{16CB8B2A-B38A-40C8-86CD-E0877DEE8032}"/>
    <cellStyle name="Normal 4 2 2 2 3 5 5" xfId="25357" xr:uid="{0EE88708-E060-41B8-818F-1CF83BF59345}"/>
    <cellStyle name="Normal 4 2 2 2 3 5 6" xfId="12989" xr:uid="{4073137C-AB90-4AC6-B6E9-DEA045DBF4FF}"/>
    <cellStyle name="Normal 4 2 2 2 3 6" xfId="2350" xr:uid="{00000000-0005-0000-0000-000063050000}"/>
    <cellStyle name="Normal 4 2 2 2 3 6 2" xfId="7477" xr:uid="{225E50F3-147D-4227-B435-E86D71DD914B}"/>
    <cellStyle name="Normal 4 2 2 2 3 6 2 2" xfId="17857" xr:uid="{DD96CC2C-E349-4109-910F-25D613F735DA}"/>
    <cellStyle name="Normal 4 2 2 2 3 6 3" xfId="10310" xr:uid="{67DC567D-8371-4415-9382-97D6CD20ED76}"/>
    <cellStyle name="Normal 4 2 2 2 3 6 3 2" xfId="20690" xr:uid="{A9BB8DD5-D192-499E-AC36-22D30AAA30D7}"/>
    <cellStyle name="Normal 4 2 2 2 3 6 4" xfId="25412" xr:uid="{C30C510D-244E-47DB-8CD0-D58F70CF0CB9}"/>
    <cellStyle name="Normal 4 2 2 2 3 6 5" xfId="15024" xr:uid="{4657A565-7808-4B27-A1D8-8288D0C19352}"/>
    <cellStyle name="Normal 4 2 2 2 3 7" xfId="3880" xr:uid="{E15CBF60-A602-42B3-95FB-FF35C357C80E}"/>
    <cellStyle name="Normal 4 2 2 2 3 7 2" xfId="8712" xr:uid="{ECDC04D8-486B-4194-BB3F-DEAF1FC0A0BB}"/>
    <cellStyle name="Normal 4 2 2 2 3 7 2 2" xfId="19092" xr:uid="{3795D105-2DB6-4577-A405-88F1F3197116}"/>
    <cellStyle name="Normal 4 2 2 2 3 7 3" xfId="11545" xr:uid="{0789174A-1A15-4801-B531-51CDAB9C9C5E}"/>
    <cellStyle name="Normal 4 2 2 2 3 7 3 2" xfId="21925" xr:uid="{6233EBAD-153E-450C-85F9-6C2FB7690721}"/>
    <cellStyle name="Normal 4 2 2 2 3 7 4" xfId="16259" xr:uid="{E432F5C8-8152-420F-97B2-73F079D96A03}"/>
    <cellStyle name="Normal 4 2 2 2 3 8" xfId="5222" xr:uid="{86A7BF5F-C068-4C30-B73F-407DE4B95413}"/>
    <cellStyle name="Normal 4 2 2 2 3 8 2" xfId="14520" xr:uid="{9D8A3E58-18AD-4423-877D-AEAB447B1ABE}"/>
    <cellStyle name="Normal 4 2 2 2 3 9" xfId="6973" xr:uid="{728DC7B3-75EB-41E7-B869-E512F28904D9}"/>
    <cellStyle name="Normal 4 2 2 2 3 9 2" xfId="17353" xr:uid="{9727448C-8D0A-45F4-ABF5-A72216390A5E}"/>
    <cellStyle name="Normal 4 2 2 2 4" xfId="918" xr:uid="{00000000-0005-0000-0000-000048050000}"/>
    <cellStyle name="Normal 4 2 2 2 4 2" xfId="3285" xr:uid="{00000000-0005-0000-0000-00006A050000}"/>
    <cellStyle name="Normal 4 2 2 2 4 2 2" xfId="6343" xr:uid="{C4B46A48-1CA9-4BE2-8607-B3BB86308C02}"/>
    <cellStyle name="Normal 4 2 2 2 4 2 2 2" xfId="27137" xr:uid="{9F1F8244-E3A0-411C-A856-32B4C10DF939}"/>
    <cellStyle name="Normal 4 2 2 2 4 2 2 3" xfId="15912" xr:uid="{6A91B766-9518-4FD0-A550-63A3B3381BDF}"/>
    <cellStyle name="Normal 4 2 2 2 4 2 3" xfId="8365" xr:uid="{BFEB444A-B39A-427F-B850-AD955D810C96}"/>
    <cellStyle name="Normal 4 2 2 2 4 2 3 2" xfId="18745" xr:uid="{E249B219-2AFA-47BD-8707-2135478E115B}"/>
    <cellStyle name="Normal 4 2 2 2 4 2 4" xfId="11198" xr:uid="{290D993C-746C-436D-9BCC-EB5510327F57}"/>
    <cellStyle name="Normal 4 2 2 2 4 2 4 2" xfId="21578" xr:uid="{721941F7-07FA-487B-94A7-208AF6FD6CE7}"/>
    <cellStyle name="Normal 4 2 2 2 4 2 5" xfId="25409" xr:uid="{E82479EF-244A-4211-8851-32C1278A617F}"/>
    <cellStyle name="Normal 4 2 2 2 4 2 6" xfId="13836" xr:uid="{26738D8C-7092-4F23-9798-02C9AA1BC30E}"/>
    <cellStyle name="Normal 4 2 2 2 4 3" xfId="2763" xr:uid="{00000000-0005-0000-0000-00006B050000}"/>
    <cellStyle name="Normal 4 2 2 2 4 3 2" xfId="5981" xr:uid="{F98D6499-6964-458E-9AE0-1B03993E33FA}"/>
    <cellStyle name="Normal 4 2 2 2 4 3 2 2" xfId="28500" xr:uid="{04F6BEF0-094C-48B6-8107-1B362795A795}"/>
    <cellStyle name="Normal 4 2 2 2 4 3 2 3" xfId="15434" xr:uid="{D2312F29-7028-4CF6-8554-2D350BCC4FFB}"/>
    <cellStyle name="Normal 4 2 2 2 4 3 3" xfId="7887" xr:uid="{7CDFBBFC-194A-45A6-B073-04F587ED3E3F}"/>
    <cellStyle name="Normal 4 2 2 2 4 3 3 2" xfId="18267" xr:uid="{EC834A35-9453-4CAF-8950-F802DDB5DC6F}"/>
    <cellStyle name="Normal 4 2 2 2 4 3 4" xfId="10720" xr:uid="{FFBDCC92-C1E4-4C2B-AFAF-FBBADFEBAF62}"/>
    <cellStyle name="Normal 4 2 2 2 4 3 4 2" xfId="21100" xr:uid="{16B084A0-4AE6-498C-8517-15E85C982633}"/>
    <cellStyle name="Normal 4 2 2 2 4 3 5" xfId="24260" xr:uid="{D529CCF3-D1BC-4EC1-95A5-211BF8DDAEEA}"/>
    <cellStyle name="Normal 4 2 2 2 4 3 6" xfId="13211" xr:uid="{F91EB318-9735-4FC2-A7D6-63C57C1DAE43}"/>
    <cellStyle name="Normal 4 2 2 2 4 4" xfId="4180" xr:uid="{09F09E15-871D-4244-890C-93B16B2D3BE3}"/>
    <cellStyle name="Normal 4 2 2 2 4 4 2" xfId="8952" xr:uid="{3C265B06-A5BF-48AD-89A9-2D22F9A5D61E}"/>
    <cellStyle name="Normal 4 2 2 2 4 4 2 2" xfId="19332" xr:uid="{521178AC-315A-4187-A6DA-D40BCC284914}"/>
    <cellStyle name="Normal 4 2 2 2 4 4 3" xfId="11785" xr:uid="{D142966C-F984-4520-B50F-9E4FE6BA102C}"/>
    <cellStyle name="Normal 4 2 2 2 4 4 3 2" xfId="22165" xr:uid="{BDDD4821-8C01-4D78-BB38-35D03234A43C}"/>
    <cellStyle name="Normal 4 2 2 2 4 4 4" xfId="22775" xr:uid="{6B039AF2-98CF-4B6D-96D8-00C613B9D56F}"/>
    <cellStyle name="Normal 4 2 2 2 4 4 5" xfId="16499" xr:uid="{B917C92B-E32B-457D-9BDE-48FA35C389D2}"/>
    <cellStyle name="Normal 4 2 2 2 4 5" xfId="5223" xr:uid="{5C4D6AF4-82E1-41DD-BCC0-3E46B66D7E15}"/>
    <cellStyle name="Normal 4 2 2 2 4 5 2" xfId="14521" xr:uid="{B460FFE8-EBCA-443B-A0C9-5E288F9C981F}"/>
    <cellStyle name="Normal 4 2 2 2 4 6" xfId="6974" xr:uid="{C75A9B51-C5CA-4ADE-84AB-FF4ECCBA604E}"/>
    <cellStyle name="Normal 4 2 2 2 4 6 2" xfId="17354" xr:uid="{869329D5-6304-41A1-949E-A1C36BADE2D0}"/>
    <cellStyle name="Normal 4 2 2 2 4 7" xfId="9807" xr:uid="{A3D628FC-B9AB-4888-8202-144FB0F1C438}"/>
    <cellStyle name="Normal 4 2 2 2 4 7 2" xfId="20187" xr:uid="{3DB03CB8-537F-46DC-B9B9-47CADBD84AB8}"/>
    <cellStyle name="Normal 4 2 2 2 4 8" xfId="24897" xr:uid="{91E13E85-9BCB-4769-8D67-49E29F2EAF30}"/>
    <cellStyle name="Normal 4 2 2 2 4 9" xfId="12742" xr:uid="{9C685099-7178-41A6-87FD-6B656B7C8790}"/>
    <cellStyle name="Normal 4 2 2 2 5" xfId="3286" xr:uid="{00000000-0005-0000-0000-00006C050000}"/>
    <cellStyle name="Normal 4 2 2 2 5 2" xfId="4507" xr:uid="{C38558B0-20A2-4476-87DA-6BFF6065FB72}"/>
    <cellStyle name="Normal 4 2 2 2 5 2 2" xfId="9279" xr:uid="{E0806218-B591-4968-A464-B3CFC314A602}"/>
    <cellStyle name="Normal 4 2 2 2 5 2 2 2" xfId="29260" xr:uid="{CBE4C94A-BFEF-4921-B9D4-BDF3799D9EC4}"/>
    <cellStyle name="Normal 4 2 2 2 5 2 2 3" xfId="19659" xr:uid="{7F52E468-4C7D-4963-8EFE-B305532A9E98}"/>
    <cellStyle name="Normal 4 2 2 2 5 2 3" xfId="12112" xr:uid="{3FA5C244-90D7-448B-A003-E813D33AB845}"/>
    <cellStyle name="Normal 4 2 2 2 5 2 3 2" xfId="22492" xr:uid="{33C03823-B642-4C57-8C16-AAEC2EFF685B}"/>
    <cellStyle name="Normal 4 2 2 2 5 2 4" xfId="23423" xr:uid="{D869F22B-A0AF-40DB-AAF7-0AA930C414B2}"/>
    <cellStyle name="Normal 4 2 2 2 5 2 5" xfId="16826" xr:uid="{956D3CA5-05CC-4296-A22F-A38646B755B3}"/>
    <cellStyle name="Normal 4 2 2 2 5 3" xfId="6344" xr:uid="{EEC73034-AAE7-44A5-BFE4-E5EE8526D30F}"/>
    <cellStyle name="Normal 4 2 2 2 5 3 2" xfId="27664" xr:uid="{F78D3E12-E12D-48EB-9C6A-35C5A4F5082F}"/>
    <cellStyle name="Normal 4 2 2 2 5 3 3" xfId="15913" xr:uid="{D1C4BCCB-C9E7-43E1-B5D0-57A511DF6D74}"/>
    <cellStyle name="Normal 4 2 2 2 5 4" xfId="8366" xr:uid="{654E4D6B-CABE-4867-BC98-A2411752ACCC}"/>
    <cellStyle name="Normal 4 2 2 2 5 4 2" xfId="18746" xr:uid="{A97C0CFD-ACBD-4FA9-95F8-B58DB1F0A5EB}"/>
    <cellStyle name="Normal 4 2 2 2 5 5" xfId="11199" xr:uid="{0D07C26D-2E8B-4E1B-AB67-B08E32EB68DA}"/>
    <cellStyle name="Normal 4 2 2 2 5 5 2" xfId="21579" xr:uid="{DE9345F1-CDD7-4ABB-AC3F-44D7879809BD}"/>
    <cellStyle name="Normal 4 2 2 2 5 6" xfId="23626" xr:uid="{94716677-757A-4C82-AEF7-D595FF518AED}"/>
    <cellStyle name="Normal 4 2 2 2 5 7" xfId="13837" xr:uid="{F629A4FF-E862-472E-A6DE-BF2634491564}"/>
    <cellStyle name="Normal 4 2 2 2 6" xfId="2926" xr:uid="{00000000-0005-0000-0000-00006D050000}"/>
    <cellStyle name="Normal 4 2 2 2 6 2" xfId="6106" xr:uid="{EC6B6115-246A-4E2D-A4D0-BCBFD219C349}"/>
    <cellStyle name="Normal 4 2 2 2 6 2 2" xfId="27552" xr:uid="{E87F3D8D-DCB9-4655-8DE1-DCDB851F043B}"/>
    <cellStyle name="Normal 4 2 2 2 6 2 3" xfId="15584" xr:uid="{64957473-5187-4040-BCE6-86D8A7C2F96B}"/>
    <cellStyle name="Normal 4 2 2 2 6 3" xfId="8037" xr:uid="{4E390FF0-81EF-4B05-A5D5-D107E8BA8641}"/>
    <cellStyle name="Normal 4 2 2 2 6 3 2" xfId="18417" xr:uid="{4C9FF954-9B95-4E4F-94CC-9D81B58025F3}"/>
    <cellStyle name="Normal 4 2 2 2 6 4" xfId="10870" xr:uid="{C7D9EEDE-59CB-4892-A90E-D6CBAA776294}"/>
    <cellStyle name="Normal 4 2 2 2 6 4 2" xfId="21250" xr:uid="{013422BF-270B-44C7-AC44-3A278CD4DF6B}"/>
    <cellStyle name="Normal 4 2 2 2 6 5" xfId="22644" xr:uid="{E1543EFA-274E-4B41-AC5A-2033AED55C16}"/>
    <cellStyle name="Normal 4 2 2 2 6 6" xfId="13440" xr:uid="{1B856EAC-F127-4C13-9933-1ED8CDE6CD7F}"/>
    <cellStyle name="Normal 4 2 2 2 7" xfId="2498" xr:uid="{00000000-0005-0000-0000-00006E050000}"/>
    <cellStyle name="Normal 4 2 2 2 7 2" xfId="5781" xr:uid="{2155F36A-BC96-4357-8425-D920261F69FF}"/>
    <cellStyle name="Normal 4 2 2 2 7 2 2" xfId="26762" xr:uid="{ADAD11F8-F25F-4855-BAE8-EFC94FBD37D3}"/>
    <cellStyle name="Normal 4 2 2 2 7 2 3" xfId="15170" xr:uid="{E80883C3-46A1-47FD-B5AC-8A846D7591A9}"/>
    <cellStyle name="Normal 4 2 2 2 7 3" xfId="7623" xr:uid="{6DD1F1C5-4FF3-43BB-8726-56F22B3580A5}"/>
    <cellStyle name="Normal 4 2 2 2 7 3 2" xfId="18003" xr:uid="{543D6EC0-4DF1-47AB-A541-7269906FF7A8}"/>
    <cellStyle name="Normal 4 2 2 2 7 4" xfId="10456" xr:uid="{7B541D81-392E-494B-9E52-B84DFE8720F2}"/>
    <cellStyle name="Normal 4 2 2 2 7 4 2" xfId="20836" xr:uid="{9B9851DE-6809-4B6A-A05F-EFB36E3F281E}"/>
    <cellStyle name="Normal 4 2 2 2 7 5" xfId="25184" xr:uid="{1A35A034-AFBA-4F4A-875C-3A3926CBB46C}"/>
    <cellStyle name="Normal 4 2 2 2 7 6" xfId="12886" xr:uid="{973CBE25-492A-4DEE-9351-36187EA70F9D}"/>
    <cellStyle name="Normal 4 2 2 2 8" xfId="2192" xr:uid="{00000000-0005-0000-0000-000057050000}"/>
    <cellStyle name="Normal 4 2 2 2 8 2" xfId="7319" xr:uid="{202650CD-28B0-4E67-8827-41E01F03D3C2}"/>
    <cellStyle name="Normal 4 2 2 2 8 2 2" xfId="17699" xr:uid="{22E13DBB-C16D-40EB-A3AE-92B11712B437}"/>
    <cellStyle name="Normal 4 2 2 2 8 3" xfId="10152" xr:uid="{DDC1FFF8-DCB9-41A1-AD22-A544A04EC073}"/>
    <cellStyle name="Normal 4 2 2 2 8 3 2" xfId="20532" xr:uid="{282BB72D-2582-4555-8080-50D626A4473B}"/>
    <cellStyle name="Normal 4 2 2 2 8 4" xfId="22873" xr:uid="{18F331D2-7DF0-4D44-AC68-C52BAE4D538F}"/>
    <cellStyle name="Normal 4 2 2 2 8 5" xfId="14866" xr:uid="{C4251E7B-F494-4BCD-A000-9A36D0D12557}"/>
    <cellStyle name="Normal 4 2 2 2 9" xfId="3971" xr:uid="{E3924D78-0A6A-4160-954B-7BDD5285864D}"/>
    <cellStyle name="Normal 4 2 2 2 9 2" xfId="8795" xr:uid="{AB6CF9CE-B9D0-4210-B8E0-DC6533CA4258}"/>
    <cellStyle name="Normal 4 2 2 2 9 2 2" xfId="19175" xr:uid="{71695F3D-89F5-4DE4-B18F-DCFA154EECDC}"/>
    <cellStyle name="Normal 4 2 2 2 9 3" xfId="11628" xr:uid="{7AC8E88D-7772-433F-995A-E060E7D40B17}"/>
    <cellStyle name="Normal 4 2 2 2 9 3 2" xfId="22008" xr:uid="{881B4292-B64F-467F-B0F4-E3DBBC28FE57}"/>
    <cellStyle name="Normal 4 2 2 2 9 4" xfId="16342" xr:uid="{1D3749AB-17A1-4775-9954-ED2D5FA48BCC}"/>
    <cellStyle name="Normal 4 2 2 3" xfId="919" xr:uid="{00000000-0005-0000-0000-000049050000}"/>
    <cellStyle name="Normal 4 2 2 3 10" xfId="5224" xr:uid="{4C8EB03A-B9E6-4ADB-83F2-4632A0FD4A2B}"/>
    <cellStyle name="Normal 4 2 2 3 10 2" xfId="14522" xr:uid="{7B904648-2E13-475E-8929-1CAFDB91392D}"/>
    <cellStyle name="Normal 4 2 2 3 11" xfId="6975" xr:uid="{A6B2F5C6-3548-4D10-BB4C-0DD9C94E11B5}"/>
    <cellStyle name="Normal 4 2 2 3 11 2" xfId="17355" xr:uid="{81E6248D-E257-462A-8568-10D278AD3795}"/>
    <cellStyle name="Normal 4 2 2 3 12" xfId="9808" xr:uid="{27B0B000-06A1-4CF3-AE41-AC14DEA3D8C1}"/>
    <cellStyle name="Normal 4 2 2 3 12 2" xfId="20188" xr:uid="{F709525A-B072-44F6-B4E0-E5E26CF316E0}"/>
    <cellStyle name="Normal 4 2 2 3 13" xfId="23661" xr:uid="{5661E3C3-41EC-4747-A0C2-DAC047C18CE2}"/>
    <cellStyle name="Normal 4 2 2 3 14" xfId="12461" xr:uid="{45C8C42A-A7F7-4A77-9F12-E8B7335646F6}"/>
    <cellStyle name="Normal 4 2 2 3 2" xfId="920" xr:uid="{00000000-0005-0000-0000-00004A050000}"/>
    <cellStyle name="Normal 4 2 2 3 2 10" xfId="9809" xr:uid="{DE249236-C757-4834-993F-5C73C75AA67F}"/>
    <cellStyle name="Normal 4 2 2 3 2 10 2" xfId="20189" xr:uid="{F789E804-F60C-4EE6-897A-5E66BF106061}"/>
    <cellStyle name="Normal 4 2 2 3 2 11" xfId="25501" xr:uid="{CE144F7C-62F7-4442-9C6C-8946645A422A}"/>
    <cellStyle name="Normal 4 2 2 3 2 12" xfId="12585" xr:uid="{EDE6596E-3C0A-4452-99A5-DAF699009E35}"/>
    <cellStyle name="Normal 4 2 2 3 2 2" xfId="921" xr:uid="{00000000-0005-0000-0000-00004B050000}"/>
    <cellStyle name="Normal 4 2 2 3 2 2 2" xfId="3288" xr:uid="{00000000-0005-0000-0000-000072050000}"/>
    <cellStyle name="Normal 4 2 2 3 2 2 2 2" xfId="6346" xr:uid="{6A54CE14-D909-4302-97CD-DFEA3C63DEFE}"/>
    <cellStyle name="Normal 4 2 2 3 2 2 2 2 2" xfId="27288" xr:uid="{74314792-9A52-4FD3-83EA-A9758D019597}"/>
    <cellStyle name="Normal 4 2 2 3 2 2 2 2 3" xfId="26809" xr:uid="{B31CB6F5-F9A0-42C4-91F0-13935C43AE2C}"/>
    <cellStyle name="Normal 4 2 2 3 2 2 2 2 4" xfId="15915" xr:uid="{A27C0814-8A83-4DDB-8F7C-B1439C12E70C}"/>
    <cellStyle name="Normal 4 2 2 3 2 2 2 3" xfId="8368" xr:uid="{CF2509EC-CF3A-42B5-AB21-5E4FA426CA7D}"/>
    <cellStyle name="Normal 4 2 2 3 2 2 2 3 2" xfId="28898" xr:uid="{E9459B4A-E860-4D0C-B117-ECDB048044CA}"/>
    <cellStyle name="Normal 4 2 2 3 2 2 2 3 3" xfId="18748" xr:uid="{83C0937A-826D-42BF-9A56-14B96ACA789F}"/>
    <cellStyle name="Normal 4 2 2 3 2 2 2 4" xfId="11201" xr:uid="{B1333805-23F5-42D1-A06A-B10B1039CC81}"/>
    <cellStyle name="Normal 4 2 2 3 2 2 2 4 2" xfId="21581" xr:uid="{3B9F75CD-5554-435A-BE1A-EC7F02967A5D}"/>
    <cellStyle name="Normal 4 2 2 3 2 2 2 5" xfId="23527" xr:uid="{41D0B654-967F-4713-B25A-9593268AA2D9}"/>
    <cellStyle name="Normal 4 2 2 3 2 2 2 6" xfId="13839" xr:uid="{FC3937F6-94BF-45BD-BFF6-3D475EA41BE5}"/>
    <cellStyle name="Normal 4 2 2 3 2 2 3" xfId="4326" xr:uid="{B2787D4B-7961-437E-9E35-5D6DDF9D9A8E}"/>
    <cellStyle name="Normal 4 2 2 3 2 2 3 2" xfId="9098" xr:uid="{E9AC06A7-A309-4A91-99B9-7D5C2085F1AC}"/>
    <cellStyle name="Normal 4 2 2 3 2 2 3 2 2" xfId="29141" xr:uid="{75F295F7-4C31-466A-82B8-B55628C300EF}"/>
    <cellStyle name="Normal 4 2 2 3 2 2 3 2 3" xfId="19478" xr:uid="{E9EE146E-DB2D-4132-9FCC-ADA79ADCFB0B}"/>
    <cellStyle name="Normal 4 2 2 3 2 2 3 3" xfId="11931" xr:uid="{EA49450A-8459-4CB3-8CA4-26B90595B325}"/>
    <cellStyle name="Normal 4 2 2 3 2 2 3 3 2" xfId="22311" xr:uid="{86C4B435-7388-4D54-82D1-41ACDEF81221}"/>
    <cellStyle name="Normal 4 2 2 3 2 2 3 4" xfId="25508" xr:uid="{0D38197A-44CC-4C81-B138-82303A9591BC}"/>
    <cellStyle name="Normal 4 2 2 3 2 2 3 5" xfId="16645" xr:uid="{23980CF4-E09C-4D13-B87E-5CCFA853EF8E}"/>
    <cellStyle name="Normal 4 2 2 3 2 2 4" xfId="5226" xr:uid="{C90F8EC9-0711-4445-A27F-548BD7ABFFF8}"/>
    <cellStyle name="Normal 4 2 2 3 2 2 4 2" xfId="26825" xr:uid="{8A36930A-77D3-4494-8377-A6B36B48A0AA}"/>
    <cellStyle name="Normal 4 2 2 3 2 2 4 3" xfId="14524" xr:uid="{591D5692-58AF-4158-844E-AF60AA0FCE90}"/>
    <cellStyle name="Normal 4 2 2 3 2 2 5" xfId="6977" xr:uid="{E6250537-DD63-4B3A-BA35-405BF6064E52}"/>
    <cellStyle name="Normal 4 2 2 3 2 2 5 2" xfId="17357" xr:uid="{702F81DF-B704-48B8-85F6-1713D67E71D8}"/>
    <cellStyle name="Normal 4 2 2 3 2 2 6" xfId="9810" xr:uid="{C4E51B45-3297-4D8A-9EED-5C6B21E518ED}"/>
    <cellStyle name="Normal 4 2 2 3 2 2 6 2" xfId="20190" xr:uid="{1EFB45F9-AA05-429D-A87D-98B6282F9883}"/>
    <cellStyle name="Normal 4 2 2 3 2 2 7" xfId="24423" xr:uid="{CC96FF20-3507-443E-844E-77D6A8BEC4D1}"/>
    <cellStyle name="Normal 4 2 2 3 2 2 8" xfId="13216" xr:uid="{0E02A5E9-2AF7-4929-B622-2CFCBE6193BB}"/>
    <cellStyle name="Normal 4 2 2 3 2 3" xfId="3289" xr:uid="{00000000-0005-0000-0000-000073050000}"/>
    <cellStyle name="Normal 4 2 2 3 2 3 2" xfId="4508" xr:uid="{C36D94FA-6760-4288-AB2F-C8BAEE966C3F}"/>
    <cellStyle name="Normal 4 2 2 3 2 3 2 2" xfId="9280" xr:uid="{6303850A-18D2-40CD-83FF-372915C50C2A}"/>
    <cellStyle name="Normal 4 2 2 3 2 3 2 2 2" xfId="29261" xr:uid="{6EE79945-357E-4B97-8754-EA1A514ED2DD}"/>
    <cellStyle name="Normal 4 2 2 3 2 3 2 2 3" xfId="19660" xr:uid="{38C642DD-E7D8-458B-94A1-D590D07B8655}"/>
    <cellStyle name="Normal 4 2 2 3 2 3 2 3" xfId="12113" xr:uid="{B18BB930-11BE-45B0-A95D-58F13AC6782B}"/>
    <cellStyle name="Normal 4 2 2 3 2 3 2 3 2" xfId="22493" xr:uid="{5C6F0A01-4396-4DDA-817B-0CB09248E996}"/>
    <cellStyle name="Normal 4 2 2 3 2 3 2 4" xfId="24867" xr:uid="{729C037F-17CF-48D9-81BE-F87240CF6698}"/>
    <cellStyle name="Normal 4 2 2 3 2 3 2 5" xfId="16827" xr:uid="{EE1BA9C0-5CBB-4AB9-BBDE-109F29F2BBF9}"/>
    <cellStyle name="Normal 4 2 2 3 2 3 3" xfId="6347" xr:uid="{89E13BB4-452B-4B4E-B512-6F4C7AB53434}"/>
    <cellStyle name="Normal 4 2 2 3 2 3 3 2" xfId="28336" xr:uid="{41BDAC96-9A6F-49BB-8160-E581AB4DDD33}"/>
    <cellStyle name="Normal 4 2 2 3 2 3 3 3" xfId="15916" xr:uid="{61890395-B9E6-41F5-9477-2927DBD163D7}"/>
    <cellStyle name="Normal 4 2 2 3 2 3 4" xfId="8369" xr:uid="{7B3AB6B3-5718-43AF-973E-91A1BEB64A71}"/>
    <cellStyle name="Normal 4 2 2 3 2 3 4 2" xfId="18749" xr:uid="{46A5317C-FB63-4E74-8202-BFD9F96392BA}"/>
    <cellStyle name="Normal 4 2 2 3 2 3 5" xfId="11202" xr:uid="{062485BB-F023-41D3-95F6-7DFC4C3DDB9B}"/>
    <cellStyle name="Normal 4 2 2 3 2 3 5 2" xfId="21582" xr:uid="{50F5A99C-A45E-4535-B4A3-3AE894577F2B}"/>
    <cellStyle name="Normal 4 2 2 3 2 3 6" xfId="22705" xr:uid="{4B8116B2-847D-4D06-9AD9-012C0CA83F0C}"/>
    <cellStyle name="Normal 4 2 2 3 2 3 7" xfId="13840" xr:uid="{E5627E8D-234A-4478-BD39-83DA09E9BC12}"/>
    <cellStyle name="Normal 4 2 2 3 2 4" xfId="3287" xr:uid="{00000000-0005-0000-0000-000074050000}"/>
    <cellStyle name="Normal 4 2 2 3 2 4 2" xfId="6345" xr:uid="{D240B1F4-A6D0-448A-8BDF-63F85E91C8F8}"/>
    <cellStyle name="Normal 4 2 2 3 2 4 2 2" xfId="28474" xr:uid="{18314E4A-AE67-4B6F-B508-912FB11A91DB}"/>
    <cellStyle name="Normal 4 2 2 3 2 4 2 3" xfId="15914" xr:uid="{57CB71E1-FF78-4EF7-8785-8F6EDFBCB33B}"/>
    <cellStyle name="Normal 4 2 2 3 2 4 3" xfId="8367" xr:uid="{92240B2D-38C1-454D-B56E-7E3D0956F970}"/>
    <cellStyle name="Normal 4 2 2 3 2 4 3 2" xfId="18747" xr:uid="{55706EA9-509C-4177-8277-C7D144419419}"/>
    <cellStyle name="Normal 4 2 2 3 2 4 4" xfId="11200" xr:uid="{020EB1DA-255C-4C76-AB91-43E46051CB40}"/>
    <cellStyle name="Normal 4 2 2 3 2 4 4 2" xfId="21580" xr:uid="{211767A5-3246-4480-9B39-F538EC29A29B}"/>
    <cellStyle name="Normal 4 2 2 3 2 4 5" xfId="24204" xr:uid="{9082D8DB-4C96-4830-BD21-A262EBAE688D}"/>
    <cellStyle name="Normal 4 2 2 3 2 4 6" xfId="13838" xr:uid="{F70D6774-E243-4164-A7AF-951DE2E9E02A}"/>
    <cellStyle name="Normal 4 2 2 3 2 5" xfId="2535" xr:uid="{00000000-0005-0000-0000-000075050000}"/>
    <cellStyle name="Normal 4 2 2 3 2 5 2" xfId="5809" xr:uid="{FDCA5AD5-95DA-412D-8D47-258CC2B41DD1}"/>
    <cellStyle name="Normal 4 2 2 3 2 5 2 2" xfId="26978" xr:uid="{DD5C1E70-C5F2-4324-8FC2-7D920610937F}"/>
    <cellStyle name="Normal 4 2 2 3 2 5 2 3" xfId="15207" xr:uid="{80C0A50B-A75B-41D2-8A38-2CD2CE4DFE08}"/>
    <cellStyle name="Normal 4 2 2 3 2 5 3" xfId="7660" xr:uid="{4EEB0860-2372-458C-B5F9-A0CC253A1AE3}"/>
    <cellStyle name="Normal 4 2 2 3 2 5 3 2" xfId="18040" xr:uid="{EC5DD510-18CA-4DBC-A34C-F3120B2B44E6}"/>
    <cellStyle name="Normal 4 2 2 3 2 5 4" xfId="10493" xr:uid="{BA2AC357-34BA-4763-A738-292D2A44C02D}"/>
    <cellStyle name="Normal 4 2 2 3 2 5 4 2" xfId="20873" xr:uid="{97F0FD2C-82B5-497E-BD95-3C5AF1BAADE6}"/>
    <cellStyle name="Normal 4 2 2 3 2 5 5" xfId="23287" xr:uid="{AD5C5887-0803-4E20-9BB9-7BB57DB48E1C}"/>
    <cellStyle name="Normal 4 2 2 3 2 5 6" xfId="12923" xr:uid="{68E2A869-D5B2-42EE-8820-A9D0C6D71C9E}"/>
    <cellStyle name="Normal 4 2 2 3 2 6" xfId="2351" xr:uid="{00000000-0005-0000-0000-000070050000}"/>
    <cellStyle name="Normal 4 2 2 3 2 6 2" xfId="7478" xr:uid="{B3F065FD-3BF3-41C5-98FB-7285E0CEF677}"/>
    <cellStyle name="Normal 4 2 2 3 2 6 2 2" xfId="17858" xr:uid="{BDC82D49-BB9F-499F-BD8E-F48F4542180F}"/>
    <cellStyle name="Normal 4 2 2 3 2 6 3" xfId="10311" xr:uid="{7F6C7885-EA64-4EDE-A8FA-6AAF050F0977}"/>
    <cellStyle name="Normal 4 2 2 3 2 6 3 2" xfId="20691" xr:uid="{6FE03C0A-13E8-4886-927D-BBE3FE3D81F0}"/>
    <cellStyle name="Normal 4 2 2 3 2 6 4" xfId="24130" xr:uid="{E708F31D-9929-434E-A242-2DCD60721706}"/>
    <cellStyle name="Normal 4 2 2 3 2 6 5" xfId="15025" xr:uid="{DB145D00-6261-49DE-B2D9-6277AC08AB4C}"/>
    <cellStyle name="Normal 4 2 2 3 2 7" xfId="3892" xr:uid="{D96A2613-E50C-4D2C-900D-398FAFA7F405}"/>
    <cellStyle name="Normal 4 2 2 3 2 7 2" xfId="8724" xr:uid="{6B9C5CFA-735E-40A8-BC44-5B567045E3DA}"/>
    <cellStyle name="Normal 4 2 2 3 2 7 2 2" xfId="19104" xr:uid="{F878870E-6795-4137-B63C-DC6965F96EA3}"/>
    <cellStyle name="Normal 4 2 2 3 2 7 3" xfId="11557" xr:uid="{313CA58C-0C94-491D-8B0D-3F823C796A86}"/>
    <cellStyle name="Normal 4 2 2 3 2 7 3 2" xfId="21937" xr:uid="{7B76D477-D22B-41C2-AD72-52B2987A93E9}"/>
    <cellStyle name="Normal 4 2 2 3 2 7 4" xfId="16271" xr:uid="{2AF31336-C692-4258-A919-C034B70AC8E1}"/>
    <cellStyle name="Normal 4 2 2 3 2 8" xfId="5225" xr:uid="{11FEB477-B239-4E41-BF3C-424859C341A2}"/>
    <cellStyle name="Normal 4 2 2 3 2 8 2" xfId="14523" xr:uid="{1C01992E-5370-4D5F-9595-794570A6E419}"/>
    <cellStyle name="Normal 4 2 2 3 2 9" xfId="6976" xr:uid="{CD0EAC3F-8B8F-4C1C-9E73-3D82BD185AD1}"/>
    <cellStyle name="Normal 4 2 2 3 2 9 2" xfId="17356" xr:uid="{24878BB0-662F-4A83-B137-81A7CAFD42EF}"/>
    <cellStyle name="Normal 4 2 2 3 3" xfId="922" xr:uid="{00000000-0005-0000-0000-00004C050000}"/>
    <cellStyle name="Normal 4 2 2 3 3 10" xfId="24833" xr:uid="{4EECE424-3A63-471E-922A-1E15FA2706A9}"/>
    <cellStyle name="Normal 4 2 2 3 3 11" xfId="12743" xr:uid="{5741375C-0DE7-4CD2-9B1D-266696C61809}"/>
    <cellStyle name="Normal 4 2 2 3 3 2" xfId="2767" xr:uid="{00000000-0005-0000-0000-000077050000}"/>
    <cellStyle name="Normal 4 2 2 3 3 2 2" xfId="3291" xr:uid="{00000000-0005-0000-0000-000078050000}"/>
    <cellStyle name="Normal 4 2 2 3 3 2 2 2" xfId="6349" xr:uid="{434E8FF1-E3A1-4A7A-9D1D-E422117A86E0}"/>
    <cellStyle name="Normal 4 2 2 3 3 2 2 2 2" xfId="26280" xr:uid="{FB0C84E7-0B72-4918-9970-2FC3865AE175}"/>
    <cellStyle name="Normal 4 2 2 3 3 2 2 2 3" xfId="15918" xr:uid="{85CEAFD0-7320-4AB2-80CA-F5BBF7272431}"/>
    <cellStyle name="Normal 4 2 2 3 3 2 2 3" xfId="8371" xr:uid="{5658B379-62E3-4B78-A892-615E0DBF142B}"/>
    <cellStyle name="Normal 4 2 2 3 3 2 2 3 2" xfId="18751" xr:uid="{36ECC6A3-E66B-48C9-98EC-F0563C4FCFAC}"/>
    <cellStyle name="Normal 4 2 2 3 3 2 2 4" xfId="11204" xr:uid="{670C891C-FEE6-465B-9F49-17016E61A29A}"/>
    <cellStyle name="Normal 4 2 2 3 3 2 2 4 2" xfId="21584" xr:uid="{D8613B90-EF87-4E98-9B45-90E0CED13444}"/>
    <cellStyle name="Normal 4 2 2 3 3 2 2 5" xfId="24183" xr:uid="{B1BC3264-4C98-4DA8-852B-AF3043EB1577}"/>
    <cellStyle name="Normal 4 2 2 3 3 2 2 6" xfId="13842" xr:uid="{DB97B712-1A9D-4DC8-8486-4307375B2E4A}"/>
    <cellStyle name="Normal 4 2 2 3 3 2 3" xfId="4327" xr:uid="{C5AA2334-1273-4173-B3B8-B5CB37BE8962}"/>
    <cellStyle name="Normal 4 2 2 3 3 2 3 2" xfId="9099" xr:uid="{44C37417-6B57-4553-AC9B-D229E9B997B9}"/>
    <cellStyle name="Normal 4 2 2 3 3 2 3 2 2" xfId="29142" xr:uid="{D40A5EC6-241A-409E-91AE-4819692CFC03}"/>
    <cellStyle name="Normal 4 2 2 3 3 2 3 2 3" xfId="19479" xr:uid="{CEB719ED-63A8-4C8C-A753-FF73A8613B6A}"/>
    <cellStyle name="Normal 4 2 2 3 3 2 3 3" xfId="11932" xr:uid="{38255705-73A4-431D-9719-044B4F097BEE}"/>
    <cellStyle name="Normal 4 2 2 3 3 2 3 3 2" xfId="22312" xr:uid="{B81C1962-FF7F-4612-8257-B61BE007B819}"/>
    <cellStyle name="Normal 4 2 2 3 3 2 3 4" xfId="23172" xr:uid="{42F1F596-555E-403E-AB74-6EB1CAF57960}"/>
    <cellStyle name="Normal 4 2 2 3 3 2 3 5" xfId="16646" xr:uid="{86BE4334-F088-405C-A088-DDE12CDBF8A8}"/>
    <cellStyle name="Normal 4 2 2 3 3 2 4" xfId="5985" xr:uid="{6CD26D58-AE40-4F2C-9636-48FA196B1729}"/>
    <cellStyle name="Normal 4 2 2 3 3 2 4 2" xfId="26936" xr:uid="{EFA6AA2A-AF5C-45A6-A72E-1404566ABC42}"/>
    <cellStyle name="Normal 4 2 2 3 3 2 4 3" xfId="15438" xr:uid="{285B8E85-9421-4D07-9D13-478ADF68C046}"/>
    <cellStyle name="Normal 4 2 2 3 3 2 5" xfId="7891" xr:uid="{DB69350F-17D3-47EA-8934-579359DD09E7}"/>
    <cellStyle name="Normal 4 2 2 3 3 2 5 2" xfId="18271" xr:uid="{19F0100D-EDEA-431D-AC57-2928E2AF4EA9}"/>
    <cellStyle name="Normal 4 2 2 3 3 2 6" xfId="10724" xr:uid="{8D1D27BC-5F8E-4036-A1FD-5FB484E3065D}"/>
    <cellStyle name="Normal 4 2 2 3 3 2 6 2" xfId="21104" xr:uid="{8504755E-2C9A-444D-B39B-5EDE58B524F6}"/>
    <cellStyle name="Normal 4 2 2 3 3 2 7" xfId="23629" xr:uid="{6EDC3B47-764A-4865-B633-DFCF9A7B1D0B}"/>
    <cellStyle name="Normal 4 2 2 3 3 2 8" xfId="13217" xr:uid="{FE14FB89-FCA9-4C38-86FA-EE6B4E306967}"/>
    <cellStyle name="Normal 4 2 2 3 3 3" xfId="3292" xr:uid="{00000000-0005-0000-0000-000079050000}"/>
    <cellStyle name="Normal 4 2 2 3 3 3 2" xfId="4509" xr:uid="{BFC336D4-79D3-4CAA-B822-E16C2E6AE884}"/>
    <cellStyle name="Normal 4 2 2 3 3 3 2 2" xfId="9281" xr:uid="{69DB0E82-7231-4EF9-8E5F-CF704D83CF63}"/>
    <cellStyle name="Normal 4 2 2 3 3 3 2 2 2" xfId="29262" xr:uid="{0F0D3CEC-3DB5-4FAC-AC4A-01334006FD4B}"/>
    <cellStyle name="Normal 4 2 2 3 3 3 2 2 3" xfId="19661" xr:uid="{CFAF9355-601D-4DE1-89FD-013215428D57}"/>
    <cellStyle name="Normal 4 2 2 3 3 3 2 3" xfId="12114" xr:uid="{366E67AA-5270-44E8-84F4-C6842E565697}"/>
    <cellStyle name="Normal 4 2 2 3 3 3 2 3 2" xfId="22494" xr:uid="{0500BF19-E3B2-49DE-8FEF-1901F44CB56F}"/>
    <cellStyle name="Normal 4 2 2 3 3 3 2 4" xfId="25755" xr:uid="{6D702D5A-D6DB-4458-8921-97DB530C6936}"/>
    <cellStyle name="Normal 4 2 2 3 3 3 2 5" xfId="16828" xr:uid="{2923CDDE-CA22-4AEA-8B4A-88A1559BE632}"/>
    <cellStyle name="Normal 4 2 2 3 3 3 3" xfId="6350" xr:uid="{8F703B92-FDC1-4FDC-9B8E-05ACB1B45D6E}"/>
    <cellStyle name="Normal 4 2 2 3 3 3 3 2" xfId="25965" xr:uid="{3F45C47A-2625-4291-B192-E78EA09675B3}"/>
    <cellStyle name="Normal 4 2 2 3 3 3 3 3" xfId="15919" xr:uid="{A0BF842F-4A42-4357-9C5B-00165141087F}"/>
    <cellStyle name="Normal 4 2 2 3 3 3 4" xfId="8372" xr:uid="{B0888013-3562-4F65-95A4-9E67D43E46AC}"/>
    <cellStyle name="Normal 4 2 2 3 3 3 4 2" xfId="18752" xr:uid="{21D2A06D-0C57-4B89-8E20-DDF5DE4C50D7}"/>
    <cellStyle name="Normal 4 2 2 3 3 3 5" xfId="11205" xr:uid="{263D0205-7975-4EC4-A778-7A0F41CF251E}"/>
    <cellStyle name="Normal 4 2 2 3 3 3 5 2" xfId="21585" xr:uid="{C7BEB32D-BD0A-49D8-90C0-5C0856A866F3}"/>
    <cellStyle name="Normal 4 2 2 3 3 3 6" xfId="24965" xr:uid="{6E8C3C21-6818-4122-918C-BC5DFBBDDB90}"/>
    <cellStyle name="Normal 4 2 2 3 3 3 7" xfId="13843" xr:uid="{910A00BA-AC07-4195-839B-F5610560FFD8}"/>
    <cellStyle name="Normal 4 2 2 3 3 4" xfId="3290" xr:uid="{00000000-0005-0000-0000-00007A050000}"/>
    <cellStyle name="Normal 4 2 2 3 3 4 2" xfId="6348" xr:uid="{9D7252F3-DDE2-4834-AB9B-3929F2551B73}"/>
    <cellStyle name="Normal 4 2 2 3 3 4 2 2" xfId="28218" xr:uid="{F6B88384-9DF5-4FA3-A23A-94A0036F0EF3}"/>
    <cellStyle name="Normal 4 2 2 3 3 4 2 3" xfId="15917" xr:uid="{D2CFF331-E80F-464C-8BD8-60BF12FB9868}"/>
    <cellStyle name="Normal 4 2 2 3 3 4 3" xfId="8370" xr:uid="{AB962451-27B1-4F41-907F-B83B4F094BB9}"/>
    <cellStyle name="Normal 4 2 2 3 3 4 3 2" xfId="18750" xr:uid="{4E5B0C8C-151E-4AE7-979F-2824FF775781}"/>
    <cellStyle name="Normal 4 2 2 3 3 4 4" xfId="11203" xr:uid="{CCFEC741-96B6-4F2B-861C-63947B09A4A2}"/>
    <cellStyle name="Normal 4 2 2 3 3 4 4 2" xfId="21583" xr:uid="{8075C9AE-18BC-4386-A1D9-B2B11FD4B470}"/>
    <cellStyle name="Normal 4 2 2 3 3 4 5" xfId="23625" xr:uid="{820FAFF3-85BA-46F3-AAD0-40AD2B2749BE}"/>
    <cellStyle name="Normal 4 2 2 3 3 4 6" xfId="13841" xr:uid="{4DCF245E-C65B-4C56-9A5E-0585997F88EA}"/>
    <cellStyle name="Normal 4 2 2 3 3 5" xfId="2637" xr:uid="{00000000-0005-0000-0000-00007B050000}"/>
    <cellStyle name="Normal 4 2 2 3 3 5 2" xfId="5899" xr:uid="{17B37AA6-44D7-4370-98C4-D7ADFAD06DBC}"/>
    <cellStyle name="Normal 4 2 2 3 3 5 2 2" xfId="27039" xr:uid="{AB735D45-9A65-4A06-8525-2BE8A5B2CA4E}"/>
    <cellStyle name="Normal 4 2 2 3 3 5 2 3" xfId="15309" xr:uid="{03EF8E35-A3A1-40B1-A0AA-3274B08F9661}"/>
    <cellStyle name="Normal 4 2 2 3 3 5 3" xfId="7762" xr:uid="{730417C8-A719-4F27-B372-024378348F48}"/>
    <cellStyle name="Normal 4 2 2 3 3 5 3 2" xfId="18142" xr:uid="{9FF1DF2C-01F2-4D8B-9F5C-4E775CC9B449}"/>
    <cellStyle name="Normal 4 2 2 3 3 5 4" xfId="10595" xr:uid="{294E3DBE-82FE-404A-A616-C1D88ED52E16}"/>
    <cellStyle name="Normal 4 2 2 3 3 5 4 2" xfId="20975" xr:uid="{7A13C033-EFA9-4D00-9684-980FCECCD704}"/>
    <cellStyle name="Normal 4 2 2 3 3 5 5" xfId="23757" xr:uid="{432E6AD6-4EAB-492F-A35F-066FE9DD9890}"/>
    <cellStyle name="Normal 4 2 2 3 3 5 6" xfId="13026" xr:uid="{0E272F77-BD25-4C27-874E-AAC8C858BB75}"/>
    <cellStyle name="Normal 4 2 2 3 3 6" xfId="4181" xr:uid="{68A65460-D581-4268-8738-E9DAC0BA2ACE}"/>
    <cellStyle name="Normal 4 2 2 3 3 6 2" xfId="8953" xr:uid="{72870363-4ED9-436B-8DEE-F3E4DCA9B767}"/>
    <cellStyle name="Normal 4 2 2 3 3 6 2 2" xfId="19333" xr:uid="{F882F131-A388-4A1E-A9EB-7BDB8A9DEB8B}"/>
    <cellStyle name="Normal 4 2 2 3 3 6 3" xfId="11786" xr:uid="{3BE2E3DF-31AB-4D27-8776-8E7A73C85BFD}"/>
    <cellStyle name="Normal 4 2 2 3 3 6 3 2" xfId="22166" xr:uid="{3E8C096E-150E-4CA9-8FF5-55CFDBD96955}"/>
    <cellStyle name="Normal 4 2 2 3 3 6 4" xfId="25529" xr:uid="{6CC007BE-C920-424C-8722-5B87DEBD6519}"/>
    <cellStyle name="Normal 4 2 2 3 3 6 5" xfId="16500" xr:uid="{6B8E4524-C743-4582-8A35-0455456AEA2D}"/>
    <cellStyle name="Normal 4 2 2 3 3 7" xfId="5227" xr:uid="{654DADEF-5BEE-4A70-B479-EA4DF0B5269A}"/>
    <cellStyle name="Normal 4 2 2 3 3 7 2" xfId="14525" xr:uid="{214E56C4-AA70-4B46-8A87-F958FFAF30CE}"/>
    <cellStyle name="Normal 4 2 2 3 3 8" xfId="6978" xr:uid="{390F904A-24B0-4B71-B52A-F039CB888172}"/>
    <cellStyle name="Normal 4 2 2 3 3 8 2" xfId="17358" xr:uid="{FD5706EA-289E-4389-8085-F4B3DF5D361C}"/>
    <cellStyle name="Normal 4 2 2 3 3 9" xfId="9811" xr:uid="{9DAC1ADE-E604-40E8-B25C-8AE52CB94EF7}"/>
    <cellStyle name="Normal 4 2 2 3 3 9 2" xfId="20191" xr:uid="{EE60523C-88E7-4D9D-A06E-BF65E4676508}"/>
    <cellStyle name="Normal 4 2 2 3 4" xfId="923" xr:uid="{00000000-0005-0000-0000-00004D050000}"/>
    <cellStyle name="Normal 4 2 2 3 4 2" xfId="3293" xr:uid="{00000000-0005-0000-0000-00007D050000}"/>
    <cellStyle name="Normal 4 2 2 3 4 2 2" xfId="6351" xr:uid="{903EC303-10FC-411F-B382-8CA196B0FA9E}"/>
    <cellStyle name="Normal 4 2 2 3 4 2 2 2" xfId="26394" xr:uid="{2E55253E-8D44-49E1-A081-9E916C148A99}"/>
    <cellStyle name="Normal 4 2 2 3 4 2 2 3" xfId="15920" xr:uid="{A099347E-D2C8-429B-9BAA-3E2A90202DBF}"/>
    <cellStyle name="Normal 4 2 2 3 4 2 3" xfId="8373" xr:uid="{5D141035-696A-4E11-878E-EBD242DE40E9}"/>
    <cellStyle name="Normal 4 2 2 3 4 2 3 2" xfId="18753" xr:uid="{E53136B3-33EB-4D74-B5D8-661977FAD2C2}"/>
    <cellStyle name="Normal 4 2 2 3 4 2 4" xfId="11206" xr:uid="{60653EEB-44E4-4338-A45A-F98B38267337}"/>
    <cellStyle name="Normal 4 2 2 3 4 2 4 2" xfId="21586" xr:uid="{6E290F7F-7490-44E8-8D1D-849FA539D956}"/>
    <cellStyle name="Normal 4 2 2 3 4 2 5" xfId="25067" xr:uid="{4B20A928-3BF0-4131-9850-99DBE8EFBC68}"/>
    <cellStyle name="Normal 4 2 2 3 4 2 6" xfId="13844" xr:uid="{95F8A9EF-9FB0-41A9-B6CE-9892A4E3E2E1}"/>
    <cellStyle name="Normal 4 2 2 3 4 3" xfId="4325" xr:uid="{CFA2580C-8217-414C-9859-71B9E67B7CAC}"/>
    <cellStyle name="Normal 4 2 2 3 4 3 2" xfId="9097" xr:uid="{CC5DD4F7-4287-46E7-B743-0798B1E276C8}"/>
    <cellStyle name="Normal 4 2 2 3 4 3 2 2" xfId="29140" xr:uid="{A6F36CBA-F00B-4B19-A6C4-D9E5F3632040}"/>
    <cellStyle name="Normal 4 2 2 3 4 3 2 3" xfId="19477" xr:uid="{DA4AA475-C3E8-4EFE-A1B6-E2E5B8F0A4AD}"/>
    <cellStyle name="Normal 4 2 2 3 4 3 3" xfId="11930" xr:uid="{44D23ACD-5634-446E-BD46-8522CCB2B94C}"/>
    <cellStyle name="Normal 4 2 2 3 4 3 3 2" xfId="22310" xr:uid="{495D3382-AF99-4460-A947-CE81718D8307}"/>
    <cellStyle name="Normal 4 2 2 3 4 3 4" xfId="23364" xr:uid="{D1C35386-1376-4B27-B1B7-1514218E98E7}"/>
    <cellStyle name="Normal 4 2 2 3 4 3 5" xfId="16644" xr:uid="{46F62C47-74B7-4BFF-9FB8-0CA1E0F68596}"/>
    <cellStyle name="Normal 4 2 2 3 4 4" xfId="5228" xr:uid="{B06EC196-D623-41BB-9755-7F3CAFA7877F}"/>
    <cellStyle name="Normal 4 2 2 3 4 4 2" xfId="27061" xr:uid="{D2008287-8AB6-4294-98BF-F42428FDFB1F}"/>
    <cellStyle name="Normal 4 2 2 3 4 4 3" xfId="14526" xr:uid="{ED31B2A9-EB38-4D6F-B778-406C4AA72E44}"/>
    <cellStyle name="Normal 4 2 2 3 4 5" xfId="6979" xr:uid="{BCF7E8DF-2D67-4C25-AD26-C7642BF978DD}"/>
    <cellStyle name="Normal 4 2 2 3 4 5 2" xfId="17359" xr:uid="{23DFBA90-FA5C-47BC-8F39-12985AF4A672}"/>
    <cellStyle name="Normal 4 2 2 3 4 6" xfId="9812" xr:uid="{49073248-F7CD-4E09-AC9C-9F9DD844E98F}"/>
    <cellStyle name="Normal 4 2 2 3 4 6 2" xfId="20192" xr:uid="{7EF81C41-C72F-47F2-8707-1A56334CA33A}"/>
    <cellStyle name="Normal 4 2 2 3 4 7" xfId="24454" xr:uid="{DDEAE3DF-9B4E-4BFF-996F-73C4E7C1C643}"/>
    <cellStyle name="Normal 4 2 2 3 4 8" xfId="13215" xr:uid="{38D7521A-ACA3-4633-9CD1-86380A409521}"/>
    <cellStyle name="Normal 4 2 2 3 5" xfId="3294" xr:uid="{00000000-0005-0000-0000-00007E050000}"/>
    <cellStyle name="Normal 4 2 2 3 5 2" xfId="4510" xr:uid="{EDD4B0BD-21AD-4575-B0BB-6E5584BA8968}"/>
    <cellStyle name="Normal 4 2 2 3 5 2 2" xfId="9282" xr:uid="{0C10E1BC-B471-4F26-B951-4FBEE845F0BF}"/>
    <cellStyle name="Normal 4 2 2 3 5 2 2 2" xfId="29263" xr:uid="{6F325DE0-354A-4F89-BB12-BC82C49ED3C2}"/>
    <cellStyle name="Normal 4 2 2 3 5 2 2 3" xfId="19662" xr:uid="{E4450B45-E98A-494F-B564-0E51C692795D}"/>
    <cellStyle name="Normal 4 2 2 3 5 2 3" xfId="12115" xr:uid="{03F9FCD8-517E-4619-B5ED-92190ADB52B7}"/>
    <cellStyle name="Normal 4 2 2 3 5 2 3 2" xfId="22495" xr:uid="{E8762A68-8649-4416-B5BE-17AD1E4B5093}"/>
    <cellStyle name="Normal 4 2 2 3 5 2 4" xfId="23388" xr:uid="{426B393D-1C8B-46A7-948C-4EBB83DAF223}"/>
    <cellStyle name="Normal 4 2 2 3 5 2 5" xfId="16829" xr:uid="{D154F8CF-A302-4A23-9698-C405646370A4}"/>
    <cellStyle name="Normal 4 2 2 3 5 3" xfId="6352" xr:uid="{CA67D7C3-161B-41BD-8E71-FC9DC48DD57B}"/>
    <cellStyle name="Normal 4 2 2 3 5 3 2" xfId="27006" xr:uid="{AC6B385D-7441-4676-BB30-362DA48ABD73}"/>
    <cellStyle name="Normal 4 2 2 3 5 3 3" xfId="15921" xr:uid="{294CEA23-2C85-4770-89C3-EFD50B0A0C71}"/>
    <cellStyle name="Normal 4 2 2 3 5 4" xfId="8374" xr:uid="{429CF405-1390-403A-B8DD-D74AEEEE382B}"/>
    <cellStyle name="Normal 4 2 2 3 5 4 2" xfId="18754" xr:uid="{F0567FDE-6F5E-4EFC-B339-D3D8F41EAC59}"/>
    <cellStyle name="Normal 4 2 2 3 5 5" xfId="11207" xr:uid="{B4123C7D-1D5B-4683-9284-7DF1184A0883}"/>
    <cellStyle name="Normal 4 2 2 3 5 5 2" xfId="21587" xr:uid="{06EA28BA-E65A-4A86-9AA2-F77EB29C3F6B}"/>
    <cellStyle name="Normal 4 2 2 3 5 6" xfId="25322" xr:uid="{727BCEBE-3334-4D89-8771-987FA425547D}"/>
    <cellStyle name="Normal 4 2 2 3 5 7" xfId="13845" xr:uid="{DEFA00F6-18FB-427B-B130-728411644C83}"/>
    <cellStyle name="Normal 4 2 2 3 6" xfId="2927" xr:uid="{00000000-0005-0000-0000-00007F050000}"/>
    <cellStyle name="Normal 4 2 2 3 6 2" xfId="6107" xr:uid="{9F3C0357-5F61-4F3B-8096-0CF0F6AC8D66}"/>
    <cellStyle name="Normal 4 2 2 3 6 2 2" xfId="27470" xr:uid="{2E14018F-0E47-45B2-97A9-91B205A340B5}"/>
    <cellStyle name="Normal 4 2 2 3 6 2 3" xfId="15585" xr:uid="{64C90382-7B55-45A0-BEEB-8B0C1A2287BB}"/>
    <cellStyle name="Normal 4 2 2 3 6 3" xfId="8038" xr:uid="{723D2E27-132C-4556-87F6-C96E666DA9E2}"/>
    <cellStyle name="Normal 4 2 2 3 6 3 2" xfId="18418" xr:uid="{01B60CE9-C58F-40AD-B2ED-E2917838A755}"/>
    <cellStyle name="Normal 4 2 2 3 6 4" xfId="10871" xr:uid="{331A1D25-1E24-4484-BA91-7328824DCA98}"/>
    <cellStyle name="Normal 4 2 2 3 6 4 2" xfId="21251" xr:uid="{88F54577-95BD-42A6-85D4-E866A4006185}"/>
    <cellStyle name="Normal 4 2 2 3 6 5" xfId="25421" xr:uid="{8FF3C58E-8BD4-46B2-8C6F-993942D0C36F}"/>
    <cellStyle name="Normal 4 2 2 3 6 6" xfId="13441" xr:uid="{82146FBA-DF5A-403F-A8F8-AB19096A80A2}"/>
    <cellStyle name="Normal 4 2 2 3 7" xfId="2475" xr:uid="{00000000-0005-0000-0000-000080050000}"/>
    <cellStyle name="Normal 4 2 2 3 7 2" xfId="5763" xr:uid="{EC9D5935-AF72-4A26-A29D-51DAFC622B55}"/>
    <cellStyle name="Normal 4 2 2 3 7 2 2" xfId="27989" xr:uid="{E237374A-B761-4C1C-982F-F03C3356940D}"/>
    <cellStyle name="Normal 4 2 2 3 7 2 3" xfId="15147" xr:uid="{846F4005-524B-4E01-9B61-46CAB7B98D9C}"/>
    <cellStyle name="Normal 4 2 2 3 7 3" xfId="7600" xr:uid="{2DB1E442-9720-4757-BAC5-E023FA285D05}"/>
    <cellStyle name="Normal 4 2 2 3 7 3 2" xfId="17980" xr:uid="{F54C884B-2F83-4B33-B9F3-5FCE05C53621}"/>
    <cellStyle name="Normal 4 2 2 3 7 4" xfId="10433" xr:uid="{FEFE2369-68AF-434E-BCD2-AD61EC64D19A}"/>
    <cellStyle name="Normal 4 2 2 3 7 4 2" xfId="20813" xr:uid="{9C38CEA3-60C5-4E85-A799-A8CCAF3CBCF0}"/>
    <cellStyle name="Normal 4 2 2 3 7 5" xfId="23479" xr:uid="{667CD572-A39D-4242-BDBE-6BD6CBDADC26}"/>
    <cellStyle name="Normal 4 2 2 3 7 6" xfId="12863" xr:uid="{B3F4EDBB-7567-4018-802F-FF91A3DACCD9}"/>
    <cellStyle name="Normal 4 2 2 3 8" xfId="2229" xr:uid="{00000000-0005-0000-0000-00006F050000}"/>
    <cellStyle name="Normal 4 2 2 3 8 2" xfId="7356" xr:uid="{251AE1BE-6A83-459C-AEFA-B7D341745D18}"/>
    <cellStyle name="Normal 4 2 2 3 8 2 2" xfId="17736" xr:uid="{725D5F2A-A59D-4980-976E-3DAD4C780A9A}"/>
    <cellStyle name="Normal 4 2 2 3 8 3" xfId="10189" xr:uid="{CEA25CFD-DE8E-42A7-A923-AE34B8E6132F}"/>
    <cellStyle name="Normal 4 2 2 3 8 3 2" xfId="20569" xr:uid="{3701C557-99FE-4970-9E68-4ADB8F989C0B}"/>
    <cellStyle name="Normal 4 2 2 3 8 4" xfId="22664" xr:uid="{9BF09DFD-D193-4044-B1FF-E169C922CF43}"/>
    <cellStyle name="Normal 4 2 2 3 8 5" xfId="14903" xr:uid="{6ACCD0C8-4CE4-4F2E-8108-56149E92E85E}"/>
    <cellStyle name="Normal 4 2 2 3 9" xfId="3972" xr:uid="{0782F743-45C0-44C0-AEAC-8FCADDB238D7}"/>
    <cellStyle name="Normal 4 2 2 3 9 2" xfId="8796" xr:uid="{4AA8DE3C-01B3-4E95-9784-D962C9D85806}"/>
    <cellStyle name="Normal 4 2 2 3 9 2 2" xfId="19176" xr:uid="{F6E00A14-FBCC-4F12-9770-F7BEB8332FD4}"/>
    <cellStyle name="Normal 4 2 2 3 9 3" xfId="11629" xr:uid="{39C37010-AD2B-4D73-A546-B0C121666EB7}"/>
    <cellStyle name="Normal 4 2 2 3 9 3 2" xfId="22009" xr:uid="{59BB1F7F-F732-4642-B32D-D5C9FB5DAD06}"/>
    <cellStyle name="Normal 4 2 2 3 9 4" xfId="16343" xr:uid="{4EFDA8A4-00E8-4C1A-9A8D-8A09CE090A7D}"/>
    <cellStyle name="Normal 4 2 2 4" xfId="924" xr:uid="{00000000-0005-0000-0000-00004E050000}"/>
    <cellStyle name="Normal 4 2 2 4 10" xfId="6980" xr:uid="{43E72B32-F5E5-4D7A-8456-82088F87763A}"/>
    <cellStyle name="Normal 4 2 2 4 10 2" xfId="17360" xr:uid="{04BDADEE-CE3C-48F0-9BF5-EEC502683A20}"/>
    <cellStyle name="Normal 4 2 2 4 11" xfId="9813" xr:uid="{096BC897-755D-4269-9E65-AD651079D9D0}"/>
    <cellStyle name="Normal 4 2 2 4 11 2" xfId="20193" xr:uid="{A6A89815-2657-4104-BB75-987E6C39D265}"/>
    <cellStyle name="Normal 4 2 2 4 12" xfId="23878" xr:uid="{DB376193-8776-4576-A119-EDD2E75704CF}"/>
    <cellStyle name="Normal 4 2 2 4 13" xfId="12441" xr:uid="{73433729-7ABE-457A-8D58-3712B623EA70}"/>
    <cellStyle name="Normal 4 2 2 4 2" xfId="925" xr:uid="{00000000-0005-0000-0000-00004F050000}"/>
    <cellStyle name="Normal 4 2 2 4 2 10" xfId="9814" xr:uid="{74B6838E-3A0E-4581-8315-134652AC2605}"/>
    <cellStyle name="Normal 4 2 2 4 2 10 2" xfId="20194" xr:uid="{FA79C592-F3E4-45B7-8425-361543C0209D}"/>
    <cellStyle name="Normal 4 2 2 4 2 11" xfId="25135" xr:uid="{FE895F79-E79E-42EB-9468-F7EA69AAFCBD}"/>
    <cellStyle name="Normal 4 2 2 4 2 12" xfId="12586" xr:uid="{65891DFD-AC75-4EF2-BE1B-E12741DF5688}"/>
    <cellStyle name="Normal 4 2 2 4 2 2" xfId="926" xr:uid="{00000000-0005-0000-0000-000050050000}"/>
    <cellStyle name="Normal 4 2 2 4 2 2 2" xfId="3296" xr:uid="{00000000-0005-0000-0000-000084050000}"/>
    <cellStyle name="Normal 4 2 2 4 2 2 2 2" xfId="6354" xr:uid="{57213AAF-F5C4-44D0-A2B0-97F183471ECE}"/>
    <cellStyle name="Normal 4 2 2 4 2 2 2 2 2" xfId="27080" xr:uid="{FA7FA6CA-809C-434A-98F6-EFA80E8E9178}"/>
    <cellStyle name="Normal 4 2 2 4 2 2 2 2 3" xfId="27740" xr:uid="{F68157DE-0A3F-47CF-9F36-F86C136DC849}"/>
    <cellStyle name="Normal 4 2 2 4 2 2 2 2 4" xfId="15923" xr:uid="{B20FDE2B-52F5-42DE-AA97-018AFF58F137}"/>
    <cellStyle name="Normal 4 2 2 4 2 2 2 3" xfId="8376" xr:uid="{94A78240-CA92-4263-8B92-90DC69479D83}"/>
    <cellStyle name="Normal 4 2 2 4 2 2 2 3 2" xfId="28899" xr:uid="{1E60605B-AFC0-40FC-BDC4-0FBEA0E3394C}"/>
    <cellStyle name="Normal 4 2 2 4 2 2 2 3 3" xfId="18756" xr:uid="{07EB8F78-4D54-41C2-9ADD-00AC7DE8CF58}"/>
    <cellStyle name="Normal 4 2 2 4 2 2 2 4" xfId="11209" xr:uid="{7D57D94D-2B60-458D-BA6C-47C53AE0F291}"/>
    <cellStyle name="Normal 4 2 2 4 2 2 2 4 2" xfId="21589" xr:uid="{7271D98C-9040-49C3-9D7A-7C7D325CC6FB}"/>
    <cellStyle name="Normal 4 2 2 4 2 2 2 5" xfId="23384" xr:uid="{AA79B49B-DA04-48DE-850B-55B9AFF31B3F}"/>
    <cellStyle name="Normal 4 2 2 4 2 2 2 6" xfId="13847" xr:uid="{A33995DC-CE48-435F-9431-9C4EE806C447}"/>
    <cellStyle name="Normal 4 2 2 4 2 2 3" xfId="4328" xr:uid="{88AADD46-078C-4A1A-86CD-8C746649C1D3}"/>
    <cellStyle name="Normal 4 2 2 4 2 2 3 2" xfId="9100" xr:uid="{5AAA42F9-F8DA-4B91-9EB6-E9FE37649223}"/>
    <cellStyle name="Normal 4 2 2 4 2 2 3 2 2" xfId="29143" xr:uid="{B9E1C12C-87CA-4909-B0CC-617106AB27B7}"/>
    <cellStyle name="Normal 4 2 2 4 2 2 3 2 3" xfId="19480" xr:uid="{9F7414B7-8F52-4B89-BCA5-DE0EAD9F4546}"/>
    <cellStyle name="Normal 4 2 2 4 2 2 3 3" xfId="11933" xr:uid="{4502D610-E4EF-4C5E-9328-75FA8F718928}"/>
    <cellStyle name="Normal 4 2 2 4 2 2 3 3 2" xfId="22313" xr:uid="{11411F55-E273-4FE0-A186-04C1753E8C00}"/>
    <cellStyle name="Normal 4 2 2 4 2 2 3 4" xfId="25541" xr:uid="{954FFE69-45B1-4E9A-BDCD-E82D809935BA}"/>
    <cellStyle name="Normal 4 2 2 4 2 2 3 5" xfId="16647" xr:uid="{5B7A3110-2BE7-496F-AC9D-2E711862E030}"/>
    <cellStyle name="Normal 4 2 2 4 2 2 4" xfId="5231" xr:uid="{71A08C51-E181-4520-A87B-EB59AC28F586}"/>
    <cellStyle name="Normal 4 2 2 4 2 2 4 2" xfId="27675" xr:uid="{45FB5C57-856C-454C-9E6A-DB8981F59C9F}"/>
    <cellStyle name="Normal 4 2 2 4 2 2 4 3" xfId="14529" xr:uid="{9693F6C0-C7B6-4EB2-AC80-24099C13C0B3}"/>
    <cellStyle name="Normal 4 2 2 4 2 2 5" xfId="6982" xr:uid="{C34822D5-4980-4FB2-A8AB-9A66281BCD4A}"/>
    <cellStyle name="Normal 4 2 2 4 2 2 5 2" xfId="17362" xr:uid="{5B29B84B-2882-495A-A6A1-674BEE0C4A87}"/>
    <cellStyle name="Normal 4 2 2 4 2 2 6" xfId="9815" xr:uid="{B3D2A0E6-EF4F-442A-A3F6-CF3EBD577BB0}"/>
    <cellStyle name="Normal 4 2 2 4 2 2 6 2" xfId="20195" xr:uid="{8A7864B9-710E-45C3-B548-9810DBD6652D}"/>
    <cellStyle name="Normal 4 2 2 4 2 2 7" xfId="24869" xr:uid="{A3223941-99C9-4708-A4D9-962243FD31A6}"/>
    <cellStyle name="Normal 4 2 2 4 2 2 8" xfId="13219" xr:uid="{C4FAC374-CD0C-427D-9D1F-54A139A334CB}"/>
    <cellStyle name="Normal 4 2 2 4 2 3" xfId="3297" xr:uid="{00000000-0005-0000-0000-000085050000}"/>
    <cellStyle name="Normal 4 2 2 4 2 3 2" xfId="4511" xr:uid="{0818EA2E-927A-481A-859A-BCB273EFD974}"/>
    <cellStyle name="Normal 4 2 2 4 2 3 2 2" xfId="9283" xr:uid="{CCB918E8-A93E-4B16-84D4-AC3489B98F89}"/>
    <cellStyle name="Normal 4 2 2 4 2 3 2 2 2" xfId="29264" xr:uid="{EEDF7A42-8E48-4406-B6EE-1FF2A7C945F6}"/>
    <cellStyle name="Normal 4 2 2 4 2 3 2 2 3" xfId="19663" xr:uid="{AFB95E2C-728A-4693-BDBD-8364CF8A08B1}"/>
    <cellStyle name="Normal 4 2 2 4 2 3 2 3" xfId="12116" xr:uid="{93B9522D-5B6A-40E6-84CC-70C7765501C8}"/>
    <cellStyle name="Normal 4 2 2 4 2 3 2 3 2" xfId="22496" xr:uid="{67AD3FC9-E43D-458A-A5E2-6BC6C9BE5C24}"/>
    <cellStyle name="Normal 4 2 2 4 2 3 2 4" xfId="25272" xr:uid="{2DC845AD-6C37-486A-A7B8-01497128D10F}"/>
    <cellStyle name="Normal 4 2 2 4 2 3 2 5" xfId="16830" xr:uid="{0633965A-7B30-4EC2-8C0E-2C8A62B26074}"/>
    <cellStyle name="Normal 4 2 2 4 2 3 3" xfId="6355" xr:uid="{FDDB43A5-ABEA-49F9-8B54-B851083D45D7}"/>
    <cellStyle name="Normal 4 2 2 4 2 3 3 2" xfId="28219" xr:uid="{86F5E978-9FED-4FBE-BC62-5099C0089DEE}"/>
    <cellStyle name="Normal 4 2 2 4 2 3 3 3" xfId="15924" xr:uid="{55403D2F-1CF3-4059-A788-591AE8339692}"/>
    <cellStyle name="Normal 4 2 2 4 2 3 4" xfId="8377" xr:uid="{543F9E0E-EB2C-4DB4-8FC4-7742DCCA1393}"/>
    <cellStyle name="Normal 4 2 2 4 2 3 4 2" xfId="18757" xr:uid="{083473DA-79F7-4E5D-9210-F776595C2A0E}"/>
    <cellStyle name="Normal 4 2 2 4 2 3 5" xfId="11210" xr:uid="{A96EA365-06FB-400A-A0A0-F3301435CF8D}"/>
    <cellStyle name="Normal 4 2 2 4 2 3 5 2" xfId="21590" xr:uid="{2702454B-AC90-417A-B4E6-1021B0A56BC9}"/>
    <cellStyle name="Normal 4 2 2 4 2 3 6" xfId="23089" xr:uid="{DE759B16-35D1-44DC-BFF4-D8C2C2A31E68}"/>
    <cellStyle name="Normal 4 2 2 4 2 3 7" xfId="13848" xr:uid="{0ADE618F-B6AE-4C45-95BD-9B1583E34E61}"/>
    <cellStyle name="Normal 4 2 2 4 2 4" xfId="3295" xr:uid="{00000000-0005-0000-0000-000086050000}"/>
    <cellStyle name="Normal 4 2 2 4 2 4 2" xfId="6353" xr:uid="{AAF72A24-F1C6-480B-98DC-4A89960A15A5}"/>
    <cellStyle name="Normal 4 2 2 4 2 4 2 2" xfId="26249" xr:uid="{7442A6A0-3EDD-4480-B062-C50A51984114}"/>
    <cellStyle name="Normal 4 2 2 4 2 4 2 3" xfId="15922" xr:uid="{DA566C5C-2C16-4232-AE10-7BEF4D950917}"/>
    <cellStyle name="Normal 4 2 2 4 2 4 3" xfId="8375" xr:uid="{20768569-174D-40A4-9A7F-25676938BB96}"/>
    <cellStyle name="Normal 4 2 2 4 2 4 3 2" xfId="18755" xr:uid="{20CE6C7A-761A-46D0-96C2-AD0FF85A7D94}"/>
    <cellStyle name="Normal 4 2 2 4 2 4 4" xfId="11208" xr:uid="{DA374353-C8F8-4AE2-8C96-8538D52C51F7}"/>
    <cellStyle name="Normal 4 2 2 4 2 4 4 2" xfId="21588" xr:uid="{CFF0B452-282C-4DD8-9127-B61CE55EEAA7}"/>
    <cellStyle name="Normal 4 2 2 4 2 4 5" xfId="25395" xr:uid="{E892D505-0A99-41BD-8E5A-1F3F82763A3C}"/>
    <cellStyle name="Normal 4 2 2 4 2 4 6" xfId="13846" xr:uid="{06B5F8F0-3CB7-4B3F-9C0A-9D8FF13D20B1}"/>
    <cellStyle name="Normal 4 2 2 4 2 5" xfId="2618" xr:uid="{00000000-0005-0000-0000-000087050000}"/>
    <cellStyle name="Normal 4 2 2 4 2 5 2" xfId="5880" xr:uid="{171A5BF7-BC41-4681-85A6-995E693AE31B}"/>
    <cellStyle name="Normal 4 2 2 4 2 5 2 2" xfId="25852" xr:uid="{BE7B5EEC-EA53-42AF-B95F-D971A9CF9890}"/>
    <cellStyle name="Normal 4 2 2 4 2 5 2 3" xfId="15290" xr:uid="{85F14D3C-8ABE-4C7B-8EB9-96863347B539}"/>
    <cellStyle name="Normal 4 2 2 4 2 5 3" xfId="7743" xr:uid="{26A12828-DFE0-4715-9316-629A4B9DBE36}"/>
    <cellStyle name="Normal 4 2 2 4 2 5 3 2" xfId="18123" xr:uid="{AE099D59-17E4-4E4F-AA29-D90E573E0551}"/>
    <cellStyle name="Normal 4 2 2 4 2 5 4" xfId="10576" xr:uid="{3D7714DE-F127-4500-8005-EFFB419DAD0C}"/>
    <cellStyle name="Normal 4 2 2 4 2 5 4 2" xfId="20956" xr:uid="{38B96024-71F1-4D35-B8AD-4060713747C2}"/>
    <cellStyle name="Normal 4 2 2 4 2 5 5" xfId="25468" xr:uid="{39726886-B996-427D-9878-F32605EC1946}"/>
    <cellStyle name="Normal 4 2 2 4 2 5 6" xfId="13006" xr:uid="{F1E4B336-E499-4981-8108-CA3BBF41F09A}"/>
    <cellStyle name="Normal 4 2 2 4 2 6" xfId="2352" xr:uid="{00000000-0005-0000-0000-000082050000}"/>
    <cellStyle name="Normal 4 2 2 4 2 6 2" xfId="7479" xr:uid="{B1557CEC-49F6-4432-A9B6-3FA38E9ECDD5}"/>
    <cellStyle name="Normal 4 2 2 4 2 6 2 2" xfId="17859" xr:uid="{0E89E44A-523E-472B-943B-FA6A00816B8D}"/>
    <cellStyle name="Normal 4 2 2 4 2 6 3" xfId="10312" xr:uid="{8C71FD11-9122-4445-B3C1-70AB7805FDB4}"/>
    <cellStyle name="Normal 4 2 2 4 2 6 3 2" xfId="20692" xr:uid="{80D63F16-10E5-4DA3-A974-0043DAC15398}"/>
    <cellStyle name="Normal 4 2 2 4 2 6 4" xfId="24883" xr:uid="{3D4B304D-F455-457D-A90B-E2E5A08C7EA4}"/>
    <cellStyle name="Normal 4 2 2 4 2 6 5" xfId="15026" xr:uid="{B669BB6C-6997-4AD8-8732-EA1A33D9B286}"/>
    <cellStyle name="Normal 4 2 2 4 2 7" xfId="3893" xr:uid="{B1EFC525-476C-434F-9E37-E08229CCCE26}"/>
    <cellStyle name="Normal 4 2 2 4 2 7 2" xfId="8725" xr:uid="{FCE14AAF-D21D-4506-9395-355BAD6D8146}"/>
    <cellStyle name="Normal 4 2 2 4 2 7 2 2" xfId="19105" xr:uid="{F27D2E40-C611-4140-9B54-38E2E2EE971B}"/>
    <cellStyle name="Normal 4 2 2 4 2 7 3" xfId="11558" xr:uid="{AA35E4C3-6C6B-47D8-B322-4B463ED45D22}"/>
    <cellStyle name="Normal 4 2 2 4 2 7 3 2" xfId="21938" xr:uid="{23C4568E-9550-4B68-846A-7D11E933FE72}"/>
    <cellStyle name="Normal 4 2 2 4 2 7 4" xfId="16272" xr:uid="{6E29289B-C7EC-4ECC-B39D-909A5086C9CB}"/>
    <cellStyle name="Normal 4 2 2 4 2 8" xfId="5230" xr:uid="{50D16BA2-8008-491C-BC3B-413F344C97FB}"/>
    <cellStyle name="Normal 4 2 2 4 2 8 2" xfId="14528" xr:uid="{4C3EE0CF-CA2D-48BF-95C6-4BF5421807AC}"/>
    <cellStyle name="Normal 4 2 2 4 2 9" xfId="6981" xr:uid="{875A6027-B59C-4A05-9E65-B3598367CBD9}"/>
    <cellStyle name="Normal 4 2 2 4 2 9 2" xfId="17361" xr:uid="{31A635BB-04AE-4C97-823E-027693102A10}"/>
    <cellStyle name="Normal 4 2 2 4 3" xfId="927" xr:uid="{00000000-0005-0000-0000-000051050000}"/>
    <cellStyle name="Normal 4 2 2 4 3 2" xfId="3298" xr:uid="{00000000-0005-0000-0000-000089050000}"/>
    <cellStyle name="Normal 4 2 2 4 3 2 2" xfId="6356" xr:uid="{DB7ED969-706E-4EF0-8AEF-B44F27724A10}"/>
    <cellStyle name="Normal 4 2 2 4 3 2 2 2" xfId="23127" xr:uid="{9FE4B55D-C27F-4451-A7C1-C9A4141F9F8A}"/>
    <cellStyle name="Normal 4 2 2 4 3 2 2 3" xfId="27252" xr:uid="{CA430E71-5522-4843-98CF-6155ACFE8AD5}"/>
    <cellStyle name="Normal 4 2 2 4 3 2 2 4" xfId="15925" xr:uid="{C8B4B23E-964D-45F0-BD2E-16FB4962FA6A}"/>
    <cellStyle name="Normal 4 2 2 4 3 2 3" xfId="8378" xr:uid="{E71EE9B8-8A89-4351-94DC-B421A5A739E6}"/>
    <cellStyle name="Normal 4 2 2 4 3 2 3 2" xfId="28900" xr:uid="{8A9BB08A-E1CA-405D-AAF2-CCC73066E3DE}"/>
    <cellStyle name="Normal 4 2 2 4 3 2 3 3" xfId="18758" xr:uid="{39935B28-D386-4C98-8C09-EB303EB0DF92}"/>
    <cellStyle name="Normal 4 2 2 4 3 2 4" xfId="11211" xr:uid="{2C0893F6-16AC-4C83-9939-1FC44AAE1A9C}"/>
    <cellStyle name="Normal 4 2 2 4 3 2 4 2" xfId="21591" xr:uid="{A416532E-34D5-4011-986D-89B29049DD01}"/>
    <cellStyle name="Normal 4 2 2 4 3 2 5" xfId="23639" xr:uid="{ADB69F83-0DC2-4AB2-A25E-152CDECDF452}"/>
    <cellStyle name="Normal 4 2 2 4 3 2 6" xfId="13849" xr:uid="{A4050B32-F993-42F5-8D2A-3EA26B22D6A8}"/>
    <cellStyle name="Normal 4 2 2 4 3 3" xfId="2768" xr:uid="{00000000-0005-0000-0000-00008A050000}"/>
    <cellStyle name="Normal 4 2 2 4 3 3 2" xfId="5986" xr:uid="{D714554F-13C7-4848-82DA-F99578ED663A}"/>
    <cellStyle name="Normal 4 2 2 4 3 3 2 2" xfId="26168" xr:uid="{4A8A2886-3655-4331-8314-C7D89A290E72}"/>
    <cellStyle name="Normal 4 2 2 4 3 3 2 3" xfId="15439" xr:uid="{BC108CB3-8816-4F88-B024-2E3BE8906A44}"/>
    <cellStyle name="Normal 4 2 2 4 3 3 3" xfId="7892" xr:uid="{F9E1BE4C-D1B0-4252-8D15-CA52ECD0B49B}"/>
    <cellStyle name="Normal 4 2 2 4 3 3 3 2" xfId="18272" xr:uid="{9D3BCCF4-1B4A-4E65-BE42-0D0D7784F0B5}"/>
    <cellStyle name="Normal 4 2 2 4 3 3 4" xfId="10725" xr:uid="{F08D7AC6-7D0D-40B5-9DBE-C91C9CF97BB7}"/>
    <cellStyle name="Normal 4 2 2 4 3 3 4 2" xfId="21105" xr:uid="{8FB6AC6A-4B64-430D-A14E-25FF3B69A30F}"/>
    <cellStyle name="Normal 4 2 2 4 3 3 5" xfId="23730" xr:uid="{CF92C751-6CFD-4CA8-A398-128DAAC974AF}"/>
    <cellStyle name="Normal 4 2 2 4 3 3 6" xfId="13218" xr:uid="{E7F360B1-F7E5-46C2-A001-A68EAD7EDD58}"/>
    <cellStyle name="Normal 4 2 2 4 3 4" xfId="4182" xr:uid="{C41374AA-398E-49B6-93FD-E1A9331CDFBC}"/>
    <cellStyle name="Normal 4 2 2 4 3 4 2" xfId="8954" xr:uid="{2AE103A5-42BD-4788-B14D-BCB8209021C1}"/>
    <cellStyle name="Normal 4 2 2 4 3 4 2 2" xfId="29042" xr:uid="{1A00E0E5-F5CE-451B-9F9A-DA9C7B5273AD}"/>
    <cellStyle name="Normal 4 2 2 4 3 4 2 3" xfId="19334" xr:uid="{110560D6-4830-4636-B47C-84D0AA400F01}"/>
    <cellStyle name="Normal 4 2 2 4 3 4 3" xfId="11787" xr:uid="{4AB957CD-0568-492F-99FA-8AA901196C47}"/>
    <cellStyle name="Normal 4 2 2 4 3 4 3 2" xfId="22167" xr:uid="{959B2846-8940-444B-9242-3D2D882B8289}"/>
    <cellStyle name="Normal 4 2 2 4 3 4 4" xfId="23594" xr:uid="{85AB795E-D515-4FF1-B160-6B8D05B87815}"/>
    <cellStyle name="Normal 4 2 2 4 3 4 5" xfId="16501" xr:uid="{041B70B4-5B7D-41AE-8F55-49F80D50D331}"/>
    <cellStyle name="Normal 4 2 2 4 3 5" xfId="5232" xr:uid="{C79EFE5B-41C6-462D-B4AC-220D9794CBC6}"/>
    <cellStyle name="Normal 4 2 2 4 3 5 2" xfId="28285" xr:uid="{A131D15C-124D-4DEB-BDDF-DD0D370252B0}"/>
    <cellStyle name="Normal 4 2 2 4 3 5 3" xfId="14530" xr:uid="{239FF3B8-81F4-4B1E-8621-980706B91857}"/>
    <cellStyle name="Normal 4 2 2 4 3 6" xfId="6983" xr:uid="{13FAE052-AAAF-4089-9B8C-AC0A9A30A793}"/>
    <cellStyle name="Normal 4 2 2 4 3 6 2" xfId="17363" xr:uid="{798452EE-FFD2-46AE-A248-D50DB1B3F953}"/>
    <cellStyle name="Normal 4 2 2 4 3 7" xfId="9816" xr:uid="{F6094285-A40A-4F54-8464-644AB105B121}"/>
    <cellStyle name="Normal 4 2 2 4 3 7 2" xfId="20196" xr:uid="{E0FCD560-82AA-48F0-8626-A9CDB155C7F6}"/>
    <cellStyle name="Normal 4 2 2 4 3 8" xfId="23928" xr:uid="{B8BD615D-BCC6-44CB-97AB-FCFF8CC4069D}"/>
    <cellStyle name="Normal 4 2 2 4 3 9" xfId="12744" xr:uid="{EF6AB516-E6BA-436B-8008-52FF10DC7C72}"/>
    <cellStyle name="Normal 4 2 2 4 4" xfId="928" xr:uid="{00000000-0005-0000-0000-000052050000}"/>
    <cellStyle name="Normal 4 2 2 4 4 2" xfId="4512" xr:uid="{7F0BAE6F-8248-4C02-BF04-CC0E1E710B11}"/>
    <cellStyle name="Normal 4 2 2 4 4 2 2" xfId="9284" xr:uid="{C5A7C9DC-C510-4E40-89A9-1A786C2F8733}"/>
    <cellStyle name="Normal 4 2 2 4 4 2 2 2" xfId="29265" xr:uid="{9B6D7F25-F703-4899-B377-A6929FFA8706}"/>
    <cellStyle name="Normal 4 2 2 4 4 2 2 3" xfId="19664" xr:uid="{75DA1B32-F879-4F31-9D4A-AE0B31D392BA}"/>
    <cellStyle name="Normal 4 2 2 4 4 2 3" xfId="12117" xr:uid="{90B7D2CC-CB4E-4D61-8F2C-37CD29D6B66B}"/>
    <cellStyle name="Normal 4 2 2 4 4 2 3 2" xfId="22497" xr:uid="{12E16E5C-8897-4BE6-B2B0-329C403E707D}"/>
    <cellStyle name="Normal 4 2 2 4 4 2 4" xfId="25605" xr:uid="{95370623-BF1A-416E-987A-4E99F4F097B5}"/>
    <cellStyle name="Normal 4 2 2 4 4 2 5" xfId="16831" xr:uid="{5AF74597-6190-4DBE-B557-1DC9EE8ABB2C}"/>
    <cellStyle name="Normal 4 2 2 4 4 3" xfId="5233" xr:uid="{DC98DC4E-5DC0-4CF2-B1E2-0640CA7891F1}"/>
    <cellStyle name="Normal 4 2 2 4 4 3 2" xfId="25859" xr:uid="{39A713B4-432B-4920-8061-C58CD61DE077}"/>
    <cellStyle name="Normal 4 2 2 4 4 3 3" xfId="14531" xr:uid="{E125828D-806B-441F-8960-87D5B184F968}"/>
    <cellStyle name="Normal 4 2 2 4 4 4" xfId="6984" xr:uid="{B589063A-5A25-4BE9-873F-199C25D2C403}"/>
    <cellStyle name="Normal 4 2 2 4 4 4 2" xfId="17364" xr:uid="{5DA7FAB8-26C6-4D3C-AD00-27D33ACB7DE0}"/>
    <cellStyle name="Normal 4 2 2 4 4 5" xfId="9817" xr:uid="{5FDF8056-D649-42E6-86D3-515DFA2885AE}"/>
    <cellStyle name="Normal 4 2 2 4 4 5 2" xfId="20197" xr:uid="{9694BB31-BBB1-4DE5-AE33-972C3DB25A66}"/>
    <cellStyle name="Normal 4 2 2 4 4 6" xfId="22923" xr:uid="{38504A9F-730E-4AFE-84EC-6873EF8F377A}"/>
    <cellStyle name="Normal 4 2 2 4 4 7" xfId="13850" xr:uid="{48C4D6CF-5E56-4CE8-BED3-BA3B24319385}"/>
    <cellStyle name="Normal 4 2 2 4 5" xfId="2928" xr:uid="{00000000-0005-0000-0000-00008C050000}"/>
    <cellStyle name="Normal 4 2 2 4 5 2" xfId="6108" xr:uid="{94E986A0-9D03-4141-BAA9-6B86CD95BC63}"/>
    <cellStyle name="Normal 4 2 2 4 5 2 2" xfId="25713" xr:uid="{E5329199-FF78-4B4A-8B5D-D953DEA46CC1}"/>
    <cellStyle name="Normal 4 2 2 4 5 2 3" xfId="27966" xr:uid="{2BA4E496-5583-47CD-A334-E7ADA2E23914}"/>
    <cellStyle name="Normal 4 2 2 4 5 2 4" xfId="15586" xr:uid="{C60D9B1A-07BB-4E09-9939-2FD56421173C}"/>
    <cellStyle name="Normal 4 2 2 4 5 3" xfId="8039" xr:uid="{7DA0102F-5996-450F-A2F8-FD7CA9B9A43A}"/>
    <cellStyle name="Normal 4 2 2 4 5 3 2" xfId="28242" xr:uid="{4B0F276F-F12C-461C-96E8-541A24B9A97B}"/>
    <cellStyle name="Normal 4 2 2 4 5 3 3" xfId="18419" xr:uid="{66C3041F-BB06-46A9-8916-6826EF97BC08}"/>
    <cellStyle name="Normal 4 2 2 4 5 4" xfId="10872" xr:uid="{D17C5C4B-F940-4D53-86D1-51EE1CD3A322}"/>
    <cellStyle name="Normal 4 2 2 4 5 4 2" xfId="21252" xr:uid="{529D701B-8938-44F3-9B41-8B7D3475A218}"/>
    <cellStyle name="Normal 4 2 2 4 5 5" xfId="25271" xr:uid="{89D46EA6-8B48-4DE6-96C0-708E1778CD65}"/>
    <cellStyle name="Normal 4 2 2 4 5 6" xfId="13442" xr:uid="{0433115D-CD86-4F97-9A69-0CD7588BD6CA}"/>
    <cellStyle name="Normal 4 2 2 4 6" xfId="2455" xr:uid="{00000000-0005-0000-0000-00008D050000}"/>
    <cellStyle name="Normal 4 2 2 4 6 2" xfId="5747" xr:uid="{6B248BF3-FE3E-4975-ACF5-E79D0C31AE6B}"/>
    <cellStyle name="Normal 4 2 2 4 6 2 2" xfId="27109" xr:uid="{6D5AABAF-7EA6-482E-A3D3-B00D19E543D5}"/>
    <cellStyle name="Normal 4 2 2 4 6 2 3" xfId="15127" xr:uid="{472856FF-6085-4563-98BB-CE62A8294F52}"/>
    <cellStyle name="Normal 4 2 2 4 6 3" xfId="7580" xr:uid="{F76A5DB4-AE73-4355-9086-9B46F7852BB8}"/>
    <cellStyle name="Normal 4 2 2 4 6 3 2" xfId="17960" xr:uid="{735D299E-C6F1-4BB1-8DDD-5D65C0A2C320}"/>
    <cellStyle name="Normal 4 2 2 4 6 4" xfId="10413" xr:uid="{9021F540-409A-4C40-A5B4-87DF8A106FF3}"/>
    <cellStyle name="Normal 4 2 2 4 6 4 2" xfId="20793" xr:uid="{7220C185-106B-4FC8-9093-434972A947E8}"/>
    <cellStyle name="Normal 4 2 2 4 6 5" xfId="22677" xr:uid="{A71608BB-3685-495F-8A97-BC62EF5BA3EA}"/>
    <cellStyle name="Normal 4 2 2 4 6 6" xfId="12843" xr:uid="{0DD415B8-547E-4632-B007-51AFF8BE85A1}"/>
    <cellStyle name="Normal 4 2 2 4 7" xfId="2209" xr:uid="{00000000-0005-0000-0000-000081050000}"/>
    <cellStyle name="Normal 4 2 2 4 7 2" xfId="7336" xr:uid="{3BF7C5D6-6D70-4BAB-9DE4-9D0AB1537E19}"/>
    <cellStyle name="Normal 4 2 2 4 7 2 2" xfId="17716" xr:uid="{A5A87725-B542-456C-8C24-5938A5086B56}"/>
    <cellStyle name="Normal 4 2 2 4 7 3" xfId="10169" xr:uid="{4DC94CEA-72D3-4462-AEBD-33D0D4D37B08}"/>
    <cellStyle name="Normal 4 2 2 4 7 3 2" xfId="20549" xr:uid="{812DAA69-B456-4A1B-A0AE-237CBC55FE00}"/>
    <cellStyle name="Normal 4 2 2 4 7 4" xfId="25097" xr:uid="{59F58065-4199-4106-9A15-BD2C5391B7B0}"/>
    <cellStyle name="Normal 4 2 2 4 7 5" xfId="14883" xr:uid="{0112D7EC-2D98-4DEC-B91B-F1F848280BB9}"/>
    <cellStyle name="Normal 4 2 2 4 8" xfId="3973" xr:uid="{0ED48F26-5E12-4166-A72C-6C4C5EBBF6E1}"/>
    <cellStyle name="Normal 4 2 2 4 8 2" xfId="8797" xr:uid="{B54FB584-BA06-4EA1-8EA4-E90091879801}"/>
    <cellStyle name="Normal 4 2 2 4 8 2 2" xfId="19177" xr:uid="{43D71011-D7FA-43E6-AE67-38BB7485609A}"/>
    <cellStyle name="Normal 4 2 2 4 8 3" xfId="11630" xr:uid="{768F07F0-1087-4E61-808E-A14C0851C388}"/>
    <cellStyle name="Normal 4 2 2 4 8 3 2" xfId="22010" xr:uid="{46234296-031E-4FFD-AB74-AEB0A33D65BC}"/>
    <cellStyle name="Normal 4 2 2 4 8 4" xfId="16344" xr:uid="{EBCA9866-59FB-4AE0-99FD-11E1A4B490BA}"/>
    <cellStyle name="Normal 4 2 2 4 9" xfId="5229" xr:uid="{141EB3B9-3DBB-46EA-A0E2-EEA3709D310A}"/>
    <cellStyle name="Normal 4 2 2 4 9 2" xfId="14527" xr:uid="{5959E2D1-4D58-4EA5-A4A4-9B85D8ADCB59}"/>
    <cellStyle name="Normal 4 2 2 5" xfId="929" xr:uid="{00000000-0005-0000-0000-000053050000}"/>
    <cellStyle name="Normal 4 2 2 5 10" xfId="9818" xr:uid="{58171749-EBE0-41BC-A70E-179CEEF4D561}"/>
    <cellStyle name="Normal 4 2 2 5 10 2" xfId="20198" xr:uid="{F2D3F1B8-6D2E-44D4-A005-7B245604EB93}"/>
    <cellStyle name="Normal 4 2 2 5 11" xfId="23640" xr:uid="{4F6A9DC8-DC4E-49AC-9523-A707C70EEC77}"/>
    <cellStyle name="Normal 4 2 2 5 12" xfId="12587" xr:uid="{4A902344-3DCA-4B79-8C03-DAFE5EFE6440}"/>
    <cellStyle name="Normal 4 2 2 5 2" xfId="930" xr:uid="{00000000-0005-0000-0000-000054050000}"/>
    <cellStyle name="Normal 4 2 2 5 2 2" xfId="931" xr:uid="{00000000-0005-0000-0000-000055050000}"/>
    <cellStyle name="Normal 4 2 2 5 2 2 2" xfId="5236" xr:uid="{BB2A55E1-3D3F-4778-BABA-3D7670BAE9A7}"/>
    <cellStyle name="Normal 4 2 2 5 2 2 2 2" xfId="24781" xr:uid="{74E8F1D5-1987-43CF-86B6-92E1C1DC5CAE}"/>
    <cellStyle name="Normal 4 2 2 5 2 2 2 3" xfId="27416" xr:uid="{91A993C5-8F2D-4A39-B491-DF055DE86D3F}"/>
    <cellStyle name="Normal 4 2 2 5 2 2 2 4" xfId="14534" xr:uid="{A58CF70A-7684-468F-AF9E-72F91CDEE923}"/>
    <cellStyle name="Normal 4 2 2 5 2 2 3" xfId="6987" xr:uid="{B06B3D5D-2FFD-47A5-9374-E7A749D7EB10}"/>
    <cellStyle name="Normal 4 2 2 5 2 2 3 2" xfId="27618" xr:uid="{686F00C0-92AF-48EF-8F7F-341E1897A390}"/>
    <cellStyle name="Normal 4 2 2 5 2 2 3 3" xfId="27355" xr:uid="{702B176F-70B9-4C22-9475-A180B82C544E}"/>
    <cellStyle name="Normal 4 2 2 5 2 2 3 4" xfId="17367" xr:uid="{7DE463CC-A07F-486F-BB45-A1F85BEC3835}"/>
    <cellStyle name="Normal 4 2 2 5 2 2 4" xfId="9820" xr:uid="{D5FE8D46-57A1-4FC6-9783-A476A8A2C32E}"/>
    <cellStyle name="Normal 4 2 2 5 2 2 4 2" xfId="29414" xr:uid="{68BE820C-826A-4F57-ADEA-F7F33A39BF0A}"/>
    <cellStyle name="Normal 4 2 2 5 2 2 4 3" xfId="20200" xr:uid="{F308CD53-9FA7-4232-AE58-24B2EA28331A}"/>
    <cellStyle name="Normal 4 2 2 5 2 2 5" xfId="24680" xr:uid="{1AB2CD9D-E3DE-4EBE-B49B-256598088DFA}"/>
    <cellStyle name="Normal 4 2 2 5 2 2 6" xfId="13851" xr:uid="{D5346BBC-C88F-434A-BAD1-F6962974956D}"/>
    <cellStyle name="Normal 4 2 2 5 2 3" xfId="2769" xr:uid="{00000000-0005-0000-0000-000091050000}"/>
    <cellStyle name="Normal 4 2 2 5 2 3 2" xfId="5987" xr:uid="{4F79CE1D-FD04-4C1D-A924-F43EB3944698}"/>
    <cellStyle name="Normal 4 2 2 5 2 3 2 2" xfId="27661" xr:uid="{78AB8423-D389-4A4C-AA7F-9649141E7E78}"/>
    <cellStyle name="Normal 4 2 2 5 2 3 2 3" xfId="15440" xr:uid="{531E4F4E-25E5-4752-B345-7AB1E9CE93D1}"/>
    <cellStyle name="Normal 4 2 2 5 2 3 3" xfId="7893" xr:uid="{CF0B3C64-E9A4-45CB-A1FE-9AC51949BCF2}"/>
    <cellStyle name="Normal 4 2 2 5 2 3 3 2" xfId="18273" xr:uid="{2B965257-6DF8-4838-AC3B-96710552853B}"/>
    <cellStyle name="Normal 4 2 2 5 2 3 4" xfId="10726" xr:uid="{9D62CC09-3D0C-4422-B8FC-85CA6C106737}"/>
    <cellStyle name="Normal 4 2 2 5 2 3 4 2" xfId="21106" xr:uid="{BFCBB2F2-3BD5-4435-B291-1D9922CF1C77}"/>
    <cellStyle name="Normal 4 2 2 5 2 3 5" xfId="24431" xr:uid="{B81F789B-A9FC-42A8-8330-5722F5ED092D}"/>
    <cellStyle name="Normal 4 2 2 5 2 3 6" xfId="13220" xr:uid="{0AE12896-55C9-400E-B3AD-39B52619F1E1}"/>
    <cellStyle name="Normal 4 2 2 5 2 4" xfId="4183" xr:uid="{C65CDB0D-6C14-4C4C-87D1-96C498932E52}"/>
    <cellStyle name="Normal 4 2 2 5 2 4 2" xfId="8955" xr:uid="{AEBCDB12-132A-452C-88C9-3FC1C24CFE4E}"/>
    <cellStyle name="Normal 4 2 2 5 2 4 2 2" xfId="29043" xr:uid="{26AD6E36-E1A2-433D-A82E-BC36F2F67C15}"/>
    <cellStyle name="Normal 4 2 2 5 2 4 2 3" xfId="19335" xr:uid="{C7C432BD-09CF-4123-8F42-D072425FBBA1}"/>
    <cellStyle name="Normal 4 2 2 5 2 4 3" xfId="11788" xr:uid="{A55D2D27-6739-4D76-82E6-630FED310E41}"/>
    <cellStyle name="Normal 4 2 2 5 2 4 3 2" xfId="22168" xr:uid="{321A2C97-4639-4556-BBDC-487AF3689163}"/>
    <cellStyle name="Normal 4 2 2 5 2 4 4" xfId="25059" xr:uid="{1F29A50C-4EA9-4D04-AC66-CEF83CD20367}"/>
    <cellStyle name="Normal 4 2 2 5 2 4 5" xfId="16502" xr:uid="{440D7215-C38F-4516-A4CE-2A597E91CD6C}"/>
    <cellStyle name="Normal 4 2 2 5 2 5" xfId="5235" xr:uid="{5B25C12D-A192-48CA-AC6B-FE90824957C4}"/>
    <cellStyle name="Normal 4 2 2 5 2 5 2" xfId="26477" xr:uid="{783D4596-487B-4E3C-BB7C-A9BBBD3AC4AA}"/>
    <cellStyle name="Normal 4 2 2 5 2 5 3" xfId="14533" xr:uid="{3D001904-949B-4072-A028-E4CB6746FFCE}"/>
    <cellStyle name="Normal 4 2 2 5 2 6" xfId="6986" xr:uid="{45EC6BC5-5E6F-4537-B521-428A8AFBB9A5}"/>
    <cellStyle name="Normal 4 2 2 5 2 6 2" xfId="17366" xr:uid="{862A1209-6E22-4B39-845A-AFB905B8255E}"/>
    <cellStyle name="Normal 4 2 2 5 2 7" xfId="9819" xr:uid="{AAC5116F-CB34-4B2F-8E39-FFF7ED7A0A97}"/>
    <cellStyle name="Normal 4 2 2 5 2 7 2" xfId="20199" xr:uid="{7412C043-D4CC-480B-86F4-33890837420C}"/>
    <cellStyle name="Normal 4 2 2 5 2 8" xfId="24651" xr:uid="{88F5A006-EB78-4F59-BF5B-E07823D4D7C3}"/>
    <cellStyle name="Normal 4 2 2 5 2 9" xfId="12745" xr:uid="{431D2F21-2C4D-4F5F-BA8F-7DD2E2FAB5CD}"/>
    <cellStyle name="Normal 4 2 2 5 3" xfId="932" xr:uid="{00000000-0005-0000-0000-000056050000}"/>
    <cellStyle name="Normal 4 2 2 5 3 2" xfId="4513" xr:uid="{E049B8BE-D8B3-4C11-B71A-CECFADEA9B46}"/>
    <cellStyle name="Normal 4 2 2 5 3 2 2" xfId="9285" xr:uid="{59266FD9-2CBC-409D-BE2A-DADD88089D21}"/>
    <cellStyle name="Normal 4 2 2 5 3 2 2 2" xfId="29266" xr:uid="{8F65F3E8-198E-4DC9-B2F5-2F429F94C8C2}"/>
    <cellStyle name="Normal 4 2 2 5 3 2 2 3" xfId="19665" xr:uid="{171404A7-91D5-4668-BD99-3D813849E06B}"/>
    <cellStyle name="Normal 4 2 2 5 3 2 3" xfId="12118" xr:uid="{729A547F-B580-400E-A1FF-6F5B18CD426C}"/>
    <cellStyle name="Normal 4 2 2 5 3 2 3 2" xfId="22498" xr:uid="{0D8505EA-1315-4A5E-B875-2CCF2ABF7183}"/>
    <cellStyle name="Normal 4 2 2 5 3 2 4" xfId="23438" xr:uid="{05B6868B-10CB-4611-8174-C49205B1C086}"/>
    <cellStyle name="Normal 4 2 2 5 3 2 5" xfId="16832" xr:uid="{04DF7987-3D04-4196-95B7-14D3FE0348E2}"/>
    <cellStyle name="Normal 4 2 2 5 3 3" xfId="5237" xr:uid="{D0DC0D79-6B0D-42F4-8359-B63BD6B67808}"/>
    <cellStyle name="Normal 4 2 2 5 3 3 2" xfId="23030" xr:uid="{6C72D273-C781-4929-9BDC-EC14BA3726CA}"/>
    <cellStyle name="Normal 4 2 2 5 3 3 3" xfId="27283" xr:uid="{FEC6DF22-1838-4905-B289-846F6F736681}"/>
    <cellStyle name="Normal 4 2 2 5 3 3 4" xfId="14535" xr:uid="{9362DCF5-4498-4EE8-8D1C-A467273DD596}"/>
    <cellStyle name="Normal 4 2 2 5 3 4" xfId="6988" xr:uid="{901345E2-1587-469C-939D-B36370FF6A42}"/>
    <cellStyle name="Normal 4 2 2 5 3 4 2" xfId="25626" xr:uid="{3D7F0D0C-9321-4763-AD34-9EF0AE3FF06C}"/>
    <cellStyle name="Normal 4 2 2 5 3 4 3" xfId="28581" xr:uid="{63F75DC7-B827-4F4B-831E-0EB2CFD23B86}"/>
    <cellStyle name="Normal 4 2 2 5 3 4 4" xfId="17368" xr:uid="{8DCB8E37-B49A-46AC-82EB-538434DD6566}"/>
    <cellStyle name="Normal 4 2 2 5 3 5" xfId="9821" xr:uid="{22B8E61A-940A-44EF-A67B-1FEF8E888503}"/>
    <cellStyle name="Normal 4 2 2 5 3 5 2" xfId="29415" xr:uid="{8E69B30C-E9F1-4BF1-A24F-F3AC703D1500}"/>
    <cellStyle name="Normal 4 2 2 5 3 5 3" xfId="20201" xr:uid="{AC92B244-EF5E-4695-B110-FEA706E96ED0}"/>
    <cellStyle name="Normal 4 2 2 5 3 6" xfId="23037" xr:uid="{B1C54EFA-4EE1-4FC3-8C1B-3F4ED1734102}"/>
    <cellStyle name="Normal 4 2 2 5 3 7" xfId="13852" xr:uid="{BAFA886D-9DEC-4C30-B41C-4298CE465B14}"/>
    <cellStyle name="Normal 4 2 2 5 4" xfId="933" xr:uid="{00000000-0005-0000-0000-000057050000}"/>
    <cellStyle name="Normal 4 2 2 5 4 2" xfId="5238" xr:uid="{FBF7B6F4-DCA5-464C-A60C-8751E1E408E9}"/>
    <cellStyle name="Normal 4 2 2 5 4 2 2" xfId="24704" xr:uid="{C7485AA5-B669-4551-9315-FC080ED8CFEA}"/>
    <cellStyle name="Normal 4 2 2 5 4 2 3" xfId="26234" xr:uid="{6AD5F11A-EA59-4309-8090-DC567E72943C}"/>
    <cellStyle name="Normal 4 2 2 5 4 2 4" xfId="14536" xr:uid="{7ECE356E-313B-42CB-A1D3-FCC2375DFF9A}"/>
    <cellStyle name="Normal 4 2 2 5 4 3" xfId="6989" xr:uid="{E84AAD02-12D7-498D-988A-7DE82B4F9F15}"/>
    <cellStyle name="Normal 4 2 2 5 4 3 2" xfId="27046" xr:uid="{699BE569-BFB6-4A74-9F07-4D458083C0BC}"/>
    <cellStyle name="Normal 4 2 2 5 4 3 3" xfId="17369" xr:uid="{A1361F66-D4AA-4CF8-9DAD-7AD2D9E3D438}"/>
    <cellStyle name="Normal 4 2 2 5 4 4" xfId="9822" xr:uid="{BE39222B-A1CF-424C-B8B8-0E83D50105AB}"/>
    <cellStyle name="Normal 4 2 2 5 4 4 2" xfId="20202" xr:uid="{E020F430-1093-46F8-9E00-662975A4E683}"/>
    <cellStyle name="Normal 4 2 2 5 4 5" xfId="24316" xr:uid="{31FBF425-6E7C-4A0E-B0B8-02059FDD6E19}"/>
    <cellStyle name="Normal 4 2 2 5 4 6" xfId="13443" xr:uid="{1695C9F3-8203-4C46-A191-BA26B2A9EFE9}"/>
    <cellStyle name="Normal 4 2 2 5 5" xfId="2515" xr:uid="{00000000-0005-0000-0000-000094050000}"/>
    <cellStyle name="Normal 4 2 2 5 5 2" xfId="5793" xr:uid="{77BAEC64-5E37-4042-98C2-8298A57D0226}"/>
    <cellStyle name="Normal 4 2 2 5 5 2 2" xfId="27530" xr:uid="{AD85F3C9-B223-4255-90FB-AD6300F365A0}"/>
    <cellStyle name="Normal 4 2 2 5 5 2 3" xfId="15187" xr:uid="{3C121F72-D4F8-4D10-8449-508995BBCF3A}"/>
    <cellStyle name="Normal 4 2 2 5 5 3" xfId="7640" xr:uid="{F8DB22E3-7B6D-4144-802D-7AA035B0A0EE}"/>
    <cellStyle name="Normal 4 2 2 5 5 3 2" xfId="18020" xr:uid="{A4DF8C86-0048-4F64-8F80-FAD5B89C41FF}"/>
    <cellStyle name="Normal 4 2 2 5 5 4" xfId="10473" xr:uid="{8C3DC2F1-19B5-4410-B4B5-C002ABC268E2}"/>
    <cellStyle name="Normal 4 2 2 5 5 4 2" xfId="20853" xr:uid="{CF407E97-4759-4A15-ABD7-8BBA39E492D5}"/>
    <cellStyle name="Normal 4 2 2 5 5 5" xfId="24482" xr:uid="{8D7EE892-8887-495A-A9A0-AD53852F641B}"/>
    <cellStyle name="Normal 4 2 2 5 5 6" xfId="12903" xr:uid="{D6A48E63-4E4B-45EA-A18E-8440363B7741}"/>
    <cellStyle name="Normal 4 2 2 5 6" xfId="2353" xr:uid="{00000000-0005-0000-0000-00008E050000}"/>
    <cellStyle name="Normal 4 2 2 5 6 2" xfId="7480" xr:uid="{DB22DD5E-9B79-40A0-9C8D-3FA9C2E3A5B5}"/>
    <cellStyle name="Normal 4 2 2 5 6 2 2" xfId="28093" xr:uid="{71BE59F2-93C1-40BC-814A-90D10CD9E6F6}"/>
    <cellStyle name="Normal 4 2 2 5 6 2 3" xfId="17860" xr:uid="{F9370712-E4E1-4873-B0F5-71AD2E79E593}"/>
    <cellStyle name="Normal 4 2 2 5 6 3" xfId="10313" xr:uid="{EFD862F5-19BF-4263-BCA2-5A933F86B82B}"/>
    <cellStyle name="Normal 4 2 2 5 6 3 2" xfId="20693" xr:uid="{41724785-511B-42F5-800E-97FAF9D83914}"/>
    <cellStyle name="Normal 4 2 2 5 6 4" xfId="23718" xr:uid="{D1BE1319-0532-4686-98EF-6512B4ADDEDD}"/>
    <cellStyle name="Normal 4 2 2 5 6 5" xfId="15027" xr:uid="{7E22B584-62AC-47F9-A90D-CB5E498CB451}"/>
    <cellStyle name="Normal 4 2 2 5 7" xfId="3974" xr:uid="{C4ACFCEF-14B3-40AE-ABFF-B000279843F1}"/>
    <cellStyle name="Normal 4 2 2 5 7 2" xfId="8798" xr:uid="{C5D84EDB-E9B5-4072-9365-B9F8F88EE448}"/>
    <cellStyle name="Normal 4 2 2 5 7 2 2" xfId="19178" xr:uid="{9E213812-8C20-4C0B-BA78-7AFC9E58DEB3}"/>
    <cellStyle name="Normal 4 2 2 5 7 3" xfId="11631" xr:uid="{C23ADEDA-2837-47F1-9E98-FDE60199FEC2}"/>
    <cellStyle name="Normal 4 2 2 5 7 3 2" xfId="22011" xr:uid="{2254D8D2-FDA5-4C97-B63B-61350D6E97E8}"/>
    <cellStyle name="Normal 4 2 2 5 7 4" xfId="28328" xr:uid="{9E80C560-B7C3-4DF8-8EF7-1A19A15D5A9C}"/>
    <cellStyle name="Normal 4 2 2 5 7 5" xfId="16345" xr:uid="{4A3E1B43-F1F0-4F84-A199-892F3592355D}"/>
    <cellStyle name="Normal 4 2 2 5 8" xfId="5234" xr:uid="{99EDCC47-7759-4792-8EE3-30957819F237}"/>
    <cellStyle name="Normal 4 2 2 5 8 2" xfId="14532" xr:uid="{05C04DB2-3738-498B-8248-64DBEBF26A1B}"/>
    <cellStyle name="Normal 4 2 2 5 9" xfId="6985" xr:uid="{7234C7C5-2619-42B4-9EBE-929194430821}"/>
    <cellStyle name="Normal 4 2 2 5 9 2" xfId="17365" xr:uid="{5C19578B-13BB-4230-930C-8CB16E58F99E}"/>
    <cellStyle name="Normal 4 2 2 6" xfId="934" xr:uid="{00000000-0005-0000-0000-000058050000}"/>
    <cellStyle name="Normal 4 2 2 6 10" xfId="9823" xr:uid="{2561D18D-4E72-4AE6-AA97-22DF5CAF4D20}"/>
    <cellStyle name="Normal 4 2 2 6 10 2" xfId="20203" xr:uid="{DD89E622-D3D6-4B3E-B7AD-5A25DA26FF2A}"/>
    <cellStyle name="Normal 4 2 2 6 11" xfId="23591" xr:uid="{11A9B7DB-80B6-4EA4-A830-7E6CBC498292}"/>
    <cellStyle name="Normal 4 2 2 6 12" xfId="12588" xr:uid="{E2F84217-4F6D-4768-A087-B3CEB335A4E4}"/>
    <cellStyle name="Normal 4 2 2 6 2" xfId="935" xr:uid="{00000000-0005-0000-0000-000059050000}"/>
    <cellStyle name="Normal 4 2 2 6 2 2" xfId="936" xr:uid="{00000000-0005-0000-0000-00005A050000}"/>
    <cellStyle name="Normal 4 2 2 6 2 2 2" xfId="5241" xr:uid="{6F5B2623-C032-414D-8BC1-BDCFC1F6835C}"/>
    <cellStyle name="Normal 4 2 2 6 2 2 2 2" xfId="22744" xr:uid="{09CD513C-488E-4419-97B1-B67AF03D62BA}"/>
    <cellStyle name="Normal 4 2 2 6 2 2 2 3" xfId="27581" xr:uid="{DFB8FFD9-D5C8-4DA4-8614-F96625D45145}"/>
    <cellStyle name="Normal 4 2 2 6 2 2 2 4" xfId="14539" xr:uid="{A5EF2391-BEAF-477E-8940-36D03BE1E800}"/>
    <cellStyle name="Normal 4 2 2 6 2 2 3" xfId="6992" xr:uid="{95F4974A-894F-4860-8699-13AB1BEB70AB}"/>
    <cellStyle name="Normal 4 2 2 6 2 2 3 2" xfId="27619" xr:uid="{ED699511-B2B0-4ECF-BFA3-495CB59F5F4E}"/>
    <cellStyle name="Normal 4 2 2 6 2 2 3 3" xfId="26661" xr:uid="{EF9AA21E-2E22-4858-8F3D-7B1CA787E389}"/>
    <cellStyle name="Normal 4 2 2 6 2 2 3 4" xfId="17372" xr:uid="{5F93B48C-62FE-4CC8-ADE3-9E2B782D49B9}"/>
    <cellStyle name="Normal 4 2 2 6 2 2 4" xfId="9825" xr:uid="{1D8DD49B-3C79-41E4-9C8F-9484788576C5}"/>
    <cellStyle name="Normal 4 2 2 6 2 2 4 2" xfId="29416" xr:uid="{CCD0D234-5A2B-4730-A0F9-0150433F8D5E}"/>
    <cellStyle name="Normal 4 2 2 6 2 2 4 3" xfId="20205" xr:uid="{C31C3F99-CC06-43B0-A424-4AF2C4049761}"/>
    <cellStyle name="Normal 4 2 2 6 2 2 5" xfId="24362" xr:uid="{4C68074B-E687-4033-8FEB-9F77E550AE00}"/>
    <cellStyle name="Normal 4 2 2 6 2 2 6" xfId="13853" xr:uid="{DAA0A645-9EEE-48A8-AF04-A76D1DCAD4DD}"/>
    <cellStyle name="Normal 4 2 2 6 2 3" xfId="2770" xr:uid="{00000000-0005-0000-0000-000098050000}"/>
    <cellStyle name="Normal 4 2 2 6 2 3 2" xfId="5988" xr:uid="{77158A41-DC44-4BAC-82C0-46E3F59185DA}"/>
    <cellStyle name="Normal 4 2 2 6 2 3 2 2" xfId="26908" xr:uid="{B6EF9791-E7B2-44FD-ACE6-D90AB1367990}"/>
    <cellStyle name="Normal 4 2 2 6 2 3 2 3" xfId="15441" xr:uid="{3320EA68-7558-45B0-AFEC-B1ADC52F4049}"/>
    <cellStyle name="Normal 4 2 2 6 2 3 3" xfId="7894" xr:uid="{44AC1D0C-A867-43BA-A801-5D1DFE078152}"/>
    <cellStyle name="Normal 4 2 2 6 2 3 3 2" xfId="18274" xr:uid="{8879CEAB-EFBF-4490-9446-1A37C0675D06}"/>
    <cellStyle name="Normal 4 2 2 6 2 3 4" xfId="10727" xr:uid="{FC74A597-35EC-4AFA-97DC-58E59BEF5AB2}"/>
    <cellStyle name="Normal 4 2 2 6 2 3 4 2" xfId="21107" xr:uid="{6F74B78A-DFE0-4366-8219-445536C6F776}"/>
    <cellStyle name="Normal 4 2 2 6 2 3 5" xfId="25359" xr:uid="{5DD0AF5D-8B3F-444E-AA6A-9DCDDE37FF46}"/>
    <cellStyle name="Normal 4 2 2 6 2 3 6" xfId="13221" xr:uid="{9A48E49D-3543-4A53-84C3-D924CEF31E0D}"/>
    <cellStyle name="Normal 4 2 2 6 2 4" xfId="4184" xr:uid="{4A600C20-B7B2-4CC1-8893-32A614127785}"/>
    <cellStyle name="Normal 4 2 2 6 2 4 2" xfId="8956" xr:uid="{EA0D9F9D-E07C-4CB9-BE3E-87351E77F228}"/>
    <cellStyle name="Normal 4 2 2 6 2 4 2 2" xfId="29044" xr:uid="{2DBA315C-5C30-47D3-A2FB-DEF876A68A13}"/>
    <cellStyle name="Normal 4 2 2 6 2 4 2 3" xfId="19336" xr:uid="{975FDC66-83DC-45C1-BC2E-40F9A9AC5561}"/>
    <cellStyle name="Normal 4 2 2 6 2 4 3" xfId="11789" xr:uid="{CA5CD5B8-C598-4FC7-9B17-45027E2B06BD}"/>
    <cellStyle name="Normal 4 2 2 6 2 4 3 2" xfId="22169" xr:uid="{A0187298-99B6-4651-BD1A-6C1C79138CB1}"/>
    <cellStyle name="Normal 4 2 2 6 2 4 4" xfId="23965" xr:uid="{388895BE-FD39-4AF5-B105-8FDC92A42E0B}"/>
    <cellStyle name="Normal 4 2 2 6 2 4 5" xfId="16503" xr:uid="{C5169F37-8B69-4859-8714-687CB20A635B}"/>
    <cellStyle name="Normal 4 2 2 6 2 5" xfId="5240" xr:uid="{662E116E-9EC3-4A06-979B-4EFE42AE6890}"/>
    <cellStyle name="Normal 4 2 2 6 2 5 2" xfId="28373" xr:uid="{70454BAD-28A9-4101-AE6B-D9ED288DDA2B}"/>
    <cellStyle name="Normal 4 2 2 6 2 5 3" xfId="14538" xr:uid="{5187D604-5B23-4136-BC05-65A19767659B}"/>
    <cellStyle name="Normal 4 2 2 6 2 6" xfId="6991" xr:uid="{FF310834-285A-481B-9925-936D55C32865}"/>
    <cellStyle name="Normal 4 2 2 6 2 6 2" xfId="17371" xr:uid="{3DB2F12C-026A-4A45-B982-D32BF14048DC}"/>
    <cellStyle name="Normal 4 2 2 6 2 7" xfId="9824" xr:uid="{ECA44F94-06E9-4180-9BDD-88E77CCD4115}"/>
    <cellStyle name="Normal 4 2 2 6 2 7 2" xfId="20204" xr:uid="{E0440E39-4A6D-45F4-8B3C-3D4577E20CFE}"/>
    <cellStyle name="Normal 4 2 2 6 2 8" xfId="22933" xr:uid="{1FA73B3E-1D31-499C-8A57-0C8195DC023A}"/>
    <cellStyle name="Normal 4 2 2 6 2 9" xfId="12746" xr:uid="{F073804B-386A-4A13-9194-C1CB16759E4B}"/>
    <cellStyle name="Normal 4 2 2 6 3" xfId="937" xr:uid="{00000000-0005-0000-0000-00005B050000}"/>
    <cellStyle name="Normal 4 2 2 6 3 2" xfId="4514" xr:uid="{3C535D30-4F3D-46CB-AFA7-72D4C11D4890}"/>
    <cellStyle name="Normal 4 2 2 6 3 2 2" xfId="9286" xr:uid="{9A792B1F-E3F2-44F4-BC2C-B5A5BE9CC4A8}"/>
    <cellStyle name="Normal 4 2 2 6 3 2 2 2" xfId="29267" xr:uid="{8CF39A1A-A244-4345-BA53-8293D37B0FDB}"/>
    <cellStyle name="Normal 4 2 2 6 3 2 2 3" xfId="19666" xr:uid="{2A9B5CC3-3017-488E-97D0-098DAD78554D}"/>
    <cellStyle name="Normal 4 2 2 6 3 2 3" xfId="12119" xr:uid="{1A834563-6AB8-48AC-BECC-0CB2AF0093DD}"/>
    <cellStyle name="Normal 4 2 2 6 3 2 3 2" xfId="22499" xr:uid="{7C83541A-4FC0-4BB7-82C5-06FE99E97000}"/>
    <cellStyle name="Normal 4 2 2 6 3 2 4" xfId="24963" xr:uid="{F3290EC6-C128-4396-83B4-C190E6F07075}"/>
    <cellStyle name="Normal 4 2 2 6 3 2 5" xfId="16833" xr:uid="{2607B29E-3790-41F8-B887-50EC8B36D73A}"/>
    <cellStyle name="Normal 4 2 2 6 3 3" xfId="5242" xr:uid="{90D8FC7C-E81B-4DA4-BA7F-0935FFDDE95B}"/>
    <cellStyle name="Normal 4 2 2 6 3 3 2" xfId="26823" xr:uid="{4FF99E2A-6C61-4C03-ACCE-44D4D0A6E67D}"/>
    <cellStyle name="Normal 4 2 2 6 3 3 3" xfId="27487" xr:uid="{2C8E640E-2B5A-4837-A3E7-41231A33D013}"/>
    <cellStyle name="Normal 4 2 2 6 3 3 4" xfId="14540" xr:uid="{AE953FB9-649F-4C31-9347-AD2DA4997FA0}"/>
    <cellStyle name="Normal 4 2 2 6 3 4" xfId="6993" xr:uid="{3C5B5C16-8376-49F8-B0CB-5AB1F34D0DFB}"/>
    <cellStyle name="Normal 4 2 2 6 3 4 2" xfId="27286" xr:uid="{3980CFEC-2FE6-4C5C-BED4-9B7570AFD8E2}"/>
    <cellStyle name="Normal 4 2 2 6 3 4 3" xfId="27273" xr:uid="{862D206E-6C31-4D59-A121-52856B57CFD7}"/>
    <cellStyle name="Normal 4 2 2 6 3 4 4" xfId="17373" xr:uid="{550094BF-19E4-4FD0-8B2B-5979CB7F0FF3}"/>
    <cellStyle name="Normal 4 2 2 6 3 5" xfId="9826" xr:uid="{CEB9C7F4-F0A1-4722-B955-5F2C1D176CBB}"/>
    <cellStyle name="Normal 4 2 2 6 3 5 2" xfId="29417" xr:uid="{26618566-766D-4872-8583-5618A3E842C7}"/>
    <cellStyle name="Normal 4 2 2 6 3 5 3" xfId="20206" xr:uid="{B3B95895-399D-4E1D-BF34-EA2962EEC19E}"/>
    <cellStyle name="Normal 4 2 2 6 3 6" xfId="24231" xr:uid="{514BFD68-60B8-4E2A-BEBA-EB6872B3289A}"/>
    <cellStyle name="Normal 4 2 2 6 3 7" xfId="13854" xr:uid="{5C8A8026-B8CF-48C7-B291-F159243D9733}"/>
    <cellStyle name="Normal 4 2 2 6 4" xfId="938" xr:uid="{00000000-0005-0000-0000-00005C050000}"/>
    <cellStyle name="Normal 4 2 2 6 4 2" xfId="5243" xr:uid="{8B7500D1-1045-40FB-A876-21499B7F35D7}"/>
    <cellStyle name="Normal 4 2 2 6 4 2 2" xfId="23327" xr:uid="{9F3982A5-F9A4-42BF-94FD-1144EC865199}"/>
    <cellStyle name="Normal 4 2 2 6 4 2 3" xfId="26271" xr:uid="{0A351F3D-29E9-459A-BE2F-2BDA2C34C3E0}"/>
    <cellStyle name="Normal 4 2 2 6 4 2 4" xfId="14541" xr:uid="{E29ABD2C-8DF0-401D-B148-402D0B0DBC6B}"/>
    <cellStyle name="Normal 4 2 2 6 4 3" xfId="6994" xr:uid="{4F566D0D-B754-4C10-8F65-41EB9DAD07DA}"/>
    <cellStyle name="Normal 4 2 2 6 4 3 2" xfId="27220" xr:uid="{A972ADBB-CA94-4267-9428-02104DFCED14}"/>
    <cellStyle name="Normal 4 2 2 6 4 3 3" xfId="17374" xr:uid="{F7CBC127-F930-4B83-8A23-AF06F29B60B2}"/>
    <cellStyle name="Normal 4 2 2 6 4 4" xfId="9827" xr:uid="{EA920DFB-FD30-4FB8-BCE4-997A3CE84931}"/>
    <cellStyle name="Normal 4 2 2 6 4 4 2" xfId="20207" xr:uid="{FAE1C70A-5106-450B-8D57-D90B25E4D0FB}"/>
    <cellStyle name="Normal 4 2 2 6 4 5" xfId="23583" xr:uid="{ECD4C5CC-E49D-4568-8896-C362906263EC}"/>
    <cellStyle name="Normal 4 2 2 6 4 6" xfId="13444" xr:uid="{6CB2BAB9-19E6-4059-BDB0-2427D88FA990}"/>
    <cellStyle name="Normal 4 2 2 6 5" xfId="2578" xr:uid="{00000000-0005-0000-0000-00009B050000}"/>
    <cellStyle name="Normal 4 2 2 6 5 2" xfId="5843" xr:uid="{BB13DED3-5EA3-43B9-963D-8ACB59D162CF}"/>
    <cellStyle name="Normal 4 2 2 6 5 2 2" xfId="26840" xr:uid="{437FD476-A855-46B3-934E-248641D8A05B}"/>
    <cellStyle name="Normal 4 2 2 6 5 2 3" xfId="15250" xr:uid="{693E8A13-DBC6-4777-94D9-DF3033BB3255}"/>
    <cellStyle name="Normal 4 2 2 6 5 3" xfId="7703" xr:uid="{D062841D-12D1-4B74-8218-F4536D4677E6}"/>
    <cellStyle name="Normal 4 2 2 6 5 3 2" xfId="18083" xr:uid="{F8220E91-E151-48CE-B448-569CB90D494F}"/>
    <cellStyle name="Normal 4 2 2 6 5 4" xfId="10536" xr:uid="{DD7E7BC7-C813-4AA2-801A-51231DD1A7A6}"/>
    <cellStyle name="Normal 4 2 2 6 5 4 2" xfId="20916" xr:uid="{16A8D1CD-5EC0-4376-BDD5-9CC83AA89412}"/>
    <cellStyle name="Normal 4 2 2 6 5 5" xfId="24971" xr:uid="{6D93BF68-17F3-41CB-9DDA-E8C0E8DEE6BD}"/>
    <cellStyle name="Normal 4 2 2 6 5 6" xfId="12966" xr:uid="{1B54A201-D8DB-4CA1-9906-E4EF9C822C61}"/>
    <cellStyle name="Normal 4 2 2 6 6" xfId="2354" xr:uid="{00000000-0005-0000-0000-000095050000}"/>
    <cellStyle name="Normal 4 2 2 6 6 2" xfId="7481" xr:uid="{FAEF91AF-9211-4435-A837-B87E36160B8C}"/>
    <cellStyle name="Normal 4 2 2 6 6 2 2" xfId="26931" xr:uid="{5B19A4BC-3F78-4EE6-8F92-C8895AE3E6EA}"/>
    <cellStyle name="Normal 4 2 2 6 6 2 3" xfId="17861" xr:uid="{5525B37D-CB38-447D-85B6-6EE5E847F0DC}"/>
    <cellStyle name="Normal 4 2 2 6 6 3" xfId="10314" xr:uid="{DA2AEF52-F208-4F89-A091-302F21486427}"/>
    <cellStyle name="Normal 4 2 2 6 6 3 2" xfId="20694" xr:uid="{B4B6196F-62E2-4FDD-996A-245C9E1D4C98}"/>
    <cellStyle name="Normal 4 2 2 6 6 4" xfId="23032" xr:uid="{09ED6ABB-BDED-4F80-B8BB-8E7246681CA1}"/>
    <cellStyle name="Normal 4 2 2 6 6 5" xfId="15028" xr:uid="{C22F411D-7C67-4A71-B13B-8EE2229526A0}"/>
    <cellStyle name="Normal 4 2 2 6 7" xfId="3975" xr:uid="{3C44D71E-0ED7-4B64-B21F-FB171EDB30F8}"/>
    <cellStyle name="Normal 4 2 2 6 7 2" xfId="8799" xr:uid="{CDB8CAFA-399C-4118-97FE-5516055D49DA}"/>
    <cellStyle name="Normal 4 2 2 6 7 2 2" xfId="19179" xr:uid="{285168F4-5223-4535-A0CE-271C75819637}"/>
    <cellStyle name="Normal 4 2 2 6 7 3" xfId="11632" xr:uid="{A488E30D-91C2-44D5-AB3E-7785E8398C46}"/>
    <cellStyle name="Normal 4 2 2 6 7 3 2" xfId="22012" xr:uid="{F707871D-780D-4C95-B221-B241EF4E1839}"/>
    <cellStyle name="Normal 4 2 2 6 7 4" xfId="27576" xr:uid="{36575FDE-8F80-4BA2-AC5B-6CB7E45CBDEC}"/>
    <cellStyle name="Normal 4 2 2 6 7 5" xfId="16346" xr:uid="{AFC830DC-84AB-4ED2-BEE4-C2ADF3452D36}"/>
    <cellStyle name="Normal 4 2 2 6 8" xfId="5239" xr:uid="{5BDB20EC-E8E3-44DF-84B7-9AFAC17D679F}"/>
    <cellStyle name="Normal 4 2 2 6 8 2" xfId="14537" xr:uid="{7843AA79-BD79-4A07-84FF-0BAB2ADCF180}"/>
    <cellStyle name="Normal 4 2 2 6 9" xfId="6990" xr:uid="{7A743304-F793-4464-8858-A840A2C99EAD}"/>
    <cellStyle name="Normal 4 2 2 6 9 2" xfId="17370" xr:uid="{2C470E94-78DF-49F4-ADD7-DE0028853463}"/>
    <cellStyle name="Normal 4 2 2 7" xfId="939" xr:uid="{00000000-0005-0000-0000-00005D050000}"/>
    <cellStyle name="Normal 4 2 2 7 10" xfId="12589" xr:uid="{F487EBE3-2457-4BE7-A555-B738C8F4B1CC}"/>
    <cellStyle name="Normal 4 2 2 7 2" xfId="940" xr:uid="{00000000-0005-0000-0000-00005E050000}"/>
    <cellStyle name="Normal 4 2 2 7 2 2" xfId="2929" xr:uid="{00000000-0005-0000-0000-00009E050000}"/>
    <cellStyle name="Normal 4 2 2 7 2 2 2" xfId="6109" xr:uid="{57C0A4CB-A731-4894-954B-67C4835C67DD}"/>
    <cellStyle name="Normal 4 2 2 7 2 2 2 2" xfId="28551" xr:uid="{00EB9B60-60AE-47DF-87FC-A929CF3ECBC9}"/>
    <cellStyle name="Normal 4 2 2 7 2 2 2 3" xfId="28560" xr:uid="{0D04EC90-A42A-42BA-BEC8-C572A8A71233}"/>
    <cellStyle name="Normal 4 2 2 7 2 2 2 4" xfId="15587" xr:uid="{989D8687-E2BC-414E-B06B-B1EEA33901DE}"/>
    <cellStyle name="Normal 4 2 2 7 2 2 3" xfId="8040" xr:uid="{E11D03F5-4B64-441A-B3A8-AF846F4FD19D}"/>
    <cellStyle name="Normal 4 2 2 7 2 2 3 2" xfId="28546" xr:uid="{B1383DD4-151F-44B8-845C-866CCE70ABA6}"/>
    <cellStyle name="Normal 4 2 2 7 2 2 3 3" xfId="18420" xr:uid="{0D9E908E-557F-4CB0-8D4D-439C683CD112}"/>
    <cellStyle name="Normal 4 2 2 7 2 2 4" xfId="10873" xr:uid="{CD1F0151-0780-4C32-A907-04B6AC3F91C0}"/>
    <cellStyle name="Normal 4 2 2 7 2 2 4 2" xfId="21253" xr:uid="{E173457F-7059-4390-9D22-FBD5B29E91A9}"/>
    <cellStyle name="Normal 4 2 2 7 2 2 5" xfId="24335" xr:uid="{9B020136-7BA9-4ECA-901B-0B93B9691C85}"/>
    <cellStyle name="Normal 4 2 2 7 2 2 6" xfId="13445" xr:uid="{CB385DE0-E6B5-435B-8AB0-FC43CF144F09}"/>
    <cellStyle name="Normal 4 2 2 7 2 3" xfId="5245" xr:uid="{D04BEBCB-D9B3-46E7-9F67-2B62050C65D8}"/>
    <cellStyle name="Normal 4 2 2 7 2 3 2" xfId="22815" xr:uid="{6EC1EBB6-14EB-46B1-B179-3A987D46FA48}"/>
    <cellStyle name="Normal 4 2 2 7 2 3 3" xfId="27003" xr:uid="{BABBEF22-2173-49D7-B125-D2184A702964}"/>
    <cellStyle name="Normal 4 2 2 7 2 3 4" xfId="14543" xr:uid="{BD1DD18D-ADD1-4FCB-9B93-1322F539C844}"/>
    <cellStyle name="Normal 4 2 2 7 2 4" xfId="6996" xr:uid="{86F6412A-F37C-4495-A69A-3EA4E32F3A34}"/>
    <cellStyle name="Normal 4 2 2 7 2 4 2" xfId="26235" xr:uid="{FEE8BE2B-87B2-4DAA-9A76-C334EC6AE9DB}"/>
    <cellStyle name="Normal 4 2 2 7 2 4 3" xfId="28379" xr:uid="{EA9DC767-E875-4F33-9676-DFF1AE133D23}"/>
    <cellStyle name="Normal 4 2 2 7 2 4 4" xfId="17376" xr:uid="{DFCFE355-5189-466F-8882-4EDE43DCB1DD}"/>
    <cellStyle name="Normal 4 2 2 7 2 5" xfId="9829" xr:uid="{7F2563CD-AD6A-483B-8E73-61E5882B47DA}"/>
    <cellStyle name="Normal 4 2 2 7 2 5 2" xfId="29418" xr:uid="{441BBF49-982E-411F-A346-AEDD884F8C83}"/>
    <cellStyle name="Normal 4 2 2 7 2 5 3" xfId="20209" xr:uid="{7AB1868C-4F40-4E23-939E-075A2BBFBB20}"/>
    <cellStyle name="Normal 4 2 2 7 2 6" xfId="25432" xr:uid="{31D5A380-4290-46FB-957A-611FB36B4545}"/>
    <cellStyle name="Normal 4 2 2 7 2 7" xfId="12747" xr:uid="{22704B4E-8FE0-49EF-A78F-8EA5E20E7E73}"/>
    <cellStyle name="Normal 4 2 2 7 3" xfId="941" xr:uid="{00000000-0005-0000-0000-00005F050000}"/>
    <cellStyle name="Normal 4 2 2 7 3 2" xfId="5246" xr:uid="{B40BB902-CB0E-40C3-A0CD-B7F27874C6B2}"/>
    <cellStyle name="Normal 4 2 2 7 3 2 2" xfId="27669" xr:uid="{17E9F41F-C4CD-4EDE-ABF5-8174F052771D}"/>
    <cellStyle name="Normal 4 2 2 7 3 2 3" xfId="27517" xr:uid="{FD804A08-F8CC-4A4A-A913-C66336A6B8B3}"/>
    <cellStyle name="Normal 4 2 2 7 3 2 4" xfId="14544" xr:uid="{DBF67581-FF04-4376-8D32-9033CD4C85DC}"/>
    <cellStyle name="Normal 4 2 2 7 3 3" xfId="6997" xr:uid="{43D0183A-0402-46DC-A9A6-746377F5DC85}"/>
    <cellStyle name="Normal 4 2 2 7 3 3 2" xfId="27613" xr:uid="{877A84E7-BEAE-42D5-98EC-569717F4AA35}"/>
    <cellStyle name="Normal 4 2 2 7 3 3 3" xfId="27755" xr:uid="{1AA65364-8454-410A-83E3-AA9DDBDD96C7}"/>
    <cellStyle name="Normal 4 2 2 7 3 3 4" xfId="17377" xr:uid="{BBDB9507-B01F-4BEC-AB97-141A5F057185}"/>
    <cellStyle name="Normal 4 2 2 7 3 4" xfId="9830" xr:uid="{CB5FE095-E508-4487-95A1-4C0A4FB94C21}"/>
    <cellStyle name="Normal 4 2 2 7 3 4 2" xfId="29419" xr:uid="{F8ED6E61-114B-4280-81CA-949C17B9017D}"/>
    <cellStyle name="Normal 4 2 2 7 3 4 3" xfId="20210" xr:uid="{F73018EA-2BD9-4911-861A-F3E27C3C8E03}"/>
    <cellStyle name="Normal 4 2 2 7 3 5" xfId="22781" xr:uid="{3C1090F0-CECB-4396-8D62-6EE60CEF2CBA}"/>
    <cellStyle name="Normal 4 2 2 7 3 6" xfId="13222" xr:uid="{F238A0EC-F728-491D-AB52-3CBDDEEC0F2B}"/>
    <cellStyle name="Normal 4 2 2 7 4" xfId="2355" xr:uid="{00000000-0005-0000-0000-00009C050000}"/>
    <cellStyle name="Normal 4 2 2 7 4 2" xfId="7482" xr:uid="{AF381B43-6F28-42FB-ADF6-39881F3664B6}"/>
    <cellStyle name="Normal 4 2 2 7 4 2 2" xfId="27341" xr:uid="{4C124964-6D75-43BD-87A3-DB5968AB63FC}"/>
    <cellStyle name="Normal 4 2 2 7 4 2 3" xfId="17862" xr:uid="{1AA920BF-D970-4DB5-96D4-82BE17E020E1}"/>
    <cellStyle name="Normal 4 2 2 7 4 3" xfId="10315" xr:uid="{17223411-B143-474A-9153-83094A1A8D56}"/>
    <cellStyle name="Normal 4 2 2 7 4 3 2" xfId="20695" xr:uid="{578AB773-C1CD-4F3D-AAA2-422DB0737571}"/>
    <cellStyle name="Normal 4 2 2 7 4 4" xfId="24351" xr:uid="{3E4651B1-E0F7-4322-977E-C1E96A9EB270}"/>
    <cellStyle name="Normal 4 2 2 7 4 5" xfId="15029" xr:uid="{C73873C5-A60C-4636-A163-84B1757B618D}"/>
    <cellStyle name="Normal 4 2 2 7 5" xfId="3976" xr:uid="{934EA604-89F8-4E07-B3A6-51317F9C39B3}"/>
    <cellStyle name="Normal 4 2 2 7 5 2" xfId="8800" xr:uid="{E97C1750-D686-46D2-90C1-4907475BF21F}"/>
    <cellStyle name="Normal 4 2 2 7 5 2 2" xfId="28986" xr:uid="{16F49C96-6BD1-419D-918F-631C11AFE1DC}"/>
    <cellStyle name="Normal 4 2 2 7 5 2 3" xfId="19180" xr:uid="{911759E1-9787-40A1-8AE4-7B1622E8E587}"/>
    <cellStyle name="Normal 4 2 2 7 5 3" xfId="11633" xr:uid="{3CEC2403-4157-40CA-9E59-0F5F1916D13A}"/>
    <cellStyle name="Normal 4 2 2 7 5 3 2" xfId="22013" xr:uid="{A5C5B410-8379-4663-B995-C71596118E97}"/>
    <cellStyle name="Normal 4 2 2 7 5 4" xfId="22972" xr:uid="{4BDC54B1-DED7-41CA-BED8-E15591FD4457}"/>
    <cellStyle name="Normal 4 2 2 7 5 5" xfId="16347" xr:uid="{2A1BC78A-509C-4FA4-9AE8-1B2CDACF40D9}"/>
    <cellStyle name="Normal 4 2 2 7 6" xfId="5244" xr:uid="{258B6F67-E5EF-4F01-8939-97492B16C45F}"/>
    <cellStyle name="Normal 4 2 2 7 6 2" xfId="27172" xr:uid="{4124BC3B-E978-4BFE-B8F2-6D9FFD167813}"/>
    <cellStyle name="Normal 4 2 2 7 6 3" xfId="28734" xr:uid="{58230EF1-BA5D-4231-AA59-4E83E22C59CC}"/>
    <cellStyle name="Normal 4 2 2 7 6 4" xfId="14542" xr:uid="{F4F19B9C-E86A-4A6A-B6B4-A7727EA94E00}"/>
    <cellStyle name="Normal 4 2 2 7 7" xfId="6995" xr:uid="{AA130C79-5346-4DC8-A7EA-6C1A6065897D}"/>
    <cellStyle name="Normal 4 2 2 7 7 2" xfId="26940" xr:uid="{612954AE-D8B5-49B2-89B9-2B002DFA3236}"/>
    <cellStyle name="Normal 4 2 2 7 7 3" xfId="17375" xr:uid="{A97E16E6-D345-4653-842F-738BB3BAE9E2}"/>
    <cellStyle name="Normal 4 2 2 7 8" xfId="9828" xr:uid="{184DB9DC-A051-4499-9310-FBC8AE4FAFAB}"/>
    <cellStyle name="Normal 4 2 2 7 8 2" xfId="20208" xr:uid="{0D6BC51B-4DDB-4E0B-AD2F-F96D6CB6D943}"/>
    <cellStyle name="Normal 4 2 2 7 9" xfId="23192" xr:uid="{188E0066-9312-4677-B353-400A1C65B06B}"/>
    <cellStyle name="Normal 4 2 2 8" xfId="942" xr:uid="{00000000-0005-0000-0000-000060050000}"/>
    <cellStyle name="Normal 4 2 2 8 10" xfId="12590" xr:uid="{B079923D-5E20-4831-A1EE-294B4200D102}"/>
    <cellStyle name="Normal 4 2 2 8 2" xfId="943" xr:uid="{00000000-0005-0000-0000-000061050000}"/>
    <cellStyle name="Normal 4 2 2 8 2 2" xfId="2930" xr:uid="{00000000-0005-0000-0000-0000A2050000}"/>
    <cellStyle name="Normal 4 2 2 8 2 2 2" xfId="6110" xr:uid="{09581792-6878-4251-A402-1BF73B90A971}"/>
    <cellStyle name="Normal 4 2 2 8 2 2 2 2" xfId="27835" xr:uid="{FE74F500-C292-4503-BFFC-57F6AAF580A9}"/>
    <cellStyle name="Normal 4 2 2 8 2 2 2 3" xfId="25970" xr:uid="{1EC5700D-4A61-4448-AD6F-E00583B5722B}"/>
    <cellStyle name="Normal 4 2 2 8 2 2 2 4" xfId="15588" xr:uid="{69769A35-F4BD-42E6-B479-E5B6925471AA}"/>
    <cellStyle name="Normal 4 2 2 8 2 2 3" xfId="8041" xr:uid="{64C8C9E2-9C80-4C86-96BF-735E47896E8C}"/>
    <cellStyle name="Normal 4 2 2 8 2 2 3 2" xfId="26182" xr:uid="{C1C144FB-D2B9-41FE-823D-8E407FAFD562}"/>
    <cellStyle name="Normal 4 2 2 8 2 2 3 3" xfId="18421" xr:uid="{AB733DD3-59EB-44FD-88FE-C553D0930AAA}"/>
    <cellStyle name="Normal 4 2 2 8 2 2 4" xfId="10874" xr:uid="{2EAAE8FA-6A0E-43DF-9D0F-6BE18F13AB63}"/>
    <cellStyle name="Normal 4 2 2 8 2 2 4 2" xfId="21254" xr:uid="{18E1EACE-9DC3-4EB3-AFCB-C3BB85F96F7E}"/>
    <cellStyle name="Normal 4 2 2 8 2 2 5" xfId="22785" xr:uid="{B6D41360-5303-4439-9539-3A457D6A800A}"/>
    <cellStyle name="Normal 4 2 2 8 2 2 6" xfId="13446" xr:uid="{D0DBE192-C6E1-426F-AF69-9E13AE9C728B}"/>
    <cellStyle name="Normal 4 2 2 8 2 3" xfId="5248" xr:uid="{289C0D3D-8600-4311-B6E6-04C89FA3FACF}"/>
    <cellStyle name="Normal 4 2 2 8 2 3 2" xfId="24678" xr:uid="{30638458-4653-4069-B1A0-FAB5B964E877}"/>
    <cellStyle name="Normal 4 2 2 8 2 3 3" xfId="28554" xr:uid="{52728E3E-1CE5-4205-BB37-C736E33D8CFB}"/>
    <cellStyle name="Normal 4 2 2 8 2 3 4" xfId="14546" xr:uid="{5F5559E7-9E8E-4F3C-921F-83265B2F862F}"/>
    <cellStyle name="Normal 4 2 2 8 2 4" xfId="6999" xr:uid="{98938B21-9FC9-4129-B01A-6E0E21BDE738}"/>
    <cellStyle name="Normal 4 2 2 8 2 4 2" xfId="26485" xr:uid="{DC37F2DE-BCCF-4A97-9840-6F251271A387}"/>
    <cellStyle name="Normal 4 2 2 8 2 4 3" xfId="25854" xr:uid="{77C348A3-9279-4F9E-979F-2E574ED2C001}"/>
    <cellStyle name="Normal 4 2 2 8 2 4 4" xfId="17379" xr:uid="{E33761A8-9F00-4268-951C-63294C6FA910}"/>
    <cellStyle name="Normal 4 2 2 8 2 5" xfId="9832" xr:uid="{A5738BC8-A75D-4FBB-887B-14D7995DCF5F}"/>
    <cellStyle name="Normal 4 2 2 8 2 5 2" xfId="29420" xr:uid="{F5410C9A-1AA5-45A9-AF2D-08D2E333369C}"/>
    <cellStyle name="Normal 4 2 2 8 2 5 3" xfId="20212" xr:uid="{E4AA0D4E-B5A6-4F5A-8840-62CE0C869968}"/>
    <cellStyle name="Normal 4 2 2 8 2 6" xfId="23798" xr:uid="{00FC52DA-01F4-4867-AD5C-93D2839C800E}"/>
    <cellStyle name="Normal 4 2 2 8 2 7" xfId="12748" xr:uid="{94FB40D9-BF27-4CB1-A214-31A4E496E876}"/>
    <cellStyle name="Normal 4 2 2 8 3" xfId="944" xr:uid="{00000000-0005-0000-0000-000062050000}"/>
    <cellStyle name="Normal 4 2 2 8 3 2" xfId="5249" xr:uid="{4D9BC826-49DF-4AF2-88B9-97A48C6BF2E8}"/>
    <cellStyle name="Normal 4 2 2 8 3 2 2" xfId="28392" xr:uid="{3AC4B514-BA35-4187-9298-F5195983ED60}"/>
    <cellStyle name="Normal 4 2 2 8 3 2 3" xfId="27147" xr:uid="{DADAAF39-1753-4664-BB00-A256FBA3CE3B}"/>
    <cellStyle name="Normal 4 2 2 8 3 2 4" xfId="14547" xr:uid="{BFEDBC4C-51DC-489D-AFEF-2749A13AABAB}"/>
    <cellStyle name="Normal 4 2 2 8 3 3" xfId="7000" xr:uid="{7F52BAFA-DE2F-4D6A-BEE8-CD7532851F97}"/>
    <cellStyle name="Normal 4 2 2 8 3 3 2" xfId="26438" xr:uid="{0FDE18EF-223E-4F9E-BB32-181FFF94D91A}"/>
    <cellStyle name="Normal 4 2 2 8 3 3 3" xfId="26749" xr:uid="{B6B9B256-7109-4468-8C1C-C130722DBA2B}"/>
    <cellStyle name="Normal 4 2 2 8 3 3 4" xfId="17380" xr:uid="{2B25E608-5F2C-423F-8C80-1375E2FAA2E4}"/>
    <cellStyle name="Normal 4 2 2 8 3 4" xfId="9833" xr:uid="{08A94F09-7809-4B28-882D-1B0F769EEEBD}"/>
    <cellStyle name="Normal 4 2 2 8 3 4 2" xfId="29421" xr:uid="{F109C8A4-44EC-41D2-92AB-8AC5B9E76DF1}"/>
    <cellStyle name="Normal 4 2 2 8 3 4 3" xfId="20213" xr:uid="{C5866C1F-E534-4979-B683-7A6B8D29D865}"/>
    <cellStyle name="Normal 4 2 2 8 3 5" xfId="22905" xr:uid="{A1855F6E-7621-41E9-B405-D45D8B422CE2}"/>
    <cellStyle name="Normal 4 2 2 8 3 6" xfId="13223" xr:uid="{261B8577-FDAC-4371-A1E3-01F7881F1F22}"/>
    <cellStyle name="Normal 4 2 2 8 4" xfId="2356" xr:uid="{00000000-0005-0000-0000-0000A0050000}"/>
    <cellStyle name="Normal 4 2 2 8 4 2" xfId="7483" xr:uid="{78E28C14-4BF2-45E6-90B6-51A0B78E35A8}"/>
    <cellStyle name="Normal 4 2 2 8 4 2 2" xfId="27648" xr:uid="{5D9CE891-17CD-4AA8-87DC-A95426A137B3}"/>
    <cellStyle name="Normal 4 2 2 8 4 2 3" xfId="17863" xr:uid="{5EA0968A-AC38-4283-8C58-897FF3CD151A}"/>
    <cellStyle name="Normal 4 2 2 8 4 3" xfId="10316" xr:uid="{B156299D-1585-4445-91F5-30774E13C2E2}"/>
    <cellStyle name="Normal 4 2 2 8 4 3 2" xfId="20696" xr:uid="{F3E85103-AE30-4527-A3BE-52C908370154}"/>
    <cellStyle name="Normal 4 2 2 8 4 4" xfId="25494" xr:uid="{1CC4CB99-89F5-432B-B534-392FA34B5B4B}"/>
    <cellStyle name="Normal 4 2 2 8 4 5" xfId="15030" xr:uid="{8CB859D4-7AE7-42E7-8605-196CC4590EC4}"/>
    <cellStyle name="Normal 4 2 2 8 5" xfId="3977" xr:uid="{1CC1E78C-F7DE-4130-A584-0982B132CF8E}"/>
    <cellStyle name="Normal 4 2 2 8 5 2" xfId="8801" xr:uid="{BA955A1A-5670-4FC0-99AD-5A2856B5D440}"/>
    <cellStyle name="Normal 4 2 2 8 5 2 2" xfId="28987" xr:uid="{34079C3E-CB67-4FC5-806A-7653903E694E}"/>
    <cellStyle name="Normal 4 2 2 8 5 2 3" xfId="19181" xr:uid="{44DB25A4-5BF0-40DB-8D02-41DD4CB5D720}"/>
    <cellStyle name="Normal 4 2 2 8 5 3" xfId="11634" xr:uid="{7E0DE244-4DBA-4549-ACCF-6E1DACEE34DD}"/>
    <cellStyle name="Normal 4 2 2 8 5 3 2" xfId="22014" xr:uid="{FF8FDA02-F622-47D5-89FC-F44A0ED0CF69}"/>
    <cellStyle name="Normal 4 2 2 8 5 4" xfId="23983" xr:uid="{37E8991E-E7DC-475D-A227-1F381F3327D3}"/>
    <cellStyle name="Normal 4 2 2 8 5 5" xfId="16348" xr:uid="{2226C1CB-C3F7-4DA7-A464-EC9956605E01}"/>
    <cellStyle name="Normal 4 2 2 8 6" xfId="5247" xr:uid="{872CE609-91EB-4200-84DC-9E4CAEF16719}"/>
    <cellStyle name="Normal 4 2 2 8 6 2" xfId="26521" xr:uid="{E356F0AA-9DB5-42C0-A8A8-D027EA83DE7F}"/>
    <cellStyle name="Normal 4 2 2 8 6 3" xfId="27056" xr:uid="{A4791983-7DC8-4FC4-9115-A49572A6DAB9}"/>
    <cellStyle name="Normal 4 2 2 8 6 4" xfId="14545" xr:uid="{660A899C-A2B3-44D5-A0AE-70E3028FA2FC}"/>
    <cellStyle name="Normal 4 2 2 8 7" xfId="6998" xr:uid="{F5CE00E5-403B-4776-BAF1-667226287A9D}"/>
    <cellStyle name="Normal 4 2 2 8 7 2" xfId="28724" xr:uid="{75DAF2BA-C780-463B-B47B-59D04D56A534}"/>
    <cellStyle name="Normal 4 2 2 8 7 3" xfId="17378" xr:uid="{7BBB0A78-A78B-4E47-A061-57FD249F2CAB}"/>
    <cellStyle name="Normal 4 2 2 8 8" xfId="9831" xr:uid="{3FCAB39E-5391-4F05-990F-45A67FFFFF88}"/>
    <cellStyle name="Normal 4 2 2 8 8 2" xfId="20211" xr:uid="{605D1BF4-2DAB-48AE-AA26-C94C99E2D0C0}"/>
    <cellStyle name="Normal 4 2 2 8 9" xfId="23105" xr:uid="{FA722071-1ED3-40CD-A15E-0F1B6755E765}"/>
    <cellStyle name="Normal 4 2 2 9" xfId="945" xr:uid="{00000000-0005-0000-0000-000063050000}"/>
    <cellStyle name="Normal 4 2 2 9 10" xfId="12583" xr:uid="{DE514E55-F128-4711-B21D-61AFB7B8B980}"/>
    <cellStyle name="Normal 4 2 2 9 2" xfId="3299" xr:uid="{00000000-0005-0000-0000-0000A5050000}"/>
    <cellStyle name="Normal 4 2 2 9 2 2" xfId="6357" xr:uid="{6E4E1E2D-8A1F-4B24-9424-9540C19E367E}"/>
    <cellStyle name="Normal 4 2 2 9 2 2 2" xfId="24063" xr:uid="{45CEF859-7BCD-43A7-9DF0-135D1D6D9722}"/>
    <cellStyle name="Normal 4 2 2 9 2 2 3" xfId="26598" xr:uid="{9106F3BF-F128-4A95-B1CD-60CF1E93C852}"/>
    <cellStyle name="Normal 4 2 2 9 2 2 4" xfId="15926" xr:uid="{594B141C-1131-44FA-9644-D29B5916A6AA}"/>
    <cellStyle name="Normal 4 2 2 9 2 3" xfId="8379" xr:uid="{680DAFC1-10CF-4115-A50B-E062B27340DB}"/>
    <cellStyle name="Normal 4 2 2 9 2 3 2" xfId="27082" xr:uid="{F65F60EC-4525-406B-B346-1CC28797EB54}"/>
    <cellStyle name="Normal 4 2 2 9 2 3 3" xfId="28901" xr:uid="{A099C605-7E55-41EE-943A-37B7A9E230B0}"/>
    <cellStyle name="Normal 4 2 2 9 2 3 4" xfId="18759" xr:uid="{BE8CF6AF-34B7-4897-A3C5-ABCA19E9F174}"/>
    <cellStyle name="Normal 4 2 2 9 2 4" xfId="11212" xr:uid="{4A039120-EAC4-4732-B509-DF19BC2B8961}"/>
    <cellStyle name="Normal 4 2 2 9 2 4 2" xfId="29481" xr:uid="{3EECB917-46C5-426D-B71C-9CAD5E36E357}"/>
    <cellStyle name="Normal 4 2 2 9 2 4 3" xfId="21592" xr:uid="{043FC9C7-426D-49F9-9931-347D933E02D0}"/>
    <cellStyle name="Normal 4 2 2 9 2 5" xfId="23212" xr:uid="{935A0560-C5B2-4465-8504-275C632C1F9F}"/>
    <cellStyle name="Normal 4 2 2 9 2 6" xfId="13855" xr:uid="{F186F80C-532F-4235-A090-3A81DB8588C4}"/>
    <cellStyle name="Normal 4 2 2 9 3" xfId="2762" xr:uid="{00000000-0005-0000-0000-0000A6050000}"/>
    <cellStyle name="Normal 4 2 2 9 3 2" xfId="5980" xr:uid="{2AF29E17-0413-428C-BBF0-234F517D09CF}"/>
    <cellStyle name="Normal 4 2 2 9 3 2 2" xfId="26729" xr:uid="{CBD8DB94-08B9-4486-9B8A-70ABEDF9C196}"/>
    <cellStyle name="Normal 4 2 2 9 3 2 3" xfId="15433" xr:uid="{58F35442-55F3-4803-AFFB-C5B9DA17A21B}"/>
    <cellStyle name="Normal 4 2 2 9 3 3" xfId="7886" xr:uid="{AD2FD54C-B7B0-483B-84C4-9315D79E4958}"/>
    <cellStyle name="Normal 4 2 2 9 3 3 2" xfId="18266" xr:uid="{8E6CD3BB-045E-4361-A340-E92C1684F0E3}"/>
    <cellStyle name="Normal 4 2 2 9 3 4" xfId="10719" xr:uid="{22042846-8DA7-4EFF-AF99-F515EC8385E3}"/>
    <cellStyle name="Normal 4 2 2 9 3 4 2" xfId="21099" xr:uid="{B4348F17-6C32-4A25-BAB2-9572A3923888}"/>
    <cellStyle name="Normal 4 2 2 9 3 5" xfId="24452" xr:uid="{5593175C-5566-4DF7-A66F-443ED8A91F7A}"/>
    <cellStyle name="Normal 4 2 2 9 3 6" xfId="13210" xr:uid="{D542F37B-7C2B-405F-B27E-0A0D239496E8}"/>
    <cellStyle name="Normal 4 2 2 9 4" xfId="2349" xr:uid="{00000000-0005-0000-0000-0000A4050000}"/>
    <cellStyle name="Normal 4 2 2 9 4 2" xfId="7476" xr:uid="{8319465A-71C1-44B2-86C2-66BC9E2147B4}"/>
    <cellStyle name="Normal 4 2 2 9 4 2 2" xfId="28679" xr:uid="{FC39BD23-F123-4A99-81DC-DB5D583C8804}"/>
    <cellStyle name="Normal 4 2 2 9 4 2 3" xfId="17856" xr:uid="{DD2E3797-C5E2-486C-9C3E-C72BADED4EAE}"/>
    <cellStyle name="Normal 4 2 2 9 4 3" xfId="10309" xr:uid="{2202193C-5B0D-41BD-BF6A-D20065EA68DF}"/>
    <cellStyle name="Normal 4 2 2 9 4 3 2" xfId="20689" xr:uid="{E46D9796-DE38-44E1-B95E-34EA2AC7FE65}"/>
    <cellStyle name="Normal 4 2 2 9 4 4" xfId="23962" xr:uid="{E211FAC1-22F6-4376-BF8E-9B6235C4893B}"/>
    <cellStyle name="Normal 4 2 2 9 4 5" xfId="15023" xr:uid="{84A360AA-ACC9-47BE-A916-17EADE44D08D}"/>
    <cellStyle name="Normal 4 2 2 9 5" xfId="3858" xr:uid="{0DFD9279-66F4-49BF-8ABE-BC45BE9D3279}"/>
    <cellStyle name="Normal 4 2 2 9 5 2" xfId="8690" xr:uid="{22B78481-BFA1-4D5C-BE0A-88DA74F04189}"/>
    <cellStyle name="Normal 4 2 2 9 5 2 2" xfId="19070" xr:uid="{D855CF00-E479-4DC7-A6F1-A54F0034438A}"/>
    <cellStyle name="Normal 4 2 2 9 5 3" xfId="11523" xr:uid="{84137D52-6A9A-45E9-822B-5688EA979476}"/>
    <cellStyle name="Normal 4 2 2 9 5 3 2" xfId="21903" xr:uid="{57BCF616-2B4E-42BA-BADD-ED4A680DF9F5}"/>
    <cellStyle name="Normal 4 2 2 9 5 4" xfId="26843" xr:uid="{3833537E-321F-4F08-8CD8-D4323549DA52}"/>
    <cellStyle name="Normal 4 2 2 9 5 5" xfId="16237" xr:uid="{7AD6093B-7B22-41CD-B28E-14C576F4FB21}"/>
    <cellStyle name="Normal 4 2 2 9 6" xfId="5250" xr:uid="{5F5B01DA-BF19-4D3F-9F37-461CE1DBE838}"/>
    <cellStyle name="Normal 4 2 2 9 6 2" xfId="14548" xr:uid="{CD01CB4D-BD54-4DA9-A0D7-6B36D8D57A7B}"/>
    <cellStyle name="Normal 4 2 2 9 7" xfId="7001" xr:uid="{0CE4F7C6-4118-43BE-A668-888ED1884BDB}"/>
    <cellStyle name="Normal 4 2 2 9 7 2" xfId="17381" xr:uid="{75471894-3CE6-4529-BE28-CAA3D6503453}"/>
    <cellStyle name="Normal 4 2 2 9 8" xfId="9834" xr:uid="{E0C65649-4008-44CA-BB86-D5E7ACF05731}"/>
    <cellStyle name="Normal 4 2 2 9 8 2" xfId="20214" xr:uid="{C03B357F-14E5-4DE0-BF16-B52EACF1B891}"/>
    <cellStyle name="Normal 4 2 2 9 9" xfId="24588" xr:uid="{B8116788-610A-4EF1-98E6-02B0A43EF3E3}"/>
    <cellStyle name="Normal 4 2 20" xfId="24905" xr:uid="{7CC5CC8E-A63E-44A8-9265-588E7557C3B6}"/>
    <cellStyle name="Normal 4 2 21" xfId="12390" xr:uid="{DF718B35-7351-4E69-B0D4-B23D8E6301EC}"/>
    <cellStyle name="Normal 4 2 3" xfId="946" xr:uid="{00000000-0005-0000-0000-000064050000}"/>
    <cellStyle name="Normal 4 2 3 10" xfId="5251" xr:uid="{2BD7E16D-467E-4203-BADC-0CC44CE1E35D}"/>
    <cellStyle name="Normal 4 2 3 10 2" xfId="14549" xr:uid="{7E3E2729-B3B9-497B-9C2D-2A6EA9BCF7EF}"/>
    <cellStyle name="Normal 4 2 3 11" xfId="7002" xr:uid="{0F8E82CF-DA38-44A7-9BAB-8EAF0FCC0A4D}"/>
    <cellStyle name="Normal 4 2 3 11 2" xfId="17382" xr:uid="{DE1D59A2-929D-42C0-BC66-443196226E3C}"/>
    <cellStyle name="Normal 4 2 3 12" xfId="9835" xr:uid="{9EED1AAC-1B2A-4562-ACE5-EE2F4E445031}"/>
    <cellStyle name="Normal 4 2 3 12 2" xfId="20215" xr:uid="{5B5515BB-C269-49F4-B6E4-B5A0733E303D}"/>
    <cellStyle name="Normal 4 2 3 13" xfId="24783" xr:uid="{A50685D2-0C11-46DF-A4A3-25F902E1626C}"/>
    <cellStyle name="Normal 4 2 3 14" xfId="12410" xr:uid="{B9A8D04E-3872-4C08-963B-4B8410F1CD3C}"/>
    <cellStyle name="Normal 4 2 3 2" xfId="947" xr:uid="{00000000-0005-0000-0000-000065050000}"/>
    <cellStyle name="Normal 4 2 3 2 10" xfId="7003" xr:uid="{F478E16C-4463-449F-9221-67C12BABAE90}"/>
    <cellStyle name="Normal 4 2 3 2 10 2" xfId="17383" xr:uid="{C78D9F6F-5C52-48CF-B7AA-8014ADBBEB0A}"/>
    <cellStyle name="Normal 4 2 3 2 11" xfId="9836" xr:uid="{E70F5F20-0996-46D8-B0A2-42AC2D61A96F}"/>
    <cellStyle name="Normal 4 2 3 2 11 2" xfId="20216" xr:uid="{2C568235-566C-418C-BCE9-C55DC896AC01}"/>
    <cellStyle name="Normal 4 2 3 2 12" xfId="25210" xr:uid="{50186835-642E-4C8F-BE3D-DA803AC18C20}"/>
    <cellStyle name="Normal 4 2 3 2 13" xfId="12470" xr:uid="{2BC600A7-7EE7-4979-8C49-A434A72939B8}"/>
    <cellStyle name="Normal 4 2 3 2 2" xfId="948" xr:uid="{00000000-0005-0000-0000-000066050000}"/>
    <cellStyle name="Normal 4 2 3 2 2 10" xfId="9837" xr:uid="{01B031BC-6941-4B26-920C-332DEB14A125}"/>
    <cellStyle name="Normal 4 2 3 2 2 10 2" xfId="20217" xr:uid="{2C21B5A5-C225-4DEB-AA3B-DADBCFFE6C9F}"/>
    <cellStyle name="Normal 4 2 3 2 2 11" xfId="23490" xr:uid="{29759637-3DD4-4B69-9EB4-0B6F77170251}"/>
    <cellStyle name="Normal 4 2 3 2 2 12" xfId="12592" xr:uid="{882EF21D-6320-4356-B7D3-F83F9DD7C4F1}"/>
    <cellStyle name="Normal 4 2 3 2 2 2" xfId="2773" xr:uid="{00000000-0005-0000-0000-0000AA050000}"/>
    <cellStyle name="Normal 4 2 3 2 2 2 2" xfId="3301" xr:uid="{00000000-0005-0000-0000-0000AB050000}"/>
    <cellStyle name="Normal 4 2 3 2 2 2 2 2" xfId="6359" xr:uid="{89C8923C-17D9-4D31-A862-C14CE5CDE0D1}"/>
    <cellStyle name="Normal 4 2 3 2 2 2 2 2 2" xfId="27087" xr:uid="{9413C2A7-B792-46C6-B470-36EAB6526A64}"/>
    <cellStyle name="Normal 4 2 3 2 2 2 2 2 3" xfId="27368" xr:uid="{8D83968A-3E50-434B-8AD6-D9FDCBC984C3}"/>
    <cellStyle name="Normal 4 2 3 2 2 2 2 2 4" xfId="15928" xr:uid="{C58D3C4E-58B5-4615-BF7F-AB772A204B50}"/>
    <cellStyle name="Normal 4 2 3 2 2 2 2 3" xfId="8381" xr:uid="{E7C5AB54-797F-4A79-9674-94828B119DB3}"/>
    <cellStyle name="Normal 4 2 3 2 2 2 2 3 2" xfId="28902" xr:uid="{6831838B-07E0-47FC-8E04-3542DE05B01C}"/>
    <cellStyle name="Normal 4 2 3 2 2 2 2 3 3" xfId="18761" xr:uid="{CF0DDA58-F101-49AE-B8A9-46CB315448F3}"/>
    <cellStyle name="Normal 4 2 3 2 2 2 2 4" xfId="11214" xr:uid="{68A94025-047D-46F7-A5BA-D75DB98B96E7}"/>
    <cellStyle name="Normal 4 2 3 2 2 2 2 4 2" xfId="21594" xr:uid="{2C15B6F5-4265-4456-9222-C45B17C039E0}"/>
    <cellStyle name="Normal 4 2 3 2 2 2 2 5" xfId="24684" xr:uid="{C5E5FD7D-6ABB-4102-91D2-EC65BB6FFFD7}"/>
    <cellStyle name="Normal 4 2 3 2 2 2 2 6" xfId="13857" xr:uid="{5C226E65-CF46-4114-8E35-A29BF53894EB}"/>
    <cellStyle name="Normal 4 2 3 2 2 2 3" xfId="4329" xr:uid="{27964B00-F2D5-4596-8451-9BDBD56C8BA5}"/>
    <cellStyle name="Normal 4 2 3 2 2 2 3 2" xfId="9101" xr:uid="{331C5B4E-823D-40A5-9607-5D646183B846}"/>
    <cellStyle name="Normal 4 2 3 2 2 2 3 2 2" xfId="29144" xr:uid="{8B4C61EA-15E4-415C-B554-8D03E2FA2398}"/>
    <cellStyle name="Normal 4 2 3 2 2 2 3 2 3" xfId="19481" xr:uid="{A90DAA79-9986-42C1-AF04-803FAF98A659}"/>
    <cellStyle name="Normal 4 2 3 2 2 2 3 3" xfId="11934" xr:uid="{6AB7CE6B-BE9F-4E5F-9313-B4981AD8D99C}"/>
    <cellStyle name="Normal 4 2 3 2 2 2 3 3 2" xfId="22314" xr:uid="{2D89B00A-FC2B-4D78-9F4A-7403D079C90C}"/>
    <cellStyle name="Normal 4 2 3 2 2 2 3 4" xfId="24018" xr:uid="{0E925F37-F8D0-4034-9A48-975C7D9B5AC4}"/>
    <cellStyle name="Normal 4 2 3 2 2 2 3 5" xfId="16648" xr:uid="{6741DDB6-C341-459C-97DE-702DF4E29657}"/>
    <cellStyle name="Normal 4 2 3 2 2 2 4" xfId="5991" xr:uid="{2C18F543-E27B-44AB-AA06-5A23FBB080E9}"/>
    <cellStyle name="Normal 4 2 3 2 2 2 4 2" xfId="26945" xr:uid="{C72013DD-CCEE-42D1-B77D-D0BB95452F1E}"/>
    <cellStyle name="Normal 4 2 3 2 2 2 4 3" xfId="15444" xr:uid="{0172374D-8479-418D-A352-D52BDF8306D6}"/>
    <cellStyle name="Normal 4 2 3 2 2 2 5" xfId="7897" xr:uid="{BD4BBE6C-17C2-4BAD-9B37-8819241E2577}"/>
    <cellStyle name="Normal 4 2 3 2 2 2 5 2" xfId="18277" xr:uid="{C8293643-2729-45A0-BD7A-83B397918AA0}"/>
    <cellStyle name="Normal 4 2 3 2 2 2 6" xfId="10730" xr:uid="{D6A86BD5-84AE-4B43-BFB3-076C681E8B27}"/>
    <cellStyle name="Normal 4 2 3 2 2 2 6 2" xfId="21110" xr:uid="{75728E5D-5DA3-4043-B9D4-F03ABC5DC432}"/>
    <cellStyle name="Normal 4 2 3 2 2 2 7" xfId="25032" xr:uid="{4321F765-EAF6-481E-A724-328A23CA2969}"/>
    <cellStyle name="Normal 4 2 3 2 2 2 8" xfId="13226" xr:uid="{7904ED2D-EE61-4575-9F4B-C331B77A69FA}"/>
    <cellStyle name="Normal 4 2 3 2 2 3" xfId="3302" xr:uid="{00000000-0005-0000-0000-0000AC050000}"/>
    <cellStyle name="Normal 4 2 3 2 2 3 2" xfId="4515" xr:uid="{6D50011B-C532-44D6-B43D-E87F903FA790}"/>
    <cellStyle name="Normal 4 2 3 2 2 3 2 2" xfId="9287" xr:uid="{8D03004E-54FE-42EA-BBF9-DAC429B21F80}"/>
    <cellStyle name="Normal 4 2 3 2 2 3 2 2 2" xfId="29268" xr:uid="{C3570ED0-8F16-4676-A172-7EB71B59F115}"/>
    <cellStyle name="Normal 4 2 3 2 2 3 2 2 3" xfId="19667" xr:uid="{C83973C4-CA0B-4189-BF9C-4B2DF2D97896}"/>
    <cellStyle name="Normal 4 2 3 2 2 3 2 3" xfId="12120" xr:uid="{B45241BD-47E5-41DD-8F19-D2A2C33AA965}"/>
    <cellStyle name="Normal 4 2 3 2 2 3 2 3 2" xfId="22500" xr:uid="{00B22D51-F239-41D7-93A6-EDFBDBCA48CE}"/>
    <cellStyle name="Normal 4 2 3 2 2 3 2 4" xfId="27016" xr:uid="{ACAC9304-7BC3-4B7A-B5D3-8DDDC874B00D}"/>
    <cellStyle name="Normal 4 2 3 2 2 3 2 5" xfId="16834" xr:uid="{0A25D8D4-2ACB-40B7-9679-7ADBBFEE6610}"/>
    <cellStyle name="Normal 4 2 3 2 2 3 3" xfId="6360" xr:uid="{31E8356A-95F4-4A6F-8EA7-687AD58AFD19}"/>
    <cellStyle name="Normal 4 2 3 2 2 3 3 2" xfId="28321" xr:uid="{636BBC61-C6A5-426B-9BD5-D5F6145FE51D}"/>
    <cellStyle name="Normal 4 2 3 2 2 3 3 3" xfId="15929" xr:uid="{C1A5858E-96D1-4ADF-AFED-1104CA10BD0D}"/>
    <cellStyle name="Normal 4 2 3 2 2 3 4" xfId="8382" xr:uid="{F588F986-11CF-4770-8E5C-3AAFFD6146FC}"/>
    <cellStyle name="Normal 4 2 3 2 2 3 4 2" xfId="18762" xr:uid="{877D9809-B8DD-4D96-BDBB-73B4F76E6343}"/>
    <cellStyle name="Normal 4 2 3 2 2 3 5" xfId="11215" xr:uid="{6C284A0A-0DC0-41B9-AFD7-BB3873B1608C}"/>
    <cellStyle name="Normal 4 2 3 2 2 3 5 2" xfId="21595" xr:uid="{1EB8083D-F766-404A-9589-599184D0F8A6}"/>
    <cellStyle name="Normal 4 2 3 2 2 3 6" xfId="22989" xr:uid="{ABF29836-2AA1-48B7-A366-FE398257733C}"/>
    <cellStyle name="Normal 4 2 3 2 2 3 7" xfId="13858" xr:uid="{37BD2BD6-6E1C-4EA9-821F-99B055D3BA2A}"/>
    <cellStyle name="Normal 4 2 3 2 2 4" xfId="3300" xr:uid="{00000000-0005-0000-0000-0000AD050000}"/>
    <cellStyle name="Normal 4 2 3 2 2 4 2" xfId="6358" xr:uid="{C1E464F8-AD39-4D30-9CFC-7E54408ACAD2}"/>
    <cellStyle name="Normal 4 2 3 2 2 4 2 2" xfId="28148" xr:uid="{895B60BC-4B23-490E-8F89-B62CD9351C4B}"/>
    <cellStyle name="Normal 4 2 3 2 2 4 2 3" xfId="15927" xr:uid="{C3F78B7A-B76F-42F1-A0C8-740D407FEDCB}"/>
    <cellStyle name="Normal 4 2 3 2 2 4 3" xfId="8380" xr:uid="{6FA2E360-57D4-424A-A42E-97DB80382D28}"/>
    <cellStyle name="Normal 4 2 3 2 2 4 3 2" xfId="18760" xr:uid="{8E534455-B4D4-4109-80B2-D739C51C212E}"/>
    <cellStyle name="Normal 4 2 3 2 2 4 4" xfId="11213" xr:uid="{30F27D84-F851-40B0-9D8D-BA613509A3E2}"/>
    <cellStyle name="Normal 4 2 3 2 2 4 4 2" xfId="21593" xr:uid="{6FD68503-E85E-4487-AB1B-B7DF3D8B2CA8}"/>
    <cellStyle name="Normal 4 2 3 2 2 4 5" xfId="24494" xr:uid="{9398B8F6-1C04-4B30-BFD4-86091FC23EB6}"/>
    <cellStyle name="Normal 4 2 3 2 2 4 6" xfId="13856" xr:uid="{AFA105AB-BB52-4C3D-BD2F-99B293002E2D}"/>
    <cellStyle name="Normal 4 2 3 2 2 5" xfId="2646" xr:uid="{00000000-0005-0000-0000-0000AE050000}"/>
    <cellStyle name="Normal 4 2 3 2 2 5 2" xfId="5908" xr:uid="{A3FC01D2-D45A-456E-9AC5-41FF7184AB71}"/>
    <cellStyle name="Normal 4 2 3 2 2 5 2 2" xfId="28291" xr:uid="{168AFBF8-E05A-463D-9143-C9F6C7EEC90D}"/>
    <cellStyle name="Normal 4 2 3 2 2 5 2 3" xfId="15318" xr:uid="{7017F6D0-2B0F-410C-AF05-2E7D82D05083}"/>
    <cellStyle name="Normal 4 2 3 2 2 5 3" xfId="7771" xr:uid="{EC396275-686B-4429-B869-F947FD668551}"/>
    <cellStyle name="Normal 4 2 3 2 2 5 3 2" xfId="18151" xr:uid="{5805ACAA-2B3B-4747-8109-FA18F1B78B4F}"/>
    <cellStyle name="Normal 4 2 3 2 2 5 4" xfId="10604" xr:uid="{5520C602-4FB1-4F6C-980B-28E47F4C9F0D}"/>
    <cellStyle name="Normal 4 2 3 2 2 5 4 2" xfId="20984" xr:uid="{64D02580-9128-44F4-8D2A-A1D7F5788E88}"/>
    <cellStyle name="Normal 4 2 3 2 2 5 5" xfId="24694" xr:uid="{E8B465D9-82D9-4919-811F-327B99579B46}"/>
    <cellStyle name="Normal 4 2 3 2 2 5 6" xfId="13035" xr:uid="{AA6CA743-EE39-466F-B850-6BC8A8B217C6}"/>
    <cellStyle name="Normal 4 2 3 2 2 6" xfId="2358" xr:uid="{00000000-0005-0000-0000-0000A9050000}"/>
    <cellStyle name="Normal 4 2 3 2 2 6 2" xfId="7485" xr:uid="{140F805A-541E-43C4-951D-18A360B72EC2}"/>
    <cellStyle name="Normal 4 2 3 2 2 6 2 2" xfId="17865" xr:uid="{6B0A4DE7-4013-4690-A577-A913A2F03A51}"/>
    <cellStyle name="Normal 4 2 3 2 2 6 3" xfId="10318" xr:uid="{1A9B45D9-F693-4EDD-A7FC-60EABD2FDB3F}"/>
    <cellStyle name="Normal 4 2 3 2 2 6 3 2" xfId="20698" xr:uid="{B208B857-17A3-4C04-A607-D312BE9DF30A}"/>
    <cellStyle name="Normal 4 2 3 2 2 6 4" xfId="24044" xr:uid="{24AB5370-DA9D-4625-959B-D5A0319939BC}"/>
    <cellStyle name="Normal 4 2 3 2 2 6 5" xfId="15032" xr:uid="{E66AFB57-8F73-4358-A693-4779C3AE1A89}"/>
    <cellStyle name="Normal 4 2 3 2 2 7" xfId="3895" xr:uid="{201BE687-BFB5-471C-A6BF-20D48642CE65}"/>
    <cellStyle name="Normal 4 2 3 2 2 7 2" xfId="8727" xr:uid="{6B7A5A98-A6EE-4599-91CD-E248789F73D3}"/>
    <cellStyle name="Normal 4 2 3 2 2 7 2 2" xfId="19107" xr:uid="{28446D4C-D83B-4EF5-99AE-7D201A018481}"/>
    <cellStyle name="Normal 4 2 3 2 2 7 3" xfId="11560" xr:uid="{5E360618-2024-470E-8639-5E6E01524EF8}"/>
    <cellStyle name="Normal 4 2 3 2 2 7 3 2" xfId="21940" xr:uid="{38436333-B084-437E-89B5-61DA0343ED2B}"/>
    <cellStyle name="Normal 4 2 3 2 2 7 4" xfId="16274" xr:uid="{E4A4DB8E-6B8E-494C-B7EE-57E61DD45AFC}"/>
    <cellStyle name="Normal 4 2 3 2 2 8" xfId="5253" xr:uid="{A0D37A58-A5CE-4436-A5BA-AA581978EEF0}"/>
    <cellStyle name="Normal 4 2 3 2 2 8 2" xfId="14551" xr:uid="{E92DD833-C60D-4522-B768-1B23C313C5C1}"/>
    <cellStyle name="Normal 4 2 3 2 2 9" xfId="7004" xr:uid="{A1A12B1C-79E2-4292-A8DF-9E447994414D}"/>
    <cellStyle name="Normal 4 2 3 2 2 9 2" xfId="17384" xr:uid="{08055018-930A-4323-A1B6-7CA228461C3D}"/>
    <cellStyle name="Normal 4 2 3 2 3" xfId="949" xr:uid="{00000000-0005-0000-0000-000067050000}"/>
    <cellStyle name="Normal 4 2 3 2 3 2" xfId="3303" xr:uid="{00000000-0005-0000-0000-0000B0050000}"/>
    <cellStyle name="Normal 4 2 3 2 3 2 2" xfId="6361" xr:uid="{1DC87285-0E28-413E-8C88-23F2F54535AE}"/>
    <cellStyle name="Normal 4 2 3 2 3 2 2 2" xfId="28334" xr:uid="{F131C03A-78F1-4AA3-803E-095AC8C2BCE5}"/>
    <cellStyle name="Normal 4 2 3 2 3 2 2 3" xfId="28340" xr:uid="{F15967C9-914A-40B1-AE8D-3A04A5D89435}"/>
    <cellStyle name="Normal 4 2 3 2 3 2 2 4" xfId="15930" xr:uid="{A0E735FF-EF44-431E-8F4A-5BEA4BBE314F}"/>
    <cellStyle name="Normal 4 2 3 2 3 2 3" xfId="8383" xr:uid="{0D16436B-43B1-4701-AE20-562C8D2723FA}"/>
    <cellStyle name="Normal 4 2 3 2 3 2 3 2" xfId="28903" xr:uid="{DC4F5CF2-0BCB-475F-8754-C18E7002E24E}"/>
    <cellStyle name="Normal 4 2 3 2 3 2 3 3" xfId="18763" xr:uid="{EB8A1894-2ECB-4438-B172-0D5CC3623BCE}"/>
    <cellStyle name="Normal 4 2 3 2 3 2 4" xfId="11216" xr:uid="{8AA50733-FEA7-44DA-A0D2-249F1802EE85}"/>
    <cellStyle name="Normal 4 2 3 2 3 2 4 2" xfId="21596" xr:uid="{AD49165A-94CF-4684-A9E8-62561DFC9419}"/>
    <cellStyle name="Normal 4 2 3 2 3 2 5" xfId="22870" xr:uid="{002A3DE3-8149-4791-9736-8E2B5599730A}"/>
    <cellStyle name="Normal 4 2 3 2 3 2 6" xfId="13859" xr:uid="{58D514D3-D6F4-41FF-B495-C30AA68E8D35}"/>
    <cellStyle name="Normal 4 2 3 2 3 3" xfId="2772" xr:uid="{00000000-0005-0000-0000-0000B1050000}"/>
    <cellStyle name="Normal 4 2 3 2 3 3 2" xfId="5990" xr:uid="{8EDC80F3-BB18-4116-839C-24DC107942DB}"/>
    <cellStyle name="Normal 4 2 3 2 3 3 2 2" xfId="26261" xr:uid="{867E8E3F-0666-4250-8DB7-7B567C4BCF8A}"/>
    <cellStyle name="Normal 4 2 3 2 3 3 2 3" xfId="15443" xr:uid="{51B34A18-73E8-4CC0-8B49-CCB35097E2D7}"/>
    <cellStyle name="Normal 4 2 3 2 3 3 3" xfId="7896" xr:uid="{56C41649-7049-4178-8B09-EA4F8628B3FF}"/>
    <cellStyle name="Normal 4 2 3 2 3 3 3 2" xfId="18276" xr:uid="{73B3F451-57B1-4100-BC37-6E7BF8770B14}"/>
    <cellStyle name="Normal 4 2 3 2 3 3 4" xfId="10729" xr:uid="{9E0578E9-AC8C-442E-8BBD-318D8230F97F}"/>
    <cellStyle name="Normal 4 2 3 2 3 3 4 2" xfId="21109" xr:uid="{A455727F-EC3B-477D-AA65-D9F9B6D3A6D7}"/>
    <cellStyle name="Normal 4 2 3 2 3 3 5" xfId="23976" xr:uid="{71D7DFB1-FD17-45FC-9DAF-7EEBC8A1FDF0}"/>
    <cellStyle name="Normal 4 2 3 2 3 3 6" xfId="13225" xr:uid="{0125291F-2C52-47D9-B6FF-93F5D4843EBA}"/>
    <cellStyle name="Normal 4 2 3 2 3 4" xfId="4186" xr:uid="{1DEFBAE0-A0A3-432C-A9F0-42580848E4E3}"/>
    <cellStyle name="Normal 4 2 3 2 3 4 2" xfId="8958" xr:uid="{2CE25E94-B24F-47E3-B36F-915FC78AF815}"/>
    <cellStyle name="Normal 4 2 3 2 3 4 2 2" xfId="29046" xr:uid="{56B3A386-38B6-4496-A9F5-076351356B47}"/>
    <cellStyle name="Normal 4 2 3 2 3 4 2 3" xfId="19338" xr:uid="{52C3D09E-D789-46D0-AF42-8DADEA265E27}"/>
    <cellStyle name="Normal 4 2 3 2 3 4 3" xfId="11791" xr:uid="{E4AA35A6-6AA7-4362-9E90-6C2936F3F133}"/>
    <cellStyle name="Normal 4 2 3 2 3 4 3 2" xfId="22171" xr:uid="{EF60385F-7448-4608-871D-B3FFAF694B51}"/>
    <cellStyle name="Normal 4 2 3 2 3 4 4" xfId="24949" xr:uid="{A4C522DF-B142-4EDE-8BF4-D44C81DAD4B8}"/>
    <cellStyle name="Normal 4 2 3 2 3 4 5" xfId="16505" xr:uid="{66085C31-CC84-4EB7-AB8A-120650E692A0}"/>
    <cellStyle name="Normal 4 2 3 2 3 5" xfId="5254" xr:uid="{9CEF59E5-F63B-43F6-8764-B25EF6C72324}"/>
    <cellStyle name="Normal 4 2 3 2 3 5 2" xfId="26862" xr:uid="{D0D7369A-B1F8-49C2-BF13-4CE12D00315A}"/>
    <cellStyle name="Normal 4 2 3 2 3 5 3" xfId="14552" xr:uid="{407CB54E-EC64-446F-8A2E-79F52CB746A4}"/>
    <cellStyle name="Normal 4 2 3 2 3 6" xfId="7005" xr:uid="{D036AE8A-60CC-4471-B10D-D2D5F097C2E2}"/>
    <cellStyle name="Normal 4 2 3 2 3 6 2" xfId="17385" xr:uid="{312546B7-C2EE-4F4D-9E26-9827A40EDFC1}"/>
    <cellStyle name="Normal 4 2 3 2 3 7" xfId="9838" xr:uid="{9E5AA68B-6EF3-4A19-B637-4A7F39B6DD8A}"/>
    <cellStyle name="Normal 4 2 3 2 3 7 2" xfId="20218" xr:uid="{BF15622C-D1C2-4A1D-913D-74CA0331F1F5}"/>
    <cellStyle name="Normal 4 2 3 2 3 8" xfId="25281" xr:uid="{D1F3FED7-DA20-4543-9147-972C7FD1A832}"/>
    <cellStyle name="Normal 4 2 3 2 3 9" xfId="12750" xr:uid="{A7A86424-DB42-45CE-9B3C-4830D0D72C9E}"/>
    <cellStyle name="Normal 4 2 3 2 4" xfId="3304" xr:uid="{00000000-0005-0000-0000-0000B2050000}"/>
    <cellStyle name="Normal 4 2 3 2 4 2" xfId="4516" xr:uid="{CC245521-A2AC-4403-9DBB-2B958F5DD097}"/>
    <cellStyle name="Normal 4 2 3 2 4 2 2" xfId="9288" xr:uid="{08FDC34A-6A5C-4A47-8F82-5B4324C8952A}"/>
    <cellStyle name="Normal 4 2 3 2 4 2 2 2" xfId="29269" xr:uid="{F55B0AE7-0F44-4986-B904-EB5A6313EDFA}"/>
    <cellStyle name="Normal 4 2 3 2 4 2 2 3" xfId="19668" xr:uid="{D7C76DF2-C637-432C-A52F-A79C20205DCE}"/>
    <cellStyle name="Normal 4 2 3 2 4 2 3" xfId="12121" xr:uid="{C904939E-AA7A-4366-B7AE-0EC5A39F67DE}"/>
    <cellStyle name="Normal 4 2 3 2 4 2 3 2" xfId="22501" xr:uid="{E01C7A6A-D51A-41E0-9D6A-16388F585402}"/>
    <cellStyle name="Normal 4 2 3 2 4 2 4" xfId="23346" xr:uid="{8BD4559B-4551-4936-92B9-C1B49A254CE3}"/>
    <cellStyle name="Normal 4 2 3 2 4 2 5" xfId="16835" xr:uid="{A66A5541-0154-492A-A1DF-3DEB613431E2}"/>
    <cellStyle name="Normal 4 2 3 2 4 3" xfId="6362" xr:uid="{EFA12493-F5FD-40B4-922B-403F198A4304}"/>
    <cellStyle name="Normal 4 2 3 2 4 3 2" xfId="26371" xr:uid="{6821BBD7-193D-49E1-A55A-C90B2C39E0B1}"/>
    <cellStyle name="Normal 4 2 3 2 4 3 3" xfId="15931" xr:uid="{1225C357-DC62-4259-90D6-E17258668A84}"/>
    <cellStyle name="Normal 4 2 3 2 4 4" xfId="8384" xr:uid="{C8CC2FE3-0278-4EBA-A280-6ECBA6B8B0A2}"/>
    <cellStyle name="Normal 4 2 3 2 4 4 2" xfId="18764" xr:uid="{B3567CBE-B310-4F26-A778-B9771B386D27}"/>
    <cellStyle name="Normal 4 2 3 2 4 5" xfId="11217" xr:uid="{1BB41705-20E0-409C-BD64-ABB46268D385}"/>
    <cellStyle name="Normal 4 2 3 2 4 5 2" xfId="21597" xr:uid="{BDFBD6A6-3646-4816-935F-631C49FCFD95}"/>
    <cellStyle name="Normal 4 2 3 2 4 6" xfId="24826" xr:uid="{AE3AA3E4-9541-4B09-9F86-C5D934D3E664}"/>
    <cellStyle name="Normal 4 2 3 2 4 7" xfId="13860" xr:uid="{72206FC7-0B96-4509-889B-0E5EF82238B5}"/>
    <cellStyle name="Normal 4 2 3 2 5" xfId="2932" xr:uid="{00000000-0005-0000-0000-0000B3050000}"/>
    <cellStyle name="Normal 4 2 3 2 5 2" xfId="6112" xr:uid="{EF13CB29-EC77-4A1D-88AE-CAE52F2FC3B3}"/>
    <cellStyle name="Normal 4 2 3 2 5 2 2" xfId="28661" xr:uid="{7FDDA227-0F7C-4717-8083-31E3C4B59D6B}"/>
    <cellStyle name="Normal 4 2 3 2 5 2 3" xfId="27366" xr:uid="{F83B9E79-4EF2-4F17-8A88-6CB3A0D6F5C5}"/>
    <cellStyle name="Normal 4 2 3 2 5 2 4" xfId="15590" xr:uid="{53CFB214-7340-4827-9A6F-BDE0BF13CBB9}"/>
    <cellStyle name="Normal 4 2 3 2 5 3" xfId="8043" xr:uid="{347405AE-F7E2-4DD0-BA1B-F9A73032B4C7}"/>
    <cellStyle name="Normal 4 2 3 2 5 3 2" xfId="28306" xr:uid="{75F39DE5-DF17-4FE6-AF6E-915A60CB5CC9}"/>
    <cellStyle name="Normal 4 2 3 2 5 3 3" xfId="18423" xr:uid="{1FFD5126-76AE-472E-A6C8-2CD846D10A2E}"/>
    <cellStyle name="Normal 4 2 3 2 5 4" xfId="10876" xr:uid="{A21240A8-3425-459D-AF7A-C9D596F96081}"/>
    <cellStyle name="Normal 4 2 3 2 5 4 2" xfId="21256" xr:uid="{0B0B6316-5ECB-4927-A0F0-F4C72259B9D7}"/>
    <cellStyle name="Normal 4 2 3 2 5 5" xfId="24258" xr:uid="{B62637BC-DF2E-4927-89BE-19F4E21E80B3}"/>
    <cellStyle name="Normal 4 2 3 2 5 6" xfId="13448" xr:uid="{00C74991-E7D3-4282-85AC-90BD2FEBBDC3}"/>
    <cellStyle name="Normal 4 2 3 2 6" xfId="2544" xr:uid="{00000000-0005-0000-0000-0000B4050000}"/>
    <cellStyle name="Normal 4 2 3 2 6 2" xfId="5816" xr:uid="{293E0C98-CA98-4DC3-95C7-2B18B15748A0}"/>
    <cellStyle name="Normal 4 2 3 2 6 2 2" xfId="26774" xr:uid="{9A034F82-9F94-4ECB-859C-CEA7A0663522}"/>
    <cellStyle name="Normal 4 2 3 2 6 2 3" xfId="15216" xr:uid="{8760C568-CBB1-4F6B-93C2-E327735E125D}"/>
    <cellStyle name="Normal 4 2 3 2 6 3" xfId="7669" xr:uid="{ECD6D6BF-7F36-4DC7-9056-51D43448CFF4}"/>
    <cellStyle name="Normal 4 2 3 2 6 3 2" xfId="18049" xr:uid="{EDC4F534-B97F-4705-BBC8-F6DFD30BAFE9}"/>
    <cellStyle name="Normal 4 2 3 2 6 4" xfId="10502" xr:uid="{B8CB40EC-3BE5-425D-B580-8F666E98AC96}"/>
    <cellStyle name="Normal 4 2 3 2 6 4 2" xfId="20882" xr:uid="{FE33DD13-8CD9-453C-9183-1343E8CB61AB}"/>
    <cellStyle name="Normal 4 2 3 2 6 5" xfId="22678" xr:uid="{EB2771FF-83DB-4BE8-A70D-8195FE8EBA09}"/>
    <cellStyle name="Normal 4 2 3 2 6 6" xfId="12932" xr:uid="{D8998256-A5DA-4B45-ADDC-1254E901F31A}"/>
    <cellStyle name="Normal 4 2 3 2 7" xfId="2238" xr:uid="{00000000-0005-0000-0000-0000A8050000}"/>
    <cellStyle name="Normal 4 2 3 2 7 2" xfId="7365" xr:uid="{8972484A-F219-462A-B65C-E92E4BCE5B24}"/>
    <cellStyle name="Normal 4 2 3 2 7 2 2" xfId="17745" xr:uid="{5400C91C-C59A-4A59-BFAE-AD35B9953A4B}"/>
    <cellStyle name="Normal 4 2 3 2 7 3" xfId="10198" xr:uid="{1834C5A4-DF54-4ACD-B293-AA63E8F7B8A8}"/>
    <cellStyle name="Normal 4 2 3 2 7 3 2" xfId="20578" xr:uid="{4EFD0C23-D13F-4498-9E25-5DFA90E608A0}"/>
    <cellStyle name="Normal 4 2 3 2 7 4" xfId="25079" xr:uid="{2AC24674-5A1C-4C89-9E80-72D1B23C7B66}"/>
    <cellStyle name="Normal 4 2 3 2 7 5" xfId="14912" xr:uid="{D54D9855-96DB-4DFE-9369-CBFBE4A30470}"/>
    <cellStyle name="Normal 4 2 3 2 8" xfId="3979" xr:uid="{46C4FFC8-6B57-4E1D-9AB5-47E04C856F6C}"/>
    <cellStyle name="Normal 4 2 3 2 8 2" xfId="8803" xr:uid="{4249F5BD-5F3F-4FD7-9E7A-C74EFE76F35D}"/>
    <cellStyle name="Normal 4 2 3 2 8 2 2" xfId="19183" xr:uid="{BAF09C08-6348-4832-B716-BB9E0DEEF79D}"/>
    <cellStyle name="Normal 4 2 3 2 8 3" xfId="11636" xr:uid="{CF34461F-5565-4C10-9587-05B8EA19FE1E}"/>
    <cellStyle name="Normal 4 2 3 2 8 3 2" xfId="22016" xr:uid="{20FCD6BC-C0B5-4954-B835-407699632997}"/>
    <cellStyle name="Normal 4 2 3 2 8 4" xfId="16350" xr:uid="{16C5E8BC-4143-47D9-9547-8053EA412692}"/>
    <cellStyle name="Normal 4 2 3 2 9" xfId="5252" xr:uid="{C4DC83C7-5871-4468-8486-F18B902F0D8C}"/>
    <cellStyle name="Normal 4 2 3 2 9 2" xfId="14550" xr:uid="{06E05F03-E05C-4EE0-B763-08078DB2805A}"/>
    <cellStyle name="Normal 4 2 3 3" xfId="950" xr:uid="{00000000-0005-0000-0000-000068050000}"/>
    <cellStyle name="Normal 4 2 3 3 10" xfId="9839" xr:uid="{25EC58C3-493E-406E-9427-BDB78C0B423E}"/>
    <cellStyle name="Normal 4 2 3 3 10 2" xfId="20219" xr:uid="{58AA0474-729E-4792-A811-73D61CB923D0}"/>
    <cellStyle name="Normal 4 2 3 3 11" xfId="24420" xr:uid="{E5DA6052-0696-452F-B06B-5C15C8DF8469}"/>
    <cellStyle name="Normal 4 2 3 3 12" xfId="12591" xr:uid="{3473E772-2AF7-46BA-A18B-3FBEDCDF24EE}"/>
    <cellStyle name="Normal 4 2 3 3 2" xfId="2774" xr:uid="{00000000-0005-0000-0000-0000B6050000}"/>
    <cellStyle name="Normal 4 2 3 3 2 2" xfId="3306" xr:uid="{00000000-0005-0000-0000-0000B7050000}"/>
    <cellStyle name="Normal 4 2 3 3 2 2 2" xfId="6364" xr:uid="{1CD81F59-7311-4C80-8F59-FA3959D45C6D}"/>
    <cellStyle name="Normal 4 2 3 3 2 2 2 2" xfId="26838" xr:uid="{729D81C3-FBFE-4689-A24D-F8590F273366}"/>
    <cellStyle name="Normal 4 2 3 3 2 2 2 3" xfId="26512" xr:uid="{A3A5386B-1A73-44F3-83F4-93626DC275F4}"/>
    <cellStyle name="Normal 4 2 3 3 2 2 2 4" xfId="15933" xr:uid="{00B7F0D6-92A1-4ED3-92F7-88BA358D614F}"/>
    <cellStyle name="Normal 4 2 3 3 2 2 3" xfId="8386" xr:uid="{748B9053-2A21-47A1-984C-38961D1872F4}"/>
    <cellStyle name="Normal 4 2 3 3 2 2 3 2" xfId="28904" xr:uid="{5852EDAE-9229-44E9-9A01-E6402EBC8D99}"/>
    <cellStyle name="Normal 4 2 3 3 2 2 3 3" xfId="18766" xr:uid="{27E3F9E4-1B75-4C4B-AA8D-3A9730581E47}"/>
    <cellStyle name="Normal 4 2 3 3 2 2 4" xfId="11219" xr:uid="{EA7DAFF5-A74A-426B-8108-9FB71F75132A}"/>
    <cellStyle name="Normal 4 2 3 3 2 2 4 2" xfId="21599" xr:uid="{7EDEEF2A-3542-4197-8FD6-9FA4B3BC94A7}"/>
    <cellStyle name="Normal 4 2 3 3 2 2 5" xfId="24426" xr:uid="{621059D3-C646-4807-9D3C-53A7E5B31D1B}"/>
    <cellStyle name="Normal 4 2 3 3 2 2 6" xfId="13862" xr:uid="{CEAF4B72-FBA7-454E-8D40-FD66885426E4}"/>
    <cellStyle name="Normal 4 2 3 3 2 3" xfId="4330" xr:uid="{05CAFDE6-C50A-4589-AD93-6071FC671BE7}"/>
    <cellStyle name="Normal 4 2 3 3 2 3 2" xfId="9102" xr:uid="{53504C1E-5403-49B7-885A-7F774A86E723}"/>
    <cellStyle name="Normal 4 2 3 3 2 3 2 2" xfId="29145" xr:uid="{221F318D-85CC-436E-B3FC-9C23CB56A426}"/>
    <cellStyle name="Normal 4 2 3 3 2 3 2 3" xfId="19482" xr:uid="{7AA7ABA4-CF2E-4DC2-9BFB-C7D2BBBE2E34}"/>
    <cellStyle name="Normal 4 2 3 3 2 3 3" xfId="11935" xr:uid="{855938AF-DA06-4CBF-8344-B869F971499C}"/>
    <cellStyle name="Normal 4 2 3 3 2 3 3 2" xfId="22315" xr:uid="{DCE2DCA2-3880-4FDD-A21B-992878DB8C8C}"/>
    <cellStyle name="Normal 4 2 3 3 2 3 4" xfId="24631" xr:uid="{31BFE68F-5225-47AC-B413-6F9B1FA70CB6}"/>
    <cellStyle name="Normal 4 2 3 3 2 3 5" xfId="16649" xr:uid="{C8E3014B-3479-4810-A4B6-11EFC4FC6373}"/>
    <cellStyle name="Normal 4 2 3 3 2 4" xfId="5992" xr:uid="{4A083A20-F2B9-4B42-9C6C-2B5F9C35C786}"/>
    <cellStyle name="Normal 4 2 3 3 2 4 2" xfId="28530" xr:uid="{6509E96D-230F-4003-8AFF-B9FDDB608DA4}"/>
    <cellStyle name="Normal 4 2 3 3 2 4 3" xfId="15445" xr:uid="{6C00E0FF-7983-403D-ADDB-8492E9A85854}"/>
    <cellStyle name="Normal 4 2 3 3 2 5" xfId="7898" xr:uid="{FA3EA1E6-DF14-446C-8C6A-7F6484382840}"/>
    <cellStyle name="Normal 4 2 3 3 2 5 2" xfId="18278" xr:uid="{C88802F8-DB09-441A-8344-7FFE42018A16}"/>
    <cellStyle name="Normal 4 2 3 3 2 6" xfId="10731" xr:uid="{D226724E-27D9-46CA-8390-7EF0A1056DF1}"/>
    <cellStyle name="Normal 4 2 3 3 2 6 2" xfId="21111" xr:uid="{D4B45722-41BB-4EB2-87B5-9BF3F3D98ADA}"/>
    <cellStyle name="Normal 4 2 3 3 2 7" xfId="23778" xr:uid="{72E4F31F-6C76-4827-B67C-DE9FFF561400}"/>
    <cellStyle name="Normal 4 2 3 3 2 8" xfId="13227" xr:uid="{10621F8B-1202-4589-B35D-FC72626CA259}"/>
    <cellStyle name="Normal 4 2 3 3 3" xfId="3307" xr:uid="{00000000-0005-0000-0000-0000B8050000}"/>
    <cellStyle name="Normal 4 2 3 3 3 2" xfId="4517" xr:uid="{6A4DCA90-A371-4656-9F2C-A2BDC2A6E07E}"/>
    <cellStyle name="Normal 4 2 3 3 3 2 2" xfId="9289" xr:uid="{6696BC9B-BBBD-4529-A2F4-FA8F579DD210}"/>
    <cellStyle name="Normal 4 2 3 3 3 2 2 2" xfId="29270" xr:uid="{E1FBAC63-15C8-410D-A466-36AF06B1ABAB}"/>
    <cellStyle name="Normal 4 2 3 3 3 2 2 3" xfId="19669" xr:uid="{5ED27F23-74DC-4247-875C-17F5FF39ACD8}"/>
    <cellStyle name="Normal 4 2 3 3 3 2 3" xfId="12122" xr:uid="{70A5F0E8-F95E-43FC-A12A-136F0DCD80A2}"/>
    <cellStyle name="Normal 4 2 3 3 3 2 3 2" xfId="22502" xr:uid="{5C352434-C6EA-430B-BB36-DE50FA1E7877}"/>
    <cellStyle name="Normal 4 2 3 3 3 2 4" xfId="25766" xr:uid="{5D5807B8-C6E2-4DDA-8FB4-D0E1EAD322A2}"/>
    <cellStyle name="Normal 4 2 3 3 3 2 5" xfId="16836" xr:uid="{E457555B-79B1-4831-A149-E9AD6EBAD87E}"/>
    <cellStyle name="Normal 4 2 3 3 3 3" xfId="6365" xr:uid="{D742FCCB-FC4F-41F2-BB18-70C256890AC6}"/>
    <cellStyle name="Normal 4 2 3 3 3 3 2" xfId="28739" xr:uid="{FB0F97AE-4E29-46C0-9017-9E207224AAF9}"/>
    <cellStyle name="Normal 4 2 3 3 3 3 3" xfId="15934" xr:uid="{B8B4A67E-5B91-47B3-8FEB-6941B5C87163}"/>
    <cellStyle name="Normal 4 2 3 3 3 4" xfId="8387" xr:uid="{6160E50C-8FB4-4FCC-BCCC-76AAA6C492E0}"/>
    <cellStyle name="Normal 4 2 3 3 3 4 2" xfId="18767" xr:uid="{13F72318-6A94-4295-83EA-AD682ED409AB}"/>
    <cellStyle name="Normal 4 2 3 3 3 5" xfId="11220" xr:uid="{A367C1C9-3790-43E4-8419-1CC1DE1B226C}"/>
    <cellStyle name="Normal 4 2 3 3 3 5 2" xfId="21600" xr:uid="{EAA6C400-7A9E-40E3-A705-620CD434DCBF}"/>
    <cellStyle name="Normal 4 2 3 3 3 6" xfId="22746" xr:uid="{E1F60546-EC14-433B-9FDD-85E285577137}"/>
    <cellStyle name="Normal 4 2 3 3 3 7" xfId="13863" xr:uid="{D936FFB1-B32F-4448-955D-C731B03C3AE5}"/>
    <cellStyle name="Normal 4 2 3 3 4" xfId="3305" xr:uid="{00000000-0005-0000-0000-0000B9050000}"/>
    <cellStyle name="Normal 4 2 3 3 4 2" xfId="6363" xr:uid="{30C827C5-2CB7-4BC0-BFD5-76805C33FFE3}"/>
    <cellStyle name="Normal 4 2 3 3 4 2 2" xfId="26649" xr:uid="{02E9A7EC-19AB-41B7-81E7-5CC820E9A12C}"/>
    <cellStyle name="Normal 4 2 3 3 4 2 3" xfId="15932" xr:uid="{3F283C22-AD3C-4861-B3F9-958A11C50E18}"/>
    <cellStyle name="Normal 4 2 3 3 4 3" xfId="8385" xr:uid="{BA647B05-0B4A-478B-A3C2-83934F5B1711}"/>
    <cellStyle name="Normal 4 2 3 3 4 3 2" xfId="18765" xr:uid="{2DA0F929-F647-4B86-BDA4-3941F920FF48}"/>
    <cellStyle name="Normal 4 2 3 3 4 4" xfId="11218" xr:uid="{314E0CC9-533F-4CE4-90BB-D31C8E9329D9}"/>
    <cellStyle name="Normal 4 2 3 3 4 4 2" xfId="21598" xr:uid="{1EA1C35A-8471-4577-B748-62F55A1B3D00}"/>
    <cellStyle name="Normal 4 2 3 3 4 5" xfId="25458" xr:uid="{73B82462-F451-4208-880C-A1F4B204F064}"/>
    <cellStyle name="Normal 4 2 3 3 4 6" xfId="13861" xr:uid="{E7BD0201-9B39-48E2-9735-4501A70B220C}"/>
    <cellStyle name="Normal 4 2 3 3 5" xfId="2587" xr:uid="{00000000-0005-0000-0000-0000BA050000}"/>
    <cellStyle name="Normal 4 2 3 3 5 2" xfId="5852" xr:uid="{8600F437-F318-40A9-853F-30090BC6E1B0}"/>
    <cellStyle name="Normal 4 2 3 3 5 2 2" xfId="28345" xr:uid="{02921BA6-4E50-482B-9BD4-81F5B53598B8}"/>
    <cellStyle name="Normal 4 2 3 3 5 2 3" xfId="15259" xr:uid="{18221306-AFAC-4DA7-B87A-9C58515CB900}"/>
    <cellStyle name="Normal 4 2 3 3 5 3" xfId="7712" xr:uid="{5F2B10FC-B0EA-42A9-9A6A-313FFA47B160}"/>
    <cellStyle name="Normal 4 2 3 3 5 3 2" xfId="18092" xr:uid="{88A28A0F-5B43-43B2-8BDD-3EE9879C34E4}"/>
    <cellStyle name="Normal 4 2 3 3 5 4" xfId="10545" xr:uid="{A1424A49-014E-4746-A827-C11BAA5DE421}"/>
    <cellStyle name="Normal 4 2 3 3 5 4 2" xfId="20925" xr:uid="{C4B02CBA-BBA7-446F-9367-3CABF4C2E6A1}"/>
    <cellStyle name="Normal 4 2 3 3 5 5" xfId="25528" xr:uid="{283AA715-620D-45CA-8179-4D82E62BE102}"/>
    <cellStyle name="Normal 4 2 3 3 5 6" xfId="12975" xr:uid="{BA51BFBE-5042-4DFB-8D87-728311F73588}"/>
    <cellStyle name="Normal 4 2 3 3 6" xfId="2357" xr:uid="{00000000-0005-0000-0000-0000B5050000}"/>
    <cellStyle name="Normal 4 2 3 3 6 2" xfId="7484" xr:uid="{CFCE80E9-BE88-44D5-94F3-67D08275F55A}"/>
    <cellStyle name="Normal 4 2 3 3 6 2 2" xfId="17864" xr:uid="{8B93EE89-852A-4CEA-A44F-44CE7F43AFFC}"/>
    <cellStyle name="Normal 4 2 3 3 6 3" xfId="10317" xr:uid="{42D561D3-C464-42ED-B3E6-9BD5E46FBCE1}"/>
    <cellStyle name="Normal 4 2 3 3 6 3 2" xfId="20697" xr:uid="{2F9CC1EE-1342-43F7-A6F0-B696DB089CA9}"/>
    <cellStyle name="Normal 4 2 3 3 6 4" xfId="23179" xr:uid="{CF85037C-BA88-49FF-94D5-224F9ACE17E7}"/>
    <cellStyle name="Normal 4 2 3 3 6 5" xfId="15031" xr:uid="{524619C0-8F27-4B96-ADCA-377414F4603C}"/>
    <cellStyle name="Normal 4 2 3 3 7" xfId="3894" xr:uid="{9FA658B2-0CD2-44BB-93CB-908D10C28D28}"/>
    <cellStyle name="Normal 4 2 3 3 7 2" xfId="8726" xr:uid="{0027EAC9-44D8-40A9-B4C2-10D13AE413C5}"/>
    <cellStyle name="Normal 4 2 3 3 7 2 2" xfId="19106" xr:uid="{B2C7124D-EEFF-4D90-9921-5B7E5FF6CB40}"/>
    <cellStyle name="Normal 4 2 3 3 7 3" xfId="11559" xr:uid="{85C81E62-23DD-4DBB-90AF-911629682FB0}"/>
    <cellStyle name="Normal 4 2 3 3 7 3 2" xfId="21939" xr:uid="{747F3EE8-D18B-4691-AF48-12BF0211BB3A}"/>
    <cellStyle name="Normal 4 2 3 3 7 4" xfId="16273" xr:uid="{B4975713-7DDF-4D95-A163-79EEBF40DD73}"/>
    <cellStyle name="Normal 4 2 3 3 8" xfId="5255" xr:uid="{C825A153-7A6F-448C-BD12-5CD9A2172765}"/>
    <cellStyle name="Normal 4 2 3 3 8 2" xfId="14553" xr:uid="{6FF81324-D179-4090-971F-FA778C240155}"/>
    <cellStyle name="Normal 4 2 3 3 9" xfId="7006" xr:uid="{0F80BCE5-D41C-4C50-9E02-DC90E42D3A42}"/>
    <cellStyle name="Normal 4 2 3 3 9 2" xfId="17386" xr:uid="{9DB66723-671B-4FA2-82E4-F01D3F77FABC}"/>
    <cellStyle name="Normal 4 2 3 4" xfId="951" xr:uid="{00000000-0005-0000-0000-000069050000}"/>
    <cellStyle name="Normal 4 2 3 4 2" xfId="3308" xr:uid="{00000000-0005-0000-0000-0000BC050000}"/>
    <cellStyle name="Normal 4 2 3 4 2 2" xfId="6366" xr:uid="{15885116-FA71-4A90-A75B-3F076EA644CD}"/>
    <cellStyle name="Normal 4 2 3 4 2 2 2" xfId="23393" xr:uid="{66009578-905B-4570-A71A-3FD44C5C0E5C}"/>
    <cellStyle name="Normal 4 2 3 4 2 2 3" xfId="26051" xr:uid="{F3B831F5-176A-4CB0-B3CF-DF8EA10CC7D8}"/>
    <cellStyle name="Normal 4 2 3 4 2 2 4" xfId="15935" xr:uid="{2F9AD8D0-D03E-4CD9-9C68-0AC8D31E95B6}"/>
    <cellStyle name="Normal 4 2 3 4 2 3" xfId="8388" xr:uid="{7764CF8C-0268-4BB4-972C-E444BCA261A8}"/>
    <cellStyle name="Normal 4 2 3 4 2 3 2" xfId="28905" xr:uid="{D36AFA7C-32FB-4232-A06E-892CD04B86A6}"/>
    <cellStyle name="Normal 4 2 3 4 2 3 3" xfId="18768" xr:uid="{8D9D8AA9-35A1-4D8D-88E4-9F8EEDB17C57}"/>
    <cellStyle name="Normal 4 2 3 4 2 4" xfId="11221" xr:uid="{9EFA8B02-449A-49EC-A945-AD1EE6AB5C80}"/>
    <cellStyle name="Normal 4 2 3 4 2 4 2" xfId="21601" xr:uid="{EB21F535-F292-4B26-A798-028930C99D81}"/>
    <cellStyle name="Normal 4 2 3 4 2 5" xfId="23072" xr:uid="{F8FFBBA4-8152-47B0-9D71-FEA29ABDAEAE}"/>
    <cellStyle name="Normal 4 2 3 4 2 6" xfId="13864" xr:uid="{21A75129-1CE7-427E-8DF6-1A9767C2842D}"/>
    <cellStyle name="Normal 4 2 3 4 3" xfId="2771" xr:uid="{00000000-0005-0000-0000-0000BD050000}"/>
    <cellStyle name="Normal 4 2 3 4 3 2" xfId="5989" xr:uid="{E2680F38-B585-4DC0-B2C6-9A27103D3997}"/>
    <cellStyle name="Normal 4 2 3 4 3 2 2" xfId="26824" xr:uid="{18882200-BFC7-42E2-88CF-85BD31EEE036}"/>
    <cellStyle name="Normal 4 2 3 4 3 2 3" xfId="15442" xr:uid="{38C3E382-4FB3-4F4C-B2DB-ED232731AE46}"/>
    <cellStyle name="Normal 4 2 3 4 3 3" xfId="7895" xr:uid="{41E82A28-46F4-449C-BD43-86E81CD4F6E1}"/>
    <cellStyle name="Normal 4 2 3 4 3 3 2" xfId="18275" xr:uid="{781466C1-8E2B-4D70-A405-474B6799E0AE}"/>
    <cellStyle name="Normal 4 2 3 4 3 4" xfId="10728" xr:uid="{FF171E7E-21DD-4186-BFA0-C0FDC4F1D159}"/>
    <cellStyle name="Normal 4 2 3 4 3 4 2" xfId="21108" xr:uid="{A88CFF59-1E1E-4C8D-9D05-B6D999DB226E}"/>
    <cellStyle name="Normal 4 2 3 4 3 5" xfId="22892" xr:uid="{74F1C319-2A39-4A13-BD63-641BD69B3F50}"/>
    <cellStyle name="Normal 4 2 3 4 3 6" xfId="13224" xr:uid="{35154037-21B1-4EFD-9FE0-89D44781CB67}"/>
    <cellStyle name="Normal 4 2 3 4 4" xfId="4185" xr:uid="{677A8D55-C78B-4372-9CCE-17A940B9914E}"/>
    <cellStyle name="Normal 4 2 3 4 4 2" xfId="8957" xr:uid="{7E885884-59BB-4B78-B243-9D257FF8CC04}"/>
    <cellStyle name="Normal 4 2 3 4 4 2 2" xfId="29045" xr:uid="{61A6C1D5-8F16-4CC6-9D49-5014EC7A95B3}"/>
    <cellStyle name="Normal 4 2 3 4 4 2 3" xfId="19337" xr:uid="{406E4F20-38A8-478E-82AB-991C1FDD3868}"/>
    <cellStyle name="Normal 4 2 3 4 4 3" xfId="11790" xr:uid="{DA45C73A-14CB-473A-9D6C-EBAFC3F9EDD8}"/>
    <cellStyle name="Normal 4 2 3 4 4 3 2" xfId="22170" xr:uid="{0D04C51E-441E-4B20-B961-65F8017070B8}"/>
    <cellStyle name="Normal 4 2 3 4 4 4" xfId="24708" xr:uid="{2261FEC8-4A5A-4445-9FE4-C5A480F122B5}"/>
    <cellStyle name="Normal 4 2 3 4 4 5" xfId="16504" xr:uid="{214CB978-CEDA-4045-A914-8AAF6B152B01}"/>
    <cellStyle name="Normal 4 2 3 4 5" xfId="5256" xr:uid="{6B7659AE-173E-427E-80E3-F83930005EB9}"/>
    <cellStyle name="Normal 4 2 3 4 5 2" xfId="26197" xr:uid="{C4CD90A9-9AC9-4AAA-9DD5-66469D0F5C02}"/>
    <cellStyle name="Normal 4 2 3 4 5 3" xfId="14554" xr:uid="{CA229418-26F0-4924-99F4-B7745655967E}"/>
    <cellStyle name="Normal 4 2 3 4 6" xfId="7007" xr:uid="{4A190C7E-CA6F-4FDD-9C9D-9E6AF75E39F4}"/>
    <cellStyle name="Normal 4 2 3 4 6 2" xfId="17387" xr:uid="{8BCECC1B-C486-4F49-AAEA-FE27C8A84A4A}"/>
    <cellStyle name="Normal 4 2 3 4 7" xfId="9840" xr:uid="{6B4666AB-6BD3-45FE-988D-A4432552852B}"/>
    <cellStyle name="Normal 4 2 3 4 7 2" xfId="20220" xr:uid="{2AB87C0F-0D72-46BE-B503-049391DECB0B}"/>
    <cellStyle name="Normal 4 2 3 4 8" xfId="24045" xr:uid="{8496056C-5F7A-4783-BE4F-4D1CDE1E88A8}"/>
    <cellStyle name="Normal 4 2 3 4 9" xfId="12749" xr:uid="{D879B53D-03A7-421F-926A-7C7F27CFB1EB}"/>
    <cellStyle name="Normal 4 2 3 5" xfId="952" xr:uid="{00000000-0005-0000-0000-00006A050000}"/>
    <cellStyle name="Normal 4 2 3 5 2" xfId="4518" xr:uid="{4656EF47-2BD5-4483-8BFA-04B1850E55AE}"/>
    <cellStyle name="Normal 4 2 3 5 2 2" xfId="9290" xr:uid="{2B386E9D-B1B9-4E1D-BA7C-01B1EDFB051A}"/>
    <cellStyle name="Normal 4 2 3 5 2 2 2" xfId="29271" xr:uid="{A7637314-6F51-4FED-819F-042454F4C41F}"/>
    <cellStyle name="Normal 4 2 3 5 2 2 3" xfId="19670" xr:uid="{51701C86-A7D7-4F9C-9536-1B7BA0A22FD5}"/>
    <cellStyle name="Normal 4 2 3 5 2 3" xfId="12123" xr:uid="{573B4A00-59BC-47E7-B6BB-4C2F67C2A1F4}"/>
    <cellStyle name="Normal 4 2 3 5 2 3 2" xfId="22503" xr:uid="{30C8EF28-C1F2-4282-981B-CD5A597746E1}"/>
    <cellStyle name="Normal 4 2 3 5 2 4" xfId="24715" xr:uid="{2A754CB1-007A-4F5B-91B5-EED4802A381E}"/>
    <cellStyle name="Normal 4 2 3 5 2 5" xfId="16837" xr:uid="{4FF1ABBF-2E9E-42E5-8193-FC78B514B1B4}"/>
    <cellStyle name="Normal 4 2 3 5 3" xfId="5257" xr:uid="{0F54D9FF-DC19-49A4-8495-82236AB0606A}"/>
    <cellStyle name="Normal 4 2 3 5 3 2" xfId="27585" xr:uid="{525EDE61-2BC9-4F10-B427-4CE0CD04B50F}"/>
    <cellStyle name="Normal 4 2 3 5 3 3" xfId="14555" xr:uid="{35796630-1041-4014-9D5A-87EB276C3477}"/>
    <cellStyle name="Normal 4 2 3 5 4" xfId="7008" xr:uid="{8CF81234-63BF-40BF-9EA6-1CDFD899DB31}"/>
    <cellStyle name="Normal 4 2 3 5 4 2" xfId="17388" xr:uid="{BA189343-9CA4-4276-9188-1B3B861D1F3B}"/>
    <cellStyle name="Normal 4 2 3 5 5" xfId="9841" xr:uid="{1D591E55-031E-4F44-B24C-F11C9D68E9B2}"/>
    <cellStyle name="Normal 4 2 3 5 5 2" xfId="20221" xr:uid="{8E5CDEBF-5808-4D1C-90FB-14AA86F96FA6}"/>
    <cellStyle name="Normal 4 2 3 5 6" xfId="23040" xr:uid="{E2B3C8B6-91D6-4008-8B66-921D62637234}"/>
    <cellStyle name="Normal 4 2 3 5 7" xfId="13865" xr:uid="{14965001-C387-42B6-836B-8AFE06586FE5}"/>
    <cellStyle name="Normal 4 2 3 6" xfId="2931" xr:uid="{00000000-0005-0000-0000-0000BF050000}"/>
    <cellStyle name="Normal 4 2 3 6 2" xfId="6111" xr:uid="{446165BE-328B-44C8-BC15-FB79F76ED3D9}"/>
    <cellStyle name="Normal 4 2 3 6 2 2" xfId="25665" xr:uid="{83A359C9-2336-419C-AED0-B1E6C7ADE2E8}"/>
    <cellStyle name="Normal 4 2 3 6 2 3" xfId="28261" xr:uid="{B0AD0ECD-F641-4279-B08F-41B1D1038CE9}"/>
    <cellStyle name="Normal 4 2 3 6 2 4" xfId="15589" xr:uid="{0E0ED630-CABF-4DD8-ABA9-CEF30DFEA6BF}"/>
    <cellStyle name="Normal 4 2 3 6 3" xfId="8042" xr:uid="{FDEF862E-B81A-41E9-8BE9-99343B878974}"/>
    <cellStyle name="Normal 4 2 3 6 3 2" xfId="26107" xr:uid="{C978C064-4C7E-4CED-9004-622384883182}"/>
    <cellStyle name="Normal 4 2 3 6 3 3" xfId="18422" xr:uid="{D90FBCF7-0408-4492-8E8B-05AC1B94A270}"/>
    <cellStyle name="Normal 4 2 3 6 4" xfId="10875" xr:uid="{6BC091B2-B780-4BC4-A5AF-BA3A2D12F4F8}"/>
    <cellStyle name="Normal 4 2 3 6 4 2" xfId="21255" xr:uid="{05D21080-D7B8-4B54-9613-D0E1C1F22DD4}"/>
    <cellStyle name="Normal 4 2 3 6 5" xfId="24677" xr:uid="{38FC6B86-80D9-4670-960F-8730C0CFC4C4}"/>
    <cellStyle name="Normal 4 2 3 6 6" xfId="13447" xr:uid="{16A609A2-FE49-43CB-BB3E-F2262B30A475}"/>
    <cellStyle name="Normal 4 2 3 7" xfId="2484" xr:uid="{00000000-0005-0000-0000-0000C0050000}"/>
    <cellStyle name="Normal 4 2 3 7 2" xfId="5770" xr:uid="{F4A12FC9-BED2-42A5-BCFE-7B22AB063CA7}"/>
    <cellStyle name="Normal 4 2 3 7 2 2" xfId="28123" xr:uid="{2E024300-D0E0-41D1-91A3-3749EA92F464}"/>
    <cellStyle name="Normal 4 2 3 7 2 3" xfId="15156" xr:uid="{5FDF95AF-F9CB-4C85-8ED8-1E7BFACCB765}"/>
    <cellStyle name="Normal 4 2 3 7 3" xfId="7609" xr:uid="{F335C29A-EA68-4417-BE03-E7024A1ADE71}"/>
    <cellStyle name="Normal 4 2 3 7 3 2" xfId="17989" xr:uid="{CDE19C8D-7B38-483D-B4BF-2E34F83D91F9}"/>
    <cellStyle name="Normal 4 2 3 7 4" xfId="10442" xr:uid="{C0DFBBA3-8AC1-44DE-941A-9074A9D381B9}"/>
    <cellStyle name="Normal 4 2 3 7 4 2" xfId="20822" xr:uid="{08D247D1-525B-4DBB-9278-847036D3334D}"/>
    <cellStyle name="Normal 4 2 3 7 5" xfId="22676" xr:uid="{E59BC248-21DD-4CA6-8C42-120C4A42E3D2}"/>
    <cellStyle name="Normal 4 2 3 7 6" xfId="12872" xr:uid="{0914C74F-D3F8-4A3C-8F28-E02E0FA47CA2}"/>
    <cellStyle name="Normal 4 2 3 8" xfId="2178" xr:uid="{00000000-0005-0000-0000-0000A7050000}"/>
    <cellStyle name="Normal 4 2 3 8 2" xfId="7305" xr:uid="{EF585BE3-52CF-4A9C-B6EB-C56CD98A4930}"/>
    <cellStyle name="Normal 4 2 3 8 2 2" xfId="17685" xr:uid="{05F10ABB-C7A8-4DAF-B37D-4495F74C9B2E}"/>
    <cellStyle name="Normal 4 2 3 8 3" xfId="10138" xr:uid="{17119CE7-9826-4EB9-A82D-A92672FF273E}"/>
    <cellStyle name="Normal 4 2 3 8 3 2" xfId="20518" xr:uid="{90BBE726-0B56-42FB-963E-A2DB570C4DAC}"/>
    <cellStyle name="Normal 4 2 3 8 4" xfId="24122" xr:uid="{6A19462F-AFFE-4E51-9668-9EDB2B36017B}"/>
    <cellStyle name="Normal 4 2 3 8 5" xfId="14852" xr:uid="{EED6880F-F7E4-4B99-8530-CBEB91354EB0}"/>
    <cellStyle name="Normal 4 2 3 9" xfId="3978" xr:uid="{7818914E-813A-42B3-A95F-7A98C3EB8C89}"/>
    <cellStyle name="Normal 4 2 3 9 2" xfId="8802" xr:uid="{5B3B7504-11EE-438E-99B2-7CC4C7B6A29C}"/>
    <cellStyle name="Normal 4 2 3 9 2 2" xfId="19182" xr:uid="{EB5EC1D6-71C1-4505-B131-A9764C468763}"/>
    <cellStyle name="Normal 4 2 3 9 3" xfId="11635" xr:uid="{0231D9F0-98E3-48FE-A32C-E5F266DB8F08}"/>
    <cellStyle name="Normal 4 2 3 9 3 2" xfId="22015" xr:uid="{02F3A305-D4E3-402F-A954-D00A09EA835A}"/>
    <cellStyle name="Normal 4 2 3 9 4" xfId="16349" xr:uid="{15FFFFCF-8FC4-4468-AC0B-775E7AB98BF2}"/>
    <cellStyle name="Normal 4 2 4" xfId="953" xr:uid="{00000000-0005-0000-0000-00006B050000}"/>
    <cellStyle name="Normal 4 2 4 10" xfId="5258" xr:uid="{92557A2A-6922-415A-915C-DC7EBA6DC24E}"/>
    <cellStyle name="Normal 4 2 4 10 2" xfId="14556" xr:uid="{4DA1E953-C235-4F77-811B-235A94CD7C1C}"/>
    <cellStyle name="Normal 4 2 4 11" xfId="7009" xr:uid="{E287E4C4-88A8-4146-9B3E-DEAB030FA39B}"/>
    <cellStyle name="Normal 4 2 4 11 2" xfId="17389" xr:uid="{5D3E21C3-6CB3-4E3A-9BDF-15A54915CED8}"/>
    <cellStyle name="Normal 4 2 4 12" xfId="9842" xr:uid="{53F88A13-5143-45C1-8FE3-AA389BB93023}"/>
    <cellStyle name="Normal 4 2 4 12 2" xfId="20222" xr:uid="{DFEBD4B4-3DC5-4B4C-AC56-D72D0D9DC9F6}"/>
    <cellStyle name="Normal 4 2 4 13" xfId="25127" xr:uid="{914E5B49-75AF-4E14-8809-E53FB4E312D0}"/>
    <cellStyle name="Normal 4 2 4 14" xfId="12416" xr:uid="{4EC55601-18DD-4A6B-ABFF-18BC1EB06292}"/>
    <cellStyle name="Normal 4 2 4 2" xfId="954" xr:uid="{00000000-0005-0000-0000-00006C050000}"/>
    <cellStyle name="Normal 4 2 4 2 10" xfId="7010" xr:uid="{1B33CC15-95FC-4B88-B900-A5A070CDF8CE}"/>
    <cellStyle name="Normal 4 2 4 2 10 2" xfId="17390" xr:uid="{D9C72AD7-7534-4359-8C9D-EC3093305EF7}"/>
    <cellStyle name="Normal 4 2 4 2 11" xfId="9843" xr:uid="{327F9A4D-7C9F-4596-A209-3C53C77B10F7}"/>
    <cellStyle name="Normal 4 2 4 2 11 2" xfId="20223" xr:uid="{ED97466E-5897-48B5-A257-A8C01C9B7D3D}"/>
    <cellStyle name="Normal 4 2 4 2 12" xfId="25405" xr:uid="{7BE420BF-B3C3-49CC-8877-309657D14EC0}"/>
    <cellStyle name="Normal 4 2 4 2 13" xfId="12476" xr:uid="{9AAAE6D2-BDFE-4D25-A37D-C614586DC883}"/>
    <cellStyle name="Normal 4 2 4 2 2" xfId="955" xr:uid="{00000000-0005-0000-0000-00006D050000}"/>
    <cellStyle name="Normal 4 2 4 2 2 10" xfId="13041" xr:uid="{0518ADBA-EAE1-44C9-BD9C-5C095DBC040B}"/>
    <cellStyle name="Normal 4 2 4 2 2 2" xfId="2777" xr:uid="{00000000-0005-0000-0000-0000C4050000}"/>
    <cellStyle name="Normal 4 2 4 2 2 2 2" xfId="3311" xr:uid="{00000000-0005-0000-0000-0000C5050000}"/>
    <cellStyle name="Normal 4 2 4 2 2 2 2 2" xfId="6369" xr:uid="{F7F46212-965D-443A-BC2B-8EF3D4E7B6E4}"/>
    <cellStyle name="Normal 4 2 4 2 2 2 2 2 2" xfId="28489" xr:uid="{F27A126C-BAC6-4865-B2A7-C59E5C630FC1}"/>
    <cellStyle name="Normal 4 2 4 2 2 2 2 2 3" xfId="15938" xr:uid="{CF796483-6C59-458A-B0D3-CF3607D2D278}"/>
    <cellStyle name="Normal 4 2 4 2 2 2 2 3" xfId="8391" xr:uid="{02B35389-3627-4F92-8F2E-F4E26D2545B4}"/>
    <cellStyle name="Normal 4 2 4 2 2 2 2 3 2" xfId="18771" xr:uid="{72A46A02-D935-4C9F-A630-70B89D1277EA}"/>
    <cellStyle name="Normal 4 2 4 2 2 2 2 4" xfId="11224" xr:uid="{D6261DBD-B929-4065-B8D2-98236B18BA5D}"/>
    <cellStyle name="Normal 4 2 4 2 2 2 2 4 2" xfId="21604" xr:uid="{E0D20DC9-2DD0-47EB-8B99-FA7962417642}"/>
    <cellStyle name="Normal 4 2 4 2 2 2 2 5" xfId="25287" xr:uid="{79B17386-25AF-4533-BB2D-E27F54B6F6C9}"/>
    <cellStyle name="Normal 4 2 4 2 2 2 2 6" xfId="13868" xr:uid="{F35C7E5F-69FA-446D-9166-6E3F72F158FB}"/>
    <cellStyle name="Normal 4 2 4 2 2 2 3" xfId="4332" xr:uid="{962AEA59-F20B-410D-B9C7-AE0EB4985D35}"/>
    <cellStyle name="Normal 4 2 4 2 2 2 3 2" xfId="9104" xr:uid="{D6825B2B-352F-463F-BF6B-9A946D68C952}"/>
    <cellStyle name="Normal 4 2 4 2 2 2 3 2 2" xfId="29147" xr:uid="{748526D6-91CD-4708-BEEB-DF016A2128D5}"/>
    <cellStyle name="Normal 4 2 4 2 2 2 3 2 3" xfId="19484" xr:uid="{32966831-1FDA-4A3F-A819-3B84E1552744}"/>
    <cellStyle name="Normal 4 2 4 2 2 2 3 3" xfId="11937" xr:uid="{4E76D198-2015-488C-8EDD-AECFC07D6198}"/>
    <cellStyle name="Normal 4 2 4 2 2 2 3 3 2" xfId="22317" xr:uid="{C7D158B7-F744-434B-A515-35CADF5090FC}"/>
    <cellStyle name="Normal 4 2 4 2 2 2 3 4" xfId="23288" xr:uid="{24CDC4A8-6E19-4F8C-B89D-82F45A458965}"/>
    <cellStyle name="Normal 4 2 4 2 2 2 3 5" xfId="16651" xr:uid="{746A0C6C-721F-41CB-B94D-A0F160F2C2B5}"/>
    <cellStyle name="Normal 4 2 4 2 2 2 4" xfId="5995" xr:uid="{0C60D263-E577-4612-B43C-D2384F51FA2A}"/>
    <cellStyle name="Normal 4 2 4 2 2 2 4 2" xfId="27101" xr:uid="{D3ED555A-8C77-4222-A8A7-6D61AB6ADC8B}"/>
    <cellStyle name="Normal 4 2 4 2 2 2 4 3" xfId="15448" xr:uid="{C1BE2F4E-2212-42A8-BC0B-9788EA180924}"/>
    <cellStyle name="Normal 4 2 4 2 2 2 5" xfId="7901" xr:uid="{BAECB433-03CF-4A94-8327-A5F1E50AC443}"/>
    <cellStyle name="Normal 4 2 4 2 2 2 5 2" xfId="18281" xr:uid="{AF4AACD1-6E5C-4C26-9158-465C893271F8}"/>
    <cellStyle name="Normal 4 2 4 2 2 2 6" xfId="10734" xr:uid="{7579DA1D-51EB-403F-8267-0189AEB5DC1D}"/>
    <cellStyle name="Normal 4 2 4 2 2 2 6 2" xfId="21114" xr:uid="{0E774EBC-C085-4829-821B-A528B72D724D}"/>
    <cellStyle name="Normal 4 2 4 2 2 2 7" xfId="24084" xr:uid="{73281CDE-EC60-44AC-A9D4-25E152DFDF7D}"/>
    <cellStyle name="Normal 4 2 4 2 2 2 8" xfId="13230" xr:uid="{65423134-FD4E-4F49-A63E-35B75C1BC091}"/>
    <cellStyle name="Normal 4 2 4 2 2 3" xfId="3312" xr:uid="{00000000-0005-0000-0000-0000C6050000}"/>
    <cellStyle name="Normal 4 2 4 2 2 3 2" xfId="4519" xr:uid="{8785A69D-3EE6-4D8B-93FB-1937C1B62C27}"/>
    <cellStyle name="Normal 4 2 4 2 2 3 2 2" xfId="9291" xr:uid="{0CE73404-82F4-45BB-A3C1-EE240E66AF64}"/>
    <cellStyle name="Normal 4 2 4 2 2 3 2 2 2" xfId="19671" xr:uid="{2D31876F-5C19-471D-9CB3-84A3016DE877}"/>
    <cellStyle name="Normal 4 2 4 2 2 3 2 3" xfId="12124" xr:uid="{EF807780-426F-4880-BB7D-7F818E4480F2}"/>
    <cellStyle name="Normal 4 2 4 2 2 3 2 3 2" xfId="22504" xr:uid="{64838BF5-17B6-4C61-A36B-832640FF7334}"/>
    <cellStyle name="Normal 4 2 4 2 2 3 2 4" xfId="26546" xr:uid="{2F8CD3E1-4934-4E26-9941-D6217A646EDC}"/>
    <cellStyle name="Normal 4 2 4 2 2 3 2 5" xfId="16838" xr:uid="{4B27BEDA-DFE1-4D06-81F0-214FA72DD545}"/>
    <cellStyle name="Normal 4 2 4 2 2 3 3" xfId="6370" xr:uid="{DE2B9C1A-7D2C-4E97-A9E9-FA07BA1D056A}"/>
    <cellStyle name="Normal 4 2 4 2 2 3 3 2" xfId="15939" xr:uid="{037C1F9C-AFAD-4BFD-8509-067930C5B2E5}"/>
    <cellStyle name="Normal 4 2 4 2 2 3 4" xfId="8392" xr:uid="{93F7310A-E24F-470B-865E-8F0FA2BDF80A}"/>
    <cellStyle name="Normal 4 2 4 2 2 3 4 2" xfId="18772" xr:uid="{0FE431C9-DEA2-4068-B33E-F71B35EA269A}"/>
    <cellStyle name="Normal 4 2 4 2 2 3 5" xfId="11225" xr:uid="{FA16BA0A-8D55-44C9-AD70-122FC48F14CE}"/>
    <cellStyle name="Normal 4 2 4 2 2 3 5 2" xfId="21605" xr:uid="{B37FAB07-9E6E-42DD-B067-BBB4D564F671}"/>
    <cellStyle name="Normal 4 2 4 2 2 3 6" xfId="23424" xr:uid="{D1976568-D927-41C7-9358-2AD2A9196E78}"/>
    <cellStyle name="Normal 4 2 4 2 2 3 7" xfId="13869" xr:uid="{4370A27A-01EB-48DE-B0CC-5E8DBC2BEFDC}"/>
    <cellStyle name="Normal 4 2 4 2 2 4" xfId="3310" xr:uid="{00000000-0005-0000-0000-0000C7050000}"/>
    <cellStyle name="Normal 4 2 4 2 2 4 2" xfId="6368" xr:uid="{7A44404F-AA80-4570-8CDB-9231464368EF}"/>
    <cellStyle name="Normal 4 2 4 2 2 4 2 2" xfId="26932" xr:uid="{B273AB90-00EF-4FBF-BE01-C8EBF67866F2}"/>
    <cellStyle name="Normal 4 2 4 2 2 4 2 3" xfId="15937" xr:uid="{28CB331E-9E5B-4D0F-988F-3C4F109C63F6}"/>
    <cellStyle name="Normal 4 2 4 2 2 4 3" xfId="8390" xr:uid="{0172FC6E-FC4E-4F13-96F8-1607BE35AEEB}"/>
    <cellStyle name="Normal 4 2 4 2 2 4 3 2" xfId="18770" xr:uid="{76737887-7890-46BC-B264-607C3D6E499B}"/>
    <cellStyle name="Normal 4 2 4 2 2 4 4" xfId="11223" xr:uid="{2D578303-F774-4DB9-A7CD-9CDC432616E6}"/>
    <cellStyle name="Normal 4 2 4 2 2 4 4 2" xfId="21603" xr:uid="{47EFD2C0-9AE5-4458-A1E1-8046DAB75A2C}"/>
    <cellStyle name="Normal 4 2 4 2 2 4 5" xfId="24015" xr:uid="{F2A8BBA6-C5D5-49B6-B0DC-99C672104553}"/>
    <cellStyle name="Normal 4 2 4 2 2 4 6" xfId="13867" xr:uid="{F836A739-A2AB-4BB8-AAF8-5D4AF36B6200}"/>
    <cellStyle name="Normal 4 2 4 2 2 5" xfId="4242" xr:uid="{080A2A35-79CB-43D1-BE90-8CDF17E2F6E3}"/>
    <cellStyle name="Normal 4 2 4 2 2 5 2" xfId="9014" xr:uid="{DAAFFD7E-0CCD-49A9-942D-210CFCF066B2}"/>
    <cellStyle name="Normal 4 2 4 2 2 5 2 2" xfId="29085" xr:uid="{042BA6CC-D052-4310-B171-689D1E606A0D}"/>
    <cellStyle name="Normal 4 2 4 2 2 5 2 3" xfId="19394" xr:uid="{4822A939-ABCE-45AB-A315-428FFFB8BB69}"/>
    <cellStyle name="Normal 4 2 4 2 2 5 3" xfId="11847" xr:uid="{683F1369-E79F-46C0-AD14-15C0B0BC8D4C}"/>
    <cellStyle name="Normal 4 2 4 2 2 5 3 2" xfId="22227" xr:uid="{E5817707-8332-443A-9A27-C6DE16A5E818}"/>
    <cellStyle name="Normal 4 2 4 2 2 5 4" xfId="23877" xr:uid="{1E86306A-C4AE-4B58-9D5C-ECBA812BB9EE}"/>
    <cellStyle name="Normal 4 2 4 2 2 5 5" xfId="16561" xr:uid="{6867C43A-9BE3-4D83-AF41-2B08BA695F8D}"/>
    <cellStyle name="Normal 4 2 4 2 2 6" xfId="5260" xr:uid="{926A9510-1618-4DE8-AE32-0C9D5C1DC7BA}"/>
    <cellStyle name="Normal 4 2 4 2 2 6 2" xfId="28023" xr:uid="{C920E4B9-51D9-4B10-BFEB-0E9B2B6DD5B0}"/>
    <cellStyle name="Normal 4 2 4 2 2 6 3" xfId="14558" xr:uid="{E0B42F2F-9A83-450B-BFD0-BE9F73EBE884}"/>
    <cellStyle name="Normal 4 2 4 2 2 7" xfId="7011" xr:uid="{9C06AE77-04AE-4BE3-B528-0CD51FE2D7DA}"/>
    <cellStyle name="Normal 4 2 4 2 2 7 2" xfId="17391" xr:uid="{0D9F1507-2644-4F0F-AF87-7E6471B57AD0}"/>
    <cellStyle name="Normal 4 2 4 2 2 8" xfId="9844" xr:uid="{3BB55576-924D-46BE-B9A0-A56BE8FCAD76}"/>
    <cellStyle name="Normal 4 2 4 2 2 8 2" xfId="20224" xr:uid="{ACE81BFD-BC41-493A-B7C4-C130180CB59F}"/>
    <cellStyle name="Normal 4 2 4 2 2 9" xfId="23719" xr:uid="{D3D4FF7D-323D-45D6-90EF-54DD0DC62D32}"/>
    <cellStyle name="Normal 4 2 4 2 3" xfId="2776" xr:uid="{00000000-0005-0000-0000-0000C8050000}"/>
    <cellStyle name="Normal 4 2 4 2 3 2" xfId="3313" xr:uid="{00000000-0005-0000-0000-0000C9050000}"/>
    <cellStyle name="Normal 4 2 4 2 3 2 2" xfId="6371" xr:uid="{3034CCE6-2921-4E19-B6FD-B1D298CB8E59}"/>
    <cellStyle name="Normal 4 2 4 2 3 2 2 2" xfId="27620" xr:uid="{225BA693-0DA8-4F0B-A53B-B11194CFE94D}"/>
    <cellStyle name="Normal 4 2 4 2 3 2 2 3" xfId="15940" xr:uid="{FF16E160-FC3D-464B-B18D-4D3E46F71D68}"/>
    <cellStyle name="Normal 4 2 4 2 3 2 3" xfId="8393" xr:uid="{8FB1FC54-74E8-4DA3-8655-887DA7849E99}"/>
    <cellStyle name="Normal 4 2 4 2 3 2 3 2" xfId="18773" xr:uid="{550E4618-083D-477F-86F6-4039DA182DE9}"/>
    <cellStyle name="Normal 4 2 4 2 3 2 4" xfId="11226" xr:uid="{2FF5B702-1560-46AD-BB2C-45570E0258DF}"/>
    <cellStyle name="Normal 4 2 4 2 3 2 4 2" xfId="21606" xr:uid="{AC194AAA-EE0A-4439-93ED-269F8CCCABC7}"/>
    <cellStyle name="Normal 4 2 4 2 3 2 5" xfId="22673" xr:uid="{6623DC24-859C-4C35-A09A-414CDFD69DB4}"/>
    <cellStyle name="Normal 4 2 4 2 3 2 6" xfId="13870" xr:uid="{BDE09925-C603-461C-94CB-8A7B94EF6F41}"/>
    <cellStyle name="Normal 4 2 4 2 3 3" xfId="4331" xr:uid="{812642AA-2F67-4D04-9730-19298251B28E}"/>
    <cellStyle name="Normal 4 2 4 2 3 3 2" xfId="9103" xr:uid="{30592C62-F469-4BB5-A47B-645FDFC4B6BF}"/>
    <cellStyle name="Normal 4 2 4 2 3 3 2 2" xfId="29146" xr:uid="{A43D4E21-EA3A-4B0C-8483-C847C1CCF7CF}"/>
    <cellStyle name="Normal 4 2 4 2 3 3 2 3" xfId="19483" xr:uid="{FFE8A291-82FB-4590-9360-9D10B30EBE60}"/>
    <cellStyle name="Normal 4 2 4 2 3 3 3" xfId="11936" xr:uid="{11B5E0CA-C911-41C9-8225-BB28855B304D}"/>
    <cellStyle name="Normal 4 2 4 2 3 3 3 2" xfId="22316" xr:uid="{D0D9BE2E-E845-408F-A1FE-0975102FD49A}"/>
    <cellStyle name="Normal 4 2 4 2 3 3 4" xfId="22891" xr:uid="{92ABD060-088C-4B16-86E2-C32F8F1874F1}"/>
    <cellStyle name="Normal 4 2 4 2 3 3 5" xfId="16650" xr:uid="{32EDD925-5E33-4629-B8F7-906615A7D0D9}"/>
    <cellStyle name="Normal 4 2 4 2 3 4" xfId="5994" xr:uid="{7E0FEAE9-697D-4CAB-8C77-FE5F637AB917}"/>
    <cellStyle name="Normal 4 2 4 2 3 4 2" xfId="26418" xr:uid="{6AF32965-CB40-4E1B-A384-F6859406EF9D}"/>
    <cellStyle name="Normal 4 2 4 2 3 4 3" xfId="15447" xr:uid="{E4AB833E-CC38-4790-9DF9-373431051397}"/>
    <cellStyle name="Normal 4 2 4 2 3 5" xfId="7900" xr:uid="{CEA57206-BF81-4A5C-B62A-E54E6CF77200}"/>
    <cellStyle name="Normal 4 2 4 2 3 5 2" xfId="18280" xr:uid="{2486CE3D-79C5-4516-99C1-FD27BC917075}"/>
    <cellStyle name="Normal 4 2 4 2 3 6" xfId="10733" xr:uid="{50EE12FB-49FF-476E-BE79-8D8770D0E190}"/>
    <cellStyle name="Normal 4 2 4 2 3 6 2" xfId="21113" xr:uid="{AF64C935-7421-4998-8763-FC34486390AD}"/>
    <cellStyle name="Normal 4 2 4 2 3 7" xfId="22649" xr:uid="{ED92971D-D461-49A0-A131-B7FD85763F17}"/>
    <cellStyle name="Normal 4 2 4 2 3 8" xfId="13229" xr:uid="{A611D601-F0E9-425F-AB32-0EA5A12CFE9A}"/>
    <cellStyle name="Normal 4 2 4 2 4" xfId="3314" xr:uid="{00000000-0005-0000-0000-0000CA050000}"/>
    <cellStyle name="Normal 4 2 4 2 4 2" xfId="4520" xr:uid="{EBF02899-363D-4B62-A808-B3044BC09E29}"/>
    <cellStyle name="Normal 4 2 4 2 4 2 2" xfId="9292" xr:uid="{7ACC878A-16A9-4172-977D-81BF61D19206}"/>
    <cellStyle name="Normal 4 2 4 2 4 2 2 2" xfId="19672" xr:uid="{D1872F77-AB94-42A4-84AE-EDBC51F3A6E0}"/>
    <cellStyle name="Normal 4 2 4 2 4 2 3" xfId="12125" xr:uid="{569EAB24-B76E-46E9-B726-5291FDA0C70C}"/>
    <cellStyle name="Normal 4 2 4 2 4 2 3 2" xfId="22505" xr:uid="{061AF932-B759-4066-8606-FAF0806E618A}"/>
    <cellStyle name="Normal 4 2 4 2 4 2 4" xfId="28075" xr:uid="{EA672EFD-D258-430E-937C-4BC693A8DE0C}"/>
    <cellStyle name="Normal 4 2 4 2 4 2 5" xfId="16839" xr:uid="{0631AB2A-381A-4A8C-9275-1424D19CBF58}"/>
    <cellStyle name="Normal 4 2 4 2 4 3" xfId="6372" xr:uid="{2ACB0DEE-7F68-473F-B9E7-87CE39C00104}"/>
    <cellStyle name="Normal 4 2 4 2 4 3 2" xfId="15941" xr:uid="{E99ED3F9-6E3E-4662-B33C-DAA5B06A64E4}"/>
    <cellStyle name="Normal 4 2 4 2 4 4" xfId="8394" xr:uid="{3B6FE961-AF3D-46E2-A45B-901CD3B1A982}"/>
    <cellStyle name="Normal 4 2 4 2 4 4 2" xfId="18774" xr:uid="{C2741261-5B1E-4A3E-9111-6B97C33F7416}"/>
    <cellStyle name="Normal 4 2 4 2 4 5" xfId="11227" xr:uid="{6BC4CB2D-BD78-4E8F-8FDD-8EE21A39A908}"/>
    <cellStyle name="Normal 4 2 4 2 4 5 2" xfId="21607" xr:uid="{0024434E-5028-4B47-ACCB-860E25A35D66}"/>
    <cellStyle name="Normal 4 2 4 2 4 6" xfId="23780" xr:uid="{5546BA34-C2F9-4A3D-911A-801708B8FC18}"/>
    <cellStyle name="Normal 4 2 4 2 4 7" xfId="13871" xr:uid="{9843B0F1-36BB-4B59-AD97-144F1B1C1F0E}"/>
    <cellStyle name="Normal 4 2 4 2 5" xfId="3309" xr:uid="{00000000-0005-0000-0000-0000CB050000}"/>
    <cellStyle name="Normal 4 2 4 2 5 2" xfId="6367" xr:uid="{2902E2AC-1B99-4252-B238-5086F32D4E9D}"/>
    <cellStyle name="Normal 4 2 4 2 5 2 2" xfId="28618" xr:uid="{362A7BD1-C6C4-4B09-9554-DD0D52E657B6}"/>
    <cellStyle name="Normal 4 2 4 2 5 2 3" xfId="15936" xr:uid="{CF7AAE41-0500-49DB-8EF9-B8C509FE47E8}"/>
    <cellStyle name="Normal 4 2 4 2 5 3" xfId="8389" xr:uid="{E296C98D-5351-40B8-834F-F7AE11C3AFCC}"/>
    <cellStyle name="Normal 4 2 4 2 5 3 2" xfId="18769" xr:uid="{BDF2FD51-EECC-41A5-B8D8-A06F223DB737}"/>
    <cellStyle name="Normal 4 2 4 2 5 4" xfId="11222" xr:uid="{32C67B06-4400-4139-937F-33EA1CEA39C1}"/>
    <cellStyle name="Normal 4 2 4 2 5 4 2" xfId="21602" xr:uid="{581DDE93-88FD-41F2-9948-C412E49B9C8A}"/>
    <cellStyle name="Normal 4 2 4 2 5 5" xfId="25567" xr:uid="{FF97EFD9-CC4F-472D-98A1-329FB1323446}"/>
    <cellStyle name="Normal 4 2 4 2 5 6" xfId="13866" xr:uid="{D43EB5C4-067F-45E0-A802-03405DAC100D}"/>
    <cellStyle name="Normal 4 2 4 2 6" xfId="2550" xr:uid="{00000000-0005-0000-0000-0000CC050000}"/>
    <cellStyle name="Normal 4 2 4 2 6 2" xfId="5822" xr:uid="{425935FD-0E62-4907-911C-E41F2F006040}"/>
    <cellStyle name="Normal 4 2 4 2 6 2 2" xfId="28037" xr:uid="{A5513BCD-E24A-4DB2-AE03-44F9719771AE}"/>
    <cellStyle name="Normal 4 2 4 2 6 2 3" xfId="15222" xr:uid="{07F338FD-F839-4E3C-99C4-6AB2B21E5AED}"/>
    <cellStyle name="Normal 4 2 4 2 6 3" xfId="7675" xr:uid="{B06AE91E-263D-4B4E-AF68-43E9E5BF1265}"/>
    <cellStyle name="Normal 4 2 4 2 6 3 2" xfId="18055" xr:uid="{2EE5CE7C-94FE-46D3-A05B-B306C33CF854}"/>
    <cellStyle name="Normal 4 2 4 2 6 4" xfId="10508" xr:uid="{16FC5834-2F35-4B6E-9609-B79E58FA3039}"/>
    <cellStyle name="Normal 4 2 4 2 6 4 2" xfId="20888" xr:uid="{2F41DFA0-7255-4962-9DC0-3E2586712447}"/>
    <cellStyle name="Normal 4 2 4 2 6 5" xfId="22851" xr:uid="{D2F25CE2-2851-4F73-8812-EB629C46D578}"/>
    <cellStyle name="Normal 4 2 4 2 6 6" xfId="12938" xr:uid="{80EFA000-D408-4BDD-83A4-401B63CA3E02}"/>
    <cellStyle name="Normal 4 2 4 2 7" xfId="2244" xr:uid="{00000000-0005-0000-0000-0000C2050000}"/>
    <cellStyle name="Normal 4 2 4 2 7 2" xfId="7371" xr:uid="{F7F1B275-66AB-4022-8265-651F51F5C17B}"/>
    <cellStyle name="Normal 4 2 4 2 7 2 2" xfId="17751" xr:uid="{7074B6A5-E76B-41F1-A4ED-D6E1DA724EE7}"/>
    <cellStyle name="Normal 4 2 4 2 7 3" xfId="10204" xr:uid="{AA56B796-9B68-4D2F-A740-E2B35951BE7A}"/>
    <cellStyle name="Normal 4 2 4 2 7 3 2" xfId="20584" xr:uid="{45CB5D69-4C00-4515-AA34-2C35CD5498F3}"/>
    <cellStyle name="Normal 4 2 4 2 7 4" xfId="25382" xr:uid="{5C36B8E6-AD19-4220-8F11-1089BFCC3729}"/>
    <cellStyle name="Normal 4 2 4 2 7 5" xfId="14918" xr:uid="{89F83DB4-8451-40E4-880F-82AA340D582C}"/>
    <cellStyle name="Normal 4 2 4 2 8" xfId="3797" xr:uid="{92B94B7A-8A75-4181-A5F0-12A617A71729}"/>
    <cellStyle name="Normal 4 2 4 2 8 2" xfId="8633" xr:uid="{3295DEAA-3E4C-40F1-94A6-40A5E974671F}"/>
    <cellStyle name="Normal 4 2 4 2 8 2 2" xfId="19013" xr:uid="{A4A7CBC2-6FB2-4F80-8CCB-A189AA545466}"/>
    <cellStyle name="Normal 4 2 4 2 8 3" xfId="11466" xr:uid="{092FD2DF-FDAA-4AFC-ADD4-54A07F16BDDE}"/>
    <cellStyle name="Normal 4 2 4 2 8 3 2" xfId="21846" xr:uid="{CF964CEC-DF7C-4824-9B75-8E453D2C7A6C}"/>
    <cellStyle name="Normal 4 2 4 2 8 4" xfId="16180" xr:uid="{708598F8-338C-40AB-9EBB-E35B994521DF}"/>
    <cellStyle name="Normal 4 2 4 2 9" xfId="5259" xr:uid="{19C31006-CBFA-424E-879C-38FA46CC37EE}"/>
    <cellStyle name="Normal 4 2 4 2 9 2" xfId="14557" xr:uid="{198AD25B-9C39-4DCE-B323-71648C5F7486}"/>
    <cellStyle name="Normal 4 2 4 3" xfId="956" xr:uid="{00000000-0005-0000-0000-00006E050000}"/>
    <cellStyle name="Normal 4 2 4 3 10" xfId="9845" xr:uid="{7980634C-EEAA-4B39-8FFA-914BAAF0CC29}"/>
    <cellStyle name="Normal 4 2 4 3 10 2" xfId="20225" xr:uid="{6B728514-C6A1-40AB-99FD-B709BFEBC66E}"/>
    <cellStyle name="Normal 4 2 4 3 11" xfId="23247" xr:uid="{2890303F-A444-48F4-997B-2BDA5BBD2609}"/>
    <cellStyle name="Normal 4 2 4 3 12" xfId="12593" xr:uid="{EB4DE55D-FA03-4AD2-9DA8-31FB62808FAF}"/>
    <cellStyle name="Normal 4 2 4 3 2" xfId="2778" xr:uid="{00000000-0005-0000-0000-0000CE050000}"/>
    <cellStyle name="Normal 4 2 4 3 2 2" xfId="3316" xr:uid="{00000000-0005-0000-0000-0000CF050000}"/>
    <cellStyle name="Normal 4 2 4 3 2 2 2" xfId="6374" xr:uid="{E50A07B0-BEE2-489E-9328-83695D23809A}"/>
    <cellStyle name="Normal 4 2 4 3 2 2 2 2" xfId="25842" xr:uid="{472F1B4B-D996-42A5-AE97-D0B5975D1982}"/>
    <cellStyle name="Normal 4 2 4 3 2 2 2 3" xfId="15943" xr:uid="{F4A97B65-CBBB-4D81-840C-1203349D4D8C}"/>
    <cellStyle name="Normal 4 2 4 3 2 2 3" xfId="8396" xr:uid="{61B68C81-9A57-46C7-AC09-69E53D88C48D}"/>
    <cellStyle name="Normal 4 2 4 3 2 2 3 2" xfId="18776" xr:uid="{68B13D81-919E-4D55-800C-81439CD569C6}"/>
    <cellStyle name="Normal 4 2 4 3 2 2 4" xfId="11229" xr:uid="{0BD21476-923E-4824-AE68-1108E11C47D3}"/>
    <cellStyle name="Normal 4 2 4 3 2 2 4 2" xfId="21609" xr:uid="{4BD11946-4B3B-4DC7-9A8B-1A09CDDBFB32}"/>
    <cellStyle name="Normal 4 2 4 3 2 2 5" xfId="22995" xr:uid="{20FBB001-AEB4-4236-8AE0-B9172F175F21}"/>
    <cellStyle name="Normal 4 2 4 3 2 2 6" xfId="13873" xr:uid="{BEA246CD-FA76-4EEA-BA5E-0099DC825D91}"/>
    <cellStyle name="Normal 4 2 4 3 2 3" xfId="4333" xr:uid="{70FD9E69-BE70-4E32-ADCD-F26EF1031737}"/>
    <cellStyle name="Normal 4 2 4 3 2 3 2" xfId="9105" xr:uid="{100E7661-CCFA-499C-BB8E-570D9B3A707D}"/>
    <cellStyle name="Normal 4 2 4 3 2 3 2 2" xfId="29148" xr:uid="{29E033BA-1F02-4D6D-814F-B5190BB6A064}"/>
    <cellStyle name="Normal 4 2 4 3 2 3 2 3" xfId="19485" xr:uid="{A6C3521C-E9B0-4EFC-A02D-68BCB64C3270}"/>
    <cellStyle name="Normal 4 2 4 3 2 3 3" xfId="11938" xr:uid="{7D859E24-DC83-412D-A9F2-3B346F54493F}"/>
    <cellStyle name="Normal 4 2 4 3 2 3 3 2" xfId="22318" xr:uid="{51A16266-628D-4559-8096-4A7C5716C82E}"/>
    <cellStyle name="Normal 4 2 4 3 2 3 4" xfId="25252" xr:uid="{8DA9FE6F-EC62-464D-9C2A-257FAB75C469}"/>
    <cellStyle name="Normal 4 2 4 3 2 3 5" xfId="16652" xr:uid="{3CF6BB31-513A-4429-A908-3D4465B49ACF}"/>
    <cellStyle name="Normal 4 2 4 3 2 4" xfId="5996" xr:uid="{C585EE5C-0C7E-4E8A-9EBC-9D4EF2C48856}"/>
    <cellStyle name="Normal 4 2 4 3 2 4 2" xfId="26670" xr:uid="{47545DB1-A879-44A8-A9D7-C66E01693FF4}"/>
    <cellStyle name="Normal 4 2 4 3 2 4 3" xfId="15449" xr:uid="{8FA7142E-13FD-4095-B363-FEBBA079393F}"/>
    <cellStyle name="Normal 4 2 4 3 2 5" xfId="7902" xr:uid="{E59910C0-C8CE-45D7-8BB1-921365E4C248}"/>
    <cellStyle name="Normal 4 2 4 3 2 5 2" xfId="18282" xr:uid="{61889791-4194-436A-AFA4-EA738B9CB93A}"/>
    <cellStyle name="Normal 4 2 4 3 2 6" xfId="10735" xr:uid="{FFB2F7C2-6EE7-42F3-9FF2-8DC2D385AAA6}"/>
    <cellStyle name="Normal 4 2 4 3 2 6 2" xfId="21115" xr:uid="{8A2E294C-E80C-446E-89C6-617A1C88DD9E}"/>
    <cellStyle name="Normal 4 2 4 3 2 7" xfId="25368" xr:uid="{3C979E4B-0444-4BCB-8C20-F21BF7A98A39}"/>
    <cellStyle name="Normal 4 2 4 3 2 8" xfId="13231" xr:uid="{6955B6A0-96C5-49EC-AECE-9F1DC348D231}"/>
    <cellStyle name="Normal 4 2 4 3 3" xfId="3317" xr:uid="{00000000-0005-0000-0000-0000D0050000}"/>
    <cellStyle name="Normal 4 2 4 3 3 2" xfId="4521" xr:uid="{452F2669-B5DC-43ED-B942-D6EBDB042C62}"/>
    <cellStyle name="Normal 4 2 4 3 3 2 2" xfId="9293" xr:uid="{3FBD5F5F-665F-452F-93EF-157A2DBBF1A6}"/>
    <cellStyle name="Normal 4 2 4 3 3 2 2 2" xfId="29272" xr:uid="{7E93B808-D226-4A8E-B51A-B82780826BD8}"/>
    <cellStyle name="Normal 4 2 4 3 3 2 2 3" xfId="19673" xr:uid="{E694131A-4781-43A4-A698-72ABD9B8FA16}"/>
    <cellStyle name="Normal 4 2 4 3 3 2 3" xfId="12126" xr:uid="{D1BCF4B3-80F5-4106-9F87-F4DC69AC2871}"/>
    <cellStyle name="Normal 4 2 4 3 3 2 3 2" xfId="22506" xr:uid="{E7DB2DAD-96C3-4485-AD62-16D728226575}"/>
    <cellStyle name="Normal 4 2 4 3 3 2 4" xfId="24879" xr:uid="{875B205B-2264-4E6B-8CD0-E13992B167CA}"/>
    <cellStyle name="Normal 4 2 4 3 3 2 5" xfId="16840" xr:uid="{24E0BF4E-6AED-40AF-A46E-61B426B2C917}"/>
    <cellStyle name="Normal 4 2 4 3 3 3" xfId="6375" xr:uid="{ECA3A690-95F0-4B75-B420-41EDABD93669}"/>
    <cellStyle name="Normal 4 2 4 3 3 3 2" xfId="26693" xr:uid="{B3F5872F-FD91-4319-B1D5-D871FE0E9206}"/>
    <cellStyle name="Normal 4 2 4 3 3 3 3" xfId="15944" xr:uid="{47A21E3D-874D-401A-9839-50F84F8E920E}"/>
    <cellStyle name="Normal 4 2 4 3 3 4" xfId="8397" xr:uid="{F19C02D7-8DC5-4E0D-BA09-0471247CCC2C}"/>
    <cellStyle name="Normal 4 2 4 3 3 4 2" xfId="18777" xr:uid="{543CCA03-FCB4-473C-AA4F-B71195258A1A}"/>
    <cellStyle name="Normal 4 2 4 3 3 5" xfId="11230" xr:uid="{48AC09F0-BAB9-4B80-A3CE-E17B4D1C7BA0}"/>
    <cellStyle name="Normal 4 2 4 3 3 5 2" xfId="21610" xr:uid="{8E76B7AC-06C0-4221-981D-E581F58FC62F}"/>
    <cellStyle name="Normal 4 2 4 3 3 6" xfId="23896" xr:uid="{7BF36CE9-B073-43AB-9892-A0943BCB676A}"/>
    <cellStyle name="Normal 4 2 4 3 3 7" xfId="13874" xr:uid="{8029D831-5042-4AD6-A5E1-0CED18B1F5B1}"/>
    <cellStyle name="Normal 4 2 4 3 4" xfId="3315" xr:uid="{00000000-0005-0000-0000-0000D1050000}"/>
    <cellStyle name="Normal 4 2 4 3 4 2" xfId="6373" xr:uid="{9DFC3F29-3736-430A-B542-2324A0EA1F82}"/>
    <cellStyle name="Normal 4 2 4 3 4 2 2" xfId="27826" xr:uid="{0A4B0E17-AEFA-4D43-9BC3-A991821EE378}"/>
    <cellStyle name="Normal 4 2 4 3 4 2 3" xfId="15942" xr:uid="{EAF7A55A-280E-4753-905E-BC552F1928D2}"/>
    <cellStyle name="Normal 4 2 4 3 4 3" xfId="8395" xr:uid="{E86F7CF2-CD6F-4DB7-9ABB-E9E1EEFC979F}"/>
    <cellStyle name="Normal 4 2 4 3 4 3 2" xfId="18775" xr:uid="{7A4A18A8-B832-4AEB-8D35-C27912FCFA5B}"/>
    <cellStyle name="Normal 4 2 4 3 4 4" xfId="11228" xr:uid="{3A26AD30-EC9F-463E-A463-C23AF88236A3}"/>
    <cellStyle name="Normal 4 2 4 3 4 4 2" xfId="21608" xr:uid="{4BEE525C-BAEF-4447-8C43-4AD1DBBC7ABF}"/>
    <cellStyle name="Normal 4 2 4 3 4 5" xfId="23204" xr:uid="{387481E8-0217-4D9E-ACC1-0A0134F28288}"/>
    <cellStyle name="Normal 4 2 4 3 4 6" xfId="13872" xr:uid="{B3D46E0D-F9A7-4D5A-8CE8-D2AAB8E1B247}"/>
    <cellStyle name="Normal 4 2 4 3 5" xfId="2593" xr:uid="{00000000-0005-0000-0000-0000D2050000}"/>
    <cellStyle name="Normal 4 2 4 3 5 2" xfId="5858" xr:uid="{6540DA4C-6EF8-475E-B40F-063D43474F28}"/>
    <cellStyle name="Normal 4 2 4 3 5 2 2" xfId="25909" xr:uid="{BE00B786-DECC-4F16-B902-A37A54F38A67}"/>
    <cellStyle name="Normal 4 2 4 3 5 2 3" xfId="15265" xr:uid="{02D90CFF-227E-4DA4-89FB-D4473886255B}"/>
    <cellStyle name="Normal 4 2 4 3 5 3" xfId="7718" xr:uid="{73D32EFB-44BA-467F-89E4-C29677B39BEE}"/>
    <cellStyle name="Normal 4 2 4 3 5 3 2" xfId="18098" xr:uid="{2D339902-8E18-40CA-AB08-92129A3BFFB9}"/>
    <cellStyle name="Normal 4 2 4 3 5 4" xfId="10551" xr:uid="{69470CF8-E37E-47CF-B505-27957D5B8C8C}"/>
    <cellStyle name="Normal 4 2 4 3 5 4 2" xfId="20931" xr:uid="{4AA63951-640B-4C91-AC44-4D9057252DB3}"/>
    <cellStyle name="Normal 4 2 4 3 5 5" xfId="24572" xr:uid="{5574917E-5A39-4BAB-89DC-E95C233A8071}"/>
    <cellStyle name="Normal 4 2 4 3 5 6" xfId="12981" xr:uid="{A5A747CE-AD30-4B2E-AC5B-55284CF6B1FF}"/>
    <cellStyle name="Normal 4 2 4 3 6" xfId="2359" xr:uid="{00000000-0005-0000-0000-0000CD050000}"/>
    <cellStyle name="Normal 4 2 4 3 6 2" xfId="7486" xr:uid="{258536EB-589C-4882-95FC-7FE7C3FB078A}"/>
    <cellStyle name="Normal 4 2 4 3 6 2 2" xfId="17866" xr:uid="{78D6E1BC-F4AD-471C-869D-9B211C8274AD}"/>
    <cellStyle name="Normal 4 2 4 3 6 3" xfId="10319" xr:uid="{1795E98D-1858-4E51-8516-5CA312E08E91}"/>
    <cellStyle name="Normal 4 2 4 3 6 3 2" xfId="20699" xr:uid="{BFFF2118-A297-4E22-8250-8D3F309BBCDC}"/>
    <cellStyle name="Normal 4 2 4 3 6 4" xfId="24042" xr:uid="{4B2ECA22-7162-4B4E-9675-47FF2997767C}"/>
    <cellStyle name="Normal 4 2 4 3 6 5" xfId="15033" xr:uid="{2E5F23A7-93B1-46BB-B5A6-52CF70AFEEC1}"/>
    <cellStyle name="Normal 4 2 4 3 7" xfId="3896" xr:uid="{407F759E-344C-46F4-B726-31C28228A117}"/>
    <cellStyle name="Normal 4 2 4 3 7 2" xfId="8728" xr:uid="{29F472D2-E110-4D88-9F61-E13E5FA9C81B}"/>
    <cellStyle name="Normal 4 2 4 3 7 2 2" xfId="19108" xr:uid="{2284EC89-07AC-411D-82FE-34F09DF7D6CB}"/>
    <cellStyle name="Normal 4 2 4 3 7 3" xfId="11561" xr:uid="{CD4DEB1D-45A5-48C7-9769-59B46F61D03D}"/>
    <cellStyle name="Normal 4 2 4 3 7 3 2" xfId="21941" xr:uid="{770ADE17-99E5-4AFE-B579-1A98EE501125}"/>
    <cellStyle name="Normal 4 2 4 3 7 4" xfId="16275" xr:uid="{6FB5E671-849F-4DE7-8BF9-30A2B731599F}"/>
    <cellStyle name="Normal 4 2 4 3 8" xfId="5261" xr:uid="{5AB2208D-2ECB-46B1-A1AD-1C10EFA86D2C}"/>
    <cellStyle name="Normal 4 2 4 3 8 2" xfId="14559" xr:uid="{4386F813-09E8-4B41-BDF4-20EFB92A3414}"/>
    <cellStyle name="Normal 4 2 4 3 9" xfId="7012" xr:uid="{789A5CDE-7332-4F6B-BBF3-E319B9A8D71B}"/>
    <cellStyle name="Normal 4 2 4 3 9 2" xfId="17392" xr:uid="{0280FBB0-A649-4BD5-9490-08CDC4E0C773}"/>
    <cellStyle name="Normal 4 2 4 4" xfId="957" xr:uid="{00000000-0005-0000-0000-00006F050000}"/>
    <cellStyle name="Normal 4 2 4 4 2" xfId="3318" xr:uid="{00000000-0005-0000-0000-0000D4050000}"/>
    <cellStyle name="Normal 4 2 4 4 2 2" xfId="6376" xr:uid="{8F0A29D2-D7B3-4E56-8B87-AD49C0CD0FE5}"/>
    <cellStyle name="Normal 4 2 4 4 2 2 2" xfId="28145" xr:uid="{15F7E190-0EFB-4B46-AA08-B9FC031F951D}"/>
    <cellStyle name="Normal 4 2 4 4 2 2 3" xfId="15945" xr:uid="{487857BB-B8D6-44AB-AAD0-1E227A507C31}"/>
    <cellStyle name="Normal 4 2 4 4 2 3" xfId="8398" xr:uid="{3C143CBE-B596-4111-8A73-325C4AE99A01}"/>
    <cellStyle name="Normal 4 2 4 4 2 3 2" xfId="18778" xr:uid="{E3F37898-0DDA-4A76-BB45-32C1418C3704}"/>
    <cellStyle name="Normal 4 2 4 4 2 4" xfId="11231" xr:uid="{E3F73AD3-0682-43FA-B6BE-B1AC0C81098B}"/>
    <cellStyle name="Normal 4 2 4 4 2 4 2" xfId="21611" xr:uid="{A4317B59-8ACE-4D43-99A5-700EF431C073}"/>
    <cellStyle name="Normal 4 2 4 4 2 5" xfId="23511" xr:uid="{5D01FDC3-A29C-4A13-BF5E-B5E597BBEDD5}"/>
    <cellStyle name="Normal 4 2 4 4 2 6" xfId="13875" xr:uid="{EF4703E9-A033-4E67-A333-D632E5176286}"/>
    <cellStyle name="Normal 4 2 4 4 3" xfId="2775" xr:uid="{00000000-0005-0000-0000-0000D5050000}"/>
    <cellStyle name="Normal 4 2 4 4 3 2" xfId="5993" xr:uid="{E39637DE-8B66-4185-BED9-6C2E3B488169}"/>
    <cellStyle name="Normal 4 2 4 4 3 2 2" xfId="26672" xr:uid="{4E299BC9-8DB1-4608-9829-A2D535EA19CC}"/>
    <cellStyle name="Normal 4 2 4 4 3 2 3" xfId="15446" xr:uid="{A86BE9B4-5BF6-4AC2-845B-0F93735DE431}"/>
    <cellStyle name="Normal 4 2 4 4 3 3" xfId="7899" xr:uid="{49FB707D-5367-445B-843A-C1E85E660FEB}"/>
    <cellStyle name="Normal 4 2 4 4 3 3 2" xfId="18279" xr:uid="{CB8FFE37-A4C6-48A6-96A9-2AF7AF0CA451}"/>
    <cellStyle name="Normal 4 2 4 4 3 4" xfId="10732" xr:uid="{3CC66CFE-E550-4D08-A1AB-2B1B4982A0A6}"/>
    <cellStyle name="Normal 4 2 4 4 3 4 2" xfId="21112" xr:uid="{7E5A6ECD-BFCC-41EB-82DF-4C12E332DF0E}"/>
    <cellStyle name="Normal 4 2 4 4 3 5" xfId="23582" xr:uid="{D9A6BF4D-F8C7-42C0-8A5E-D7AA8EA7777E}"/>
    <cellStyle name="Normal 4 2 4 4 3 6" xfId="13228" xr:uid="{A90A061A-B369-4680-847B-0A783306D795}"/>
    <cellStyle name="Normal 4 2 4 4 4" xfId="4187" xr:uid="{37541807-A374-4414-A8FC-CA3014A4BA8C}"/>
    <cellStyle name="Normal 4 2 4 4 4 2" xfId="8959" xr:uid="{E638087D-DBF0-408F-9269-238EAE4FDAD1}"/>
    <cellStyle name="Normal 4 2 4 4 4 2 2" xfId="19339" xr:uid="{82C4527E-C1FD-4226-B7E8-DBAACF9A92D8}"/>
    <cellStyle name="Normal 4 2 4 4 4 3" xfId="11792" xr:uid="{C2E290E2-01AD-4948-8E08-B7B63F83A8DE}"/>
    <cellStyle name="Normal 4 2 4 4 4 3 2" xfId="22172" xr:uid="{C48759BE-054B-4476-9F46-1DE0B3D590AF}"/>
    <cellStyle name="Normal 4 2 4 4 4 4" xfId="23088" xr:uid="{49F7775F-FA77-45F2-A31A-5733512B8D0F}"/>
    <cellStyle name="Normal 4 2 4 4 4 5" xfId="16506" xr:uid="{602C9A63-5940-4C18-8981-5534B09B89AD}"/>
    <cellStyle name="Normal 4 2 4 4 5" xfId="5262" xr:uid="{1319BDE0-2551-4B68-9802-4AF23C378265}"/>
    <cellStyle name="Normal 4 2 4 4 5 2" xfId="14560" xr:uid="{506F6334-74C2-4EB3-B6D2-460CE5A593E1}"/>
    <cellStyle name="Normal 4 2 4 4 6" xfId="7013" xr:uid="{1FD27AA7-1AC6-427C-87A2-0A63C3C06FDA}"/>
    <cellStyle name="Normal 4 2 4 4 6 2" xfId="17393" xr:uid="{B84107C5-AF48-4DF1-B84D-7E20783158E9}"/>
    <cellStyle name="Normal 4 2 4 4 7" xfId="9846" xr:uid="{F632BA21-DE08-4DDC-BDE3-5FFF9D26B162}"/>
    <cellStyle name="Normal 4 2 4 4 7 2" xfId="20226" xr:uid="{BDE3FB14-5D7D-4075-8FDC-057441F77C7D}"/>
    <cellStyle name="Normal 4 2 4 4 8" xfId="23799" xr:uid="{4AD55E4F-86CD-4A1A-86B9-10820CEB76B6}"/>
    <cellStyle name="Normal 4 2 4 4 9" xfId="12751" xr:uid="{DC1691DB-C08E-4886-BA52-B7506B2A424A}"/>
    <cellStyle name="Normal 4 2 4 5" xfId="3319" xr:uid="{00000000-0005-0000-0000-0000D6050000}"/>
    <cellStyle name="Normal 4 2 4 5 2" xfId="4522" xr:uid="{0E8E5B39-AFE5-4CA4-91C7-A3464D3F00BB}"/>
    <cellStyle name="Normal 4 2 4 5 2 2" xfId="9294" xr:uid="{D591BF78-F04D-47D5-928F-52D8E541F8AB}"/>
    <cellStyle name="Normal 4 2 4 5 2 2 2" xfId="29273" xr:uid="{E258C256-3FE8-4006-AD74-D535CAB304C6}"/>
    <cellStyle name="Normal 4 2 4 5 2 2 3" xfId="19674" xr:uid="{F7F64A4D-2122-45F6-82E2-5BE09EFD026C}"/>
    <cellStyle name="Normal 4 2 4 5 2 3" xfId="12127" xr:uid="{5847B0E9-E996-4C29-941D-70FE8A368C53}"/>
    <cellStyle name="Normal 4 2 4 5 2 3 2" xfId="22507" xr:uid="{B14B6018-F271-4684-8764-3ACE4519415E}"/>
    <cellStyle name="Normal 4 2 4 5 2 4" xfId="23307" xr:uid="{CCA219FC-92C2-4C0C-BF3E-6F6BEBE0DE9F}"/>
    <cellStyle name="Normal 4 2 4 5 2 5" xfId="16841" xr:uid="{CF25A3E3-5418-4DC1-9C6E-A406DC03D001}"/>
    <cellStyle name="Normal 4 2 4 5 3" xfId="6377" xr:uid="{256B6FAA-C2C9-4ACE-B9C7-6FC9B51CDB96}"/>
    <cellStyle name="Normal 4 2 4 5 3 2" xfId="27142" xr:uid="{70BFEA5C-4E6C-4F46-95C9-B5C80A30C9F4}"/>
    <cellStyle name="Normal 4 2 4 5 3 3" xfId="15946" xr:uid="{743BA6B8-A56E-4CBB-9753-736E70BD010B}"/>
    <cellStyle name="Normal 4 2 4 5 4" xfId="8399" xr:uid="{3570482D-F52B-470B-89CD-2CD3F4ABBB04}"/>
    <cellStyle name="Normal 4 2 4 5 4 2" xfId="18779" xr:uid="{2BC47C64-585F-462F-AF3E-C7AF3A226651}"/>
    <cellStyle name="Normal 4 2 4 5 5" xfId="11232" xr:uid="{1C6947AC-084A-43D7-9915-2206CA974BD9}"/>
    <cellStyle name="Normal 4 2 4 5 5 2" xfId="21612" xr:uid="{559AE209-05D8-4985-B557-0D438344104A}"/>
    <cellStyle name="Normal 4 2 4 5 6" xfId="23981" xr:uid="{664207EE-4914-4965-9834-53028B4545F1}"/>
    <cellStyle name="Normal 4 2 4 5 7" xfId="13876" xr:uid="{0277DFB1-73A2-4180-A054-EB5BD2A38890}"/>
    <cellStyle name="Normal 4 2 4 6" xfId="2933" xr:uid="{00000000-0005-0000-0000-0000D7050000}"/>
    <cellStyle name="Normal 4 2 4 6 2" xfId="6113" xr:uid="{C3DED480-E875-415D-B2C5-2357CB13D6CB}"/>
    <cellStyle name="Normal 4 2 4 6 2 2" xfId="28597" xr:uid="{E6CCCEB0-5E6C-474F-83E3-B0858B991066}"/>
    <cellStyle name="Normal 4 2 4 6 2 3" xfId="15591" xr:uid="{4E4B3070-74E1-4F0F-AA9D-7F9455C98DCE}"/>
    <cellStyle name="Normal 4 2 4 6 3" xfId="8044" xr:uid="{CF045047-FE2E-438C-A3AF-36CFCCD81394}"/>
    <cellStyle name="Normal 4 2 4 6 3 2" xfId="18424" xr:uid="{6974ED14-239E-4C96-B588-6D4C3D4FAC53}"/>
    <cellStyle name="Normal 4 2 4 6 4" xfId="10877" xr:uid="{271A16A4-2E4D-4EDB-B60B-F37169EF597F}"/>
    <cellStyle name="Normal 4 2 4 6 4 2" xfId="21257" xr:uid="{E48D12CF-779A-4ED9-8B8B-FF952051B37A}"/>
    <cellStyle name="Normal 4 2 4 6 5" xfId="24062" xr:uid="{B8F51B56-D343-4566-AA4C-10BF28E83B0A}"/>
    <cellStyle name="Normal 4 2 4 6 6" xfId="13449" xr:uid="{77F5DE15-377E-43E2-AD6E-5E17F1ADD0A4}"/>
    <cellStyle name="Normal 4 2 4 7" xfId="2490" xr:uid="{00000000-0005-0000-0000-0000D8050000}"/>
    <cellStyle name="Normal 4 2 4 7 2" xfId="5775" xr:uid="{F018ECED-5A6F-4447-9A54-9EE76DDBE63F}"/>
    <cellStyle name="Normal 4 2 4 7 2 2" xfId="26494" xr:uid="{20CD0C60-F007-4614-9B70-9A17FB6DFF1D}"/>
    <cellStyle name="Normal 4 2 4 7 2 3" xfId="15162" xr:uid="{E1E7917D-0F93-4527-AE06-FB2AF4482F01}"/>
    <cellStyle name="Normal 4 2 4 7 3" xfId="7615" xr:uid="{6514BE92-1F04-4928-8709-D85A419C7015}"/>
    <cellStyle name="Normal 4 2 4 7 3 2" xfId="17995" xr:uid="{9CEE5451-D453-4DDB-9594-21DEED4014B7}"/>
    <cellStyle name="Normal 4 2 4 7 4" xfId="10448" xr:uid="{38B26B3D-726D-459F-AF2C-ECD1E29A4E39}"/>
    <cellStyle name="Normal 4 2 4 7 4 2" xfId="20828" xr:uid="{1E7E024D-C69D-493A-99B3-BA694475E263}"/>
    <cellStyle name="Normal 4 2 4 7 5" xfId="23758" xr:uid="{3E8674F5-2E40-4193-BA4B-289E887374FE}"/>
    <cellStyle name="Normal 4 2 4 7 6" xfId="12878" xr:uid="{36D69116-BF77-4B1C-AEC5-5834A30DC7E7}"/>
    <cellStyle name="Normal 4 2 4 8" xfId="2184" xr:uid="{00000000-0005-0000-0000-0000C1050000}"/>
    <cellStyle name="Normal 4 2 4 8 2" xfId="7311" xr:uid="{F12A16AD-7B72-415C-9FDB-084D86B3C010}"/>
    <cellStyle name="Normal 4 2 4 8 2 2" xfId="17691" xr:uid="{5429233F-C9A4-4E27-A5B1-9C96FFE0F1DC}"/>
    <cellStyle name="Normal 4 2 4 8 3" xfId="10144" xr:uid="{81ABF9DE-FCB1-4960-BBE8-9EDEB58738B3}"/>
    <cellStyle name="Normal 4 2 4 8 3 2" xfId="20524" xr:uid="{CEF406A1-D7FF-40FB-86B1-E3777551BBAD}"/>
    <cellStyle name="Normal 4 2 4 8 4" xfId="23696" xr:uid="{991D425F-ED78-4AF1-A784-690BB22855BD}"/>
    <cellStyle name="Normal 4 2 4 8 5" xfId="14858" xr:uid="{F13E48C5-0826-4DBF-9B5F-E3424307332A}"/>
    <cellStyle name="Normal 4 2 4 9" xfId="3980" xr:uid="{45AF6E9E-6287-4168-9448-70EA475F6D56}"/>
    <cellStyle name="Normal 4 2 4 9 2" xfId="8804" xr:uid="{96A98EB3-8991-4181-A17C-6603F625A4A6}"/>
    <cellStyle name="Normal 4 2 4 9 2 2" xfId="19184" xr:uid="{8BBAFF3B-41EF-46F1-A4FD-B9358D20F12A}"/>
    <cellStyle name="Normal 4 2 4 9 3" xfId="11637" xr:uid="{23034033-ACF7-4415-A7E9-1BCB1E9700BD}"/>
    <cellStyle name="Normal 4 2 4 9 3 2" xfId="22017" xr:uid="{B28099F8-D03B-4A07-9886-76653D588664}"/>
    <cellStyle name="Normal 4 2 4 9 4" xfId="16351" xr:uid="{A710A958-0260-4144-B2F9-F9DE1EBA01CF}"/>
    <cellStyle name="Normal 4 2 5" xfId="958" xr:uid="{00000000-0005-0000-0000-000070050000}"/>
    <cellStyle name="Normal 4 2 5 10" xfId="5263" xr:uid="{0CBE73A5-7193-4D2C-A908-00C86B036AD4}"/>
    <cellStyle name="Normal 4 2 5 10 2" xfId="14561" xr:uid="{A731E1B3-3F9F-4889-B99A-0145435E747A}"/>
    <cellStyle name="Normal 4 2 5 11" xfId="7014" xr:uid="{3967B753-E8EF-48AC-83DE-54B8730320A3}"/>
    <cellStyle name="Normal 4 2 5 11 2" xfId="17394" xr:uid="{490C3C79-1905-444B-A011-4DBCF704CF26}"/>
    <cellStyle name="Normal 4 2 5 12" xfId="9847" xr:uid="{33654FB9-4B74-41A2-813A-B8AE1BDE3AB7}"/>
    <cellStyle name="Normal 4 2 5 12 2" xfId="20227" xr:uid="{5AF73625-CF6A-48A5-916A-015C667A23E4}"/>
    <cellStyle name="Normal 4 2 5 13" xfId="25430" xr:uid="{8BAE80AC-F656-4AEE-B7FB-D550FE15D202}"/>
    <cellStyle name="Normal 4 2 5 14" xfId="12450" xr:uid="{146E16A4-1DDA-401D-A374-6B4A02EC93AD}"/>
    <cellStyle name="Normal 4 2 5 2" xfId="959" xr:uid="{00000000-0005-0000-0000-000071050000}"/>
    <cellStyle name="Normal 4 2 5 2 10" xfId="9848" xr:uid="{B26CF3D7-1113-434C-8C60-5E5772F9ADCC}"/>
    <cellStyle name="Normal 4 2 5 2 10 2" xfId="20228" xr:uid="{15613978-8531-43E1-8060-4069E3668F7C}"/>
    <cellStyle name="Normal 4 2 5 2 11" xfId="23551" xr:uid="{E140D3AB-46F1-4E88-94C1-1F97E001E18E}"/>
    <cellStyle name="Normal 4 2 5 2 12" xfId="12594" xr:uid="{3E88260C-B2CB-41BC-91B2-A4DF1C1B4BA0}"/>
    <cellStyle name="Normal 4 2 5 2 2" xfId="960" xr:uid="{00000000-0005-0000-0000-000072050000}"/>
    <cellStyle name="Normal 4 2 5 2 2 2" xfId="3321" xr:uid="{00000000-0005-0000-0000-0000DC050000}"/>
    <cellStyle name="Normal 4 2 5 2 2 2 2" xfId="6379" xr:uid="{B770ADED-9101-408A-83A1-B924951FF274}"/>
    <cellStyle name="Normal 4 2 5 2 2 2 2 2" xfId="28266" xr:uid="{C74EC279-60EC-4E28-A305-0DCD07AF538C}"/>
    <cellStyle name="Normal 4 2 5 2 2 2 2 3" xfId="26684" xr:uid="{C3478ABA-1720-4FAC-8FED-923AEB8466D0}"/>
    <cellStyle name="Normal 4 2 5 2 2 2 2 4" xfId="15948" xr:uid="{7C2475F4-8D89-4CA3-8E9E-C24BB1B3C501}"/>
    <cellStyle name="Normal 4 2 5 2 2 2 3" xfId="8401" xr:uid="{C22CFE14-56FC-4F3C-AF93-DD42ECF197AC}"/>
    <cellStyle name="Normal 4 2 5 2 2 2 3 2" xfId="28906" xr:uid="{57FFE5EE-767B-4502-97BB-CDFC96E7FA7D}"/>
    <cellStyle name="Normal 4 2 5 2 2 2 3 3" xfId="18781" xr:uid="{EC3C5B6E-4CC2-4105-9791-A067BF9E0F15}"/>
    <cellStyle name="Normal 4 2 5 2 2 2 4" xfId="11234" xr:uid="{E2E5DE9D-117A-48A6-81CD-2FA1A7C81124}"/>
    <cellStyle name="Normal 4 2 5 2 2 2 4 2" xfId="21614" xr:uid="{2AA75FDA-06FB-4904-BDD8-843D86CA359A}"/>
    <cellStyle name="Normal 4 2 5 2 2 2 5" xfId="22738" xr:uid="{BE7C205A-0BA3-4733-A7F0-821BF620A085}"/>
    <cellStyle name="Normal 4 2 5 2 2 2 6" xfId="13878" xr:uid="{D2F893E2-3F1E-4A3F-9EB0-404D65F01C6D}"/>
    <cellStyle name="Normal 4 2 5 2 2 3" xfId="4335" xr:uid="{5BE6B68A-7B10-4B7E-854E-6FFB4FFE172B}"/>
    <cellStyle name="Normal 4 2 5 2 2 3 2" xfId="9107" xr:uid="{1302051A-ABE6-4175-AA37-19EB6E160850}"/>
    <cellStyle name="Normal 4 2 5 2 2 3 2 2" xfId="29150" xr:uid="{99041798-5A95-422D-AE30-E4AE237CFDBC}"/>
    <cellStyle name="Normal 4 2 5 2 2 3 2 3" xfId="19487" xr:uid="{3C106315-F70B-4A49-A801-9FBE3D5B27D2}"/>
    <cellStyle name="Normal 4 2 5 2 2 3 3" xfId="11940" xr:uid="{86EFA8A8-BEE4-47A3-AF34-8FFF9C28A589}"/>
    <cellStyle name="Normal 4 2 5 2 2 3 3 2" xfId="22320" xr:uid="{EF63205B-BB47-4CBB-BE9E-5BC10AEF294F}"/>
    <cellStyle name="Normal 4 2 5 2 2 3 4" xfId="25217" xr:uid="{19DF6725-F748-4B6D-90AD-46D9D3FFDDBE}"/>
    <cellStyle name="Normal 4 2 5 2 2 3 5" xfId="16654" xr:uid="{92D965AF-E9A9-4832-A5CA-A4A2669210C2}"/>
    <cellStyle name="Normal 4 2 5 2 2 4" xfId="5265" xr:uid="{2276ACD1-E7D6-4418-A080-980DEAE92B44}"/>
    <cellStyle name="Normal 4 2 5 2 2 4 2" xfId="25997" xr:uid="{CE44DA71-1C40-4684-8046-9C67712C9040}"/>
    <cellStyle name="Normal 4 2 5 2 2 4 3" xfId="14563" xr:uid="{EC1BC237-9119-4647-97ED-878B17EF3299}"/>
    <cellStyle name="Normal 4 2 5 2 2 5" xfId="7016" xr:uid="{19BD68A2-67CA-4449-AA4B-DDBA978C8675}"/>
    <cellStyle name="Normal 4 2 5 2 2 5 2" xfId="17396" xr:uid="{F9B737A5-8B7A-461F-8D10-F24CC8DCE17C}"/>
    <cellStyle name="Normal 4 2 5 2 2 6" xfId="9849" xr:uid="{1CBAEAD7-2B41-4B13-B4C6-ACEE43A54F72}"/>
    <cellStyle name="Normal 4 2 5 2 2 6 2" xfId="20229" xr:uid="{173F5588-FDB3-4B71-B930-4E0584D44597}"/>
    <cellStyle name="Normal 4 2 5 2 2 7" xfId="25503" xr:uid="{D33929E5-E0B8-4C10-91F3-31EBD339EBD4}"/>
    <cellStyle name="Normal 4 2 5 2 2 8" xfId="13233" xr:uid="{4F9CECE8-EB50-49F4-9389-259541B4B9EF}"/>
    <cellStyle name="Normal 4 2 5 2 3" xfId="3322" xr:uid="{00000000-0005-0000-0000-0000DD050000}"/>
    <cellStyle name="Normal 4 2 5 2 3 2" xfId="4523" xr:uid="{347C5674-4DFD-40C4-B12F-56BE80C5BE4E}"/>
    <cellStyle name="Normal 4 2 5 2 3 2 2" xfId="9295" xr:uid="{3F581F5C-90FA-474F-BF10-5137BEAE4725}"/>
    <cellStyle name="Normal 4 2 5 2 3 2 2 2" xfId="29274" xr:uid="{0CBB4331-0319-490B-B15B-9200E81CA6A4}"/>
    <cellStyle name="Normal 4 2 5 2 3 2 2 3" xfId="19675" xr:uid="{838DF7E9-BA6F-4FBF-B781-FB2858570C60}"/>
    <cellStyle name="Normal 4 2 5 2 3 2 3" xfId="12128" xr:uid="{7FABD496-6C93-4FDA-A3DD-F96ABDEEAAC0}"/>
    <cellStyle name="Normal 4 2 5 2 3 2 3 2" xfId="22508" xr:uid="{35BD0BB6-0B4C-4E1B-A833-D8A806597684}"/>
    <cellStyle name="Normal 4 2 5 2 3 2 4" xfId="25655" xr:uid="{F9AED57B-FB20-4B83-AFC5-9B9BF17A3DBE}"/>
    <cellStyle name="Normal 4 2 5 2 3 2 5" xfId="16842" xr:uid="{2D5ADDA7-B3A4-4C7D-939C-F6084C4E276A}"/>
    <cellStyle name="Normal 4 2 5 2 3 3" xfId="6380" xr:uid="{CD6C82C8-A74A-433D-B39F-B9C161BA02EE}"/>
    <cellStyle name="Normal 4 2 5 2 3 3 2" xfId="28290" xr:uid="{B9A18EF6-7C90-4427-ADEF-358CCBDACFD6}"/>
    <cellStyle name="Normal 4 2 5 2 3 3 3" xfId="15949" xr:uid="{BE577C5B-C10E-446F-8688-350CADE73FEF}"/>
    <cellStyle name="Normal 4 2 5 2 3 4" xfId="8402" xr:uid="{9718EDC0-0073-4EC3-B6B9-540CB1B96F41}"/>
    <cellStyle name="Normal 4 2 5 2 3 4 2" xfId="18782" xr:uid="{ACEE0FCB-F137-469D-8B77-9CB741FA1AC7}"/>
    <cellStyle name="Normal 4 2 5 2 3 5" xfId="11235" xr:uid="{5AE48A34-F6DB-4551-BA3E-857436778BD5}"/>
    <cellStyle name="Normal 4 2 5 2 3 5 2" xfId="21615" xr:uid="{A40392E5-DC6A-4C8D-8E01-AF1046A67A4D}"/>
    <cellStyle name="Normal 4 2 5 2 3 6" xfId="22757" xr:uid="{C5EB7D95-B669-4759-BF56-E246B3848CF9}"/>
    <cellStyle name="Normal 4 2 5 2 3 7" xfId="13879" xr:uid="{6DBC202F-6DB1-4F1E-A066-512B436B0C98}"/>
    <cellStyle name="Normal 4 2 5 2 4" xfId="3320" xr:uid="{00000000-0005-0000-0000-0000DE050000}"/>
    <cellStyle name="Normal 4 2 5 2 4 2" xfId="6378" xr:uid="{432CD6A6-AFDF-41D6-BFC3-3790A92C6F84}"/>
    <cellStyle name="Normal 4 2 5 2 4 2 2" xfId="26376" xr:uid="{82ABE11C-256E-4056-918B-A35B699AB672}"/>
    <cellStyle name="Normal 4 2 5 2 4 2 3" xfId="15947" xr:uid="{C37600C8-3ED2-440B-8690-8C3B3063BCDD}"/>
    <cellStyle name="Normal 4 2 5 2 4 3" xfId="8400" xr:uid="{E8E189F8-8F4B-4890-9701-B5D1C06B73F2}"/>
    <cellStyle name="Normal 4 2 5 2 4 3 2" xfId="18780" xr:uid="{5CAD051B-AFF1-400C-8267-4F53AB69DDA2}"/>
    <cellStyle name="Normal 4 2 5 2 4 4" xfId="11233" xr:uid="{FBA4F533-2B3C-4CCD-973C-9CAB932C23CE}"/>
    <cellStyle name="Normal 4 2 5 2 4 4 2" xfId="21613" xr:uid="{D2FC6275-5A85-4ECA-933B-0219857FE0FB}"/>
    <cellStyle name="Normal 4 2 5 2 4 5" xfId="24155" xr:uid="{D8002FA3-967C-4F90-ACC8-5D137DBF6F85}"/>
    <cellStyle name="Normal 4 2 5 2 4 6" xfId="13877" xr:uid="{D694F6F7-2BF7-4D7B-96A4-EED1281B6703}"/>
    <cellStyle name="Normal 4 2 5 2 5" xfId="2524" xr:uid="{00000000-0005-0000-0000-0000DF050000}"/>
    <cellStyle name="Normal 4 2 5 2 5 2" xfId="5801" xr:uid="{11D778BA-8E15-4019-B38A-8E52B38AEBF0}"/>
    <cellStyle name="Normal 4 2 5 2 5 2 2" xfId="25982" xr:uid="{6A9AA136-2BD0-4FBF-9ABB-282C03ECF6E4}"/>
    <cellStyle name="Normal 4 2 5 2 5 2 3" xfId="15196" xr:uid="{16AA72AB-A281-4DDC-AB5D-460210E2E450}"/>
    <cellStyle name="Normal 4 2 5 2 5 3" xfId="7649" xr:uid="{4A162BEF-2978-4CE7-BE45-90F48C2F33A4}"/>
    <cellStyle name="Normal 4 2 5 2 5 3 2" xfId="18029" xr:uid="{A9BED9A7-98A0-45A8-9F06-91AB686E446A}"/>
    <cellStyle name="Normal 4 2 5 2 5 4" xfId="10482" xr:uid="{FAACC862-64F7-4F79-A96E-E160C786ABCD}"/>
    <cellStyle name="Normal 4 2 5 2 5 4 2" xfId="20862" xr:uid="{F9F4DD29-D3C2-476C-AD88-BB91E3826189}"/>
    <cellStyle name="Normal 4 2 5 2 5 5" xfId="23975" xr:uid="{38614436-59D6-4DEC-8B43-2E00B0443410}"/>
    <cellStyle name="Normal 4 2 5 2 5 6" xfId="12912" xr:uid="{65572533-9279-4D9C-B564-FD495FB82F6F}"/>
    <cellStyle name="Normal 4 2 5 2 6" xfId="2360" xr:uid="{00000000-0005-0000-0000-0000DA050000}"/>
    <cellStyle name="Normal 4 2 5 2 6 2" xfId="7487" xr:uid="{6258D792-03F6-4DD9-BEBA-5118EF4C3843}"/>
    <cellStyle name="Normal 4 2 5 2 6 2 2" xfId="17867" xr:uid="{4E480B7B-420E-401D-A276-81C4402CB61A}"/>
    <cellStyle name="Normal 4 2 5 2 6 3" xfId="10320" xr:uid="{166DEC97-5528-433D-9E11-55CBE0AF026F}"/>
    <cellStyle name="Normal 4 2 5 2 6 3 2" xfId="20700" xr:uid="{A2F4F4BD-0514-452A-9200-A93BC546385A}"/>
    <cellStyle name="Normal 4 2 5 2 6 4" xfId="23308" xr:uid="{39990AC5-8C6B-4B0D-8798-96B022C2360D}"/>
    <cellStyle name="Normal 4 2 5 2 6 5" xfId="15034" xr:uid="{B2BFCC8C-E173-4385-9802-1DD47ED3D577}"/>
    <cellStyle name="Normal 4 2 5 2 7" xfId="3897" xr:uid="{CB65113C-B265-478E-9D02-6C0656EEE1BA}"/>
    <cellStyle name="Normal 4 2 5 2 7 2" xfId="8729" xr:uid="{F611B9F0-8701-45BA-A1D0-35AEA580EF9B}"/>
    <cellStyle name="Normal 4 2 5 2 7 2 2" xfId="19109" xr:uid="{8C51E9BE-0237-4151-B049-E10F9C4E50BC}"/>
    <cellStyle name="Normal 4 2 5 2 7 3" xfId="11562" xr:uid="{A087CB4F-BC5D-45D1-9053-01A720DEFB4C}"/>
    <cellStyle name="Normal 4 2 5 2 7 3 2" xfId="21942" xr:uid="{C1497DF3-61B4-49B1-BBCD-BCAC48179AF9}"/>
    <cellStyle name="Normal 4 2 5 2 7 4" xfId="16276" xr:uid="{CEADDF0D-E011-4200-AC7B-8AC418DCC36E}"/>
    <cellStyle name="Normal 4 2 5 2 8" xfId="5264" xr:uid="{20239CCB-D576-44EC-92EA-AE90C1783381}"/>
    <cellStyle name="Normal 4 2 5 2 8 2" xfId="14562" xr:uid="{EB0580DD-36D2-4FF5-95A1-7A591DC27CD8}"/>
    <cellStyle name="Normal 4 2 5 2 9" xfId="7015" xr:uid="{795DA4D6-C3B5-4D29-AFD2-CAB6BA65E474}"/>
    <cellStyle name="Normal 4 2 5 2 9 2" xfId="17395" xr:uid="{BC3F3C25-047F-4FC7-92EC-024B562BEF50}"/>
    <cellStyle name="Normal 4 2 5 3" xfId="961" xr:uid="{00000000-0005-0000-0000-000073050000}"/>
    <cellStyle name="Normal 4 2 5 3 10" xfId="23369" xr:uid="{79750114-A351-4CCB-867C-76DE717FA61F}"/>
    <cellStyle name="Normal 4 2 5 3 11" xfId="12752" xr:uid="{68D682AD-CD8A-4A06-B9ED-79FA4A5D9671}"/>
    <cellStyle name="Normal 4 2 5 3 2" xfId="2779" xr:uid="{00000000-0005-0000-0000-0000E1050000}"/>
    <cellStyle name="Normal 4 2 5 3 2 2" xfId="3324" xr:uid="{00000000-0005-0000-0000-0000E2050000}"/>
    <cellStyle name="Normal 4 2 5 3 2 2 2" xfId="6382" xr:uid="{C605AE42-8AF8-4194-BC12-7E70C5668458}"/>
    <cellStyle name="Normal 4 2 5 3 2 2 2 2" xfId="25935" xr:uid="{881930D7-1D5F-4EE7-99A4-6ED322AE55F4}"/>
    <cellStyle name="Normal 4 2 5 3 2 2 2 3" xfId="15951" xr:uid="{9C3F95C9-7282-4699-ABF6-D9D420A73124}"/>
    <cellStyle name="Normal 4 2 5 3 2 2 3" xfId="8404" xr:uid="{63265D94-9F3F-4751-862E-84A7C7425231}"/>
    <cellStyle name="Normal 4 2 5 3 2 2 3 2" xfId="18784" xr:uid="{87EB6427-0939-4666-98F2-B807DC62D3A7}"/>
    <cellStyle name="Normal 4 2 5 3 2 2 4" xfId="11237" xr:uid="{6D46F3E2-61ED-49DD-A7B0-4D3D5DE01971}"/>
    <cellStyle name="Normal 4 2 5 3 2 2 4 2" xfId="21617" xr:uid="{D9A396D4-C104-4104-8079-35ECEFA27857}"/>
    <cellStyle name="Normal 4 2 5 3 2 2 5" xfId="22733" xr:uid="{79BD1422-BA6E-495E-B773-5F7BDF605971}"/>
    <cellStyle name="Normal 4 2 5 3 2 2 6" xfId="13881" xr:uid="{ED7E36B9-4F50-4BEF-8561-30C24B6E9567}"/>
    <cellStyle name="Normal 4 2 5 3 2 3" xfId="4336" xr:uid="{39B36460-E5E2-499F-B81B-388D9582238E}"/>
    <cellStyle name="Normal 4 2 5 3 2 3 2" xfId="9108" xr:uid="{B92390C0-83F6-4DAD-BC04-EB8BF96EDE31}"/>
    <cellStyle name="Normal 4 2 5 3 2 3 2 2" xfId="29151" xr:uid="{070640E3-9208-4E43-A10C-1694F45BCA18}"/>
    <cellStyle name="Normal 4 2 5 3 2 3 2 3" xfId="19488" xr:uid="{7F818460-2C5F-4647-B0B0-F6EF4BED27A8}"/>
    <cellStyle name="Normal 4 2 5 3 2 3 3" xfId="11941" xr:uid="{945CD2CC-9CFA-4EC6-9F24-795824B1CA01}"/>
    <cellStyle name="Normal 4 2 5 3 2 3 3 2" xfId="22321" xr:uid="{22E56662-CC04-4231-9943-6BCB77BBCA11}"/>
    <cellStyle name="Normal 4 2 5 3 2 3 4" xfId="22643" xr:uid="{A0C14500-DB99-4ED6-9B7F-46A1EE961179}"/>
    <cellStyle name="Normal 4 2 5 3 2 3 5" xfId="16655" xr:uid="{10B3DEC3-B4E7-4C9B-AB4B-DB531B6D72E3}"/>
    <cellStyle name="Normal 4 2 5 3 2 4" xfId="5997" xr:uid="{1A0F0C4D-3DB7-4C15-A38C-F56B40761BAE}"/>
    <cellStyle name="Normal 4 2 5 3 2 4 2" xfId="26489" xr:uid="{29AFC224-D2C8-4CEC-9F58-60B5AC8080FC}"/>
    <cellStyle name="Normal 4 2 5 3 2 4 3" xfId="15450" xr:uid="{2DFD23E7-52D0-45DD-9860-4A74BC84B353}"/>
    <cellStyle name="Normal 4 2 5 3 2 5" xfId="7903" xr:uid="{E883D2D4-FF50-40C7-9722-8245DECE913C}"/>
    <cellStyle name="Normal 4 2 5 3 2 5 2" xfId="18283" xr:uid="{6B2F9257-DA6A-49DC-9D36-382C53D5F344}"/>
    <cellStyle name="Normal 4 2 5 3 2 6" xfId="10736" xr:uid="{A815C69A-3F68-4268-BC28-4657AC26A748}"/>
    <cellStyle name="Normal 4 2 5 3 2 6 2" xfId="21116" xr:uid="{EAC72D7D-689A-4F1C-B1FF-EC52E59BBEC3}"/>
    <cellStyle name="Normal 4 2 5 3 2 7" xfId="23623" xr:uid="{62CEBA34-760D-405C-B215-4548645090E9}"/>
    <cellStyle name="Normal 4 2 5 3 2 8" xfId="13234" xr:uid="{B446E305-1C65-492A-AE55-2E81932ACC2B}"/>
    <cellStyle name="Normal 4 2 5 3 3" xfId="3325" xr:uid="{00000000-0005-0000-0000-0000E3050000}"/>
    <cellStyle name="Normal 4 2 5 3 3 2" xfId="4524" xr:uid="{E5453EDB-7847-48AE-AA88-4DA4D08CB3CA}"/>
    <cellStyle name="Normal 4 2 5 3 3 2 2" xfId="9296" xr:uid="{594792DB-F602-4F9B-9710-0E8420CA1289}"/>
    <cellStyle name="Normal 4 2 5 3 3 2 2 2" xfId="29275" xr:uid="{5FD6E443-B487-4105-A522-1BD6A7BDFD1D}"/>
    <cellStyle name="Normal 4 2 5 3 3 2 2 3" xfId="19676" xr:uid="{00548E8E-C009-4C8F-B5E6-2C47547A9FC3}"/>
    <cellStyle name="Normal 4 2 5 3 3 2 3" xfId="12129" xr:uid="{55C2624A-BC5F-448E-89A1-BB428B91C339}"/>
    <cellStyle name="Normal 4 2 5 3 3 2 3 2" xfId="22509" xr:uid="{EF73F6D8-9102-4476-B85B-C502DAF53583}"/>
    <cellStyle name="Normal 4 2 5 3 3 2 4" xfId="23690" xr:uid="{AFEAA7CE-90A4-465C-836A-F5D5C5D436D2}"/>
    <cellStyle name="Normal 4 2 5 3 3 2 5" xfId="16843" xr:uid="{FA2F7731-E4AF-4871-9E36-71D90F3B9AF3}"/>
    <cellStyle name="Normal 4 2 5 3 3 3" xfId="6383" xr:uid="{B816879C-A5F2-4FEF-81E0-B90C1C1B71B1}"/>
    <cellStyle name="Normal 4 2 5 3 3 3 2" xfId="26304" xr:uid="{FF48CE8C-519D-4A38-88D4-DA1956A00C79}"/>
    <cellStyle name="Normal 4 2 5 3 3 3 3" xfId="15952" xr:uid="{5907614C-2626-4B8F-BDEA-CFD0E8F86ED4}"/>
    <cellStyle name="Normal 4 2 5 3 3 4" xfId="8405" xr:uid="{EA9A7BC6-C0E7-45EB-A8CF-4EBA6BADE169}"/>
    <cellStyle name="Normal 4 2 5 3 3 4 2" xfId="18785" xr:uid="{19191B56-EA36-4B20-AEED-830A10CAAD27}"/>
    <cellStyle name="Normal 4 2 5 3 3 5" xfId="11238" xr:uid="{C636646A-A91B-4460-BE67-329647A062AB}"/>
    <cellStyle name="Normal 4 2 5 3 3 5 2" xfId="21618" xr:uid="{6DA88660-B64C-4244-939E-63DEB00E3242}"/>
    <cellStyle name="Normal 4 2 5 3 3 6" xfId="22697" xr:uid="{AC4C5E30-F5D9-4B86-8D24-26742E4CF504}"/>
    <cellStyle name="Normal 4 2 5 3 3 7" xfId="13882" xr:uid="{C8DF9A62-7C81-4C4A-9EA7-7888785F30B1}"/>
    <cellStyle name="Normal 4 2 5 3 4" xfId="3323" xr:uid="{00000000-0005-0000-0000-0000E4050000}"/>
    <cellStyle name="Normal 4 2 5 3 4 2" xfId="6381" xr:uid="{387E779B-00CE-4EC3-892B-B2B90CA3EFE7}"/>
    <cellStyle name="Normal 4 2 5 3 4 2 2" xfId="26888" xr:uid="{A286A1A6-8CF2-4D80-8B25-D8F8DE6624FF}"/>
    <cellStyle name="Normal 4 2 5 3 4 2 3" xfId="15950" xr:uid="{37752C60-178A-4A20-9C24-8CC6E9C19ACC}"/>
    <cellStyle name="Normal 4 2 5 3 4 3" xfId="8403" xr:uid="{54A2113F-AA51-4487-952D-0029B2365B37}"/>
    <cellStyle name="Normal 4 2 5 3 4 3 2" xfId="18783" xr:uid="{3A1B1FB0-E466-42DE-9132-0C42DBD5D2D6}"/>
    <cellStyle name="Normal 4 2 5 3 4 4" xfId="11236" xr:uid="{0B0ACCC4-DB40-4733-81F6-2F736105CA80}"/>
    <cellStyle name="Normal 4 2 5 3 4 4 2" xfId="21616" xr:uid="{74A7B9B8-7A1A-454F-A977-76690D774C54}"/>
    <cellStyle name="Normal 4 2 5 3 4 5" xfId="24186" xr:uid="{A47BE7BA-D7F5-402A-AC36-51DDB649C961}"/>
    <cellStyle name="Normal 4 2 5 3 4 6" xfId="13880" xr:uid="{48A85F04-0BE0-47B5-B892-DE3379BFCC42}"/>
    <cellStyle name="Normal 4 2 5 3 5" xfId="2627" xr:uid="{00000000-0005-0000-0000-0000E5050000}"/>
    <cellStyle name="Normal 4 2 5 3 5 2" xfId="5889" xr:uid="{F9EB9A5C-A7DA-4DF2-8279-9B34F07990F0}"/>
    <cellStyle name="Normal 4 2 5 3 5 2 2" xfId="26989" xr:uid="{0D84CEF1-9AE5-410B-8E6D-1BA242AC0101}"/>
    <cellStyle name="Normal 4 2 5 3 5 2 3" xfId="15299" xr:uid="{0A4BA692-CC5E-4132-9D94-17C7477AC0CB}"/>
    <cellStyle name="Normal 4 2 5 3 5 3" xfId="7752" xr:uid="{25712DD4-1059-4CA5-9A3C-EFA115EC4468}"/>
    <cellStyle name="Normal 4 2 5 3 5 3 2" xfId="18132" xr:uid="{2E6B801A-C33C-4D75-9C90-F828E5EC0C3B}"/>
    <cellStyle name="Normal 4 2 5 3 5 4" xfId="10585" xr:uid="{B468A150-16E3-4D01-BBAB-E817329AD542}"/>
    <cellStyle name="Normal 4 2 5 3 5 4 2" xfId="20965" xr:uid="{BFCE8A20-96C1-4BCF-A6A5-A248B059E7A5}"/>
    <cellStyle name="Normal 4 2 5 3 5 5" xfId="22843" xr:uid="{ABB10640-FEDD-4C24-868F-7A8EA3B27B59}"/>
    <cellStyle name="Normal 4 2 5 3 5 6" xfId="13015" xr:uid="{220D344D-761E-4309-BD03-807ABD6DDB3A}"/>
    <cellStyle name="Normal 4 2 5 3 6" xfId="4188" xr:uid="{BC304B4B-82E9-4E7C-B296-6D65F062491B}"/>
    <cellStyle name="Normal 4 2 5 3 6 2" xfId="8960" xr:uid="{6903D274-2589-436F-A52D-2707B23AF46A}"/>
    <cellStyle name="Normal 4 2 5 3 6 2 2" xfId="19340" xr:uid="{D9D5D96A-E195-4626-94D0-384CD033A3BF}"/>
    <cellStyle name="Normal 4 2 5 3 6 3" xfId="11793" xr:uid="{C1F6140E-B44B-4175-86C0-F6252E1D6231}"/>
    <cellStyle name="Normal 4 2 5 3 6 3 2" xfId="22173" xr:uid="{34510711-65CB-48FB-8757-F6F2AA6CFE45}"/>
    <cellStyle name="Normal 4 2 5 3 6 4" xfId="24607" xr:uid="{F66BF6C3-8931-40E4-85D4-741BA5B42733}"/>
    <cellStyle name="Normal 4 2 5 3 6 5" xfId="16507" xr:uid="{8C4F2945-644E-48C4-A252-2306264F717A}"/>
    <cellStyle name="Normal 4 2 5 3 7" xfId="5266" xr:uid="{C09DB10E-1F2D-449E-B56E-05130914761F}"/>
    <cellStyle name="Normal 4 2 5 3 7 2" xfId="14564" xr:uid="{F33A083D-51F9-40EF-9E9E-66C1606CF4B3}"/>
    <cellStyle name="Normal 4 2 5 3 8" xfId="7017" xr:uid="{53721B6D-FBE2-43DF-BCCD-E6655CA3DD99}"/>
    <cellStyle name="Normal 4 2 5 3 8 2" xfId="17397" xr:uid="{072A331F-596B-4952-8436-15C6FFD85F80}"/>
    <cellStyle name="Normal 4 2 5 3 9" xfId="9850" xr:uid="{A24F73A7-1478-4E03-B26A-41F723577305}"/>
    <cellStyle name="Normal 4 2 5 3 9 2" xfId="20230" xr:uid="{66E85D27-4E42-4EE3-87C0-78058182270B}"/>
    <cellStyle name="Normal 4 2 5 4" xfId="962" xr:uid="{00000000-0005-0000-0000-000074050000}"/>
    <cellStyle name="Normal 4 2 5 4 2" xfId="3326" xr:uid="{00000000-0005-0000-0000-0000E7050000}"/>
    <cellStyle name="Normal 4 2 5 4 2 2" xfId="6384" xr:uid="{2D8A9C61-8F07-4BE3-B6CB-92BA97D88958}"/>
    <cellStyle name="Normal 4 2 5 4 2 2 2" xfId="26262" xr:uid="{FFE65A06-3AB4-4919-A981-6F99564EA57D}"/>
    <cellStyle name="Normal 4 2 5 4 2 2 3" xfId="15953" xr:uid="{BB3D1C01-5747-4DAE-B9BD-95C9518332E1}"/>
    <cellStyle name="Normal 4 2 5 4 2 3" xfId="8406" xr:uid="{C8EA9E31-80AB-44C4-A0ED-22532E9C6E9A}"/>
    <cellStyle name="Normal 4 2 5 4 2 3 2" xfId="18786" xr:uid="{6C8F56C3-F9D8-4581-A2A6-9B795558E906}"/>
    <cellStyle name="Normal 4 2 5 4 2 4" xfId="11239" xr:uid="{6658D817-0906-49C9-A476-79B6586D018E}"/>
    <cellStyle name="Normal 4 2 5 4 2 4 2" xfId="21619" xr:uid="{40772340-F376-4654-B687-93962604834C}"/>
    <cellStyle name="Normal 4 2 5 4 2 5" xfId="23350" xr:uid="{A7470EB6-7774-4F99-ADA4-26A6B94C1DE6}"/>
    <cellStyle name="Normal 4 2 5 4 2 6" xfId="13883" xr:uid="{2F51F388-9219-431B-84AF-102469B74FD8}"/>
    <cellStyle name="Normal 4 2 5 4 3" xfId="4334" xr:uid="{F79196D7-441F-4273-8A49-2B180DFCA0FD}"/>
    <cellStyle name="Normal 4 2 5 4 3 2" xfId="9106" xr:uid="{CEE77492-61F9-4417-BAFD-C519B7073992}"/>
    <cellStyle name="Normal 4 2 5 4 3 2 2" xfId="29149" xr:uid="{5DF036F2-C522-4BE5-89DB-31C26EA17703}"/>
    <cellStyle name="Normal 4 2 5 4 3 2 3" xfId="19486" xr:uid="{C968488D-217B-48EF-8AB1-EE20461C5AB5}"/>
    <cellStyle name="Normal 4 2 5 4 3 3" xfId="11939" xr:uid="{DC646F8A-CF8E-4E4C-AABB-920E1ABA1CAC}"/>
    <cellStyle name="Normal 4 2 5 4 3 3 2" xfId="22319" xr:uid="{90E7123E-3C95-4430-B5F5-CAEF48BF0651}"/>
    <cellStyle name="Normal 4 2 5 4 3 4" xfId="24549" xr:uid="{B08EFD12-EDA2-48E2-8B12-53A8A0C19493}"/>
    <cellStyle name="Normal 4 2 5 4 3 5" xfId="16653" xr:uid="{FC7ABEB3-79E1-40C6-809F-C09973868853}"/>
    <cellStyle name="Normal 4 2 5 4 4" xfId="5267" xr:uid="{90636868-3CBD-43CF-9E0C-16942A9F471A}"/>
    <cellStyle name="Normal 4 2 5 4 4 2" xfId="27536" xr:uid="{9BB7A04A-111A-48BD-950A-D4021D2D8F4B}"/>
    <cellStyle name="Normal 4 2 5 4 4 3" xfId="14565" xr:uid="{F358DA77-44A8-4EA2-97FD-95B69369D8E1}"/>
    <cellStyle name="Normal 4 2 5 4 5" xfId="7018" xr:uid="{180F0E22-7AF7-42B8-9CAF-B98E3A758FB0}"/>
    <cellStyle name="Normal 4 2 5 4 5 2" xfId="17398" xr:uid="{E5377EE4-82A2-4E2C-B29F-B7FAA78461F2}"/>
    <cellStyle name="Normal 4 2 5 4 6" xfId="9851" xr:uid="{EE520D22-54F9-4A56-882D-EDD964009DA5}"/>
    <cellStyle name="Normal 4 2 5 4 6 2" xfId="20231" xr:uid="{3E91A0AC-E69E-438A-BEC3-6BC5C92BA4B4}"/>
    <cellStyle name="Normal 4 2 5 4 7" xfId="23687" xr:uid="{F8AB6D34-FDEA-4429-8542-10CAF464858D}"/>
    <cellStyle name="Normal 4 2 5 4 8" xfId="13232" xr:uid="{52DFCB45-735F-4B62-8392-014FB9CBE2FC}"/>
    <cellStyle name="Normal 4 2 5 5" xfId="3327" xr:uid="{00000000-0005-0000-0000-0000E8050000}"/>
    <cellStyle name="Normal 4 2 5 5 2" xfId="4525" xr:uid="{6D8784FB-DF71-4A83-8BDB-B3BDE7149BF9}"/>
    <cellStyle name="Normal 4 2 5 5 2 2" xfId="9297" xr:uid="{939521D8-ADC4-43CB-94FA-F0819C3406E9}"/>
    <cellStyle name="Normal 4 2 5 5 2 2 2" xfId="29276" xr:uid="{19DF4257-E43C-469F-9C16-B24162758384}"/>
    <cellStyle name="Normal 4 2 5 5 2 2 3" xfId="19677" xr:uid="{A5E31672-4691-46A0-B679-F339810D17C6}"/>
    <cellStyle name="Normal 4 2 5 5 2 3" xfId="12130" xr:uid="{99A63C92-0408-437E-9FB4-E8FC1C9FCFAA}"/>
    <cellStyle name="Normal 4 2 5 5 2 3 2" xfId="22510" xr:uid="{67C58881-5862-41EE-9DD7-947707FCFD34}"/>
    <cellStyle name="Normal 4 2 5 5 2 4" xfId="22986" xr:uid="{A8AA8306-3676-4E55-A536-A97B78DC1C8C}"/>
    <cellStyle name="Normal 4 2 5 5 2 5" xfId="16844" xr:uid="{F53A3395-D366-43D3-947A-A5C3B26D2711}"/>
    <cellStyle name="Normal 4 2 5 5 3" xfId="6385" xr:uid="{7B8F94D8-8887-4BA3-866C-407C1FBD36D0}"/>
    <cellStyle name="Normal 4 2 5 5 3 2" xfId="27817" xr:uid="{87681F70-42A7-43F7-8321-22E7CEF77D0C}"/>
    <cellStyle name="Normal 4 2 5 5 3 3" xfId="15954" xr:uid="{5AA64C3B-0F1C-42DE-B554-03458BE76FAC}"/>
    <cellStyle name="Normal 4 2 5 5 4" xfId="8407" xr:uid="{D8F9B07C-BF9A-4884-A50C-878839D29542}"/>
    <cellStyle name="Normal 4 2 5 5 4 2" xfId="18787" xr:uid="{7EE55C6F-078D-4EB4-97C4-E0C515C05408}"/>
    <cellStyle name="Normal 4 2 5 5 5" xfId="11240" xr:uid="{BEBAF8B2-74C4-45AF-8296-FB1ACA4054FD}"/>
    <cellStyle name="Normal 4 2 5 5 5 2" xfId="21620" xr:uid="{E8BDEB03-F972-4EEF-AED1-3CE2087889AB}"/>
    <cellStyle name="Normal 4 2 5 5 6" xfId="25326" xr:uid="{CD8F67A7-A3F0-427E-B834-3775BDAD38C0}"/>
    <cellStyle name="Normal 4 2 5 5 7" xfId="13884" xr:uid="{85D00D68-9ECF-44FF-A6D4-9D8CC9870C10}"/>
    <cellStyle name="Normal 4 2 5 6" xfId="2934" xr:uid="{00000000-0005-0000-0000-0000E9050000}"/>
    <cellStyle name="Normal 4 2 5 6 2" xfId="6114" xr:uid="{BE900F96-FEA2-4E30-92A8-CAE0953D3425}"/>
    <cellStyle name="Normal 4 2 5 6 2 2" xfId="27271" xr:uid="{14F8E04A-0425-4615-95E5-8CD6F3472A76}"/>
    <cellStyle name="Normal 4 2 5 6 2 3" xfId="15592" xr:uid="{02E86C8F-E312-4B22-A092-CD1A084F2D56}"/>
    <cellStyle name="Normal 4 2 5 6 3" xfId="8045" xr:uid="{FDB47C98-6356-471F-B78F-D9589B434C33}"/>
    <cellStyle name="Normal 4 2 5 6 3 2" xfId="18425" xr:uid="{ACB89726-CBF0-487C-A098-8B8203A24883}"/>
    <cellStyle name="Normal 4 2 5 6 4" xfId="10878" xr:uid="{D467590A-68A2-4185-81DF-CE6DFE8C83CB}"/>
    <cellStyle name="Normal 4 2 5 6 4 2" xfId="21258" xr:uid="{C6486E78-3A73-4F03-8C3B-96DFCE1ED896}"/>
    <cellStyle name="Normal 4 2 5 6 5" xfId="23649" xr:uid="{8E98ABBA-56EF-4EB2-8C80-C71F3B7F9032}"/>
    <cellStyle name="Normal 4 2 5 6 6" xfId="13450" xr:uid="{A84DE8E5-B24F-4345-923E-B3A2D97ACC76}"/>
    <cellStyle name="Normal 4 2 5 7" xfId="2464" xr:uid="{00000000-0005-0000-0000-0000EA050000}"/>
    <cellStyle name="Normal 4 2 5 7 2" xfId="5755" xr:uid="{B3C0D14B-390F-41E4-BDFD-0922C0DFF1F0}"/>
    <cellStyle name="Normal 4 2 5 7 2 2" xfId="27790" xr:uid="{B73C931D-43BD-471E-82AB-D8E8B2765E0C}"/>
    <cellStyle name="Normal 4 2 5 7 2 3" xfId="15136" xr:uid="{434BEB20-E85A-4B68-8FD8-E53101751DE4}"/>
    <cellStyle name="Normal 4 2 5 7 3" xfId="7589" xr:uid="{98097413-696C-4D6B-B43B-A312583BFC60}"/>
    <cellStyle name="Normal 4 2 5 7 3 2" xfId="17969" xr:uid="{91808D4E-F3DA-4DE1-806C-2787AF64E39E}"/>
    <cellStyle name="Normal 4 2 5 7 4" xfId="10422" xr:uid="{C7695EA6-FCC5-46B3-8581-BABB751203C3}"/>
    <cellStyle name="Normal 4 2 5 7 4 2" xfId="20802" xr:uid="{C91687E2-92DF-49FB-83E1-C765A8EEDC20}"/>
    <cellStyle name="Normal 4 2 5 7 5" xfId="23071" xr:uid="{47CF11B8-F3BB-4AAE-920F-7AD967892354}"/>
    <cellStyle name="Normal 4 2 5 7 6" xfId="12852" xr:uid="{A38FCE37-52D1-467C-BFAB-9EB57318F51A}"/>
    <cellStyle name="Normal 4 2 5 8" xfId="2218" xr:uid="{00000000-0005-0000-0000-0000D9050000}"/>
    <cellStyle name="Normal 4 2 5 8 2" xfId="7345" xr:uid="{4572ABC9-1896-420C-86A5-CA9F76DFAD18}"/>
    <cellStyle name="Normal 4 2 5 8 2 2" xfId="17725" xr:uid="{38E23D4E-CAE6-422B-9F2C-0834EA8B1317}"/>
    <cellStyle name="Normal 4 2 5 8 3" xfId="10178" xr:uid="{3DE857B0-E18A-4932-8D4C-3AFD4D4E0790}"/>
    <cellStyle name="Normal 4 2 5 8 3 2" xfId="20558" xr:uid="{D5152B89-6BA3-4F88-8144-44DA55D45D7C}"/>
    <cellStyle name="Normal 4 2 5 8 4" xfId="22679" xr:uid="{BF7C7BED-1E09-48AF-BDAE-3B31DE56324F}"/>
    <cellStyle name="Normal 4 2 5 8 5" xfId="14892" xr:uid="{D71B3A97-AF0F-4824-915F-65B51B64D8FB}"/>
    <cellStyle name="Normal 4 2 5 9" xfId="3981" xr:uid="{02D1CB85-E6A3-4145-AB9C-27FB597ED793}"/>
    <cellStyle name="Normal 4 2 5 9 2" xfId="8805" xr:uid="{D0323B9F-1984-415E-B9FC-A3EA0A4AA7C1}"/>
    <cellStyle name="Normal 4 2 5 9 2 2" xfId="19185" xr:uid="{7F24D07F-AB6C-4885-B430-C8903F1F7EDB}"/>
    <cellStyle name="Normal 4 2 5 9 3" xfId="11638" xr:uid="{5809E595-3478-4878-8122-F05D934B4A9B}"/>
    <cellStyle name="Normal 4 2 5 9 3 2" xfId="22018" xr:uid="{B97DDBE7-F401-4CF7-89ED-4BA7425BFDC2}"/>
    <cellStyle name="Normal 4 2 5 9 4" xfId="16352" xr:uid="{06C86599-A475-46F6-813F-4124D8A04094}"/>
    <cellStyle name="Normal 4 2 6" xfId="963" xr:uid="{00000000-0005-0000-0000-000075050000}"/>
    <cellStyle name="Normal 4 2 6 10" xfId="7019" xr:uid="{DEFFBE65-696A-4203-9BDA-4690425232DD}"/>
    <cellStyle name="Normal 4 2 6 10 2" xfId="17399" xr:uid="{0291D174-1953-4046-9ED3-0F6455134A09}"/>
    <cellStyle name="Normal 4 2 6 11" xfId="9852" xr:uid="{2DFF8B14-F295-4A73-9C97-CE02457F3E60}"/>
    <cellStyle name="Normal 4 2 6 11 2" xfId="20232" xr:uid="{DF6BB936-6B5B-4984-BAD0-AF167AF2B481}"/>
    <cellStyle name="Normal 4 2 6 12" xfId="23291" xr:uid="{0A0B5212-006E-47FF-824A-9A325E4E6528}"/>
    <cellStyle name="Normal 4 2 6 13" xfId="12433" xr:uid="{DCA0F383-9FD0-412D-95B2-3029A322B4DD}"/>
    <cellStyle name="Normal 4 2 6 2" xfId="964" xr:uid="{00000000-0005-0000-0000-000076050000}"/>
    <cellStyle name="Normal 4 2 6 2 10" xfId="9853" xr:uid="{AAF76A15-98AD-4B4E-B884-BCF135D9E71E}"/>
    <cellStyle name="Normal 4 2 6 2 10 2" xfId="20233" xr:uid="{D322F266-7F4C-4A30-80C0-03EC2326BB7A}"/>
    <cellStyle name="Normal 4 2 6 2 11" xfId="25490" xr:uid="{93B5B837-D4AE-458F-909D-9852DE494C60}"/>
    <cellStyle name="Normal 4 2 6 2 12" xfId="12595" xr:uid="{70D1879F-DFEE-439A-8114-F9F951CC7F53}"/>
    <cellStyle name="Normal 4 2 6 2 2" xfId="965" xr:uid="{00000000-0005-0000-0000-000077050000}"/>
    <cellStyle name="Normal 4 2 6 2 2 2" xfId="3329" xr:uid="{00000000-0005-0000-0000-0000EE050000}"/>
    <cellStyle name="Normal 4 2 6 2 2 2 2" xfId="6387" xr:uid="{BAC233AC-A810-4E84-B638-9230A1EF5733}"/>
    <cellStyle name="Normal 4 2 6 2 2 2 2 2" xfId="27437" xr:uid="{01FEDD6C-50A2-42AD-BAEA-5B3F2BA9B97A}"/>
    <cellStyle name="Normal 4 2 6 2 2 2 2 3" xfId="25892" xr:uid="{D370D220-E45B-4428-804E-88C734B5BA41}"/>
    <cellStyle name="Normal 4 2 6 2 2 2 2 4" xfId="15956" xr:uid="{B86B1128-6148-4733-AA93-440790B6DAC6}"/>
    <cellStyle name="Normal 4 2 6 2 2 2 3" xfId="8409" xr:uid="{13F54889-9A2A-4EAE-9E4D-B98CA4578160}"/>
    <cellStyle name="Normal 4 2 6 2 2 2 3 2" xfId="28907" xr:uid="{23A09F88-3BC4-4005-89B4-928F9EB03608}"/>
    <cellStyle name="Normal 4 2 6 2 2 2 3 3" xfId="18789" xr:uid="{FBBABA64-E424-4A9F-AA21-7B14DA85B7DB}"/>
    <cellStyle name="Normal 4 2 6 2 2 2 4" xfId="11242" xr:uid="{7408C84E-0E61-492E-ACF8-C9C3926B6747}"/>
    <cellStyle name="Normal 4 2 6 2 2 2 4 2" xfId="21622" xr:uid="{E053CD8D-E533-488E-B006-84049A8B0B14}"/>
    <cellStyle name="Normal 4 2 6 2 2 2 5" xfId="23776" xr:uid="{F2768962-D32F-4F2C-B61F-D72571688E4C}"/>
    <cellStyle name="Normal 4 2 6 2 2 2 6" xfId="13886" xr:uid="{0B2A3A0F-5995-44D1-B366-34381A1C7D8E}"/>
    <cellStyle name="Normal 4 2 6 2 2 3" xfId="4337" xr:uid="{857F86B8-95F4-4D78-8DC8-9C82D2E1F62A}"/>
    <cellStyle name="Normal 4 2 6 2 2 3 2" xfId="9109" xr:uid="{1F71B0AA-B07E-4E1B-B426-81E8CE243CCB}"/>
    <cellStyle name="Normal 4 2 6 2 2 3 2 2" xfId="29152" xr:uid="{1E8BF86F-831C-480C-922A-037576019845}"/>
    <cellStyle name="Normal 4 2 6 2 2 3 2 3" xfId="19489" xr:uid="{7D3B6463-E4B3-4766-BC1A-4E297A722C8A}"/>
    <cellStyle name="Normal 4 2 6 2 2 3 3" xfId="11942" xr:uid="{BE966F00-1B64-4BBB-9425-77D4C0A09E5B}"/>
    <cellStyle name="Normal 4 2 6 2 2 3 3 2" xfId="22322" xr:uid="{0FFB036E-9636-4239-8BEA-C670967D3303}"/>
    <cellStyle name="Normal 4 2 6 2 2 3 4" xfId="25209" xr:uid="{E1531264-CDA4-4A91-86DD-32418CD92D27}"/>
    <cellStyle name="Normal 4 2 6 2 2 3 5" xfId="16656" xr:uid="{26BB06FE-C18D-48A2-88D1-79ACDB3FEBE0}"/>
    <cellStyle name="Normal 4 2 6 2 2 4" xfId="5270" xr:uid="{845432CD-F2D3-4D76-907D-D59FA9CD2874}"/>
    <cellStyle name="Normal 4 2 6 2 2 4 2" xfId="27715" xr:uid="{A445EB11-AC63-43BA-9DB2-5C1783F44351}"/>
    <cellStyle name="Normal 4 2 6 2 2 4 3" xfId="14568" xr:uid="{A512F79D-014F-4042-B953-7D07D24825A3}"/>
    <cellStyle name="Normal 4 2 6 2 2 5" xfId="7021" xr:uid="{D760C8EB-0D87-4AC0-8888-2BA1C8E6609F}"/>
    <cellStyle name="Normal 4 2 6 2 2 5 2" xfId="17401" xr:uid="{9F4F324B-1C74-4189-84AD-6C60919BC47C}"/>
    <cellStyle name="Normal 4 2 6 2 2 6" xfId="9854" xr:uid="{1C183A3C-01F1-47A9-99F4-EA098027F5B3}"/>
    <cellStyle name="Normal 4 2 6 2 2 6 2" xfId="20234" xr:uid="{BAF14791-1445-4BFD-BB71-EA245F0BD374}"/>
    <cellStyle name="Normal 4 2 6 2 2 7" xfId="24662" xr:uid="{715982D8-8CCD-4DB3-A321-1023E28E91DD}"/>
    <cellStyle name="Normal 4 2 6 2 2 8" xfId="13236" xr:uid="{AE4511A6-6A37-451D-9339-1781BCD0E6C2}"/>
    <cellStyle name="Normal 4 2 6 2 3" xfId="3330" xr:uid="{00000000-0005-0000-0000-0000EF050000}"/>
    <cellStyle name="Normal 4 2 6 2 3 2" xfId="4526" xr:uid="{3B4A1E04-19F3-4BAC-8FB4-223D8C385833}"/>
    <cellStyle name="Normal 4 2 6 2 3 2 2" xfId="9298" xr:uid="{2643789D-BFF3-4FDE-89AE-576DAE0B7112}"/>
    <cellStyle name="Normal 4 2 6 2 3 2 2 2" xfId="29277" xr:uid="{ADC3726D-943B-4422-AA3B-312D33597F2D}"/>
    <cellStyle name="Normal 4 2 6 2 3 2 2 3" xfId="19678" xr:uid="{7F045121-FE28-46D2-8BD9-F2FD593D591E}"/>
    <cellStyle name="Normal 4 2 6 2 3 2 3" xfId="12131" xr:uid="{0E3A85B9-3D67-49A3-AC4A-3F0B11D3BE28}"/>
    <cellStyle name="Normal 4 2 6 2 3 2 3 2" xfId="22511" xr:uid="{A532BA39-5A27-49FF-B9D0-60AB1D2FC30C}"/>
    <cellStyle name="Normal 4 2 6 2 3 2 4" xfId="25730" xr:uid="{D479B867-F913-46C3-8BC5-AD701191ADBD}"/>
    <cellStyle name="Normal 4 2 6 2 3 2 5" xfId="16845" xr:uid="{5D574386-622A-4518-AF71-2749C6E6758C}"/>
    <cellStyle name="Normal 4 2 6 2 3 3" xfId="6388" xr:uid="{E3EC29E1-6B29-4691-AB1C-9E9E1E6D1FED}"/>
    <cellStyle name="Normal 4 2 6 2 3 3 2" xfId="26452" xr:uid="{EDC3EDAC-2582-499B-83E7-7013BC20D12A}"/>
    <cellStyle name="Normal 4 2 6 2 3 3 3" xfId="15957" xr:uid="{70662303-3DE4-41B2-BA67-8D3E9A6F8572}"/>
    <cellStyle name="Normal 4 2 6 2 3 4" xfId="8410" xr:uid="{BA7460BF-5E29-4C76-B10D-498E7A56FBC8}"/>
    <cellStyle name="Normal 4 2 6 2 3 4 2" xfId="18790" xr:uid="{AA8F3C40-3D91-473A-941F-906738993696}"/>
    <cellStyle name="Normal 4 2 6 2 3 5" xfId="11243" xr:uid="{895AA936-CA0C-4AD0-9B67-A23D4BBA7485}"/>
    <cellStyle name="Normal 4 2 6 2 3 5 2" xfId="21623" xr:uid="{B0D3F07F-5DD6-4BB5-8FA2-B4B5E91E4DE2}"/>
    <cellStyle name="Normal 4 2 6 2 3 6" xfId="23643" xr:uid="{FAEA117C-7D53-4795-9506-15D60D08DB14}"/>
    <cellStyle name="Normal 4 2 6 2 3 7" xfId="13887" xr:uid="{07894BF5-186F-46A5-90C3-C0E35D34DD71}"/>
    <cellStyle name="Normal 4 2 6 2 4" xfId="3328" xr:uid="{00000000-0005-0000-0000-0000F0050000}"/>
    <cellStyle name="Normal 4 2 6 2 4 2" xfId="6386" xr:uid="{1EFB95CC-F524-4CCE-B4C8-B3532779C91A}"/>
    <cellStyle name="Normal 4 2 6 2 4 2 2" xfId="27677" xr:uid="{5221F9D5-5C43-4BD8-A639-B8EAD77C4AA0}"/>
    <cellStyle name="Normal 4 2 6 2 4 2 3" xfId="15955" xr:uid="{4AA7393A-9535-46B1-AE7B-422F403D5E63}"/>
    <cellStyle name="Normal 4 2 6 2 4 3" xfId="8408" xr:uid="{BD057D78-443F-4F6A-BD3C-B805CE90C35E}"/>
    <cellStyle name="Normal 4 2 6 2 4 3 2" xfId="18788" xr:uid="{D7A8E92A-98A9-40BB-94F4-2F8B9EA5559F}"/>
    <cellStyle name="Normal 4 2 6 2 4 4" xfId="11241" xr:uid="{B77882D4-2BB8-4E51-817A-F4DFBF0C2F01}"/>
    <cellStyle name="Normal 4 2 6 2 4 4 2" xfId="21621" xr:uid="{19B015B6-C3D9-4F13-A81C-788AA33944AD}"/>
    <cellStyle name="Normal 4 2 6 2 4 5" xfId="24570" xr:uid="{9069EFC3-BB10-45D2-ACFB-9403E33DCD81}"/>
    <cellStyle name="Normal 4 2 6 2 4 6" xfId="13885" xr:uid="{4372CB72-119F-489D-BBEB-1AD6D0581791}"/>
    <cellStyle name="Normal 4 2 6 2 5" xfId="2610" xr:uid="{00000000-0005-0000-0000-0000F1050000}"/>
    <cellStyle name="Normal 4 2 6 2 5 2" xfId="5874" xr:uid="{07DD4D81-18F0-424D-AB3F-DCC8D97687DA}"/>
    <cellStyle name="Normal 4 2 6 2 5 2 2" xfId="28154" xr:uid="{0A8188F9-9BE0-4643-A3E1-78D3C7C185FA}"/>
    <cellStyle name="Normal 4 2 6 2 5 2 3" xfId="15282" xr:uid="{7DA7F9BC-5C98-4BE4-9B9A-C10CE37169CE}"/>
    <cellStyle name="Normal 4 2 6 2 5 3" xfId="7735" xr:uid="{FED3B4A8-396E-42D7-B50F-9D3B0DBCA14D}"/>
    <cellStyle name="Normal 4 2 6 2 5 3 2" xfId="18115" xr:uid="{3D2EC2C8-79D0-47C5-80A4-2811D2A4C0F5}"/>
    <cellStyle name="Normal 4 2 6 2 5 4" xfId="10568" xr:uid="{B4611E73-2207-41F3-8632-1E9574B02295}"/>
    <cellStyle name="Normal 4 2 6 2 5 4 2" xfId="20948" xr:uid="{C2CB5B8B-BB12-453B-9554-7525A2BD3805}"/>
    <cellStyle name="Normal 4 2 6 2 5 5" xfId="23500" xr:uid="{01E9226A-9A95-4F7B-B42B-1AACED1D9B86}"/>
    <cellStyle name="Normal 4 2 6 2 5 6" xfId="12998" xr:uid="{9A39D173-392B-4426-AD21-69500934C59C}"/>
    <cellStyle name="Normal 4 2 6 2 6" xfId="2361" xr:uid="{00000000-0005-0000-0000-0000EC050000}"/>
    <cellStyle name="Normal 4 2 6 2 6 2" xfId="7488" xr:uid="{36A58D09-B824-4A83-8738-F5426A950A4E}"/>
    <cellStyle name="Normal 4 2 6 2 6 2 2" xfId="17868" xr:uid="{B28F8718-5697-444D-AE82-7AF47CC92C2B}"/>
    <cellStyle name="Normal 4 2 6 2 6 3" xfId="10321" xr:uid="{3ED99E39-33F5-4F31-98CE-B9FEE95B9407}"/>
    <cellStyle name="Normal 4 2 6 2 6 3 2" xfId="20701" xr:uid="{37D94780-3B16-4555-9083-35032C5908D6}"/>
    <cellStyle name="Normal 4 2 6 2 6 4" xfId="23376" xr:uid="{1A3EA359-9DE4-4D7E-8066-FF4884B37497}"/>
    <cellStyle name="Normal 4 2 6 2 6 5" xfId="15035" xr:uid="{7F5C3E7B-8BFC-4881-9F5E-4D195B13A68F}"/>
    <cellStyle name="Normal 4 2 6 2 7" xfId="3898" xr:uid="{AA3D5DF3-B1EE-4297-AA11-BA003746AEB6}"/>
    <cellStyle name="Normal 4 2 6 2 7 2" xfId="8730" xr:uid="{53ADFC7F-9696-475D-9D78-12468888E6C4}"/>
    <cellStyle name="Normal 4 2 6 2 7 2 2" xfId="19110" xr:uid="{54C6A38B-1B82-465D-A279-513907E7CFA6}"/>
    <cellStyle name="Normal 4 2 6 2 7 3" xfId="11563" xr:uid="{6B266857-CB04-46C9-B790-0A3E49B6057C}"/>
    <cellStyle name="Normal 4 2 6 2 7 3 2" xfId="21943" xr:uid="{972EF6E0-3C28-452F-8AE8-878C81AA9467}"/>
    <cellStyle name="Normal 4 2 6 2 7 4" xfId="16277" xr:uid="{0F76F6A9-D3F2-42FB-8BF3-311F1A13DB19}"/>
    <cellStyle name="Normal 4 2 6 2 8" xfId="5269" xr:uid="{319875FB-8008-49E7-9C02-EED376AEFF7C}"/>
    <cellStyle name="Normal 4 2 6 2 8 2" xfId="14567" xr:uid="{DDF5DFE2-BAD9-4697-BDB6-C9BA65F2F991}"/>
    <cellStyle name="Normal 4 2 6 2 9" xfId="7020" xr:uid="{0F7B2D12-A05C-4F27-BE47-222BC3C4A06A}"/>
    <cellStyle name="Normal 4 2 6 2 9 2" xfId="17400" xr:uid="{CDA9802D-6A62-4039-96EA-9AB473645173}"/>
    <cellStyle name="Normal 4 2 6 3" xfId="966" xr:uid="{00000000-0005-0000-0000-000078050000}"/>
    <cellStyle name="Normal 4 2 6 3 2" xfId="3331" xr:uid="{00000000-0005-0000-0000-0000F3050000}"/>
    <cellStyle name="Normal 4 2 6 3 2 2" xfId="6389" xr:uid="{FE92993F-BAF8-4C5B-9F7C-AE05EE62D22B}"/>
    <cellStyle name="Normal 4 2 6 3 2 2 2" xfId="25677" xr:uid="{C0EE5ABE-996E-4F6B-B7AD-58B41061E466}"/>
    <cellStyle name="Normal 4 2 6 3 2 2 3" xfId="27988" xr:uid="{2F42EDBE-BC3F-4C91-BAAE-6B0948836DED}"/>
    <cellStyle name="Normal 4 2 6 3 2 2 4" xfId="15958" xr:uid="{7426F8A1-AE9F-41EA-8EA0-D58B5D52ACF8}"/>
    <cellStyle name="Normal 4 2 6 3 2 3" xfId="8411" xr:uid="{C474FC15-91E5-4D33-B0F6-A82653846DB4}"/>
    <cellStyle name="Normal 4 2 6 3 2 3 2" xfId="28908" xr:uid="{CF51905B-2ADD-40D8-A7FB-31E292C6AF88}"/>
    <cellStyle name="Normal 4 2 6 3 2 3 3" xfId="18791" xr:uid="{343A9DA3-0E4B-4C2D-9F23-ED2461D33386}"/>
    <cellStyle name="Normal 4 2 6 3 2 4" xfId="11244" xr:uid="{90FC2832-9F79-4557-BE5E-1089DDFF8350}"/>
    <cellStyle name="Normal 4 2 6 3 2 4 2" xfId="21624" xr:uid="{8DA32EF5-1CEB-4CC4-BC92-F33A8B50D9F0}"/>
    <cellStyle name="Normal 4 2 6 3 2 5" xfId="24311" xr:uid="{B6AAD285-E742-4B62-B4ED-57D839C9066F}"/>
    <cellStyle name="Normal 4 2 6 3 2 6" xfId="13888" xr:uid="{1B2BD6CC-67ED-4A93-99E0-2748B9D2A540}"/>
    <cellStyle name="Normal 4 2 6 3 3" xfId="2780" xr:uid="{00000000-0005-0000-0000-0000F4050000}"/>
    <cellStyle name="Normal 4 2 6 3 3 2" xfId="5998" xr:uid="{1684FD6E-1C2D-4B92-B5D1-821C8B9D5A9C}"/>
    <cellStyle name="Normal 4 2 6 3 3 2 2" xfId="28343" xr:uid="{7C3DF070-E185-4A69-87FA-43E27DBE019C}"/>
    <cellStyle name="Normal 4 2 6 3 3 2 3" xfId="15451" xr:uid="{77B3597A-511B-4796-85FD-53FDBEE36A9B}"/>
    <cellStyle name="Normal 4 2 6 3 3 3" xfId="7904" xr:uid="{9A99C179-EF21-47B5-92A9-F85335778B74}"/>
    <cellStyle name="Normal 4 2 6 3 3 3 2" xfId="18284" xr:uid="{82730A57-B685-428B-A2BD-50CA72A6FBD0}"/>
    <cellStyle name="Normal 4 2 6 3 3 4" xfId="10737" xr:uid="{9F70DF0B-080C-4430-B3C0-91DD352022C6}"/>
    <cellStyle name="Normal 4 2 6 3 3 4 2" xfId="21117" xr:uid="{2466BF61-16A6-4DF7-A8C3-712F105B9071}"/>
    <cellStyle name="Normal 4 2 6 3 3 5" xfId="23880" xr:uid="{8596DDE8-CBB3-4C0D-A541-2F54AE8282B1}"/>
    <cellStyle name="Normal 4 2 6 3 3 6" xfId="13235" xr:uid="{21DE1455-38A9-4019-B32C-08D8109886B2}"/>
    <cellStyle name="Normal 4 2 6 3 4" xfId="4189" xr:uid="{40606041-DA8B-4377-AA3C-F2C00702F787}"/>
    <cellStyle name="Normal 4 2 6 3 4 2" xfId="8961" xr:uid="{C66EE141-AE82-434F-B65F-361BAD69F1E6}"/>
    <cellStyle name="Normal 4 2 6 3 4 2 2" xfId="29047" xr:uid="{9382D94B-DCB1-4011-9176-F3AC01C961F4}"/>
    <cellStyle name="Normal 4 2 6 3 4 2 3" xfId="19341" xr:uid="{23366CE6-989D-4451-AD99-E1CAB3D4CF0C}"/>
    <cellStyle name="Normal 4 2 6 3 4 3" xfId="11794" xr:uid="{6C6B874E-6267-4F5F-86D1-6C14266CB4C3}"/>
    <cellStyle name="Normal 4 2 6 3 4 3 2" xfId="22174" xr:uid="{C33C7272-BA02-473F-9F73-3E5525316369}"/>
    <cellStyle name="Normal 4 2 6 3 4 4" xfId="24916" xr:uid="{D1A430FD-F708-4F93-8B88-EB63EA560D80}"/>
    <cellStyle name="Normal 4 2 6 3 4 5" xfId="16508" xr:uid="{8609A487-7754-4F40-89C8-88528592A204}"/>
    <cellStyle name="Normal 4 2 6 3 5" xfId="5271" xr:uid="{584CF36E-63D8-4E1F-B462-50FA7D66AD92}"/>
    <cellStyle name="Normal 4 2 6 3 5 2" xfId="25936" xr:uid="{26C2E12F-6534-4FBA-A1C8-87642CD37059}"/>
    <cellStyle name="Normal 4 2 6 3 5 3" xfId="14569" xr:uid="{3B8A09C0-1692-46C5-96B7-FE928EDDD8A3}"/>
    <cellStyle name="Normal 4 2 6 3 6" xfId="7022" xr:uid="{B44D897B-9503-442F-886D-E558BAF987A4}"/>
    <cellStyle name="Normal 4 2 6 3 6 2" xfId="17402" xr:uid="{03DB9A1F-E3DC-424B-8835-C0B872E74A93}"/>
    <cellStyle name="Normal 4 2 6 3 7" xfId="9855" xr:uid="{A24C2DCE-6D31-4069-BE85-1EABC0836247}"/>
    <cellStyle name="Normal 4 2 6 3 7 2" xfId="20235" xr:uid="{16F25DB6-6C13-48F7-8EEF-F305CFA7EA75}"/>
    <cellStyle name="Normal 4 2 6 3 8" xfId="23278" xr:uid="{53F1ADCD-A2B6-443C-90D0-30C7F86D4AF5}"/>
    <cellStyle name="Normal 4 2 6 3 9" xfId="12753" xr:uid="{004352A9-0DBB-4201-B860-3A2496E83A61}"/>
    <cellStyle name="Normal 4 2 6 4" xfId="967" xr:uid="{00000000-0005-0000-0000-000079050000}"/>
    <cellStyle name="Normal 4 2 6 4 2" xfId="4527" xr:uid="{DED110EA-4FF8-44EC-81CD-282E94001006}"/>
    <cellStyle name="Normal 4 2 6 4 2 2" xfId="9299" xr:uid="{0DA1CCB9-C711-4155-A334-3C6A56E58164}"/>
    <cellStyle name="Normal 4 2 6 4 2 2 2" xfId="29278" xr:uid="{B90B2C4E-6921-4B87-9274-42B9C74AD2DF}"/>
    <cellStyle name="Normal 4 2 6 4 2 2 3" xfId="19679" xr:uid="{5D0EEA66-234D-4E46-AE98-B416CEAB992B}"/>
    <cellStyle name="Normal 4 2 6 4 2 3" xfId="12132" xr:uid="{24F307D8-4CC8-4225-993F-EB795795E782}"/>
    <cellStyle name="Normal 4 2 6 4 2 3 2" xfId="22512" xr:uid="{BFF4A2C3-5869-44F5-8885-D70070B4C538}"/>
    <cellStyle name="Normal 4 2 6 4 2 4" xfId="25433" xr:uid="{A49B63E4-FA31-42C2-BDFB-FC8FAB4DB1DA}"/>
    <cellStyle name="Normal 4 2 6 4 2 5" xfId="16846" xr:uid="{151BECC0-F259-4535-9B23-B11A73E29759}"/>
    <cellStyle name="Normal 4 2 6 4 3" xfId="5272" xr:uid="{030FAB88-72EC-442A-B69B-959D39BD510A}"/>
    <cellStyle name="Normal 4 2 6 4 3 2" xfId="28016" xr:uid="{940E6B7D-174B-42BA-9111-E86BD89D0A21}"/>
    <cellStyle name="Normal 4 2 6 4 3 3" xfId="14570" xr:uid="{7709087C-7763-4E58-9AF2-9BFC0C3F1F94}"/>
    <cellStyle name="Normal 4 2 6 4 4" xfId="7023" xr:uid="{6C011319-2626-4F1A-923C-913F15298D48}"/>
    <cellStyle name="Normal 4 2 6 4 4 2" xfId="17403" xr:uid="{9A48E7CE-7C90-447D-874F-D9D1D8BC9CEC}"/>
    <cellStyle name="Normal 4 2 6 4 5" xfId="9856" xr:uid="{4AC0B897-9F0B-4935-9EE5-C071DBF6BAB3}"/>
    <cellStyle name="Normal 4 2 6 4 5 2" xfId="20236" xr:uid="{E84A4B4A-75CD-4A59-B7DF-5D11CA0F2256}"/>
    <cellStyle name="Normal 4 2 6 4 6" xfId="23676" xr:uid="{E2572290-DD8A-4041-88A8-76E5A43C2C3E}"/>
    <cellStyle name="Normal 4 2 6 4 7" xfId="13889" xr:uid="{FDD0F8A3-0BCC-477E-BBAD-878A7FAEB041}"/>
    <cellStyle name="Normal 4 2 6 5" xfId="2935" xr:uid="{00000000-0005-0000-0000-0000F6050000}"/>
    <cellStyle name="Normal 4 2 6 5 2" xfId="6115" xr:uid="{49FD57F7-0D14-41A4-BB9A-FD686BE73B14}"/>
    <cellStyle name="Normal 4 2 6 5 2 2" xfId="25666" xr:uid="{9617A641-5376-4873-B334-0A18ACE25AF7}"/>
    <cellStyle name="Normal 4 2 6 5 2 3" xfId="26829" xr:uid="{486B707A-D64E-4F41-991E-646BFC4E3308}"/>
    <cellStyle name="Normal 4 2 6 5 2 4" xfId="15593" xr:uid="{7BC0E760-E082-469C-B346-2F2688DE3869}"/>
    <cellStyle name="Normal 4 2 6 5 3" xfId="8046" xr:uid="{04086D41-E9AD-40AE-BF3A-BADDAEFD08AE}"/>
    <cellStyle name="Normal 4 2 6 5 3 2" xfId="28753" xr:uid="{070C6FAE-E5E7-403F-BD1E-5634967E85B2}"/>
    <cellStyle name="Normal 4 2 6 5 3 3" xfId="18426" xr:uid="{0FD652B7-BF6E-46EC-AE54-2D00C96B8C57}"/>
    <cellStyle name="Normal 4 2 6 5 4" xfId="10879" xr:uid="{833C2923-73FE-445C-A9CB-EDDC2620A496}"/>
    <cellStyle name="Normal 4 2 6 5 4 2" xfId="21259" xr:uid="{3822B3BA-483E-493F-9034-8BC640CD0A99}"/>
    <cellStyle name="Normal 4 2 6 5 5" xfId="23175" xr:uid="{6E0C4EA4-0CE7-4116-B59E-5195228600A9}"/>
    <cellStyle name="Normal 4 2 6 5 6" xfId="13451" xr:uid="{99AC9C3F-479A-4003-A88D-B5EC02EAB443}"/>
    <cellStyle name="Normal 4 2 6 6" xfId="2447" xr:uid="{00000000-0005-0000-0000-0000F7050000}"/>
    <cellStyle name="Normal 4 2 6 6 2" xfId="5741" xr:uid="{E78AD926-4D52-4521-A7B9-95BD7DBAD383}"/>
    <cellStyle name="Normal 4 2 6 6 2 2" xfId="27910" xr:uid="{A90D7833-AFF6-4E69-9896-A39DF4AE1AE7}"/>
    <cellStyle name="Normal 4 2 6 6 2 3" xfId="15119" xr:uid="{2616915A-7E35-44F3-9F82-326B14B23196}"/>
    <cellStyle name="Normal 4 2 6 6 3" xfId="7572" xr:uid="{E02D6971-BBD4-4B48-851B-BCCDE6302B70}"/>
    <cellStyle name="Normal 4 2 6 6 3 2" xfId="17952" xr:uid="{1C7BCFD2-81D3-417A-A632-8DD7D1A65E82}"/>
    <cellStyle name="Normal 4 2 6 6 4" xfId="10405" xr:uid="{ECFF3D03-DFA7-4425-A720-F403C59C6701}"/>
    <cellStyle name="Normal 4 2 6 6 4 2" xfId="20785" xr:uid="{99A73FA3-7F73-437D-8071-4F5B3A3C8AF7}"/>
    <cellStyle name="Normal 4 2 6 6 5" xfId="23436" xr:uid="{37C8720F-BA41-4E79-99AA-D6470235F8D2}"/>
    <cellStyle name="Normal 4 2 6 6 6" xfId="12835" xr:uid="{570C49A3-FAF4-495A-8892-2CC6AD9653A7}"/>
    <cellStyle name="Normal 4 2 6 7" xfId="2201" xr:uid="{00000000-0005-0000-0000-0000EB050000}"/>
    <cellStyle name="Normal 4 2 6 7 2" xfId="7328" xr:uid="{EBE469A9-310C-4141-944D-1CC1B26602A5}"/>
    <cellStyle name="Normal 4 2 6 7 2 2" xfId="17708" xr:uid="{1B9B7FBB-2472-47EE-AF99-0BCDBA0F2444}"/>
    <cellStyle name="Normal 4 2 6 7 3" xfId="10161" xr:uid="{0FF57B05-FD99-4351-97BE-855AEFD9ED1D}"/>
    <cellStyle name="Normal 4 2 6 7 3 2" xfId="20541" xr:uid="{4BB541D0-49FA-4AB4-92D3-9EE0782C903D}"/>
    <cellStyle name="Normal 4 2 6 7 4" xfId="25073" xr:uid="{C021C09F-3E96-449F-BFCD-20D6CB46C1A5}"/>
    <cellStyle name="Normal 4 2 6 7 5" xfId="14875" xr:uid="{91C5B66E-C397-486B-A351-7B86C9C2CEA2}"/>
    <cellStyle name="Normal 4 2 6 8" xfId="3982" xr:uid="{39E719C9-56D6-454A-BB9F-E7BC7A19B069}"/>
    <cellStyle name="Normal 4 2 6 8 2" xfId="8806" xr:uid="{18AFC519-0509-452D-8D8A-E81B6F817390}"/>
    <cellStyle name="Normal 4 2 6 8 2 2" xfId="19186" xr:uid="{81B46A5A-09ED-45DA-A568-F500B1B04E8D}"/>
    <cellStyle name="Normal 4 2 6 8 3" xfId="11639" xr:uid="{5810BEEF-9E1E-42DF-91A4-FCAFB5433636}"/>
    <cellStyle name="Normal 4 2 6 8 3 2" xfId="22019" xr:uid="{F7A5AD6D-91FB-4763-B22A-F3CC08EE0549}"/>
    <cellStyle name="Normal 4 2 6 8 4" xfId="16353" xr:uid="{59D4C8B2-18FC-4EB9-943C-77A8A3AF0FF2}"/>
    <cellStyle name="Normal 4 2 6 9" xfId="5268" xr:uid="{2CC65B87-FEB3-4BEB-BE29-375ED386E1E2}"/>
    <cellStyle name="Normal 4 2 6 9 2" xfId="14566" xr:uid="{65D57A87-172B-4717-93B8-77D04244D815}"/>
    <cellStyle name="Normal 4 2 7" xfId="968" xr:uid="{00000000-0005-0000-0000-00007A050000}"/>
    <cellStyle name="Normal 4 2 7 10" xfId="7024" xr:uid="{C75AEBD9-7B22-4650-B68F-FC6B3EC006A0}"/>
    <cellStyle name="Normal 4 2 7 10 2" xfId="17404" xr:uid="{87CEF99F-4E84-4987-AC5A-6617EE727F05}"/>
    <cellStyle name="Normal 4 2 7 11" xfId="9857" xr:uid="{DD7630E6-64D9-45F8-BAA3-1C33580C3CC4}"/>
    <cellStyle name="Normal 4 2 7 11 2" xfId="20237" xr:uid="{2914F869-D008-4CB9-978A-74E781FD64FE}"/>
    <cellStyle name="Normal 4 2 7 12" xfId="23946" xr:uid="{EA3501E9-9971-4DAE-8CC0-9B7F32512BE8}"/>
    <cellStyle name="Normal 4 2 7 13" xfId="12495" xr:uid="{272FD9C3-2939-41EC-936A-6EFD742FF676}"/>
    <cellStyle name="Normal 4 2 7 2" xfId="969" xr:uid="{00000000-0005-0000-0000-00007B050000}"/>
    <cellStyle name="Normal 4 2 7 2 10" xfId="9858" xr:uid="{9B1E82FD-5E66-4F20-A2F0-EA31C6173BC7}"/>
    <cellStyle name="Normal 4 2 7 2 10 2" xfId="20238" xr:uid="{CDA7754F-4E62-4B5E-ACDC-34F9341A588E}"/>
    <cellStyle name="Normal 4 2 7 2 11" xfId="23335" xr:uid="{C8EDA597-C8F0-40E0-A26F-E41264E8DF50}"/>
    <cellStyle name="Normal 4 2 7 2 12" xfId="12596" xr:uid="{4FC3BA18-ABA9-4F00-9F2B-682E5BCFE915}"/>
    <cellStyle name="Normal 4 2 7 2 2" xfId="970" xr:uid="{00000000-0005-0000-0000-00007C050000}"/>
    <cellStyle name="Normal 4 2 7 2 2 2" xfId="3333" xr:uid="{00000000-0005-0000-0000-0000FB050000}"/>
    <cellStyle name="Normal 4 2 7 2 2 2 2" xfId="6391" xr:uid="{A104640B-11BD-4307-BACA-F462E8B05409}"/>
    <cellStyle name="Normal 4 2 7 2 2 2 2 2" xfId="27728" xr:uid="{538036BB-6F49-4B5A-84C5-6ECF941CE508}"/>
    <cellStyle name="Normal 4 2 7 2 2 2 2 3" xfId="28151" xr:uid="{CEC9637F-0D22-4ED5-AFD2-B7FD4F6F8D4F}"/>
    <cellStyle name="Normal 4 2 7 2 2 2 2 4" xfId="15960" xr:uid="{A2981CF7-3FE6-48D9-ACFC-DC1AF20C26CD}"/>
    <cellStyle name="Normal 4 2 7 2 2 2 3" xfId="8413" xr:uid="{76B45A79-A86F-4FDF-88DF-BD113CF49B1F}"/>
    <cellStyle name="Normal 4 2 7 2 2 2 3 2" xfId="28909" xr:uid="{6A21A0C9-778A-41D3-A142-0869BA7FE5AB}"/>
    <cellStyle name="Normal 4 2 7 2 2 2 3 3" xfId="18793" xr:uid="{8D161002-90FE-4100-A6C9-D02BC4700E68}"/>
    <cellStyle name="Normal 4 2 7 2 2 2 4" xfId="11246" xr:uid="{88C8BC9F-1286-4DEA-895C-BDF3D493CA6A}"/>
    <cellStyle name="Normal 4 2 7 2 2 2 4 2" xfId="21626" xr:uid="{9B01512E-6756-409F-80A5-11331296626B}"/>
    <cellStyle name="Normal 4 2 7 2 2 2 5" xfId="23509" xr:uid="{515FCD7A-96F3-4928-AF9E-7936EDFDB442}"/>
    <cellStyle name="Normal 4 2 7 2 2 2 6" xfId="13891" xr:uid="{5C584651-4D2E-4164-840F-CBB3F2363E79}"/>
    <cellStyle name="Normal 4 2 7 2 2 3" xfId="4338" xr:uid="{A2F0346D-0964-4489-AF9A-98C76D704BA2}"/>
    <cellStyle name="Normal 4 2 7 2 2 3 2" xfId="9110" xr:uid="{0CBE516C-84E1-4BA7-82F7-74CD1B506B4D}"/>
    <cellStyle name="Normal 4 2 7 2 2 3 2 2" xfId="29153" xr:uid="{FCA1CA00-3E69-4FEC-B15C-28A1C0FBA569}"/>
    <cellStyle name="Normal 4 2 7 2 2 3 2 3" xfId="19490" xr:uid="{F3510842-5E75-4AA4-ACED-6DCBEF17394C}"/>
    <cellStyle name="Normal 4 2 7 2 2 3 3" xfId="11943" xr:uid="{CBC68661-EB31-45DB-AA6D-FDF871813ED8}"/>
    <cellStyle name="Normal 4 2 7 2 2 3 3 2" xfId="22323" xr:uid="{EC4EDDC2-1E88-46F3-B002-8553D44B8F4D}"/>
    <cellStyle name="Normal 4 2 7 2 2 3 4" xfId="24292" xr:uid="{E6583185-FB7E-4BF1-A4F8-BE5929EDEE2F}"/>
    <cellStyle name="Normal 4 2 7 2 2 3 5" xfId="16657" xr:uid="{6380045C-725D-495C-8C15-E83B6E688C2F}"/>
    <cellStyle name="Normal 4 2 7 2 2 4" xfId="5275" xr:uid="{CF2F36A8-4210-46F0-AEF4-C136B3BC60D2}"/>
    <cellStyle name="Normal 4 2 7 2 2 4 2" xfId="26859" xr:uid="{44C835BE-4E5C-4EFB-B161-4A7B3A6435B3}"/>
    <cellStyle name="Normal 4 2 7 2 2 4 3" xfId="14573" xr:uid="{2B704AB7-BF60-4CD9-80D1-B23DB9D717E9}"/>
    <cellStyle name="Normal 4 2 7 2 2 5" xfId="7026" xr:uid="{67B594AD-469D-4118-80E6-64E604FD07BB}"/>
    <cellStyle name="Normal 4 2 7 2 2 5 2" xfId="17406" xr:uid="{F2DD9EA1-BE8D-4470-B982-6C580029D30A}"/>
    <cellStyle name="Normal 4 2 7 2 2 6" xfId="9859" xr:uid="{6A5DB13C-3DFB-4216-A525-675D4274090C}"/>
    <cellStyle name="Normal 4 2 7 2 2 6 2" xfId="20239" xr:uid="{237421BF-F932-4FFF-AB38-6B092A3E3278}"/>
    <cellStyle name="Normal 4 2 7 2 2 7" xfId="23368" xr:uid="{5144D789-F1E1-4F92-B0B6-1A55B20AE894}"/>
    <cellStyle name="Normal 4 2 7 2 2 8" xfId="13238" xr:uid="{814A08A0-E839-4E7D-857B-9695706BF099}"/>
    <cellStyle name="Normal 4 2 7 2 3" xfId="3334" xr:uid="{00000000-0005-0000-0000-0000FC050000}"/>
    <cellStyle name="Normal 4 2 7 2 3 2" xfId="4528" xr:uid="{113E0108-CA11-426D-A7AE-4C0788D53CB6}"/>
    <cellStyle name="Normal 4 2 7 2 3 2 2" xfId="9300" xr:uid="{0BFB295B-C3F7-4F36-86D6-CBDBA07D92B4}"/>
    <cellStyle name="Normal 4 2 7 2 3 2 2 2" xfId="29279" xr:uid="{39582063-3B8C-4E67-9507-ADA9A0C73728}"/>
    <cellStyle name="Normal 4 2 7 2 3 2 2 3" xfId="19680" xr:uid="{ADBD3F24-B1B1-4250-89F9-F5C959B05EFB}"/>
    <cellStyle name="Normal 4 2 7 2 3 2 3" xfId="12133" xr:uid="{1222DCB9-48E2-4AA9-842E-5EF1B5E119F0}"/>
    <cellStyle name="Normal 4 2 7 2 3 2 3 2" xfId="22513" xr:uid="{FE61A86C-E855-49B0-8C22-5164BF01611A}"/>
    <cellStyle name="Normal 4 2 7 2 3 2 4" xfId="24370" xr:uid="{34139AB0-1605-4A00-8935-FE283338C7CC}"/>
    <cellStyle name="Normal 4 2 7 2 3 2 5" xfId="16847" xr:uid="{7892A2B9-A497-431C-A7D0-1FF51ECDCB89}"/>
    <cellStyle name="Normal 4 2 7 2 3 3" xfId="6392" xr:uid="{24005D36-6C58-4A2A-AC91-27423652490B}"/>
    <cellStyle name="Normal 4 2 7 2 3 3 2" xfId="26922" xr:uid="{9FE2913F-4DF2-45FF-AA04-A1B4D2E9EA23}"/>
    <cellStyle name="Normal 4 2 7 2 3 3 3" xfId="15961" xr:uid="{0E2461BA-E4A1-420E-9D22-2B797902385B}"/>
    <cellStyle name="Normal 4 2 7 2 3 4" xfId="8414" xr:uid="{EF939839-3CEB-4523-8745-D961CA6A0D8D}"/>
    <cellStyle name="Normal 4 2 7 2 3 4 2" xfId="18794" xr:uid="{A96BBD39-090B-488A-894B-9326A5CCA39E}"/>
    <cellStyle name="Normal 4 2 7 2 3 5" xfId="11247" xr:uid="{C9992B36-10B0-4ED1-8DDD-7BF4ED461CBC}"/>
    <cellStyle name="Normal 4 2 7 2 3 5 2" xfId="21627" xr:uid="{394874BC-F433-4BF5-BD59-6F5C02316855}"/>
    <cellStyle name="Normal 4 2 7 2 3 6" xfId="24972" xr:uid="{C1B4319E-1D3B-4F63-AE06-22BBEEEA9372}"/>
    <cellStyle name="Normal 4 2 7 2 3 7" xfId="13892" xr:uid="{92B057E0-91C3-4B1B-B171-94837575EFAD}"/>
    <cellStyle name="Normal 4 2 7 2 4" xfId="3332" xr:uid="{00000000-0005-0000-0000-0000FD050000}"/>
    <cellStyle name="Normal 4 2 7 2 4 2" xfId="6390" xr:uid="{111BF01C-1114-4917-AD87-FB5B2FE55A85}"/>
    <cellStyle name="Normal 4 2 7 2 4 2 2" xfId="28654" xr:uid="{B7FA4BFC-8DF5-4D39-98F2-1F99C9FA3540}"/>
    <cellStyle name="Normal 4 2 7 2 4 2 3" xfId="15959" xr:uid="{E123A4F9-E181-44DD-B24C-B0952899D43E}"/>
    <cellStyle name="Normal 4 2 7 2 4 3" xfId="8412" xr:uid="{B30E7EE4-CD91-4910-83EA-305F60F8FAFD}"/>
    <cellStyle name="Normal 4 2 7 2 4 3 2" xfId="18792" xr:uid="{D21EB055-EE75-4725-A2C2-169E92B31C0B}"/>
    <cellStyle name="Normal 4 2 7 2 4 4" xfId="11245" xr:uid="{F76FAE72-67FD-4B53-B162-C0300C65DF8F}"/>
    <cellStyle name="Normal 4 2 7 2 4 4 2" xfId="21625" xr:uid="{C3CEF82F-8E1C-483A-B617-9BBE836DCB9A}"/>
    <cellStyle name="Normal 4 2 7 2 4 5" xfId="22915" xr:uid="{A524EB65-2F3D-4896-91AB-2D00C4E7B88E}"/>
    <cellStyle name="Normal 4 2 7 2 4 6" xfId="13890" xr:uid="{FA41583B-3916-4931-BB11-0693536E74F3}"/>
    <cellStyle name="Normal 4 2 7 2 5" xfId="2658" xr:uid="{00000000-0005-0000-0000-0000FE050000}"/>
    <cellStyle name="Normal 4 2 7 2 5 2" xfId="5918" xr:uid="{0B8E98C4-A267-4536-882E-A4447A842A72}"/>
    <cellStyle name="Normal 4 2 7 2 5 2 2" xfId="28524" xr:uid="{B360D795-95FD-463C-9900-756996F4A2B5}"/>
    <cellStyle name="Normal 4 2 7 2 5 2 3" xfId="15330" xr:uid="{74AE6123-61E8-4FD5-ADF8-771B47BB86F2}"/>
    <cellStyle name="Normal 4 2 7 2 5 3" xfId="7783" xr:uid="{34AB58B6-C80F-4279-9365-4E2AAAFAD3DC}"/>
    <cellStyle name="Normal 4 2 7 2 5 3 2" xfId="18163" xr:uid="{1E982559-A11B-4DF8-899E-505850C975CD}"/>
    <cellStyle name="Normal 4 2 7 2 5 4" xfId="10616" xr:uid="{D7B3D5ED-EF51-4FF0-A314-EE0A11BF7CCE}"/>
    <cellStyle name="Normal 4 2 7 2 5 4 2" xfId="20996" xr:uid="{DB13A2EA-6374-421D-984E-7992E4D06FE6}"/>
    <cellStyle name="Normal 4 2 7 2 5 5" xfId="23326" xr:uid="{7140C098-BC0D-4672-B2B9-EE4625B52432}"/>
    <cellStyle name="Normal 4 2 7 2 5 6" xfId="13060" xr:uid="{5131B977-8762-4AD2-B136-13B11C91F4DB}"/>
    <cellStyle name="Normal 4 2 7 2 6" xfId="2362" xr:uid="{00000000-0005-0000-0000-0000F9050000}"/>
    <cellStyle name="Normal 4 2 7 2 6 2" xfId="7489" xr:uid="{6D14173A-43EB-49FA-8F83-F337B32B1E9C}"/>
    <cellStyle name="Normal 4 2 7 2 6 2 2" xfId="17869" xr:uid="{E4CB5BC6-FF96-4E57-95EA-5649002034A5}"/>
    <cellStyle name="Normal 4 2 7 2 6 3" xfId="10322" xr:uid="{072E85DB-784C-42A4-B9B3-6D28478D462C}"/>
    <cellStyle name="Normal 4 2 7 2 6 3 2" xfId="20702" xr:uid="{97AF1658-E4E3-4AB0-B9D6-BF6C3B1E1215}"/>
    <cellStyle name="Normal 4 2 7 2 6 4" xfId="23979" xr:uid="{7E8A1A54-5878-43CD-AFD2-E284B8365121}"/>
    <cellStyle name="Normal 4 2 7 2 6 5" xfId="15036" xr:uid="{880158E5-203E-48BE-BEEE-0FCB4F074F6F}"/>
    <cellStyle name="Normal 4 2 7 2 7" xfId="3899" xr:uid="{95B3FED8-33A7-4EE0-B147-F06D67130D62}"/>
    <cellStyle name="Normal 4 2 7 2 7 2" xfId="8731" xr:uid="{9F10AB3E-B78D-4030-986E-CBE8C079A842}"/>
    <cellStyle name="Normal 4 2 7 2 7 2 2" xfId="19111" xr:uid="{F1A858DD-C3DB-4077-B8BF-B36DF118D961}"/>
    <cellStyle name="Normal 4 2 7 2 7 3" xfId="11564" xr:uid="{EB48044C-321E-41BB-B7B5-229AF60CC36C}"/>
    <cellStyle name="Normal 4 2 7 2 7 3 2" xfId="21944" xr:uid="{358D9FE7-445A-4896-A7EE-AA20328B1EEE}"/>
    <cellStyle name="Normal 4 2 7 2 7 4" xfId="16278" xr:uid="{13C88D2F-287E-4A14-B313-C8CA6C86FF4D}"/>
    <cellStyle name="Normal 4 2 7 2 8" xfId="5274" xr:uid="{237905E0-C648-4B61-B7E0-EC5463F82D93}"/>
    <cellStyle name="Normal 4 2 7 2 8 2" xfId="14572" xr:uid="{05B823AA-78FD-4DE9-BEEE-402DE116742F}"/>
    <cellStyle name="Normal 4 2 7 2 9" xfId="7025" xr:uid="{48F952B1-AD2A-4E5D-8EA9-E2F952458A23}"/>
    <cellStyle name="Normal 4 2 7 2 9 2" xfId="17405" xr:uid="{094EAE94-18DC-4BC2-864D-753A9ACBD085}"/>
    <cellStyle name="Normal 4 2 7 3" xfId="971" xr:uid="{00000000-0005-0000-0000-00007D050000}"/>
    <cellStyle name="Normal 4 2 7 3 2" xfId="3335" xr:uid="{00000000-0005-0000-0000-000000060000}"/>
    <cellStyle name="Normal 4 2 7 3 2 2" xfId="6393" xr:uid="{6894B5CC-A9EF-4A60-BDE9-95263FC21D97}"/>
    <cellStyle name="Normal 4 2 7 3 2 2 2" xfId="24619" xr:uid="{5E855E91-9205-4EEA-A6EF-2EDDC6D19AEC}"/>
    <cellStyle name="Normal 4 2 7 3 2 2 3" xfId="28411" xr:uid="{20943430-55D3-462E-BC2F-75B8BB4DA39D}"/>
    <cellStyle name="Normal 4 2 7 3 2 2 4" xfId="15962" xr:uid="{A624F227-6BF0-4751-A735-E610CB4161D9}"/>
    <cellStyle name="Normal 4 2 7 3 2 3" xfId="8415" xr:uid="{F49FB817-3E57-46EA-82E0-F65264ECE60D}"/>
    <cellStyle name="Normal 4 2 7 3 2 3 2" xfId="28910" xr:uid="{C67EA1F7-CEAB-40B8-B20E-1D6E5080FF91}"/>
    <cellStyle name="Normal 4 2 7 3 2 3 3" xfId="18795" xr:uid="{4373D8BB-E58E-429B-A6EE-2F8F0C677499}"/>
    <cellStyle name="Normal 4 2 7 3 2 4" xfId="11248" xr:uid="{94D54862-EBCD-4AB4-994D-2B7E41C49496}"/>
    <cellStyle name="Normal 4 2 7 3 2 4 2" xfId="21628" xr:uid="{83B10924-4B83-4D1E-A513-05EBC9E74FBE}"/>
    <cellStyle name="Normal 4 2 7 3 2 5" xfId="23540" xr:uid="{35D40B51-041E-45E9-826C-55A1A9E1D1AD}"/>
    <cellStyle name="Normal 4 2 7 3 2 6" xfId="13893" xr:uid="{59EEE289-60C0-4CE9-AD10-F17BDF93D2B8}"/>
    <cellStyle name="Normal 4 2 7 3 3" xfId="2781" xr:uid="{00000000-0005-0000-0000-000001060000}"/>
    <cellStyle name="Normal 4 2 7 3 3 2" xfId="5999" xr:uid="{862657B4-C8A8-4485-AD9D-2E02B17136BA}"/>
    <cellStyle name="Normal 4 2 7 3 3 2 2" xfId="26447" xr:uid="{2BD4EA99-7000-4956-8F32-99348924CBDE}"/>
    <cellStyle name="Normal 4 2 7 3 3 2 3" xfId="15452" xr:uid="{7EB9AA54-6740-4350-8021-517A5B053727}"/>
    <cellStyle name="Normal 4 2 7 3 3 3" xfId="7905" xr:uid="{561FFBA7-0444-4BE1-A885-359AA0311B2A}"/>
    <cellStyle name="Normal 4 2 7 3 3 3 2" xfId="18285" xr:uid="{FC06019D-4AA8-44CB-AE39-E5C0BEA226EB}"/>
    <cellStyle name="Normal 4 2 7 3 3 4" xfId="10738" xr:uid="{4AECFF8A-6016-43FA-BDF8-CE807158EFA1}"/>
    <cellStyle name="Normal 4 2 7 3 3 4 2" xfId="21118" xr:uid="{1270DBE3-E6EE-4E4C-AF01-1B829F41CC24}"/>
    <cellStyle name="Normal 4 2 7 3 3 5" xfId="23866" xr:uid="{5F4B6C36-E53B-4916-B805-5DDA1C345929}"/>
    <cellStyle name="Normal 4 2 7 3 3 6" xfId="13237" xr:uid="{AF5EC30D-9029-4B11-A9CD-FBECBFF08BFB}"/>
    <cellStyle name="Normal 4 2 7 3 4" xfId="4190" xr:uid="{EE098A8E-BB8D-44E9-98A5-A8DCD7678D57}"/>
    <cellStyle name="Normal 4 2 7 3 4 2" xfId="8962" xr:uid="{6D043502-6E4C-4B0F-87E4-A2DD1FC9E754}"/>
    <cellStyle name="Normal 4 2 7 3 4 2 2" xfId="29048" xr:uid="{1F7E944F-324A-4193-8BB1-22B01FABCC39}"/>
    <cellStyle name="Normal 4 2 7 3 4 2 3" xfId="19342" xr:uid="{C05A1BEC-8249-4BD2-BCD5-417BABEB63CD}"/>
    <cellStyle name="Normal 4 2 7 3 4 3" xfId="11795" xr:uid="{89D4EB9E-A9AC-4A1D-8027-0C3EC3B29DE1}"/>
    <cellStyle name="Normal 4 2 7 3 4 3 2" xfId="22175" xr:uid="{BDF2FB53-3E3B-4EA3-BE85-D79FD0004FA2}"/>
    <cellStyle name="Normal 4 2 7 3 4 4" xfId="24010" xr:uid="{DCAF9AA8-B18D-4E10-9745-AAFD5B1F7DE0}"/>
    <cellStyle name="Normal 4 2 7 3 4 5" xfId="16509" xr:uid="{A3F04144-E344-4A3A-BB98-1F3C830D127F}"/>
    <cellStyle name="Normal 4 2 7 3 5" xfId="5276" xr:uid="{A8E8EAA8-488D-4AC8-B651-AA208792813B}"/>
    <cellStyle name="Normal 4 2 7 3 5 2" xfId="27539" xr:uid="{C9D662AF-980D-43AF-BA91-F77D209B3D77}"/>
    <cellStyle name="Normal 4 2 7 3 5 3" xfId="14574" xr:uid="{9E0F34C7-04E4-4686-9E4C-C7AABA552520}"/>
    <cellStyle name="Normal 4 2 7 3 6" xfId="7027" xr:uid="{7101569A-1C52-4460-BE75-A60726303EEF}"/>
    <cellStyle name="Normal 4 2 7 3 6 2" xfId="17407" xr:uid="{73635458-58A4-4D2A-ADCA-702B8E38EC46}"/>
    <cellStyle name="Normal 4 2 7 3 7" xfId="9860" xr:uid="{5A92F21F-822C-4C88-8BEA-8D714C64FC1F}"/>
    <cellStyle name="Normal 4 2 7 3 7 2" xfId="20240" xr:uid="{C911BBDC-5203-4D2A-8C89-901D5AF5BED9}"/>
    <cellStyle name="Normal 4 2 7 3 8" xfId="25456" xr:uid="{90304659-5AF2-40EA-8466-8A49D787F88E}"/>
    <cellStyle name="Normal 4 2 7 3 9" xfId="12754" xr:uid="{67BD0219-01D4-4407-BD68-97C2F796C297}"/>
    <cellStyle name="Normal 4 2 7 4" xfId="972" xr:uid="{00000000-0005-0000-0000-00007E050000}"/>
    <cellStyle name="Normal 4 2 7 4 2" xfId="4529" xr:uid="{1E03E791-A4F0-4FB5-93A5-7A859C73DCFD}"/>
    <cellStyle name="Normal 4 2 7 4 2 2" xfId="9301" xr:uid="{43907C58-C7A7-48A0-B170-8259FB5E8ACB}"/>
    <cellStyle name="Normal 4 2 7 4 2 2 2" xfId="29280" xr:uid="{139B9E3C-FA64-4957-A942-870D28718899}"/>
    <cellStyle name="Normal 4 2 7 4 2 2 3" xfId="19681" xr:uid="{7FF9FCA9-5DAF-4A37-8A8B-FE7CAD87B57C}"/>
    <cellStyle name="Normal 4 2 7 4 2 3" xfId="12134" xr:uid="{2300D057-5705-4915-9AB1-A036255FD8A3}"/>
    <cellStyle name="Normal 4 2 7 4 2 3 2" xfId="22514" xr:uid="{EF00A232-1983-45C7-99C1-25BCFF2E7EE2}"/>
    <cellStyle name="Normal 4 2 7 4 2 4" xfId="23565" xr:uid="{BD0EB80D-CB65-46D1-B51A-AA6D713E4E69}"/>
    <cellStyle name="Normal 4 2 7 4 2 5" xfId="16848" xr:uid="{82CA5815-F667-49B8-B966-4215EB8CC32D}"/>
    <cellStyle name="Normal 4 2 7 4 3" xfId="5277" xr:uid="{22659D20-DD1F-4B09-B732-A690D86AD939}"/>
    <cellStyle name="Normal 4 2 7 4 3 2" xfId="27683" xr:uid="{7C8346FC-C56E-452B-845C-60471E2ECAC1}"/>
    <cellStyle name="Normal 4 2 7 4 3 3" xfId="14575" xr:uid="{1AC289DB-6F21-4F7A-BC7E-6DBEDD1998F8}"/>
    <cellStyle name="Normal 4 2 7 4 4" xfId="7028" xr:uid="{8416F650-4C2F-4026-8F20-CE8F217DFC58}"/>
    <cellStyle name="Normal 4 2 7 4 4 2" xfId="17408" xr:uid="{D9805223-DFCB-457D-A67F-E58230512B5E}"/>
    <cellStyle name="Normal 4 2 7 4 5" xfId="9861" xr:uid="{A724B2CB-7BED-4B8C-96C2-AD817E70DCBE}"/>
    <cellStyle name="Normal 4 2 7 4 5 2" xfId="20241" xr:uid="{50162262-81D2-40EF-A075-39283F170340}"/>
    <cellStyle name="Normal 4 2 7 4 6" xfId="23903" xr:uid="{21A97C26-5C37-4054-ACD8-665D44C1149B}"/>
    <cellStyle name="Normal 4 2 7 4 7" xfId="13894" xr:uid="{918B7820-9462-45BD-B17C-037886FBE9D2}"/>
    <cellStyle name="Normal 4 2 7 5" xfId="2936" xr:uid="{00000000-0005-0000-0000-000003060000}"/>
    <cellStyle name="Normal 4 2 7 5 2" xfId="6116" xr:uid="{4E59170C-A0D3-49D8-957B-76561BEAE973}"/>
    <cellStyle name="Normal 4 2 7 5 2 2" xfId="24513" xr:uid="{A45598E6-5926-4D21-8EB2-CE84B2657D3F}"/>
    <cellStyle name="Normal 4 2 7 5 2 3" xfId="26198" xr:uid="{AA8D113C-C45A-433D-8B8F-D20F15EF0C47}"/>
    <cellStyle name="Normal 4 2 7 5 2 4" xfId="15594" xr:uid="{6E5B6E54-4529-4FE5-8D08-C2D7262A1083}"/>
    <cellStyle name="Normal 4 2 7 5 3" xfId="8047" xr:uid="{E61B217A-FAFA-46D5-9601-820A7AB65639}"/>
    <cellStyle name="Normal 4 2 7 5 3 2" xfId="28754" xr:uid="{B33DB8FE-1A40-41F1-A5BA-6DB9326581DF}"/>
    <cellStyle name="Normal 4 2 7 5 3 3" xfId="18427" xr:uid="{9A1B3D19-05F5-4054-966C-18D7751C3232}"/>
    <cellStyle name="Normal 4 2 7 5 4" xfId="10880" xr:uid="{1A42C680-86E1-47A7-9141-E27611283B61}"/>
    <cellStyle name="Normal 4 2 7 5 4 2" xfId="21260" xr:uid="{08B6FE4A-85C6-47F0-A09E-72D4D427BDD0}"/>
    <cellStyle name="Normal 4 2 7 5 5" xfId="25297" xr:uid="{E8A4723B-7430-4152-866A-C03EA5D7A761}"/>
    <cellStyle name="Normal 4 2 7 5 6" xfId="13452" xr:uid="{3289B5C0-3A6A-4D8E-AB22-8FE956432551}"/>
    <cellStyle name="Normal 4 2 7 6" xfId="2507" xr:uid="{00000000-0005-0000-0000-000004060000}"/>
    <cellStyle name="Normal 4 2 7 6 2" xfId="5787" xr:uid="{D52005AF-2FD7-4964-8C65-E3FED5FFCA25}"/>
    <cellStyle name="Normal 4 2 7 6 2 2" xfId="27325" xr:uid="{C5AD142D-D34C-4179-BC57-4615AA9022B0}"/>
    <cellStyle name="Normal 4 2 7 6 2 3" xfId="15179" xr:uid="{E37280FA-A970-48C9-A71C-BBA6CABAD5CF}"/>
    <cellStyle name="Normal 4 2 7 6 3" xfId="7632" xr:uid="{34061503-8091-4780-87EA-093AEE054C3C}"/>
    <cellStyle name="Normal 4 2 7 6 3 2" xfId="18012" xr:uid="{D7A4ED82-176C-46F8-90D3-7040E1566BCA}"/>
    <cellStyle name="Normal 4 2 7 6 4" xfId="10465" xr:uid="{AD8D5477-D29B-41A9-AD12-DB26F66C767E}"/>
    <cellStyle name="Normal 4 2 7 6 4 2" xfId="20845" xr:uid="{DAEE3A37-A98F-44D5-93C3-F127EEC8E705}"/>
    <cellStyle name="Normal 4 2 7 6 5" xfId="25132" xr:uid="{8DAD8510-DDBC-49B2-8DEF-0977FB2DAA8B}"/>
    <cellStyle name="Normal 4 2 7 6 6" xfId="12895" xr:uid="{7276ED74-3708-442E-BAE4-517CF65E217E}"/>
    <cellStyle name="Normal 4 2 7 7" xfId="2263" xr:uid="{00000000-0005-0000-0000-0000F8050000}"/>
    <cellStyle name="Normal 4 2 7 7 2" xfId="7390" xr:uid="{EFF16FA0-9C71-493F-95AA-E397F7814545}"/>
    <cellStyle name="Normal 4 2 7 7 2 2" xfId="17770" xr:uid="{CD268DC7-A4E1-4080-A456-3EAB59D7C165}"/>
    <cellStyle name="Normal 4 2 7 7 3" xfId="10223" xr:uid="{F4D6F143-BEE0-443A-8E81-CB84D87B5788}"/>
    <cellStyle name="Normal 4 2 7 7 3 2" xfId="20603" xr:uid="{C788F3F1-2412-475C-9F43-691E266D0447}"/>
    <cellStyle name="Normal 4 2 7 7 4" xfId="23221" xr:uid="{38E5DFB3-6F3A-406F-920D-BC317E0B4430}"/>
    <cellStyle name="Normal 4 2 7 7 5" xfId="14937" xr:uid="{FB8C50A0-7E4D-42A5-B082-0D28309EE4E5}"/>
    <cellStyle name="Normal 4 2 7 8" xfId="3983" xr:uid="{894844A2-3842-4181-B8E7-16CD020B5E9F}"/>
    <cellStyle name="Normal 4 2 7 8 2" xfId="8807" xr:uid="{D83763B7-C4DB-4AAE-B760-BDE32A09BEA3}"/>
    <cellStyle name="Normal 4 2 7 8 2 2" xfId="19187" xr:uid="{BAF878A4-C149-4CDE-B6BF-0ABAEFBF5B28}"/>
    <cellStyle name="Normal 4 2 7 8 3" xfId="11640" xr:uid="{CA2EB3B0-0D40-415C-BB8F-BDE2BA540984}"/>
    <cellStyle name="Normal 4 2 7 8 3 2" xfId="22020" xr:uid="{C0E05051-576E-4D76-B98B-56BAF7B24591}"/>
    <cellStyle name="Normal 4 2 7 8 4" xfId="16354" xr:uid="{2B28B409-2F3B-4695-8596-639C2FE9F156}"/>
    <cellStyle name="Normal 4 2 7 9" xfId="5273" xr:uid="{41A31826-BDF1-4198-B72A-456F75655F7C}"/>
    <cellStyle name="Normal 4 2 7 9 2" xfId="14571" xr:uid="{DD627F48-FB14-4FDE-8D46-EF8C6AFB9050}"/>
    <cellStyle name="Normal 4 2 8" xfId="973" xr:uid="{00000000-0005-0000-0000-00007F050000}"/>
    <cellStyle name="Normal 4 2 8 10" xfId="9862" xr:uid="{75B5D47C-3C06-4BA9-BAB7-CF12BC487F82}"/>
    <cellStyle name="Normal 4 2 8 10 2" xfId="20242" xr:uid="{F2035F97-69F5-40A0-A689-99D44FA158A6}"/>
    <cellStyle name="Normal 4 2 8 11" xfId="23627" xr:uid="{C9769FB7-88D1-4C49-90B2-0DEDE9CEE586}"/>
    <cellStyle name="Normal 4 2 8 12" xfId="12597" xr:uid="{94C67E68-5FB3-4D88-B6D6-262D1A8D722D}"/>
    <cellStyle name="Normal 4 2 8 2" xfId="974" xr:uid="{00000000-0005-0000-0000-000080050000}"/>
    <cellStyle name="Normal 4 2 8 2 2" xfId="975" xr:uid="{00000000-0005-0000-0000-000081050000}"/>
    <cellStyle name="Normal 4 2 8 2 2 2" xfId="5280" xr:uid="{002BCBA6-CD3C-4A9A-96DB-18E92E45D4D5}"/>
    <cellStyle name="Normal 4 2 8 2 2 2 2" xfId="24270" xr:uid="{14820CE3-F87E-466C-80FF-9BE9231B28D8}"/>
    <cellStyle name="Normal 4 2 8 2 2 2 3" xfId="27690" xr:uid="{46442BAB-1B2C-4337-B4B3-1CF398D708A1}"/>
    <cellStyle name="Normal 4 2 8 2 2 2 4" xfId="14578" xr:uid="{4A11DA3F-6388-4B19-8DBF-84C8A00B7040}"/>
    <cellStyle name="Normal 4 2 8 2 2 3" xfId="7031" xr:uid="{2345E928-B604-4966-8111-D0A1B7B10269}"/>
    <cellStyle name="Normal 4 2 8 2 2 3 2" xfId="27629" xr:uid="{86E3D177-B74D-4433-97E5-99913C69C2F3}"/>
    <cellStyle name="Normal 4 2 8 2 2 3 3" xfId="27357" xr:uid="{E36BBA77-4B6C-459C-A521-6C8AD49668ED}"/>
    <cellStyle name="Normal 4 2 8 2 2 3 4" xfId="17411" xr:uid="{8ACBB9DF-75CC-499A-8D42-666817D0A63E}"/>
    <cellStyle name="Normal 4 2 8 2 2 4" xfId="9864" xr:uid="{0222AE8A-FA30-4B54-998A-218DFD9AECF0}"/>
    <cellStyle name="Normal 4 2 8 2 2 4 2" xfId="29422" xr:uid="{56BAF5F6-A05D-4E15-97F0-42BAF4887226}"/>
    <cellStyle name="Normal 4 2 8 2 2 4 3" xfId="20244" xr:uid="{529E0624-A9C6-42C3-B82F-FF024053C18A}"/>
    <cellStyle name="Normal 4 2 8 2 2 5" xfId="23861" xr:uid="{D643BF77-5398-43B8-AF2A-B97DC68FCA4F}"/>
    <cellStyle name="Normal 4 2 8 2 2 6" xfId="13895" xr:uid="{B116A3FE-836C-4744-AB75-B8244732AB29}"/>
    <cellStyle name="Normal 4 2 8 2 3" xfId="2782" xr:uid="{00000000-0005-0000-0000-000008060000}"/>
    <cellStyle name="Normal 4 2 8 2 3 2" xfId="6000" xr:uid="{E8246B52-2A51-4F88-AC27-87867C91476B}"/>
    <cellStyle name="Normal 4 2 8 2 3 2 2" xfId="26822" xr:uid="{B399A5AE-E54C-4055-8B1F-27845F8D9C65}"/>
    <cellStyle name="Normal 4 2 8 2 3 2 3" xfId="15453" xr:uid="{3E018943-2CD0-4769-A24D-63BF4DC0DECE}"/>
    <cellStyle name="Normal 4 2 8 2 3 3" xfId="7906" xr:uid="{81F47BCD-69A1-4897-9B7D-7E3451F84B91}"/>
    <cellStyle name="Normal 4 2 8 2 3 3 2" xfId="18286" xr:uid="{C12A5E93-74C0-46E0-BDE6-78BC8F2E9ABB}"/>
    <cellStyle name="Normal 4 2 8 2 3 4" xfId="10739" xr:uid="{E9675B84-B9EA-4486-B079-CD600A3057C6}"/>
    <cellStyle name="Normal 4 2 8 2 3 4 2" xfId="21119" xr:uid="{9E097176-4296-4319-9D0D-F40CDD27D0EE}"/>
    <cellStyle name="Normal 4 2 8 2 3 5" xfId="24391" xr:uid="{8BFC6150-DDD5-4709-BCCF-CA80D506DB04}"/>
    <cellStyle name="Normal 4 2 8 2 3 6" xfId="13239" xr:uid="{8F32D7EC-28A5-4F4A-8E4B-1800717ACCE7}"/>
    <cellStyle name="Normal 4 2 8 2 4" xfId="4191" xr:uid="{2A119F8A-9286-4A7E-B655-6A76E0F727CE}"/>
    <cellStyle name="Normal 4 2 8 2 4 2" xfId="8963" xr:uid="{4EE76E04-26A7-4DB0-A2F6-E193951983E8}"/>
    <cellStyle name="Normal 4 2 8 2 4 2 2" xfId="29049" xr:uid="{1B4FE232-DAB5-41C4-AF05-BFC09F349536}"/>
    <cellStyle name="Normal 4 2 8 2 4 2 3" xfId="19343" xr:uid="{EC4FD09F-8278-4AE5-BB20-B5D05061C366}"/>
    <cellStyle name="Normal 4 2 8 2 4 3" xfId="11796" xr:uid="{88CB058E-A897-43F8-9BE8-9308FB6D48A2}"/>
    <cellStyle name="Normal 4 2 8 2 4 3 2" xfId="22176" xr:uid="{E422BD9F-6B07-4EDE-AECE-D4090BCAF21F}"/>
    <cellStyle name="Normal 4 2 8 2 4 4" xfId="24873" xr:uid="{D2DFC07E-BC0F-4B14-B90C-7760A4F759F0}"/>
    <cellStyle name="Normal 4 2 8 2 4 5" xfId="16510" xr:uid="{C2F4B2D6-95B7-4E77-90D0-FB34BE448CB5}"/>
    <cellStyle name="Normal 4 2 8 2 5" xfId="5279" xr:uid="{A0B63C32-334A-400F-8AE8-957C2A98584E}"/>
    <cellStyle name="Normal 4 2 8 2 5 2" xfId="28503" xr:uid="{05DF3D99-40EB-4D60-9B0F-0C7BFA56CE37}"/>
    <cellStyle name="Normal 4 2 8 2 5 3" xfId="14577" xr:uid="{F60E8D24-EF7F-4A09-A8FF-33FD0DA3A323}"/>
    <cellStyle name="Normal 4 2 8 2 6" xfId="7030" xr:uid="{3FC9E43D-66F9-4D0D-B694-16FD46AA2275}"/>
    <cellStyle name="Normal 4 2 8 2 6 2" xfId="17410" xr:uid="{2F4FB22F-28D8-4590-B5D7-FC6875ECAB61}"/>
    <cellStyle name="Normal 4 2 8 2 7" xfId="9863" xr:uid="{108CC694-574B-46C5-8649-D126581961E9}"/>
    <cellStyle name="Normal 4 2 8 2 7 2" xfId="20243" xr:uid="{CA6E0A24-F8E0-45E8-A475-93964168AAEF}"/>
    <cellStyle name="Normal 4 2 8 2 8" xfId="23429" xr:uid="{C489105B-F240-4C4D-A27A-4B04AF9510C6}"/>
    <cellStyle name="Normal 4 2 8 2 9" xfId="12755" xr:uid="{685156F6-C842-4C4E-AE35-CF03A474A500}"/>
    <cellStyle name="Normal 4 2 8 3" xfId="976" xr:uid="{00000000-0005-0000-0000-000082050000}"/>
    <cellStyle name="Normal 4 2 8 3 2" xfId="4530" xr:uid="{C776B60D-BF65-45A6-9F7F-097D3AA61C69}"/>
    <cellStyle name="Normal 4 2 8 3 2 2" xfId="9302" xr:uid="{626F593F-0981-431F-8F98-91D2430A6026}"/>
    <cellStyle name="Normal 4 2 8 3 2 2 2" xfId="29281" xr:uid="{8C33BE09-90BA-4A9D-B79D-F483669A1BC0}"/>
    <cellStyle name="Normal 4 2 8 3 2 2 3" xfId="19682" xr:uid="{AEC3E18F-3EAA-4A99-B9C5-F5C568C4CFF8}"/>
    <cellStyle name="Normal 4 2 8 3 2 3" xfId="12135" xr:uid="{6227930D-EBD1-4EDE-BD4B-0FA572848A41}"/>
    <cellStyle name="Normal 4 2 8 3 2 3 2" xfId="22515" xr:uid="{ADB20690-2F4B-426C-B993-8AAC8EABC124}"/>
    <cellStyle name="Normal 4 2 8 3 2 4" xfId="25630" xr:uid="{73FF503C-0874-4AB0-9772-E3019965A795}"/>
    <cellStyle name="Normal 4 2 8 3 2 5" xfId="16849" xr:uid="{5047CEF5-2DB8-43FD-9B18-DADA40C9C559}"/>
    <cellStyle name="Normal 4 2 8 3 3" xfId="5281" xr:uid="{EA308A1F-9E21-466B-9181-BBA1F7A7BEF0}"/>
    <cellStyle name="Normal 4 2 8 3 3 2" xfId="26831" xr:uid="{73526452-4BA8-4E4D-B954-246CF43DC764}"/>
    <cellStyle name="Normal 4 2 8 3 3 3" xfId="26084" xr:uid="{DE5FB2D0-3406-4A9B-86E1-7733C577CEAC}"/>
    <cellStyle name="Normal 4 2 8 3 3 4" xfId="14579" xr:uid="{4E1C39A6-4501-45F4-BF32-26DDC8688B75}"/>
    <cellStyle name="Normal 4 2 8 3 4" xfId="7032" xr:uid="{B01B7BF7-1BDB-47D2-BA16-EA3A3599A1B1}"/>
    <cellStyle name="Normal 4 2 8 3 4 2" xfId="27592" xr:uid="{27D5A90D-3C2E-465B-A7B7-E69A4DDE8F5A}"/>
    <cellStyle name="Normal 4 2 8 3 4 3" xfId="25880" xr:uid="{BD3B06D1-5D7C-4E88-BE62-74FC4F57D391}"/>
    <cellStyle name="Normal 4 2 8 3 4 4" xfId="17412" xr:uid="{067B1167-04F2-4B58-A44C-19BE32FA69A8}"/>
    <cellStyle name="Normal 4 2 8 3 5" xfId="9865" xr:uid="{584A9564-4815-4898-BF0C-36D2ED106056}"/>
    <cellStyle name="Normal 4 2 8 3 5 2" xfId="29423" xr:uid="{7C3D385E-C8A0-4F65-B338-1A2D9FF74FA3}"/>
    <cellStyle name="Normal 4 2 8 3 5 3" xfId="20245" xr:uid="{416B0672-457C-4CA1-AEEC-CD1B3247D0E3}"/>
    <cellStyle name="Normal 4 2 8 3 6" xfId="23273" xr:uid="{187F3FCC-75E3-4883-98CD-D692FA43E764}"/>
    <cellStyle name="Normal 4 2 8 3 7" xfId="13896" xr:uid="{5A4033B9-864B-4331-8EFB-88FA31432662}"/>
    <cellStyle name="Normal 4 2 8 4" xfId="977" xr:uid="{00000000-0005-0000-0000-000083050000}"/>
    <cellStyle name="Normal 4 2 8 4 2" xfId="5282" xr:uid="{7E5248ED-DB83-44BA-8982-5B910168DAEA}"/>
    <cellStyle name="Normal 4 2 8 4 2 2" xfId="24817" xr:uid="{7C816423-915D-482F-A730-34901DA47CB3}"/>
    <cellStyle name="Normal 4 2 8 4 2 3" xfId="27699" xr:uid="{C548D3E3-BE2C-4ADB-B55F-8F36A895B4C9}"/>
    <cellStyle name="Normal 4 2 8 4 2 4" xfId="14580" xr:uid="{8F6EFBFC-0F84-45AC-A641-ED0E255EE901}"/>
    <cellStyle name="Normal 4 2 8 4 3" xfId="7033" xr:uid="{8F6F6C15-2E1B-4DFB-B6D7-5649EF620FE1}"/>
    <cellStyle name="Normal 4 2 8 4 3 2" xfId="27527" xr:uid="{671E24FF-B631-4BD0-BC0B-D23BC6C0B1D0}"/>
    <cellStyle name="Normal 4 2 8 4 3 3" xfId="17413" xr:uid="{9239E6D0-09E5-4713-98D9-D26FF7E42A05}"/>
    <cellStyle name="Normal 4 2 8 4 4" xfId="9866" xr:uid="{E5832AE4-B69A-4E63-A369-26E8F0D5640B}"/>
    <cellStyle name="Normal 4 2 8 4 4 2" xfId="20246" xr:uid="{832710B5-4915-4486-BF68-871BDDD9F1C0}"/>
    <cellStyle name="Normal 4 2 8 4 5" xfId="25091" xr:uid="{A242D922-0156-4748-8368-BC0D5D54FB29}"/>
    <cellStyle name="Normal 4 2 8 4 6" xfId="13453" xr:uid="{18CC260C-6143-4E38-815E-E806F6423DC4}"/>
    <cellStyle name="Normal 4 2 8 5" xfId="2567" xr:uid="{00000000-0005-0000-0000-00000B060000}"/>
    <cellStyle name="Normal 4 2 8 5 2" xfId="5836" xr:uid="{2B602938-BE88-46F4-AEED-0480511D709B}"/>
    <cellStyle name="Normal 4 2 8 5 2 2" xfId="28065" xr:uid="{0AE654D7-F739-4ED1-BFDA-1BC756BA7DF0}"/>
    <cellStyle name="Normal 4 2 8 5 2 3" xfId="15239" xr:uid="{16EA463A-6ED1-4BD1-85B3-08A833DFF1D2}"/>
    <cellStyle name="Normal 4 2 8 5 3" xfId="7692" xr:uid="{F235D23B-8571-4175-AA1A-18813D62F247}"/>
    <cellStyle name="Normal 4 2 8 5 3 2" xfId="18072" xr:uid="{87371162-240D-41A4-89A2-EA13734C2C8A}"/>
    <cellStyle name="Normal 4 2 8 5 4" xfId="10525" xr:uid="{64C7662A-6B89-4E97-AE09-A82A5BE3A734}"/>
    <cellStyle name="Normal 4 2 8 5 4 2" xfId="20905" xr:uid="{1D8E848B-D2CB-469F-AD14-D24CDAAEBACF}"/>
    <cellStyle name="Normal 4 2 8 5 5" xfId="24226" xr:uid="{D93D1C32-E8A1-48DF-81B0-2813A9FDDF3C}"/>
    <cellStyle name="Normal 4 2 8 5 6" xfId="12955" xr:uid="{A1298907-49AF-4C2B-A33A-1F1253F4A8E9}"/>
    <cellStyle name="Normal 4 2 8 6" xfId="2363" xr:uid="{00000000-0005-0000-0000-000005060000}"/>
    <cellStyle name="Normal 4 2 8 6 2" xfId="7490" xr:uid="{623DA9FF-7B9B-411D-B8E0-140CD750E036}"/>
    <cellStyle name="Normal 4 2 8 6 2 2" xfId="28072" xr:uid="{7DB86C15-161B-4423-B90D-A5EA2145346E}"/>
    <cellStyle name="Normal 4 2 8 6 2 3" xfId="17870" xr:uid="{F4A2072C-9F0D-4DAF-8BA8-0DF0D6F03F70}"/>
    <cellStyle name="Normal 4 2 8 6 3" xfId="10323" xr:uid="{9F013E8F-994F-4C24-87B6-D31789EAB697}"/>
    <cellStyle name="Normal 4 2 8 6 3 2" xfId="20703" xr:uid="{4BAE5CB0-31DA-46A6-A93C-B4220F77CAB5}"/>
    <cellStyle name="Normal 4 2 8 6 4" xfId="23042" xr:uid="{727CA44D-E866-4381-906F-15827DBC514F}"/>
    <cellStyle name="Normal 4 2 8 6 5" xfId="15037" xr:uid="{DC13B300-0AAB-4FEA-924B-B41E1F402523}"/>
    <cellStyle name="Normal 4 2 8 7" xfId="3984" xr:uid="{0D503DE1-E6FB-41B9-872C-260C16FD35DF}"/>
    <cellStyle name="Normal 4 2 8 7 2" xfId="8808" xr:uid="{2238076B-17C5-4BB0-8771-7246541852C0}"/>
    <cellStyle name="Normal 4 2 8 7 2 2" xfId="19188" xr:uid="{D50F9003-10E7-4758-88F1-5489C3DD8E39}"/>
    <cellStyle name="Normal 4 2 8 7 3" xfId="11641" xr:uid="{5609E8A0-B570-4536-9E8D-EF43746CF1A3}"/>
    <cellStyle name="Normal 4 2 8 7 3 2" xfId="22021" xr:uid="{3E45361C-DB83-47CD-ACDE-DB7B2162FCDE}"/>
    <cellStyle name="Normal 4 2 8 7 4" xfId="26981" xr:uid="{A0368A9F-F8DF-48B0-8AF2-25EE521D4116}"/>
    <cellStyle name="Normal 4 2 8 7 5" xfId="16355" xr:uid="{83063297-299C-4D8E-A1EC-68A069649514}"/>
    <cellStyle name="Normal 4 2 8 8" xfId="5278" xr:uid="{F36601DD-9793-4E6C-A6F7-1BEE8586145E}"/>
    <cellStyle name="Normal 4 2 8 8 2" xfId="14576" xr:uid="{0F9B40D2-AF9E-4369-B145-F10988D4531B}"/>
    <cellStyle name="Normal 4 2 8 9" xfId="7029" xr:uid="{1EFC0CD8-F643-412B-958A-E519945578B1}"/>
    <cellStyle name="Normal 4 2 8 9 2" xfId="17409" xr:uid="{C449D1EC-A7C5-48A1-BDFF-346BD6863E2E}"/>
    <cellStyle name="Normal 4 2 9" xfId="978" xr:uid="{00000000-0005-0000-0000-000084050000}"/>
    <cellStyle name="Normal 4 2 9 10" xfId="24697" xr:uid="{1BC18EEE-28F1-4D7D-BBBE-1BB67F6215FF}"/>
    <cellStyle name="Normal 4 2 9 11" xfId="12598" xr:uid="{736C4B30-A948-4E20-A4A9-4004E479C4BA}"/>
    <cellStyle name="Normal 4 2 9 2" xfId="979" xr:uid="{00000000-0005-0000-0000-000085050000}"/>
    <cellStyle name="Normal 4 2 9 2 2" xfId="3336" xr:uid="{00000000-0005-0000-0000-00000E060000}"/>
    <cellStyle name="Normal 4 2 9 2 2 2" xfId="6394" xr:uid="{85737081-3632-4418-8D8B-482B84C5F817}"/>
    <cellStyle name="Normal 4 2 9 2 2 2 2" xfId="27958" xr:uid="{B1F2C022-8335-4926-9921-99B718CBC7A8}"/>
    <cellStyle name="Normal 4 2 9 2 2 2 3" xfId="26515" xr:uid="{17C870E6-F094-46EF-AF70-8A284D8C113A}"/>
    <cellStyle name="Normal 4 2 9 2 2 2 4" xfId="15963" xr:uid="{B2B4E031-D27B-4E61-900F-7265CAED60DE}"/>
    <cellStyle name="Normal 4 2 9 2 2 3" xfId="8416" xr:uid="{4FDCBAA5-9629-4E67-9817-0322E2190FE2}"/>
    <cellStyle name="Normal 4 2 9 2 2 3 2" xfId="28911" xr:uid="{7DB9E4D2-0ADB-4E13-8EFD-5A7E368FC6F0}"/>
    <cellStyle name="Normal 4 2 9 2 2 3 3" xfId="18796" xr:uid="{B3E3D26E-4A4A-4ABA-BA70-31CFAB7E1A7F}"/>
    <cellStyle name="Normal 4 2 9 2 2 4" xfId="11249" xr:uid="{DFFCE619-3FE1-4D27-A046-5ECDC4FED236}"/>
    <cellStyle name="Normal 4 2 9 2 2 4 2" xfId="21629" xr:uid="{71893766-D46A-4B71-92F4-42CDAFC58422}"/>
    <cellStyle name="Normal 4 2 9 2 2 5" xfId="25245" xr:uid="{9ABB1AF1-AFA9-4E59-BCBA-2CC8F3B327FF}"/>
    <cellStyle name="Normal 4 2 9 2 2 6" xfId="13897" xr:uid="{AE5C2F51-3957-42C2-B249-4FDF23092ACD}"/>
    <cellStyle name="Normal 4 2 9 2 3" xfId="4192" xr:uid="{4F4C7D3C-EC36-41C6-8F6F-636865ADBAC5}"/>
    <cellStyle name="Normal 4 2 9 2 3 2" xfId="8964" xr:uid="{B5A22BA2-6878-4F6D-96CF-A3E0B0C9D051}"/>
    <cellStyle name="Normal 4 2 9 2 3 2 2" xfId="29050" xr:uid="{31E5468C-2CC0-4D6B-9530-B5CE5EEEB8D2}"/>
    <cellStyle name="Normal 4 2 9 2 3 2 3" xfId="19344" xr:uid="{E38136C2-795B-4D28-BB2A-83F81243C71D}"/>
    <cellStyle name="Normal 4 2 9 2 3 3" xfId="11797" xr:uid="{5DA08E2F-2DFD-4E9E-B540-595FA3528708}"/>
    <cellStyle name="Normal 4 2 9 2 3 3 2" xfId="22177" xr:uid="{9A29D151-0C95-46D7-AE97-35CB67D05839}"/>
    <cellStyle name="Normal 4 2 9 2 3 4" xfId="23241" xr:uid="{D0592480-FAD9-4F74-BD50-575F47EA9966}"/>
    <cellStyle name="Normal 4 2 9 2 3 5" xfId="16511" xr:uid="{8C702828-AFCB-4120-863A-A536385D3145}"/>
    <cellStyle name="Normal 4 2 9 2 4" xfId="5284" xr:uid="{53B389DF-D682-4A0E-8BEB-331AAF4C3CEE}"/>
    <cellStyle name="Normal 4 2 9 2 4 2" xfId="26653" xr:uid="{185D022D-E2CF-4615-BB19-920BD47AA99E}"/>
    <cellStyle name="Normal 4 2 9 2 4 3" xfId="28629" xr:uid="{6A98504E-B232-4026-B271-C589E09AD7D7}"/>
    <cellStyle name="Normal 4 2 9 2 4 4" xfId="14582" xr:uid="{455BA2F0-BC97-4A95-832E-27DBD9094669}"/>
    <cellStyle name="Normal 4 2 9 2 5" xfId="7035" xr:uid="{A5B16A84-63C1-4BD0-B771-236B34CFA1D7}"/>
    <cellStyle name="Normal 4 2 9 2 5 2" xfId="27138" xr:uid="{43FC2B26-B15F-4196-9AAE-72144CDB43D5}"/>
    <cellStyle name="Normal 4 2 9 2 5 3" xfId="17415" xr:uid="{D4574702-FFA2-4546-8A44-76862B42F0C4}"/>
    <cellStyle name="Normal 4 2 9 2 6" xfId="9868" xr:uid="{0ED17B6E-F62B-447B-A94A-5AAAE28E3315}"/>
    <cellStyle name="Normal 4 2 9 2 6 2" xfId="20248" xr:uid="{52007826-FC97-4682-B597-7143189CCC7D}"/>
    <cellStyle name="Normal 4 2 9 2 7" xfId="24989" xr:uid="{99193BA7-1C8B-4A46-A25D-4485E2BE0A4C}"/>
    <cellStyle name="Normal 4 2 9 2 8" xfId="12756" xr:uid="{59F4C902-4A6A-41B3-B2B7-E74F5E7CB393}"/>
    <cellStyle name="Normal 4 2 9 3" xfId="980" xr:uid="{00000000-0005-0000-0000-000086050000}"/>
    <cellStyle name="Normal 4 2 9 3 2" xfId="5285" xr:uid="{5A311702-84C2-47AB-A3FB-F5C8D392B100}"/>
    <cellStyle name="Normal 4 2 9 3 2 2" xfId="23740" xr:uid="{01A71D77-0373-4EB3-B9DF-80215CF7D626}"/>
    <cellStyle name="Normal 4 2 9 3 2 3" xfId="27710" xr:uid="{C37C1A31-55F7-48E1-A38A-D34EC57AB787}"/>
    <cellStyle name="Normal 4 2 9 3 2 4" xfId="14583" xr:uid="{761168BF-2B18-4C42-AC39-95747D971D35}"/>
    <cellStyle name="Normal 4 2 9 3 3" xfId="7036" xr:uid="{366C57EB-7033-4AA0-991A-DF21D35E5D57}"/>
    <cellStyle name="Normal 4 2 9 3 3 2" xfId="27630" xr:uid="{E6647535-F096-4F67-B5CE-22F93FC73584}"/>
    <cellStyle name="Normal 4 2 9 3 3 3" xfId="27204" xr:uid="{7136C924-2548-445A-8895-85C21611BDF4}"/>
    <cellStyle name="Normal 4 2 9 3 3 4" xfId="17416" xr:uid="{85577A67-3650-4B79-B56D-89F335AEBC42}"/>
    <cellStyle name="Normal 4 2 9 3 4" xfId="9869" xr:uid="{6C5704B4-FC3A-4877-AF08-7878EA373C0B}"/>
    <cellStyle name="Normal 4 2 9 3 4 2" xfId="26694" xr:uid="{B68923CF-F64F-4FE9-B16C-E0A3A0DF64EE}"/>
    <cellStyle name="Normal 4 2 9 3 4 3" xfId="29424" xr:uid="{84E1DE07-325C-41D1-AD82-DF07BFEEF52C}"/>
    <cellStyle name="Normal 4 2 9 3 4 4" xfId="20249" xr:uid="{224D8381-8C81-4F39-97B6-C28351A151A5}"/>
    <cellStyle name="Normal 4 2 9 3 5" xfId="22717" xr:uid="{3B7EF572-2B4D-4A32-8E47-ED37BAFAD9A2}"/>
    <cellStyle name="Normal 4 2 9 3 6" xfId="27773" xr:uid="{60B996DF-D627-4A20-A0F3-FD18C1023D7E}"/>
    <cellStyle name="Normal 4 2 9 3 7" xfId="13454" xr:uid="{ED6C3D71-3215-4FD4-A087-AEEF8B0E7655}"/>
    <cellStyle name="Normal 4 2 9 4" xfId="2783" xr:uid="{00000000-0005-0000-0000-000010060000}"/>
    <cellStyle name="Normal 4 2 9 4 2" xfId="6001" xr:uid="{5B23AC81-87E8-4D19-BBCC-C615337C2E49}"/>
    <cellStyle name="Normal 4 2 9 4 2 2" xfId="28612" xr:uid="{116A0CEA-2948-497B-9BD2-94F0B4CC7B1A}"/>
    <cellStyle name="Normal 4 2 9 4 2 3" xfId="15454" xr:uid="{B9396408-B53A-4678-841B-2A3CDC5033FF}"/>
    <cellStyle name="Normal 4 2 9 4 3" xfId="7907" xr:uid="{186C58AA-4B64-44FC-B2B5-3F1E3A4256B5}"/>
    <cellStyle name="Normal 4 2 9 4 3 2" xfId="18287" xr:uid="{C72F8021-8254-4869-82B8-2E95D17084B8}"/>
    <cellStyle name="Normal 4 2 9 4 4" xfId="10740" xr:uid="{C61E9972-1B7D-4D24-A78C-8DD052BDE4AE}"/>
    <cellStyle name="Normal 4 2 9 4 4 2" xfId="21120" xr:uid="{CB788F74-DDC2-42F0-AE44-6FCC5E8FD954}"/>
    <cellStyle name="Normal 4 2 9 4 5" xfId="24980" xr:uid="{B2004425-31FC-4288-8FF7-D5697CA49C00}"/>
    <cellStyle name="Normal 4 2 9 4 6" xfId="13240" xr:uid="{FB3EA9A0-28F6-49CF-A929-F194F94A4FAE}"/>
    <cellStyle name="Normal 4 2 9 5" xfId="2364" xr:uid="{00000000-0005-0000-0000-00000C060000}"/>
    <cellStyle name="Normal 4 2 9 5 2" xfId="7491" xr:uid="{AB29F732-18B8-4461-941D-8D1A560AB5C2}"/>
    <cellStyle name="Normal 4 2 9 5 2 2" xfId="27472" xr:uid="{FA8BAB30-618F-4D5E-B9DC-4BB9E35ADD12}"/>
    <cellStyle name="Normal 4 2 9 5 2 3" xfId="17871" xr:uid="{6B849158-6D64-4B4A-8AAD-2EDA30776E4F}"/>
    <cellStyle name="Normal 4 2 9 5 3" xfId="10324" xr:uid="{6552F46C-CBC0-4F33-BAE8-8F78EF5A1D08}"/>
    <cellStyle name="Normal 4 2 9 5 3 2" xfId="20704" xr:uid="{3DFE3164-85F3-428E-BC47-E7535BD0CB2F}"/>
    <cellStyle name="Normal 4 2 9 5 4" xfId="23612" xr:uid="{0C4CE829-02ED-4680-A5EC-B27FE438262D}"/>
    <cellStyle name="Normal 4 2 9 5 5" xfId="15038" xr:uid="{1C424D77-7E30-41D7-A2B0-AC375F658583}"/>
    <cellStyle name="Normal 4 2 9 6" xfId="3985" xr:uid="{2081E4A0-2A0D-472E-894C-28A332A6A6F5}"/>
    <cellStyle name="Normal 4 2 9 6 2" xfId="8809" xr:uid="{D95BEDCE-3DB6-4310-A41A-A464FB9268D6}"/>
    <cellStyle name="Normal 4 2 9 6 2 2" xfId="28988" xr:uid="{A653E288-0828-461A-AF3A-EA6DD7D1ACC1}"/>
    <cellStyle name="Normal 4 2 9 6 2 3" xfId="19189" xr:uid="{578F7CDB-B29D-4105-A45B-84C2314EF4AD}"/>
    <cellStyle name="Normal 4 2 9 6 3" xfId="11642" xr:uid="{9CA866A3-CB78-493C-B8EB-D6F3F63E18D8}"/>
    <cellStyle name="Normal 4 2 9 6 3 2" xfId="22022" xr:uid="{30F1378C-3BD4-4503-9B02-20514C361F13}"/>
    <cellStyle name="Normal 4 2 9 6 4" xfId="28484" xr:uid="{4C17BFAD-749F-47FD-8705-EC1CD83CB710}"/>
    <cellStyle name="Normal 4 2 9 6 5" xfId="16356" xr:uid="{AA4F05ED-B016-419B-A844-584D08DC2CBE}"/>
    <cellStyle name="Normal 4 2 9 7" xfId="5283" xr:uid="{85EDD228-FBD8-4AA1-B472-1931854E7F68}"/>
    <cellStyle name="Normal 4 2 9 7 2" xfId="26610" xr:uid="{C4DC5367-9F95-43B1-8EE7-48ECB31B25EF}"/>
    <cellStyle name="Normal 4 2 9 7 3" xfId="14581" xr:uid="{1E121E5D-ABF5-4EF0-B016-F171581C28C4}"/>
    <cellStyle name="Normal 4 2 9 8" xfId="7034" xr:uid="{2234AECC-897F-4F0C-8FF2-2937045B6D58}"/>
    <cellStyle name="Normal 4 2 9 8 2" xfId="17414" xr:uid="{5420E77A-C3D8-47C1-95B2-6DF6C0CC7DAE}"/>
    <cellStyle name="Normal 4 2 9 9" xfId="9867" xr:uid="{AC175359-7CA8-4095-8AEA-4603FC6D285E}"/>
    <cellStyle name="Normal 4 2 9 9 2" xfId="20247" xr:uid="{445870CE-DF3A-4EA0-A8E1-BF46B37E8949}"/>
    <cellStyle name="Normal 4 20" xfId="6943" xr:uid="{E5601753-EC59-4977-8FB5-EEB0F80A55B2}"/>
    <cellStyle name="Normal 4 20 2" xfId="25792" xr:uid="{733D533C-A0A8-4A04-88DC-892CA7B11E9A}"/>
    <cellStyle name="Normal 4 20 3" xfId="24029" xr:uid="{22F76A3A-8637-4E9C-B992-261509B13550}"/>
    <cellStyle name="Normal 4 20 4" xfId="17323" xr:uid="{5CEF4AA7-294C-443E-87C5-D24C01734031}"/>
    <cellStyle name="Normal 4 21" xfId="9776" xr:uid="{66584F7F-5120-4B7C-BA26-A2A9646FAF34}"/>
    <cellStyle name="Normal 4 21 2" xfId="23750" xr:uid="{96F41DEB-7FBA-4E04-8E58-35A3FFA8C282}"/>
    <cellStyle name="Normal 4 21 3" xfId="20156" xr:uid="{89F4FCE5-136C-4E64-82F3-9A9D86157179}"/>
    <cellStyle name="Normal 4 22" xfId="23826" xr:uid="{89B62F44-3C78-4195-9036-0186F7E268B9}"/>
    <cellStyle name="Normal 4 23" xfId="25782" xr:uid="{6F6096DE-56CA-421D-A3CC-34838D6F30D6}"/>
    <cellStyle name="Normal 4 24" xfId="23759" xr:uid="{443C657F-6607-423A-BC22-E4DD780257E1}"/>
    <cellStyle name="Normal 4 25" xfId="12389" xr:uid="{880E111A-3019-4B5F-9A20-969303458D7D}"/>
    <cellStyle name="Normal 4 3" xfId="981" xr:uid="{00000000-0005-0000-0000-000087050000}"/>
    <cellStyle name="Normal 4 3 2" xfId="982" xr:uid="{00000000-0005-0000-0000-000088050000}"/>
    <cellStyle name="Normal 4 4" xfId="983" xr:uid="{00000000-0005-0000-0000-000089050000}"/>
    <cellStyle name="Normal 4 4 10" xfId="984" xr:uid="{00000000-0005-0000-0000-00008A050000}"/>
    <cellStyle name="Normal 4 4 10 2" xfId="3337" xr:uid="{00000000-0005-0000-0000-000015060000}"/>
    <cellStyle name="Normal 4 4 10 2 2" xfId="6395" xr:uid="{2B3C16A7-0299-4D00-884B-418C5FB40CB9}"/>
    <cellStyle name="Normal 4 4 10 2 2 2" xfId="27438" xr:uid="{B25B4AEB-DE57-41AC-928A-065CFEEE6CAA}"/>
    <cellStyle name="Normal 4 4 10 2 2 3" xfId="15964" xr:uid="{7879A539-78A4-448A-A87F-E92FBAEF97DC}"/>
    <cellStyle name="Normal 4 4 10 2 3" xfId="8417" xr:uid="{583422FB-6557-44D6-AB50-5D8EE6570BE5}"/>
    <cellStyle name="Normal 4 4 10 2 3 2" xfId="18797" xr:uid="{749FCA83-AC03-4587-814B-41BBBD87E1DA}"/>
    <cellStyle name="Normal 4 4 10 2 4" xfId="11250" xr:uid="{ED6D8674-A3A4-45F5-A466-51DA9A2688F7}"/>
    <cellStyle name="Normal 4 4 10 2 4 2" xfId="21630" xr:uid="{F3A80C5E-84E7-435B-9BE0-0FCC838237D5}"/>
    <cellStyle name="Normal 4 4 10 2 5" xfId="23135" xr:uid="{4773E5C8-78B3-4A69-B50A-E73FFA2FBCCF}"/>
    <cellStyle name="Normal 4 4 10 2 6" xfId="13898" xr:uid="{DC64F37C-163F-4469-88FD-03E34F86253B}"/>
    <cellStyle name="Normal 4 4 10 3" xfId="4193" xr:uid="{BA9BCFEA-7265-4417-99C4-FCCF7A9A6298}"/>
    <cellStyle name="Normal 4 4 10 3 2" xfId="8965" xr:uid="{FCE9226C-6C34-4450-AE7E-4069F92C8732}"/>
    <cellStyle name="Normal 4 4 10 3 2 2" xfId="29051" xr:uid="{04607B34-5BE2-473C-94A5-198042603CA1}"/>
    <cellStyle name="Normal 4 4 10 3 2 3" xfId="19345" xr:uid="{C227E74E-86D9-442A-A358-7EDCD5C42F03}"/>
    <cellStyle name="Normal 4 4 10 3 3" xfId="11798" xr:uid="{4D658857-33C5-4111-A534-AC3F607D2353}"/>
    <cellStyle name="Normal 4 4 10 3 3 2" xfId="22178" xr:uid="{B810C485-A883-462F-983E-B8A6B7F20A14}"/>
    <cellStyle name="Normal 4 4 10 3 4" xfId="24274" xr:uid="{48B0F57A-7D64-4953-B01F-A611DA132406}"/>
    <cellStyle name="Normal 4 4 10 3 5" xfId="16512" xr:uid="{12443884-7777-4CDA-8CA1-6F5A9B0565BD}"/>
    <cellStyle name="Normal 4 4 10 4" xfId="5287" xr:uid="{8C67447C-FE59-4471-B4BA-EDFAF1272678}"/>
    <cellStyle name="Normal 4 4 10 4 2" xfId="23733" xr:uid="{BF527957-304C-458A-90FD-A22AE275089D}"/>
    <cellStyle name="Normal 4 4 10 4 3" xfId="27391" xr:uid="{55AD940C-30E6-4902-A365-A64DF68773C4}"/>
    <cellStyle name="Normal 4 4 10 4 4" xfId="14585" xr:uid="{66285ADD-B94E-44A6-9734-A772E61513B9}"/>
    <cellStyle name="Normal 4 4 10 5" xfId="7038" xr:uid="{4E23692F-4825-41D4-987B-33F6C6BA84E7}"/>
    <cellStyle name="Normal 4 4 10 5 2" xfId="27503" xr:uid="{66B24CEC-5671-4237-8B96-DA92835B61DB}"/>
    <cellStyle name="Normal 4 4 10 5 3" xfId="17418" xr:uid="{7E1F0AF1-E2B3-4486-B108-6C288AC71D52}"/>
    <cellStyle name="Normal 4 4 10 6" xfId="9871" xr:uid="{4AAC2B23-A6C8-4572-A41A-52CE581C565E}"/>
    <cellStyle name="Normal 4 4 10 6 2" xfId="20251" xr:uid="{1B20F519-9A0D-4D39-90C2-F1CA31D4020E}"/>
    <cellStyle name="Normal 4 4 10 7" xfId="24731" xr:uid="{1F622891-86BB-47F3-BF5E-F05E5D38CFB9}"/>
    <cellStyle name="Normal 4 4 10 8" xfId="12757" xr:uid="{5706E484-CBB5-4107-881D-3B86DB21800A}"/>
    <cellStyle name="Normal 4 4 11" xfId="985" xr:uid="{00000000-0005-0000-0000-00008B050000}"/>
    <cellStyle name="Normal 4 4 11 2" xfId="5288" xr:uid="{2D01C6A3-5E13-49D3-A264-A301C24C97E9}"/>
    <cellStyle name="Normal 4 4 11 2 2" xfId="24020" xr:uid="{B7878FE6-C1FB-463C-8E21-644148B194B4}"/>
    <cellStyle name="Normal 4 4 11 2 3" xfId="26194" xr:uid="{C93C88BF-660A-4278-B197-F382EEC7D5F7}"/>
    <cellStyle name="Normal 4 4 11 2 4" xfId="14586" xr:uid="{9C93F634-F45F-427F-BBDD-237ABA4E4D74}"/>
    <cellStyle name="Normal 4 4 11 3" xfId="7039" xr:uid="{BA85FB4F-4182-4FEA-9F2D-3C1253BFF8AC}"/>
    <cellStyle name="Normal 4 4 11 3 2" xfId="28736" xr:uid="{B917CE2C-9F5A-4BE6-88C0-05B474DDDE7F}"/>
    <cellStyle name="Normal 4 4 11 3 3" xfId="17419" xr:uid="{593FFA6A-25F3-488F-B567-620550E0658E}"/>
    <cellStyle name="Normal 4 4 11 4" xfId="9872" xr:uid="{E736C63F-2AC8-40E9-B856-007691D1358D}"/>
    <cellStyle name="Normal 4 4 11 4 2" xfId="20252" xr:uid="{3DE2923C-A1D4-4A30-817B-099939583E53}"/>
    <cellStyle name="Normal 4 4 11 5" xfId="23382" xr:uid="{8753CE19-BDC1-496D-9B10-84F52A2C2977}"/>
    <cellStyle name="Normal 4 4 11 6" xfId="13455" xr:uid="{1A418053-A1DE-4ACB-B87E-72BACB563292}"/>
    <cellStyle name="Normal 4 4 12" xfId="2438" xr:uid="{00000000-0005-0000-0000-000017060000}"/>
    <cellStyle name="Normal 4 4 12 2" xfId="5733" xr:uid="{E71BE5E9-4E25-48CB-9343-145BEA0EBCC5}"/>
    <cellStyle name="Normal 4 4 12 2 2" xfId="26576" xr:uid="{21AE1773-78AE-4197-A9B0-3BBFB9C9E91E}"/>
    <cellStyle name="Normal 4 4 12 2 3" xfId="15110" xr:uid="{FC799BCE-0E7F-4FBA-92BD-CF35EA6E6931}"/>
    <cellStyle name="Normal 4 4 12 3" xfId="7563" xr:uid="{E0AD47AD-FCB9-46D2-A82B-78269D50B0CC}"/>
    <cellStyle name="Normal 4 4 12 3 2" xfId="17943" xr:uid="{F1BCDD12-3285-44A3-83BB-45A3826FA9EF}"/>
    <cellStyle name="Normal 4 4 12 4" xfId="10396" xr:uid="{0F79B491-781B-4AA5-BCCF-0ECA010CA42D}"/>
    <cellStyle name="Normal 4 4 12 4 2" xfId="20776" xr:uid="{D67BBA4C-FCB8-489E-AB99-439196C30658}"/>
    <cellStyle name="Normal 4 4 12 5" xfId="23460" xr:uid="{EA478E3F-F02C-4621-92A9-EB4311A7D3A0}"/>
    <cellStyle name="Normal 4 4 12 6" xfId="12825" xr:uid="{CB655288-B256-4B54-8734-27010C1AAA7E}"/>
    <cellStyle name="Normal 4 4 13" xfId="2168" xr:uid="{00000000-0005-0000-0000-000013060000}"/>
    <cellStyle name="Normal 4 4 13 2" xfId="7295" xr:uid="{57CB4F8B-BA01-4C5B-AB7D-D92DB9F23A1A}"/>
    <cellStyle name="Normal 4 4 13 2 2" xfId="27891" xr:uid="{268AFB25-8671-4D25-B439-C5B125B633C7}"/>
    <cellStyle name="Normal 4 4 13 2 3" xfId="17675" xr:uid="{FF2C2023-6DE8-4DD5-9ABF-6A5128AAD6C7}"/>
    <cellStyle name="Normal 4 4 13 3" xfId="10128" xr:uid="{5E6F0728-FF33-458B-A04C-3ABC0E193730}"/>
    <cellStyle name="Normal 4 4 13 3 2" xfId="20508" xr:uid="{F9EC4638-AF3D-4BC2-9A3D-B74529B7EE0F}"/>
    <cellStyle name="Normal 4 4 13 4" xfId="23827" xr:uid="{52337421-501D-41E5-AECA-1496CD97E96F}"/>
    <cellStyle name="Normal 4 4 13 5" xfId="14842" xr:uid="{7FE6E188-AC7A-4DD5-AC00-61B0300A9B35}"/>
    <cellStyle name="Normal 4 4 14" xfId="3986" xr:uid="{32463145-0242-4FD3-A3C7-1AE8BB5420B2}"/>
    <cellStyle name="Normal 4 4 14 2" xfId="8810" xr:uid="{96E81A39-F7BE-4A1A-A2D4-A37A066F9669}"/>
    <cellStyle name="Normal 4 4 14 2 2" xfId="19190" xr:uid="{36253008-536F-4BEE-84DC-4A737DA8E433}"/>
    <cellStyle name="Normal 4 4 14 3" xfId="11643" xr:uid="{2F1DDD0D-D96B-415F-809D-56D584388FF7}"/>
    <cellStyle name="Normal 4 4 14 3 2" xfId="22023" xr:uid="{383070A4-5390-471A-AD4E-826DCA4547CE}"/>
    <cellStyle name="Normal 4 4 14 4" xfId="27556" xr:uid="{744D9950-0345-4247-B848-A80C1FEA7202}"/>
    <cellStyle name="Normal 4 4 14 5" xfId="16357" xr:uid="{E8A4D107-3532-44AA-8749-422BA1D4FE1D}"/>
    <cellStyle name="Normal 4 4 15" xfId="5286" xr:uid="{C2382099-3E92-49C9-AA4B-4EABED7BD494}"/>
    <cellStyle name="Normal 4 4 15 2" xfId="14584" xr:uid="{959891F0-419E-410A-AEA5-D53342EE6FB7}"/>
    <cellStyle name="Normal 4 4 16" xfId="7037" xr:uid="{8C2EBE04-C40B-4FA8-9156-B892929DEFBD}"/>
    <cellStyle name="Normal 4 4 16 2" xfId="17417" xr:uid="{56D911EF-30F2-45D0-8E50-FFA41229358F}"/>
    <cellStyle name="Normal 4 4 17" xfId="9870" xr:uid="{995A7B1C-9591-4AA1-82E2-F53A667DBFCB}"/>
    <cellStyle name="Normal 4 4 17 2" xfId="20250" xr:uid="{01A18C04-7DF0-48CC-AA97-6996ACE26D4A}"/>
    <cellStyle name="Normal 4 4 18" xfId="24748" xr:uid="{703F48F3-BBAE-4AE8-B24A-6032927DEB6F}"/>
    <cellStyle name="Normal 4 4 19" xfId="12400" xr:uid="{A9899CC4-8D74-42E8-BCF8-C9D3A48E992D}"/>
    <cellStyle name="Normal 4 4 2" xfId="986" xr:uid="{00000000-0005-0000-0000-00008C050000}"/>
    <cellStyle name="Normal 4 4 2 10" xfId="5289" xr:uid="{C9173801-F243-4242-8E05-DC6C5B03108B}"/>
    <cellStyle name="Normal 4 4 2 10 2" xfId="14587" xr:uid="{F26842E6-D563-4B7F-8110-180DFE5C4E58}"/>
    <cellStyle name="Normal 4 4 2 11" xfId="7040" xr:uid="{C1444B38-653A-47C1-BC0B-D3D8BF26F179}"/>
    <cellStyle name="Normal 4 4 2 11 2" xfId="17420" xr:uid="{314483FD-0D38-4D7A-8265-1ED74DFD92C4}"/>
    <cellStyle name="Normal 4 4 2 12" xfId="9873" xr:uid="{A3AC162A-2DE9-4F7B-AD6A-DE6A3844C058}"/>
    <cellStyle name="Normal 4 4 2 12 2" xfId="20253" xr:uid="{59975E48-62EE-45A4-B296-82A3B2ACB754}"/>
    <cellStyle name="Normal 4 4 2 13" xfId="25535" xr:uid="{9F4800AD-9630-4E1B-AD92-F43594679442}"/>
    <cellStyle name="Normal 4 4 2 14" xfId="12423" xr:uid="{D74C7FFF-C9EB-42C1-9F53-D6CE6B1B9E77}"/>
    <cellStyle name="Normal 4 4 2 2" xfId="987" xr:uid="{00000000-0005-0000-0000-00008D050000}"/>
    <cellStyle name="Normal 4 4 2 2 10" xfId="7041" xr:uid="{0C75F5A4-51F1-48A4-A6E7-A128AD4FCE49}"/>
    <cellStyle name="Normal 4 4 2 2 10 2" xfId="17421" xr:uid="{135BC228-1136-41D3-8267-62DFD5C8E68A}"/>
    <cellStyle name="Normal 4 4 2 2 11" xfId="9874" xr:uid="{604D1C80-960E-4BFA-9D20-5FC2026C65D6}"/>
    <cellStyle name="Normal 4 4 2 2 11 2" xfId="20254" xr:uid="{E35A96B7-C2BD-43FB-BDC2-1739CB2156B3}"/>
    <cellStyle name="Normal 4 4 2 2 12" xfId="24313" xr:uid="{4A384093-1FFD-408D-922E-635A1B405B55}"/>
    <cellStyle name="Normal 4 4 2 2 13" xfId="12483" xr:uid="{175A71FC-C908-4D69-AB58-4779FA75F504}"/>
    <cellStyle name="Normal 4 4 2 2 2" xfId="988" xr:uid="{00000000-0005-0000-0000-00008E050000}"/>
    <cellStyle name="Normal 4 4 2 2 2 10" xfId="13048" xr:uid="{A6E6A654-C557-4408-A191-9785EF23F9C9}"/>
    <cellStyle name="Normal 4 4 2 2 2 2" xfId="2787" xr:uid="{00000000-0005-0000-0000-00001B060000}"/>
    <cellStyle name="Normal 4 4 2 2 2 2 2" xfId="3340" xr:uid="{00000000-0005-0000-0000-00001C060000}"/>
    <cellStyle name="Normal 4 4 2 2 2 2 2 2" xfId="6398" xr:uid="{511D1F66-3411-48B0-8203-F4A9DA2F0FDA}"/>
    <cellStyle name="Normal 4 4 2 2 2 2 2 2 2" xfId="26975" xr:uid="{CF2747F8-798C-4EE4-A498-23C0D530D462}"/>
    <cellStyle name="Normal 4 4 2 2 2 2 2 2 3" xfId="15967" xr:uid="{2496F23A-2799-4B71-A3D3-B015345047AD}"/>
    <cellStyle name="Normal 4 4 2 2 2 2 2 3" xfId="8420" xr:uid="{970E17C2-EE93-4EEC-BB27-5FEFC93133D0}"/>
    <cellStyle name="Normal 4 4 2 2 2 2 2 3 2" xfId="18800" xr:uid="{E6AD4DF1-08AE-468A-9A9E-EB0A51DD43C1}"/>
    <cellStyle name="Normal 4 4 2 2 2 2 2 4" xfId="11253" xr:uid="{DA6302FF-5F54-4CB8-8D31-2B5660D0A0D0}"/>
    <cellStyle name="Normal 4 4 2 2 2 2 2 4 2" xfId="21633" xr:uid="{3B1D8A81-8262-4551-AF7F-A106365422DE}"/>
    <cellStyle name="Normal 4 4 2 2 2 2 2 5" xfId="24646" xr:uid="{4EE14F1F-6E23-4F8C-A333-BDD37E0A2B32}"/>
    <cellStyle name="Normal 4 4 2 2 2 2 2 6" xfId="13901" xr:uid="{380085B0-B0B8-4C53-8E8D-9D2D868E11CD}"/>
    <cellStyle name="Normal 4 4 2 2 2 2 3" xfId="4340" xr:uid="{AEAE18D6-B6A2-4423-B376-EE2258BAE3B4}"/>
    <cellStyle name="Normal 4 4 2 2 2 2 3 2" xfId="9112" xr:uid="{F7CAB04E-5C88-4621-AFBE-A71D17F42617}"/>
    <cellStyle name="Normal 4 4 2 2 2 2 3 2 2" xfId="29155" xr:uid="{6A8DDABF-4C37-439B-8667-261F05E25C34}"/>
    <cellStyle name="Normal 4 4 2 2 2 2 3 2 3" xfId="19492" xr:uid="{A792F0D7-A64E-4E0E-B7F9-423078DB920D}"/>
    <cellStyle name="Normal 4 4 2 2 2 2 3 3" xfId="11945" xr:uid="{CE8EBFB3-29D4-4601-A9E4-2D7CF75189D9}"/>
    <cellStyle name="Normal 4 4 2 2 2 2 3 3 2" xfId="22325" xr:uid="{84601BE3-0C8C-4632-A8BF-59F4D773A787}"/>
    <cellStyle name="Normal 4 4 2 2 2 2 3 4" xfId="22997" xr:uid="{99EE9227-CAEB-4D8C-80C0-AE85048853AE}"/>
    <cellStyle name="Normal 4 4 2 2 2 2 3 5" xfId="16659" xr:uid="{DBE0CC71-F13E-4119-9FD5-C290E64E1003}"/>
    <cellStyle name="Normal 4 4 2 2 2 2 4" xfId="6005" xr:uid="{E29511A5-072F-46C5-9071-ECE49B5D10BB}"/>
    <cellStyle name="Normal 4 4 2 2 2 2 4 2" xfId="25960" xr:uid="{21EA62E7-FDEC-4B32-A0A4-DC9A3B600A76}"/>
    <cellStyle name="Normal 4 4 2 2 2 2 4 3" xfId="15458" xr:uid="{D612C83B-A711-4645-8E86-03E48856C23E}"/>
    <cellStyle name="Normal 4 4 2 2 2 2 5" xfId="7911" xr:uid="{5E99DD95-E668-4AC6-A724-57D53EA08726}"/>
    <cellStyle name="Normal 4 4 2 2 2 2 5 2" xfId="18291" xr:uid="{3BD3DDD6-EF27-4A7D-BAA0-A7558C56A056}"/>
    <cellStyle name="Normal 4 4 2 2 2 2 6" xfId="10744" xr:uid="{1D69AD4B-070D-42F5-9F2C-846D09B973BA}"/>
    <cellStyle name="Normal 4 4 2 2 2 2 6 2" xfId="21124" xr:uid="{A8EC71FD-2B66-42EE-A265-6214D0EAC78E}"/>
    <cellStyle name="Normal 4 4 2 2 2 2 7" xfId="25549" xr:uid="{2EB83C0E-B6E5-49D5-90F4-89EB3B468253}"/>
    <cellStyle name="Normal 4 4 2 2 2 2 8" xfId="13244" xr:uid="{97FE9524-DB6E-4184-B9C3-5EBAD2CD12E5}"/>
    <cellStyle name="Normal 4 4 2 2 2 3" xfId="3341" xr:uid="{00000000-0005-0000-0000-00001D060000}"/>
    <cellStyle name="Normal 4 4 2 2 2 3 2" xfId="4531" xr:uid="{D57982D1-20D9-4173-95B8-81B03C06454C}"/>
    <cellStyle name="Normal 4 4 2 2 2 3 2 2" xfId="9303" xr:uid="{1906EB99-6934-4261-AEAC-9930B70BD463}"/>
    <cellStyle name="Normal 4 4 2 2 2 3 2 2 2" xfId="19683" xr:uid="{1CADBF01-9C05-4A55-B9F4-3B06C0E8A9DB}"/>
    <cellStyle name="Normal 4 4 2 2 2 3 2 3" xfId="12136" xr:uid="{B1998454-18F7-4601-BEA8-E7004959746B}"/>
    <cellStyle name="Normal 4 4 2 2 2 3 2 3 2" xfId="22516" xr:uid="{5F06841B-3EAD-4DB7-A203-7E3CF23CB48B}"/>
    <cellStyle name="Normal 4 4 2 2 2 3 2 4" xfId="27163" xr:uid="{0D40DEB6-A1C5-4870-864E-B777A435FACC}"/>
    <cellStyle name="Normal 4 4 2 2 2 3 2 5" xfId="16850" xr:uid="{9305266D-298E-4E88-83D3-F06AB75B37F3}"/>
    <cellStyle name="Normal 4 4 2 2 2 3 3" xfId="6399" xr:uid="{F0F6FE15-531E-46FD-B7EC-7220C77B92AD}"/>
    <cellStyle name="Normal 4 4 2 2 2 3 3 2" xfId="15968" xr:uid="{393AECD1-A0B3-4EBC-99E7-9080A686AED5}"/>
    <cellStyle name="Normal 4 4 2 2 2 3 4" xfId="8421" xr:uid="{504702F1-FB65-4350-9EA7-4CC0BB8656F8}"/>
    <cellStyle name="Normal 4 4 2 2 2 3 4 2" xfId="18801" xr:uid="{9F5804A4-D7E8-4AC6-8592-695651461A87}"/>
    <cellStyle name="Normal 4 4 2 2 2 3 5" xfId="11254" xr:uid="{DAA82E6E-C4E8-4C7E-84D1-1D2ABE0E9881}"/>
    <cellStyle name="Normal 4 4 2 2 2 3 5 2" xfId="21634" xr:uid="{CCEC414D-7C2C-494A-BF66-DD3C43D3A7A0}"/>
    <cellStyle name="Normal 4 4 2 2 2 3 6" xfId="24483" xr:uid="{8E9E08F5-837D-4108-9E5C-415FBCA96176}"/>
    <cellStyle name="Normal 4 4 2 2 2 3 7" xfId="13902" xr:uid="{C469E6A9-5373-4DAB-812F-E339E68D49A2}"/>
    <cellStyle name="Normal 4 4 2 2 2 4" xfId="3339" xr:uid="{00000000-0005-0000-0000-00001E060000}"/>
    <cellStyle name="Normal 4 4 2 2 2 4 2" xfId="6397" xr:uid="{F81A55A4-5FE1-4013-B08F-3EABC539D636}"/>
    <cellStyle name="Normal 4 4 2 2 2 4 2 2" xfId="28322" xr:uid="{569CA92F-9FC0-4280-9EA4-DC0F7D5BD3B3}"/>
    <cellStyle name="Normal 4 4 2 2 2 4 2 3" xfId="15966" xr:uid="{26A3D037-3327-422B-B13C-C701142E81BC}"/>
    <cellStyle name="Normal 4 4 2 2 2 4 3" xfId="8419" xr:uid="{BF5ED76A-EB79-4BF6-8079-CCFD13518FC9}"/>
    <cellStyle name="Normal 4 4 2 2 2 4 3 2" xfId="18799" xr:uid="{A8F6A1F1-2A47-4B4E-A529-28F5E372A247}"/>
    <cellStyle name="Normal 4 4 2 2 2 4 4" xfId="11252" xr:uid="{A27CFCA9-37A9-487C-8559-55C0F7A213CE}"/>
    <cellStyle name="Normal 4 4 2 2 2 4 4 2" xfId="21632" xr:uid="{02BF1CB0-7FEF-4913-8B53-0ACB069F257B}"/>
    <cellStyle name="Normal 4 4 2 2 2 4 5" xfId="23066" xr:uid="{727C9D6C-675F-405D-9B22-9C4EDD2BF3FD}"/>
    <cellStyle name="Normal 4 4 2 2 2 4 6" xfId="13900" xr:uid="{8552BB07-E4B1-47A4-A0DF-E45B39E14019}"/>
    <cellStyle name="Normal 4 4 2 2 2 5" xfId="4247" xr:uid="{1B5DDFF2-700E-49C0-B6C4-9115F3C3A1FC}"/>
    <cellStyle name="Normal 4 4 2 2 2 5 2" xfId="9019" xr:uid="{E9AF53E9-8F82-4245-B39F-F5E954B3F427}"/>
    <cellStyle name="Normal 4 4 2 2 2 5 2 2" xfId="29090" xr:uid="{EFF38729-D6BC-4932-AC44-EA578773EBC7}"/>
    <cellStyle name="Normal 4 4 2 2 2 5 2 3" xfId="19399" xr:uid="{53BA4873-F7AA-46D5-984C-7D06F76CE2C6}"/>
    <cellStyle name="Normal 4 4 2 2 2 5 3" xfId="11852" xr:uid="{9484FA93-8A4D-4135-8E3C-B9DA048FEECE}"/>
    <cellStyle name="Normal 4 4 2 2 2 5 3 2" xfId="22232" xr:uid="{E714DF82-67F8-4F82-92EA-6A400075F110}"/>
    <cellStyle name="Normal 4 4 2 2 2 5 4" xfId="24203" xr:uid="{4E8C4B6F-C3D7-4D57-9485-08951DB99FBF}"/>
    <cellStyle name="Normal 4 4 2 2 2 5 5" xfId="16566" xr:uid="{1DABC36D-944F-42FD-8DE0-AA39F762EE91}"/>
    <cellStyle name="Normal 4 4 2 2 2 6" xfId="5291" xr:uid="{4E40497E-6E2A-434D-87A7-EA8E5896162A}"/>
    <cellStyle name="Normal 4 4 2 2 2 6 2" xfId="27335" xr:uid="{72415122-6861-485B-B3F3-915932AD873D}"/>
    <cellStyle name="Normal 4 4 2 2 2 6 3" xfId="14589" xr:uid="{341FD1A3-1C03-474C-B496-7F4B76F75C23}"/>
    <cellStyle name="Normal 4 4 2 2 2 7" xfId="7042" xr:uid="{A3223282-F4FF-4C25-B57C-E63E4EE3075F}"/>
    <cellStyle name="Normal 4 4 2 2 2 7 2" xfId="17422" xr:uid="{CA7AAA4B-5AC8-4800-8104-9B57188E912F}"/>
    <cellStyle name="Normal 4 4 2 2 2 8" xfId="9875" xr:uid="{AA367147-979C-4209-BE07-E247F79F9987}"/>
    <cellStyle name="Normal 4 4 2 2 2 8 2" xfId="20255" xr:uid="{E25F9F74-8F47-47F4-859D-31C44F7078A0}"/>
    <cellStyle name="Normal 4 4 2 2 2 9" xfId="24172" xr:uid="{340DEFD4-3A60-455F-B7D1-FCE635C519F5}"/>
    <cellStyle name="Normal 4 4 2 2 3" xfId="2786" xr:uid="{00000000-0005-0000-0000-00001F060000}"/>
    <cellStyle name="Normal 4 4 2 2 3 2" xfId="3342" xr:uid="{00000000-0005-0000-0000-000020060000}"/>
    <cellStyle name="Normal 4 4 2 2 3 2 2" xfId="6400" xr:uid="{69768A5D-02B3-4CE8-980B-44CE4EE92A71}"/>
    <cellStyle name="Normal 4 4 2 2 3 2 2 2" xfId="28722" xr:uid="{D78FEAF6-37AF-4F64-9E40-DDF82F1432CF}"/>
    <cellStyle name="Normal 4 4 2 2 3 2 2 3" xfId="15969" xr:uid="{200B21F8-E051-4512-9808-A4DB8CC59D82}"/>
    <cellStyle name="Normal 4 4 2 2 3 2 3" xfId="8422" xr:uid="{3466F2CD-DCA8-4546-8C86-8F3CD1535758}"/>
    <cellStyle name="Normal 4 4 2 2 3 2 3 2" xfId="18802" xr:uid="{602CFB8F-DA78-4834-BA32-7C58AC4CE0DE}"/>
    <cellStyle name="Normal 4 4 2 2 3 2 4" xfId="11255" xr:uid="{6A126DB7-D971-4949-B4D3-9A5DE6CF484A}"/>
    <cellStyle name="Normal 4 4 2 2 3 2 4 2" xfId="21635" xr:uid="{5D54963C-899E-4456-97FC-F90A8C8DDD6B}"/>
    <cellStyle name="Normal 4 4 2 2 3 2 5" xfId="24234" xr:uid="{6CC866C5-BA2D-4DAA-AD10-0FFB2AAC7F19}"/>
    <cellStyle name="Normal 4 4 2 2 3 2 6" xfId="13903" xr:uid="{A7148D7B-9C79-4FA5-BC09-D7F830210FCF}"/>
    <cellStyle name="Normal 4 4 2 2 3 3" xfId="4339" xr:uid="{6A44BF57-F8D2-4E33-BB4C-9D0E9446C87B}"/>
    <cellStyle name="Normal 4 4 2 2 3 3 2" xfId="9111" xr:uid="{79B1799D-E6E3-4844-817D-B3AC2660A494}"/>
    <cellStyle name="Normal 4 4 2 2 3 3 2 2" xfId="29154" xr:uid="{2B362ED0-5344-4B36-A5F2-DC29B4E651E2}"/>
    <cellStyle name="Normal 4 4 2 2 3 3 2 3" xfId="19491" xr:uid="{8910AE9E-9AEE-4D3D-AAB5-C1CF1E1231AC}"/>
    <cellStyle name="Normal 4 4 2 2 3 3 3" xfId="11944" xr:uid="{B582E6F3-2430-4631-8D32-76DEBB197905}"/>
    <cellStyle name="Normal 4 4 2 2 3 3 3 2" xfId="22324" xr:uid="{D543972F-32F3-49D1-A40E-9621FB165C4F}"/>
    <cellStyle name="Normal 4 4 2 2 3 3 4" xfId="24909" xr:uid="{C974BD5E-5D88-4BDE-B086-E99DF87B1C01}"/>
    <cellStyle name="Normal 4 4 2 2 3 3 5" xfId="16658" xr:uid="{F417541B-77ED-42A0-A242-4B91FFDC9C95}"/>
    <cellStyle name="Normal 4 4 2 2 3 4" xfId="6004" xr:uid="{96248991-7D51-4E9B-97A5-A5A3DE115131}"/>
    <cellStyle name="Normal 4 4 2 2 3 4 2" xfId="26937" xr:uid="{5DDB1C1B-3D0C-4DBD-8063-DDE3D7FB13FF}"/>
    <cellStyle name="Normal 4 4 2 2 3 4 3" xfId="15457" xr:uid="{FB994E50-F762-4F05-815A-55EF3687280F}"/>
    <cellStyle name="Normal 4 4 2 2 3 5" xfId="7910" xr:uid="{9EB05466-062C-4469-9947-9025F4C8A514}"/>
    <cellStyle name="Normal 4 4 2 2 3 5 2" xfId="18290" xr:uid="{8C3FAA84-6586-49A1-BE99-2CBB983CBD69}"/>
    <cellStyle name="Normal 4 4 2 2 3 6" xfId="10743" xr:uid="{47C44A2D-A4D2-4DED-A7A4-C203843BB499}"/>
    <cellStyle name="Normal 4 4 2 2 3 6 2" xfId="21123" xr:uid="{DFBB5A1F-C978-4328-A712-F706247A5CEF}"/>
    <cellStyle name="Normal 4 4 2 2 3 7" xfId="23720" xr:uid="{53983EAF-405A-4A68-B671-E39B9079E1D0}"/>
    <cellStyle name="Normal 4 4 2 2 3 8" xfId="13243" xr:uid="{7D6F806D-EC38-440D-B3AD-83353E843758}"/>
    <cellStyle name="Normal 4 4 2 2 4" xfId="3343" xr:uid="{00000000-0005-0000-0000-000021060000}"/>
    <cellStyle name="Normal 4 4 2 2 4 2" xfId="4532" xr:uid="{B295BD5D-4A86-43B3-8633-BD21E21795ED}"/>
    <cellStyle name="Normal 4 4 2 2 4 2 2" xfId="9304" xr:uid="{4AA3D06E-817C-4FE4-A047-54D579A4D61A}"/>
    <cellStyle name="Normal 4 4 2 2 4 2 2 2" xfId="19684" xr:uid="{4BF8F51E-12F7-4D38-BE3F-526DF59CA949}"/>
    <cellStyle name="Normal 4 4 2 2 4 2 3" xfId="12137" xr:uid="{42F26D03-D924-4299-9354-48DF765EA6E1}"/>
    <cellStyle name="Normal 4 4 2 2 4 2 3 2" xfId="22517" xr:uid="{C2826C7B-C340-49D4-AEB9-19C403F9D96B}"/>
    <cellStyle name="Normal 4 4 2 2 4 2 4" xfId="25861" xr:uid="{EDF842B6-3937-4137-8EAE-444882F0819C}"/>
    <cellStyle name="Normal 4 4 2 2 4 2 5" xfId="16851" xr:uid="{7F9F8C60-6B4E-4F6F-A10A-3CE6DA5F2761}"/>
    <cellStyle name="Normal 4 4 2 2 4 3" xfId="6401" xr:uid="{3940C7DE-70FB-49CF-BD1E-CC4625C42B7A}"/>
    <cellStyle name="Normal 4 4 2 2 4 3 2" xfId="15970" xr:uid="{2D54A11E-FF4C-47AC-AE13-47EB5DD75731}"/>
    <cellStyle name="Normal 4 4 2 2 4 4" xfId="8423" xr:uid="{3F679B0C-F09E-4C98-B721-4D0AB18F3AE6}"/>
    <cellStyle name="Normal 4 4 2 2 4 4 2" xfId="18803" xr:uid="{3343F9AC-DB0D-480C-A640-F8DE770B3567}"/>
    <cellStyle name="Normal 4 4 2 2 4 5" xfId="11256" xr:uid="{2302EC03-7E78-4B3A-84BC-D18671DC7463}"/>
    <cellStyle name="Normal 4 4 2 2 4 5 2" xfId="21636" xr:uid="{4E879307-37C7-4D37-AA7E-98FC66DD073C}"/>
    <cellStyle name="Normal 4 4 2 2 4 6" xfId="25391" xr:uid="{2B1BE565-3070-4CBD-A8A7-826B87398CCA}"/>
    <cellStyle name="Normal 4 4 2 2 4 7" xfId="13904" xr:uid="{A9A64EC3-4267-44C0-8F66-ADF1DBE3DA21}"/>
    <cellStyle name="Normal 4 4 2 2 5" xfId="3338" xr:uid="{00000000-0005-0000-0000-000022060000}"/>
    <cellStyle name="Normal 4 4 2 2 5 2" xfId="6396" xr:uid="{5062E618-E82E-42FB-A778-7EC3F6941EE7}"/>
    <cellStyle name="Normal 4 4 2 2 5 2 2" xfId="26529" xr:uid="{BF4A22E8-47BF-4AE4-8B06-189C61C88340}"/>
    <cellStyle name="Normal 4 4 2 2 5 2 3" xfId="15965" xr:uid="{34CFE1EC-966C-4649-BDA4-5B79ED1C886F}"/>
    <cellStyle name="Normal 4 4 2 2 5 3" xfId="8418" xr:uid="{0B715A8F-AAB0-4DFA-BAE7-20B7354D978C}"/>
    <cellStyle name="Normal 4 4 2 2 5 3 2" xfId="18798" xr:uid="{41F0A7D8-AB8E-4B60-982D-97BA8ADCC0F1}"/>
    <cellStyle name="Normal 4 4 2 2 5 4" xfId="11251" xr:uid="{85457368-CE3B-45FB-BA69-8CC85A11D34F}"/>
    <cellStyle name="Normal 4 4 2 2 5 4 2" xfId="21631" xr:uid="{193BE4AF-9649-42CB-89A7-80CFD85DE0CE}"/>
    <cellStyle name="Normal 4 4 2 2 5 5" xfId="24585" xr:uid="{9CB8F697-BCC2-40ED-847C-A67F724127DE}"/>
    <cellStyle name="Normal 4 4 2 2 5 6" xfId="13899" xr:uid="{8DD6C700-A359-472F-A44D-9D09EC1DD08E}"/>
    <cellStyle name="Normal 4 4 2 2 6" xfId="2557" xr:uid="{00000000-0005-0000-0000-000023060000}"/>
    <cellStyle name="Normal 4 4 2 2 6 2" xfId="5827" xr:uid="{DC4B1AE2-E38E-4F7D-B7F9-68E626E6D6E0}"/>
    <cellStyle name="Normal 4 4 2 2 6 2 2" xfId="28406" xr:uid="{0294B801-8558-4D60-BB1D-C74AED4ACEAA}"/>
    <cellStyle name="Normal 4 4 2 2 6 2 3" xfId="15229" xr:uid="{FCF708E1-6C2E-4FB3-B0DE-25CA0F80D6F0}"/>
    <cellStyle name="Normal 4 4 2 2 6 3" xfId="7682" xr:uid="{5ECF2951-199F-4EA0-BB10-67F9E1354813}"/>
    <cellStyle name="Normal 4 4 2 2 6 3 2" xfId="18062" xr:uid="{95620D9C-ED80-4DB4-8DD5-77F617E8DEC6}"/>
    <cellStyle name="Normal 4 4 2 2 6 4" xfId="10515" xr:uid="{2CB7DFE3-E213-4A1A-BE1A-20DE844B62D1}"/>
    <cellStyle name="Normal 4 4 2 2 6 4 2" xfId="20895" xr:uid="{C939A820-A911-45B8-861D-39CA8982E263}"/>
    <cellStyle name="Normal 4 4 2 2 6 5" xfId="25092" xr:uid="{50630A23-1783-4E8E-8EBD-8E95B5AE0135}"/>
    <cellStyle name="Normal 4 4 2 2 6 6" xfId="12945" xr:uid="{DC969C50-06CB-42DE-AAA8-B174C5A7B8E8}"/>
    <cellStyle name="Normal 4 4 2 2 7" xfId="2251" xr:uid="{00000000-0005-0000-0000-000019060000}"/>
    <cellStyle name="Normal 4 4 2 2 7 2" xfId="7378" xr:uid="{49CA78DA-20A4-4038-8506-5DDD29FC25DE}"/>
    <cellStyle name="Normal 4 4 2 2 7 2 2" xfId="17758" xr:uid="{1B2A0586-7E36-4B38-834F-A9A444B3A174}"/>
    <cellStyle name="Normal 4 4 2 2 7 3" xfId="10211" xr:uid="{572E385B-266A-46A8-9ED4-56DED6012742}"/>
    <cellStyle name="Normal 4 4 2 2 7 3 2" xfId="20591" xr:uid="{C8CD3E5D-43F1-48B5-ACE9-D6CD559183A0}"/>
    <cellStyle name="Normal 4 4 2 2 7 4" xfId="25250" xr:uid="{83230BF6-A134-4CA9-9917-EEAFA2C3B914}"/>
    <cellStyle name="Normal 4 4 2 2 7 5" xfId="14925" xr:uid="{D659C309-94E5-4BC5-B696-F22FD405B31F}"/>
    <cellStyle name="Normal 4 4 2 2 8" xfId="3802" xr:uid="{DDC15438-3D68-4FAD-9D9B-C7E2E167FEA4}"/>
    <cellStyle name="Normal 4 4 2 2 8 2" xfId="8638" xr:uid="{4C619C33-DE7C-49B8-B166-2CA910B63CFD}"/>
    <cellStyle name="Normal 4 4 2 2 8 2 2" xfId="19018" xr:uid="{44B94BF2-0CAD-4A78-B3B9-ECF987ADDE5A}"/>
    <cellStyle name="Normal 4 4 2 2 8 3" xfId="11471" xr:uid="{7B76BDC5-3EC5-42AF-8E55-BFF102FBEAC6}"/>
    <cellStyle name="Normal 4 4 2 2 8 3 2" xfId="21851" xr:uid="{34AC7D1B-4264-4C58-B0E6-F3D739E9EB6C}"/>
    <cellStyle name="Normal 4 4 2 2 8 4" xfId="16185" xr:uid="{545ED7F2-872A-448F-928C-E98B0C60218F}"/>
    <cellStyle name="Normal 4 4 2 2 9" xfId="5290" xr:uid="{4258AE63-37FA-4E3B-88C7-E1ACC51B3145}"/>
    <cellStyle name="Normal 4 4 2 2 9 2" xfId="14588" xr:uid="{28244A37-8FC1-4209-BC34-54CFE44D5963}"/>
    <cellStyle name="Normal 4 4 2 3" xfId="989" xr:uid="{00000000-0005-0000-0000-00008F050000}"/>
    <cellStyle name="Normal 4 4 2 3 10" xfId="9876" xr:uid="{B1AD3C3B-E4EF-4540-8370-CA00C891082A}"/>
    <cellStyle name="Normal 4 4 2 3 10 2" xfId="20256" xr:uid="{4960A5F0-C12E-4B12-AC3D-EEDB6B8C464C}"/>
    <cellStyle name="Normal 4 4 2 3 11" xfId="25424" xr:uid="{0AB0255F-72B3-4885-B9E1-813751B34C02}"/>
    <cellStyle name="Normal 4 4 2 3 12" xfId="12600" xr:uid="{CA292A13-D5E7-41FE-9B23-465F582E343E}"/>
    <cellStyle name="Normal 4 4 2 3 2" xfId="2788" xr:uid="{00000000-0005-0000-0000-000025060000}"/>
    <cellStyle name="Normal 4 4 2 3 2 2" xfId="3345" xr:uid="{00000000-0005-0000-0000-000026060000}"/>
    <cellStyle name="Normal 4 4 2 3 2 2 2" xfId="6403" xr:uid="{343E5849-A095-4356-A6E4-AA28C144EC79}"/>
    <cellStyle name="Normal 4 4 2 3 2 2 2 2" xfId="28617" xr:uid="{9F7BCF5F-F784-4400-B20C-6A8977FADB81}"/>
    <cellStyle name="Normal 4 4 2 3 2 2 2 3" xfId="15972" xr:uid="{591177A3-FFCB-4982-BC14-F6A0916A77D9}"/>
    <cellStyle name="Normal 4 4 2 3 2 2 3" xfId="8425" xr:uid="{C2FF869B-A854-4C88-816D-6510E892D87D}"/>
    <cellStyle name="Normal 4 4 2 3 2 2 3 2" xfId="18805" xr:uid="{7FFBDEA1-A1E4-4C6D-AE1C-A491E9D3ABD1}"/>
    <cellStyle name="Normal 4 4 2 3 2 2 4" xfId="11258" xr:uid="{CD8E96AA-81A3-461E-A843-965AE1CC3170}"/>
    <cellStyle name="Normal 4 4 2 3 2 2 4 2" xfId="21638" xr:uid="{77235E0C-8C7F-4FA5-9A70-8801406D4A23}"/>
    <cellStyle name="Normal 4 4 2 3 2 2 5" xfId="25543" xr:uid="{7E2DF8E2-5082-41B1-A468-00E7FFC3BF73}"/>
    <cellStyle name="Normal 4 4 2 3 2 2 6" xfId="13906" xr:uid="{B88B7EB3-9F60-4C35-8B12-3E2052EF28BE}"/>
    <cellStyle name="Normal 4 4 2 3 2 3" xfId="4341" xr:uid="{74B3D252-263A-4214-BAD9-6E1714328469}"/>
    <cellStyle name="Normal 4 4 2 3 2 3 2" xfId="9113" xr:uid="{DB4B5A45-226D-48AB-B1C4-D080C1D639FB}"/>
    <cellStyle name="Normal 4 4 2 3 2 3 2 2" xfId="29156" xr:uid="{77C2008E-03E2-4F0C-8CD8-F2962237139D}"/>
    <cellStyle name="Normal 4 4 2 3 2 3 2 3" xfId="19493" xr:uid="{F109FBB9-64BD-468A-9BC6-6BCA65B9F0D5}"/>
    <cellStyle name="Normal 4 4 2 3 2 3 3" xfId="11946" xr:uid="{44FA4A1B-9B44-4CF4-832E-40967D5F0FCA}"/>
    <cellStyle name="Normal 4 4 2 3 2 3 3 2" xfId="22326" xr:uid="{FA817901-995B-4402-B4DD-318F52720169}"/>
    <cellStyle name="Normal 4 4 2 3 2 3 4" xfId="24399" xr:uid="{64414920-5AB8-4F86-809F-DC5AA7D433CB}"/>
    <cellStyle name="Normal 4 4 2 3 2 3 5" xfId="16660" xr:uid="{8F21A49A-4D31-4E84-B3AA-8FFCA76483E1}"/>
    <cellStyle name="Normal 4 4 2 3 2 4" xfId="6006" xr:uid="{9ED9DD77-8200-4D6A-8D46-C6657E276F95}"/>
    <cellStyle name="Normal 4 4 2 3 2 4 2" xfId="27779" xr:uid="{AE5FCA32-9F15-45B6-9EEB-C0AFB6BF84CE}"/>
    <cellStyle name="Normal 4 4 2 3 2 4 3" xfId="15459" xr:uid="{0F694240-3902-4780-8B9A-3D5321D5FECC}"/>
    <cellStyle name="Normal 4 4 2 3 2 5" xfId="7912" xr:uid="{E3EE78A6-E101-42FF-AEEA-BFEBB2AF86C3}"/>
    <cellStyle name="Normal 4 4 2 3 2 5 2" xfId="18292" xr:uid="{C1E16FBA-FE8E-4A54-B65B-A50FA1CAC283}"/>
    <cellStyle name="Normal 4 4 2 3 2 6" xfId="10745" xr:uid="{0FFF8D92-EAD0-434C-BD7F-BD069BCCF53A}"/>
    <cellStyle name="Normal 4 4 2 3 2 6 2" xfId="21125" xr:uid="{5EB6700C-27A8-4AD6-876E-4973B72CA798}"/>
    <cellStyle name="Normal 4 4 2 3 2 7" xfId="24692" xr:uid="{D52FFB66-82B9-4586-B744-665C9F32E133}"/>
    <cellStyle name="Normal 4 4 2 3 2 8" xfId="13245" xr:uid="{A24D2BD8-95B1-4F46-A668-2EE59A1BDC03}"/>
    <cellStyle name="Normal 4 4 2 3 3" xfId="3346" xr:uid="{00000000-0005-0000-0000-000027060000}"/>
    <cellStyle name="Normal 4 4 2 3 3 2" xfId="4533" xr:uid="{B667C967-0561-4C42-8BC5-90F59086EA4F}"/>
    <cellStyle name="Normal 4 4 2 3 3 2 2" xfId="9305" xr:uid="{5D054F46-D740-4D54-A354-11CE584B8EC4}"/>
    <cellStyle name="Normal 4 4 2 3 3 2 2 2" xfId="29282" xr:uid="{4D6ACDE4-B724-4058-B0EB-6FD435DC408F}"/>
    <cellStyle name="Normal 4 4 2 3 3 2 2 3" xfId="19685" xr:uid="{AD9CB9B7-9155-4620-BD89-267FF7E163A2}"/>
    <cellStyle name="Normal 4 4 2 3 3 2 3" xfId="12138" xr:uid="{B1CEB952-4071-4AA7-B3E2-61A45C9196DF}"/>
    <cellStyle name="Normal 4 4 2 3 3 2 3 2" xfId="22518" xr:uid="{CA3F5B6B-0FB8-40ED-95B1-0404A707E6EF}"/>
    <cellStyle name="Normal 4 4 2 3 3 2 4" xfId="25828" xr:uid="{B557E776-EDB1-4F38-8179-39D0DD17A096}"/>
    <cellStyle name="Normal 4 4 2 3 3 2 5" xfId="16852" xr:uid="{0AC8B89C-7AF6-4A8E-88EC-20BF3A4E2B09}"/>
    <cellStyle name="Normal 4 4 2 3 3 3" xfId="6404" xr:uid="{3E03D1E4-46FB-4EA6-A55D-6CE5D746A0FA}"/>
    <cellStyle name="Normal 4 4 2 3 3 3 2" xfId="27086" xr:uid="{AF6B99DB-4970-44F9-83F8-550353C549F2}"/>
    <cellStyle name="Normal 4 4 2 3 3 3 3" xfId="15973" xr:uid="{05546C51-7A74-4DC9-A123-D32CCF69BB41}"/>
    <cellStyle name="Normal 4 4 2 3 3 4" xfId="8426" xr:uid="{47DC54E8-D290-438B-A9F6-0A176AE63C6C}"/>
    <cellStyle name="Normal 4 4 2 3 3 4 2" xfId="18806" xr:uid="{E1755450-EC70-4494-BA45-A16E3958D2BB}"/>
    <cellStyle name="Normal 4 4 2 3 3 5" xfId="11259" xr:uid="{A6D1E6E4-5971-4942-887A-43650AFFEA0C}"/>
    <cellStyle name="Normal 4 4 2 3 3 5 2" xfId="21639" xr:uid="{B6280641-65D5-4190-AE7B-601DF9196AC1}"/>
    <cellStyle name="Normal 4 4 2 3 3 6" xfId="25562" xr:uid="{A8C4EC16-EA7A-4861-A0BB-F346D7F4F3D0}"/>
    <cellStyle name="Normal 4 4 2 3 3 7" xfId="13907" xr:uid="{02D88B39-740F-4D60-9A15-9A15A8A2BCB9}"/>
    <cellStyle name="Normal 4 4 2 3 4" xfId="3344" xr:uid="{00000000-0005-0000-0000-000028060000}"/>
    <cellStyle name="Normal 4 4 2 3 4 2" xfId="6402" xr:uid="{7CF52855-B221-49CE-A471-59823C1C5EC2}"/>
    <cellStyle name="Normal 4 4 2 3 4 2 2" xfId="27392" xr:uid="{196D2709-DB11-4493-87A8-571EF4FEB300}"/>
    <cellStyle name="Normal 4 4 2 3 4 2 3" xfId="15971" xr:uid="{78E67D20-8500-42B0-8342-77833EBFD547}"/>
    <cellStyle name="Normal 4 4 2 3 4 3" xfId="8424" xr:uid="{D392A788-D3F4-495C-92BB-C7DF535D7F6E}"/>
    <cellStyle name="Normal 4 4 2 3 4 3 2" xfId="18804" xr:uid="{C7850F2B-0321-44D0-A29E-DC57D5733915}"/>
    <cellStyle name="Normal 4 4 2 3 4 4" xfId="11257" xr:uid="{9F189DF0-C5E1-44CC-AC28-952D571D9414}"/>
    <cellStyle name="Normal 4 4 2 3 4 4 2" xfId="21637" xr:uid="{A6696CC3-A819-425E-8415-27596BCDCEF6}"/>
    <cellStyle name="Normal 4 4 2 3 4 5" xfId="25496" xr:uid="{F3F66694-76D2-4DD2-A42D-A490901CEB69}"/>
    <cellStyle name="Normal 4 4 2 3 4 6" xfId="13905" xr:uid="{BA747545-B287-4E7B-A45F-5E00E23DCEAE}"/>
    <cellStyle name="Normal 4 4 2 3 5" xfId="2600" xr:uid="{00000000-0005-0000-0000-000029060000}"/>
    <cellStyle name="Normal 4 4 2 3 5 2" xfId="5865" xr:uid="{139BE8FC-28F1-4734-8901-3B834D3D2588}"/>
    <cellStyle name="Normal 4 4 2 3 5 2 2" xfId="26184" xr:uid="{4DB9D009-C49D-4C9D-8B31-40E993ACDE8F}"/>
    <cellStyle name="Normal 4 4 2 3 5 2 3" xfId="15272" xr:uid="{14A9D6DC-889E-4B88-A44F-DB60655AF6C1}"/>
    <cellStyle name="Normal 4 4 2 3 5 3" xfId="7725" xr:uid="{E5424755-DE56-4D99-BDD0-F7BA8BA601D0}"/>
    <cellStyle name="Normal 4 4 2 3 5 3 2" xfId="18105" xr:uid="{44B2E874-9A5E-4728-B49D-E29AB0D6C375}"/>
    <cellStyle name="Normal 4 4 2 3 5 4" xfId="10558" xr:uid="{1872EAE9-2A01-45E2-840D-0999BEEF9D85}"/>
    <cellStyle name="Normal 4 4 2 3 5 4 2" xfId="20938" xr:uid="{BB83D161-21E9-4D6B-9DDF-6055BE109484}"/>
    <cellStyle name="Normal 4 4 2 3 5 5" xfId="23361" xr:uid="{37031A89-35BD-4127-BFD7-60F5F3E9C2EE}"/>
    <cellStyle name="Normal 4 4 2 3 5 6" xfId="12988" xr:uid="{412C8670-516E-44AC-ABE8-D75E24AA086C}"/>
    <cellStyle name="Normal 4 4 2 3 6" xfId="2366" xr:uid="{00000000-0005-0000-0000-000024060000}"/>
    <cellStyle name="Normal 4 4 2 3 6 2" xfId="7493" xr:uid="{030E696C-1599-4734-A257-268A964EDB54}"/>
    <cellStyle name="Normal 4 4 2 3 6 2 2" xfId="17873" xr:uid="{15D93248-80F7-4215-82CC-88F904825CB5}"/>
    <cellStyle name="Normal 4 4 2 3 6 3" xfId="10326" xr:uid="{20779726-FE34-46AE-8D69-243702F2566F}"/>
    <cellStyle name="Normal 4 4 2 3 6 3 2" xfId="20706" xr:uid="{0C161F4E-0E79-4057-B1D8-D0034A4E854D}"/>
    <cellStyle name="Normal 4 4 2 3 6 4" xfId="22909" xr:uid="{794A6DF2-1520-439A-BD2D-2EBAECF1CA97}"/>
    <cellStyle name="Normal 4 4 2 3 6 5" xfId="15040" xr:uid="{CA3A1C99-7CFD-4A4C-82D1-2277B4C1D22D}"/>
    <cellStyle name="Normal 4 4 2 3 7" xfId="3901" xr:uid="{A0A63680-17CA-489F-95A6-D6826EDC068D}"/>
    <cellStyle name="Normal 4 4 2 3 7 2" xfId="8733" xr:uid="{07A899F3-7EEC-467F-AEF0-B12738453FE0}"/>
    <cellStyle name="Normal 4 4 2 3 7 2 2" xfId="19113" xr:uid="{250E8EC4-8884-454C-9B4B-249992F96958}"/>
    <cellStyle name="Normal 4 4 2 3 7 3" xfId="11566" xr:uid="{9A952F7A-904B-45D3-880B-F6D974671C03}"/>
    <cellStyle name="Normal 4 4 2 3 7 3 2" xfId="21946" xr:uid="{B6ED0CF5-C516-4F13-A8BB-97E471131A4F}"/>
    <cellStyle name="Normal 4 4 2 3 7 4" xfId="16280" xr:uid="{7FA5334C-9CED-4ACE-9A17-0DE4230501E4}"/>
    <cellStyle name="Normal 4 4 2 3 8" xfId="5292" xr:uid="{8FC8B013-9E56-4911-9A8B-CAF8045B656D}"/>
    <cellStyle name="Normal 4 4 2 3 8 2" xfId="14590" xr:uid="{BC50FF17-FFFF-4D6D-B145-ACDCA896327D}"/>
    <cellStyle name="Normal 4 4 2 3 9" xfId="7043" xr:uid="{EE83E8F2-A16A-4CD0-BC5F-8F969FE98924}"/>
    <cellStyle name="Normal 4 4 2 3 9 2" xfId="17423" xr:uid="{51AFD0D0-CB0B-4931-8E43-E335997652BE}"/>
    <cellStyle name="Normal 4 4 2 4" xfId="990" xr:uid="{00000000-0005-0000-0000-000090050000}"/>
    <cellStyle name="Normal 4 4 2 4 2" xfId="3347" xr:uid="{00000000-0005-0000-0000-00002B060000}"/>
    <cellStyle name="Normal 4 4 2 4 2 2" xfId="6405" xr:uid="{20B61733-C29A-4013-826A-91229857E97E}"/>
    <cellStyle name="Normal 4 4 2 4 2 2 2" xfId="27177" xr:uid="{AE11D454-1CD7-41CE-B9C4-CA1ECC737D00}"/>
    <cellStyle name="Normal 4 4 2 4 2 2 3" xfId="15974" xr:uid="{297D34D7-ACE3-4DC9-866A-BB601572E752}"/>
    <cellStyle name="Normal 4 4 2 4 2 3" xfId="8427" xr:uid="{6A70F0BF-D7D0-4B85-B0C1-79744443D8AD}"/>
    <cellStyle name="Normal 4 4 2 4 2 3 2" xfId="18807" xr:uid="{267F612C-EEAF-43EE-B20C-E6ECA5E6DB21}"/>
    <cellStyle name="Normal 4 4 2 4 2 4" xfId="11260" xr:uid="{C6886769-9BD0-4F8E-A386-8BBF708CF0BA}"/>
    <cellStyle name="Normal 4 4 2 4 2 4 2" xfId="21640" xr:uid="{C9F7911D-DEE3-403B-83CD-E2A6C409A7AC}"/>
    <cellStyle name="Normal 4 4 2 4 2 5" xfId="23986" xr:uid="{B23B2DF9-82EF-45C7-9FBB-906912C74F17}"/>
    <cellStyle name="Normal 4 4 2 4 2 6" xfId="13908" xr:uid="{2F1045BB-53EA-4FB1-890A-6A2795B420BD}"/>
    <cellStyle name="Normal 4 4 2 4 3" xfId="2785" xr:uid="{00000000-0005-0000-0000-00002C060000}"/>
    <cellStyle name="Normal 4 4 2 4 3 2" xfId="6003" xr:uid="{95EA8E11-5537-4A68-AF65-8399F5C49F15}"/>
    <cellStyle name="Normal 4 4 2 4 3 2 2" xfId="28142" xr:uid="{68EEADF2-2AD1-47CD-95C5-623C2B15C40B}"/>
    <cellStyle name="Normal 4 4 2 4 3 2 3" xfId="15456" xr:uid="{81AC6881-060D-49E2-85F5-2E625E9E456B}"/>
    <cellStyle name="Normal 4 4 2 4 3 3" xfId="7909" xr:uid="{E3C17826-5BD3-463F-BCD5-BEEF9F957C4C}"/>
    <cellStyle name="Normal 4 4 2 4 3 3 2" xfId="18289" xr:uid="{4A831123-808B-4BCA-BC87-E889B02E29A8}"/>
    <cellStyle name="Normal 4 4 2 4 3 4" xfId="10742" xr:uid="{C684B92C-9FED-4F5B-B80A-33BD8DA70E4D}"/>
    <cellStyle name="Normal 4 4 2 4 3 4 2" xfId="21122" xr:uid="{0740E351-8637-4EB1-A9B8-E45D0364FF18}"/>
    <cellStyle name="Normal 4 4 2 4 3 5" xfId="22648" xr:uid="{771BE6F7-1616-4895-81F6-29430F4DFF5C}"/>
    <cellStyle name="Normal 4 4 2 4 3 6" xfId="13242" xr:uid="{75F1AEE9-9B4E-4585-8635-8BF605B8F223}"/>
    <cellStyle name="Normal 4 4 2 4 4" xfId="4194" xr:uid="{96BB92AC-F20C-4C4D-AE25-AF828871AFE4}"/>
    <cellStyle name="Normal 4 4 2 4 4 2" xfId="8966" xr:uid="{213E87B1-4640-4830-B3FE-2730CE3A4E12}"/>
    <cellStyle name="Normal 4 4 2 4 4 2 2" xfId="19346" xr:uid="{4732E8CE-8314-4A71-965F-4492544F64DC}"/>
    <cellStyle name="Normal 4 4 2 4 4 3" xfId="11799" xr:uid="{1E649367-FA4B-4B30-B77B-B6496126789A}"/>
    <cellStyle name="Normal 4 4 2 4 4 3 2" xfId="22179" xr:uid="{54000B27-16F5-4737-97AC-5EF6B85A6040}"/>
    <cellStyle name="Normal 4 4 2 4 4 4" xfId="23153" xr:uid="{8F9319D7-B853-4F09-B86A-AB41BD9E4F06}"/>
    <cellStyle name="Normal 4 4 2 4 4 5" xfId="16513" xr:uid="{59A15F81-D3BA-4822-93BE-A4760071BFE6}"/>
    <cellStyle name="Normal 4 4 2 4 5" xfId="5293" xr:uid="{533E2B35-FCAF-412B-9DCA-D713E1E837DA}"/>
    <cellStyle name="Normal 4 4 2 4 5 2" xfId="14591" xr:uid="{E45A6DA9-F6DD-4BE1-88EF-D73B6CBFE0B3}"/>
    <cellStyle name="Normal 4 4 2 4 6" xfId="7044" xr:uid="{7D54AB82-DC51-48D5-8538-93D0951DDF25}"/>
    <cellStyle name="Normal 4 4 2 4 6 2" xfId="17424" xr:uid="{0C0B500B-9BD5-484C-824A-61E62BE1B3F2}"/>
    <cellStyle name="Normal 4 4 2 4 7" xfId="9877" xr:uid="{35D85105-00A8-431A-98BC-D4A460429DBC}"/>
    <cellStyle name="Normal 4 4 2 4 7 2" xfId="20257" xr:uid="{A72441B9-8FDE-4736-968C-4714EBB2DBAE}"/>
    <cellStyle name="Normal 4 4 2 4 8" xfId="23945" xr:uid="{519AB3C6-84B3-4A4B-9948-7581BC858FCF}"/>
    <cellStyle name="Normal 4 4 2 4 9" xfId="12758" xr:uid="{1396107D-6352-405C-BCA7-4BC444A9CA14}"/>
    <cellStyle name="Normal 4 4 2 5" xfId="3348" xr:uid="{00000000-0005-0000-0000-00002D060000}"/>
    <cellStyle name="Normal 4 4 2 5 2" xfId="4534" xr:uid="{5E60AF2D-179F-4D24-AD54-5B7AA556A5DD}"/>
    <cellStyle name="Normal 4 4 2 5 2 2" xfId="9306" xr:uid="{35E01CA6-96A3-4431-B026-E09FEF25DB54}"/>
    <cellStyle name="Normal 4 4 2 5 2 2 2" xfId="29283" xr:uid="{C68B05B6-DAA6-4829-9645-882AF5471896}"/>
    <cellStyle name="Normal 4 4 2 5 2 2 3" xfId="19686" xr:uid="{BCAC5E27-933A-43D6-8166-3CDC64456C93}"/>
    <cellStyle name="Normal 4 4 2 5 2 3" xfId="12139" xr:uid="{0D0CE1D9-91A3-4A1B-9092-D86677B77CD0}"/>
    <cellStyle name="Normal 4 4 2 5 2 3 2" xfId="22519" xr:uid="{F63EBC74-937D-4CFC-9C04-84CE1B457986}"/>
    <cellStyle name="Normal 4 4 2 5 2 4" xfId="24129" xr:uid="{3F722632-BEB6-4346-8723-E53DF6D918A5}"/>
    <cellStyle name="Normal 4 4 2 5 2 5" xfId="16853" xr:uid="{36E94304-D19A-4F07-9B37-DC544DDD0F39}"/>
    <cellStyle name="Normal 4 4 2 5 3" xfId="6406" xr:uid="{F785735A-DF6A-4C2D-8853-2D9398843D1C}"/>
    <cellStyle name="Normal 4 4 2 5 3 2" xfId="28161" xr:uid="{4B461DD2-E85E-4D0F-A84C-F33FEE6549B2}"/>
    <cellStyle name="Normal 4 4 2 5 3 3" xfId="15975" xr:uid="{C15983D7-7394-45E1-8C77-4667DF42AD09}"/>
    <cellStyle name="Normal 4 4 2 5 4" xfId="8428" xr:uid="{5C2664CF-91DD-4A80-AE8E-2B2FB102247E}"/>
    <cellStyle name="Normal 4 4 2 5 4 2" xfId="18808" xr:uid="{312626E5-694C-4D09-8BFA-5A6B78A28534}"/>
    <cellStyle name="Normal 4 4 2 5 5" xfId="11261" xr:uid="{AE33355B-2358-4410-84AB-CD4C0EDC0107}"/>
    <cellStyle name="Normal 4 4 2 5 5 2" xfId="21641" xr:uid="{3F5C8609-160F-4530-A90A-D78FEBD4EE7D}"/>
    <cellStyle name="Normal 4 4 2 5 6" xfId="25518" xr:uid="{A9CA32F4-4CF4-4CCD-A676-7EC5AC72E217}"/>
    <cellStyle name="Normal 4 4 2 5 7" xfId="13909" xr:uid="{FF8E5222-B025-4A0F-B407-00746D92BB11}"/>
    <cellStyle name="Normal 4 4 2 6" xfId="2937" xr:uid="{00000000-0005-0000-0000-00002E060000}"/>
    <cellStyle name="Normal 4 4 2 6 2" xfId="6117" xr:uid="{5B3B8C6D-A847-46E6-9FFA-E283D1827F41}"/>
    <cellStyle name="Normal 4 4 2 6 2 2" xfId="27502" xr:uid="{256FD398-1765-4561-B83B-60BA0532852E}"/>
    <cellStyle name="Normal 4 4 2 6 2 3" xfId="15595" xr:uid="{628FFAED-D951-44EC-8EDC-07AD4BDDC531}"/>
    <cellStyle name="Normal 4 4 2 6 3" xfId="8048" xr:uid="{3159FA81-94C4-4D3A-8F13-76BF2389BBB9}"/>
    <cellStyle name="Normal 4 4 2 6 3 2" xfId="18428" xr:uid="{360F8008-33CF-4D76-82CB-D0439AE14674}"/>
    <cellStyle name="Normal 4 4 2 6 4" xfId="10881" xr:uid="{1A7917F8-51D4-4B2F-849F-B7F8A81829AD}"/>
    <cellStyle name="Normal 4 4 2 6 4 2" xfId="21261" xr:uid="{EA4F534D-6D68-42D7-98EB-6CBB0775F31C}"/>
    <cellStyle name="Normal 4 4 2 6 5" xfId="22759" xr:uid="{BE31A1BC-E09B-45D6-A853-5E4B01C10954}"/>
    <cellStyle name="Normal 4 4 2 6 6" xfId="13456" xr:uid="{AC3B5C53-4470-46C2-BD54-B93BA475B524}"/>
    <cellStyle name="Normal 4 4 2 7" xfId="2497" xr:uid="{00000000-0005-0000-0000-00002F060000}"/>
    <cellStyle name="Normal 4 4 2 7 2" xfId="5780" xr:uid="{6C89BBB6-B358-40CC-A506-DF06AF094E74}"/>
    <cellStyle name="Normal 4 4 2 7 2 2" xfId="27187" xr:uid="{AF97877D-DC51-4FD6-8AB3-CF38E2140017}"/>
    <cellStyle name="Normal 4 4 2 7 2 3" xfId="15169" xr:uid="{57C8706A-73C8-4E4E-B7B5-23D436CB38CA}"/>
    <cellStyle name="Normal 4 4 2 7 3" xfId="7622" xr:uid="{4963D2F7-C942-410B-A0FB-94E0DC35EA63}"/>
    <cellStyle name="Normal 4 4 2 7 3 2" xfId="18002" xr:uid="{EB8D888C-28AD-4A32-A8EE-59687F8BC34F}"/>
    <cellStyle name="Normal 4 4 2 7 4" xfId="10455" xr:uid="{42BE68C6-AD2C-4A30-85AC-FF0D67F7855A}"/>
    <cellStyle name="Normal 4 4 2 7 4 2" xfId="20835" xr:uid="{CB5FC10B-AC48-4DA8-A409-C02114CDE171}"/>
    <cellStyle name="Normal 4 4 2 7 5" xfId="22931" xr:uid="{FA34AF95-0BFC-4073-918E-2CF4FC4D06D4}"/>
    <cellStyle name="Normal 4 4 2 7 6" xfId="12885" xr:uid="{3372F42B-11D6-48F8-94B4-E68C129381B2}"/>
    <cellStyle name="Normal 4 4 2 8" xfId="2191" xr:uid="{00000000-0005-0000-0000-000018060000}"/>
    <cellStyle name="Normal 4 4 2 8 2" xfId="7318" xr:uid="{F821927E-FF2E-47FC-B390-71685C7CCE2B}"/>
    <cellStyle name="Normal 4 4 2 8 2 2" xfId="17698" xr:uid="{38FF1FEC-56E1-4843-B852-D3A78EC33CC7}"/>
    <cellStyle name="Normal 4 4 2 8 3" xfId="10151" xr:uid="{71790410-07D4-467B-A565-A2406DC2C56F}"/>
    <cellStyle name="Normal 4 4 2 8 3 2" xfId="20531" xr:uid="{409FBD40-5A2B-4A72-809F-EE173AC1241F}"/>
    <cellStyle name="Normal 4 4 2 8 4" xfId="23160" xr:uid="{06BF8221-A1D6-47ED-82A6-7E370277956D}"/>
    <cellStyle name="Normal 4 4 2 8 5" xfId="14865" xr:uid="{881F6974-E9F0-46E4-8294-8C2A320F09FA}"/>
    <cellStyle name="Normal 4 4 2 9" xfId="3987" xr:uid="{B16C01AD-B9E5-44C6-ADA8-D9B3921D7DFB}"/>
    <cellStyle name="Normal 4 4 2 9 2" xfId="8811" xr:uid="{281D8EDE-F9A6-43C1-9742-21DE38177E57}"/>
    <cellStyle name="Normal 4 4 2 9 2 2" xfId="19191" xr:uid="{9AEBB8E4-FDE3-413D-AA75-01417202CE90}"/>
    <cellStyle name="Normal 4 4 2 9 3" xfId="11644" xr:uid="{3267E1C4-3272-441D-8A24-461403A7F96B}"/>
    <cellStyle name="Normal 4 4 2 9 3 2" xfId="22024" xr:uid="{DDD9BDDF-AFFC-4EB4-9874-C133700B6679}"/>
    <cellStyle name="Normal 4 4 2 9 4" xfId="16358" xr:uid="{C9A5B588-EB5B-4732-9027-4843E7F14F44}"/>
    <cellStyle name="Normal 4 4 3" xfId="991" xr:uid="{00000000-0005-0000-0000-000091050000}"/>
    <cellStyle name="Normal 4 4 3 10" xfId="5294" xr:uid="{88B6DE60-D7A5-41FD-996D-110C6073BC2F}"/>
    <cellStyle name="Normal 4 4 3 10 2" xfId="14592" xr:uid="{CEA30152-4AF3-4C5C-BEAC-D06BFA565B8E}"/>
    <cellStyle name="Normal 4 4 3 11" xfId="7045" xr:uid="{2DC32E99-2A6D-4B7A-91E3-D2377718AACA}"/>
    <cellStyle name="Normal 4 4 3 11 2" xfId="17425" xr:uid="{8134CA82-294A-4E34-AA54-41DC39FEAD23}"/>
    <cellStyle name="Normal 4 4 3 12" xfId="9878" xr:uid="{A898B6A6-D9A0-49CF-843D-5A41ACD04B3E}"/>
    <cellStyle name="Normal 4 4 3 12 2" xfId="20258" xr:uid="{67DD2765-FEF1-4A0A-A1BE-F5BF3D9D41ED}"/>
    <cellStyle name="Normal 4 4 3 13" xfId="24670" xr:uid="{8E62B68A-D58A-4532-91A2-F2AF68881A4F}"/>
    <cellStyle name="Normal 4 4 3 14" xfId="12460" xr:uid="{6D09E4C8-F1C9-40F3-A072-8BF6DC8D0B70}"/>
    <cellStyle name="Normal 4 4 3 2" xfId="992" xr:uid="{00000000-0005-0000-0000-000092050000}"/>
    <cellStyle name="Normal 4 4 3 2 10" xfId="9879" xr:uid="{F255A013-70AB-4A59-8633-B48A70F454FC}"/>
    <cellStyle name="Normal 4 4 3 2 10 2" xfId="20259" xr:uid="{D28DD238-54D2-4B69-A7C1-6CE81E63D2FA}"/>
    <cellStyle name="Normal 4 4 3 2 11" xfId="24674" xr:uid="{366AD8EB-E5A1-4DD2-B560-9D07126072B4}"/>
    <cellStyle name="Normal 4 4 3 2 12" xfId="12601" xr:uid="{1D5673CB-386D-40C7-88B0-0DB1519D39A4}"/>
    <cellStyle name="Normal 4 4 3 2 2" xfId="993" xr:uid="{00000000-0005-0000-0000-000093050000}"/>
    <cellStyle name="Normal 4 4 3 2 2 2" xfId="3350" xr:uid="{00000000-0005-0000-0000-000033060000}"/>
    <cellStyle name="Normal 4 4 3 2 2 2 2" xfId="6408" xr:uid="{00633550-0CEB-489C-BF76-9FA9D44E0746}"/>
    <cellStyle name="Normal 4 4 3 2 2 2 2 2" xfId="28047" xr:uid="{107BB400-7316-403D-A324-78BEE252AE6E}"/>
    <cellStyle name="Normal 4 4 3 2 2 2 2 3" xfId="28056" xr:uid="{D4671570-37DF-4E1F-9685-441CF788607D}"/>
    <cellStyle name="Normal 4 4 3 2 2 2 2 4" xfId="15977" xr:uid="{569A8433-37B8-4B2D-BED4-516E8C1CFB99}"/>
    <cellStyle name="Normal 4 4 3 2 2 2 3" xfId="8430" xr:uid="{43432A74-8AD5-42AF-A9F2-FCAC50F97D32}"/>
    <cellStyle name="Normal 4 4 3 2 2 2 3 2" xfId="28912" xr:uid="{6D738C94-1394-421B-8925-58847C9B12F2}"/>
    <cellStyle name="Normal 4 4 3 2 2 2 3 3" xfId="18810" xr:uid="{C04674E1-32BF-4D6F-B1B9-B9F6653E7F7B}"/>
    <cellStyle name="Normal 4 4 3 2 2 2 4" xfId="11263" xr:uid="{3EDAD551-5A33-47A0-9975-2DE6BABECBDF}"/>
    <cellStyle name="Normal 4 4 3 2 2 2 4 2" xfId="21643" xr:uid="{EBB800D0-4C8B-483A-A777-005DB570AC02}"/>
    <cellStyle name="Normal 4 4 3 2 2 2 5" xfId="25193" xr:uid="{AC222BDA-295B-4B7F-9BF5-C5D478EC2486}"/>
    <cellStyle name="Normal 4 4 3 2 2 2 6" xfId="13911" xr:uid="{27E63BC5-56C9-489C-A731-AF3D82D6E2CC}"/>
    <cellStyle name="Normal 4 4 3 2 2 3" xfId="4343" xr:uid="{0C5886EB-F9A9-433B-B04A-12B1F791A654}"/>
    <cellStyle name="Normal 4 4 3 2 2 3 2" xfId="9115" xr:uid="{48B52A04-3533-40E8-BBC6-9F81FA09C7E8}"/>
    <cellStyle name="Normal 4 4 3 2 2 3 2 2" xfId="29158" xr:uid="{CC7B71A2-16DA-44FB-ABEF-A9D0EFEE69CE}"/>
    <cellStyle name="Normal 4 4 3 2 2 3 2 3" xfId="19495" xr:uid="{5F1BACCC-80CB-498D-9DAC-6A7E5380D294}"/>
    <cellStyle name="Normal 4 4 3 2 2 3 3" xfId="11948" xr:uid="{25FC1F0C-D661-4395-8501-84C4EA98AB69}"/>
    <cellStyle name="Normal 4 4 3 2 2 3 3 2" xfId="22328" xr:uid="{206E4AEB-9D88-4016-85D2-A25E338C833B}"/>
    <cellStyle name="Normal 4 4 3 2 2 3 4" xfId="23497" xr:uid="{AA8374BD-F104-48E4-8843-A94EBE10930E}"/>
    <cellStyle name="Normal 4 4 3 2 2 3 5" xfId="16662" xr:uid="{072914E5-77BE-4B58-9C08-4E51D0FBFA68}"/>
    <cellStyle name="Normal 4 4 3 2 2 4" xfId="5296" xr:uid="{26717934-BE0B-4FD6-B482-94A25175970F}"/>
    <cellStyle name="Normal 4 4 3 2 2 4 2" xfId="27803" xr:uid="{E471440A-0506-45A8-8DCF-223AF063FB8B}"/>
    <cellStyle name="Normal 4 4 3 2 2 4 3" xfId="14594" xr:uid="{58AA8BF7-CC5F-4C5B-9F16-DC942AD323E2}"/>
    <cellStyle name="Normal 4 4 3 2 2 5" xfId="7047" xr:uid="{8C01A2C2-DACA-42D4-ADB1-02790D8E85E5}"/>
    <cellStyle name="Normal 4 4 3 2 2 5 2" xfId="17427" xr:uid="{5B993106-9B55-4855-9C3B-A88708F6DFCF}"/>
    <cellStyle name="Normal 4 4 3 2 2 6" xfId="9880" xr:uid="{9BCF11DB-9CF6-4244-8DF9-783DEDCCADDA}"/>
    <cellStyle name="Normal 4 4 3 2 2 6 2" xfId="20260" xr:uid="{56E7D71D-6185-4232-B67F-A7EC19DCE073}"/>
    <cellStyle name="Normal 4 4 3 2 2 7" xfId="24305" xr:uid="{7A7012E4-D9D2-45AE-B5A2-4FCEDA725ACA}"/>
    <cellStyle name="Normal 4 4 3 2 2 8" xfId="13247" xr:uid="{64D362F5-1611-4AC2-AE01-8C579BB6751B}"/>
    <cellStyle name="Normal 4 4 3 2 3" xfId="3351" xr:uid="{00000000-0005-0000-0000-000034060000}"/>
    <cellStyle name="Normal 4 4 3 2 3 2" xfId="4535" xr:uid="{2A0F3A8C-4A5A-47EC-ACD2-D50F6D6C82F7}"/>
    <cellStyle name="Normal 4 4 3 2 3 2 2" xfId="9307" xr:uid="{386CECEE-1C2B-4675-9F80-8A8AAECC8B6F}"/>
    <cellStyle name="Normal 4 4 3 2 3 2 2 2" xfId="29284" xr:uid="{62E6EE81-F264-4690-B08D-D11F23B9190D}"/>
    <cellStyle name="Normal 4 4 3 2 3 2 2 3" xfId="19687" xr:uid="{EFA10093-6DA2-4B7C-80EA-DD8CD4FA7702}"/>
    <cellStyle name="Normal 4 4 3 2 3 2 3" xfId="12140" xr:uid="{F280EA41-8078-48B8-A463-73C033571C38}"/>
    <cellStyle name="Normal 4 4 3 2 3 2 3 2" xfId="22520" xr:uid="{3D09AA19-0E66-4EB2-A359-633324598582}"/>
    <cellStyle name="Normal 4 4 3 2 3 2 4" xfId="24813" xr:uid="{952D9C29-925D-4A29-8664-70B026A402B6}"/>
    <cellStyle name="Normal 4 4 3 2 3 2 5" xfId="16854" xr:uid="{C02EC18D-4EC3-4EB0-B8D4-17E8B5FDB6EA}"/>
    <cellStyle name="Normal 4 4 3 2 3 3" xfId="6409" xr:uid="{91A91A5F-D051-4EBF-9066-F692AF96864B}"/>
    <cellStyle name="Normal 4 4 3 2 3 3 2" xfId="27554" xr:uid="{C9E2869B-EC75-4687-95C0-6BE5BB5077ED}"/>
    <cellStyle name="Normal 4 4 3 2 3 3 3" xfId="15978" xr:uid="{D4A3621A-2D8E-4B11-9F92-F68142AEBBDA}"/>
    <cellStyle name="Normal 4 4 3 2 3 4" xfId="8431" xr:uid="{A0F448F4-0E27-4CD4-BA2E-E84BC0C84681}"/>
    <cellStyle name="Normal 4 4 3 2 3 4 2" xfId="18811" xr:uid="{4B0F16B0-9C06-4C83-AD89-0D17C2242C3F}"/>
    <cellStyle name="Normal 4 4 3 2 3 5" xfId="11264" xr:uid="{7DF33F54-5FDB-44FE-9057-7B6E59DA09A5}"/>
    <cellStyle name="Normal 4 4 3 2 3 5 2" xfId="21644" xr:uid="{3754B178-E58F-47DB-A78C-F96880072886}"/>
    <cellStyle name="Normal 4 4 3 2 3 6" xfId="23031" xr:uid="{CA007D25-6172-437D-A65E-BFAE886AC180}"/>
    <cellStyle name="Normal 4 4 3 2 3 7" xfId="13912" xr:uid="{BB4D16E7-B394-45F0-AFD2-45F403903763}"/>
    <cellStyle name="Normal 4 4 3 2 4" xfId="3349" xr:uid="{00000000-0005-0000-0000-000035060000}"/>
    <cellStyle name="Normal 4 4 3 2 4 2" xfId="6407" xr:uid="{E1D61AF0-110C-4A7F-A9D6-B3B628E21F99}"/>
    <cellStyle name="Normal 4 4 3 2 4 2 2" xfId="28569" xr:uid="{E915782A-F4DA-4A59-9F00-74A4A8A56104}"/>
    <cellStyle name="Normal 4 4 3 2 4 2 3" xfId="15976" xr:uid="{7C31119E-A159-4E6B-8ADB-126245A31818}"/>
    <cellStyle name="Normal 4 4 3 2 4 3" xfId="8429" xr:uid="{8EE90E21-299B-47B2-A2F4-C7BFE3DD8AAD}"/>
    <cellStyle name="Normal 4 4 3 2 4 3 2" xfId="18809" xr:uid="{7AA1D0A5-007E-4050-9A9B-72623895D301}"/>
    <cellStyle name="Normal 4 4 3 2 4 4" xfId="11262" xr:uid="{94D5D4E3-3608-46BD-B574-85ECE77FAC8E}"/>
    <cellStyle name="Normal 4 4 3 2 4 4 2" xfId="21642" xr:uid="{3EDEE02D-59D4-47A9-9F5E-D57F2BAEF8D7}"/>
    <cellStyle name="Normal 4 4 3 2 4 5" xfId="24727" xr:uid="{D696B5D4-4C25-48F6-A7D7-B57F18260A53}"/>
    <cellStyle name="Normal 4 4 3 2 4 6" xfId="13910" xr:uid="{B03E9160-65CA-4ED8-8AEF-3BE7EC556657}"/>
    <cellStyle name="Normal 4 4 3 2 5" xfId="2534" xr:uid="{00000000-0005-0000-0000-000036060000}"/>
    <cellStyle name="Normal 4 4 3 2 5 2" xfId="5808" xr:uid="{D4BF47C8-FF73-444E-81E2-7F182E7B0AC6}"/>
    <cellStyle name="Normal 4 4 3 2 5 2 2" xfId="26997" xr:uid="{F6291A55-DD33-42BA-BA02-ED344CCDFB28}"/>
    <cellStyle name="Normal 4 4 3 2 5 2 3" xfId="15206" xr:uid="{79871B39-F309-4A30-AD38-F63F5787752B}"/>
    <cellStyle name="Normal 4 4 3 2 5 3" xfId="7659" xr:uid="{58CC0819-D813-425A-973A-3EEEAF1A1778}"/>
    <cellStyle name="Normal 4 4 3 2 5 3 2" xfId="18039" xr:uid="{6EA1ED6B-715D-48FC-A3CB-64B3312C0AA3}"/>
    <cellStyle name="Normal 4 4 3 2 5 4" xfId="10492" xr:uid="{81719869-DC8F-4F37-ABC0-DE4BF813ED34}"/>
    <cellStyle name="Normal 4 4 3 2 5 4 2" xfId="20872" xr:uid="{B8068C4B-6753-42D6-B3E8-27426EE0C0F6}"/>
    <cellStyle name="Normal 4 4 3 2 5 5" xfId="24541" xr:uid="{A318FF14-026E-45A3-A70F-1A2111E853AF}"/>
    <cellStyle name="Normal 4 4 3 2 5 6" xfId="12922" xr:uid="{09E791B4-3C1F-4420-BF75-EC5501BDD391}"/>
    <cellStyle name="Normal 4 4 3 2 6" xfId="2367" xr:uid="{00000000-0005-0000-0000-000031060000}"/>
    <cellStyle name="Normal 4 4 3 2 6 2" xfId="7494" xr:uid="{192012FC-A505-4340-98FE-A3126E95501E}"/>
    <cellStyle name="Normal 4 4 3 2 6 2 2" xfId="17874" xr:uid="{03111FB6-39A8-451B-96F2-72E8DD23A6B9}"/>
    <cellStyle name="Normal 4 4 3 2 6 3" xfId="10327" xr:uid="{904AECDB-464E-4755-BE19-8F70B5547D5C}"/>
    <cellStyle name="Normal 4 4 3 2 6 3 2" xfId="20707" xr:uid="{CFB0C1BB-A858-4141-8C35-EE59CCB35971}"/>
    <cellStyle name="Normal 4 4 3 2 6 4" xfId="25587" xr:uid="{432B12DE-9603-4960-A1BB-3A86AE412E29}"/>
    <cellStyle name="Normal 4 4 3 2 6 5" xfId="15041" xr:uid="{B0DAF18C-3B61-444C-889B-8081FD024C30}"/>
    <cellStyle name="Normal 4 4 3 2 7" xfId="3902" xr:uid="{6225CC75-CA53-4133-8BE5-2959BE0A2A54}"/>
    <cellStyle name="Normal 4 4 3 2 7 2" xfId="8734" xr:uid="{650C195F-1910-4E5D-9E1B-E17080A82A8C}"/>
    <cellStyle name="Normal 4 4 3 2 7 2 2" xfId="19114" xr:uid="{39532BFA-4E0E-4D98-8650-C1361F182236}"/>
    <cellStyle name="Normal 4 4 3 2 7 3" xfId="11567" xr:uid="{FE4574BF-3DA2-426C-8908-083B65F401C2}"/>
    <cellStyle name="Normal 4 4 3 2 7 3 2" xfId="21947" xr:uid="{3CE25913-3A01-4CB2-95CD-67E3AF59AB1A}"/>
    <cellStyle name="Normal 4 4 3 2 7 4" xfId="16281" xr:uid="{8394EDD0-2244-44D5-BD54-BA89D120D19C}"/>
    <cellStyle name="Normal 4 4 3 2 8" xfId="5295" xr:uid="{CC0C7A1D-A8E1-4FAD-A9D6-DBDD1C0D7E69}"/>
    <cellStyle name="Normal 4 4 3 2 8 2" xfId="14593" xr:uid="{A9B60DA8-CCEB-4E20-8F16-DFEB8FE5C967}"/>
    <cellStyle name="Normal 4 4 3 2 9" xfId="7046" xr:uid="{4B57BBD0-EBA8-4E97-B741-1C10AE2A913B}"/>
    <cellStyle name="Normal 4 4 3 2 9 2" xfId="17426" xr:uid="{6A3E1E8E-7DFE-4F85-8B1D-A88865591F12}"/>
    <cellStyle name="Normal 4 4 3 3" xfId="994" xr:uid="{00000000-0005-0000-0000-000094050000}"/>
    <cellStyle name="Normal 4 4 3 3 10" xfId="22808" xr:uid="{987EE5FF-8B79-4E53-A401-27689ED6ACC7}"/>
    <cellStyle name="Normal 4 4 3 3 11" xfId="12759" xr:uid="{5F98A08F-7AEE-4A90-BF5A-5E6C2B3C6D77}"/>
    <cellStyle name="Normal 4 4 3 3 2" xfId="2789" xr:uid="{00000000-0005-0000-0000-000038060000}"/>
    <cellStyle name="Normal 4 4 3 3 2 2" xfId="3353" xr:uid="{00000000-0005-0000-0000-000039060000}"/>
    <cellStyle name="Normal 4 4 3 3 2 2 2" xfId="6411" xr:uid="{F0D7B8CE-5989-4B44-A11D-6BE5EE023DAE}"/>
    <cellStyle name="Normal 4 4 3 3 2 2 2 2" xfId="26311" xr:uid="{20ECE3AB-95E1-4C72-8547-E6DAA8F39BBE}"/>
    <cellStyle name="Normal 4 4 3 3 2 2 2 3" xfId="15980" xr:uid="{8E92EA97-8D72-4EEE-A896-10989C13FA8E}"/>
    <cellStyle name="Normal 4 4 3 3 2 2 3" xfId="8433" xr:uid="{D7890BE3-5F25-4868-9459-F482288A4646}"/>
    <cellStyle name="Normal 4 4 3 3 2 2 3 2" xfId="18813" xr:uid="{266E21A7-4E13-495B-9688-0FE00F07C4C2}"/>
    <cellStyle name="Normal 4 4 3 3 2 2 4" xfId="11266" xr:uid="{6B8BCF1B-AAD3-4E3A-B2FC-149DEA071F0B}"/>
    <cellStyle name="Normal 4 4 3 3 2 2 4 2" xfId="21646" xr:uid="{CA266A13-83DD-4E1A-8451-05463928871A}"/>
    <cellStyle name="Normal 4 4 3 3 2 2 5" xfId="24323" xr:uid="{5C4AF685-1C8F-44AD-A0D2-86B37A4B3AE6}"/>
    <cellStyle name="Normal 4 4 3 3 2 2 6" xfId="13914" xr:uid="{CAC97086-7938-48DA-894B-B82DA6F61B8B}"/>
    <cellStyle name="Normal 4 4 3 3 2 3" xfId="4344" xr:uid="{9B92228C-3E74-489C-8801-556384B30F1A}"/>
    <cellStyle name="Normal 4 4 3 3 2 3 2" xfId="9116" xr:uid="{DDADC91D-FC06-4187-AE2E-AF80FDA92CF5}"/>
    <cellStyle name="Normal 4 4 3 3 2 3 2 2" xfId="29159" xr:uid="{89767C29-DD53-4656-9EB4-8C1FAE3C4C6D}"/>
    <cellStyle name="Normal 4 4 3 3 2 3 2 3" xfId="19496" xr:uid="{14738460-639F-4038-8F22-F3168F19F5A3}"/>
    <cellStyle name="Normal 4 4 3 3 2 3 3" xfId="11949" xr:uid="{C13D50FA-4882-4268-B2A3-32EA8066D09C}"/>
    <cellStyle name="Normal 4 4 3 3 2 3 3 2" xfId="22329" xr:uid="{276D7538-C8F0-4F78-ACF2-D991DFD3DB63}"/>
    <cellStyle name="Normal 4 4 3 3 2 3 4" xfId="25488" xr:uid="{87FF3322-4FC3-4053-A1F2-F8EFC4AAE8BF}"/>
    <cellStyle name="Normal 4 4 3 3 2 3 5" xfId="16663" xr:uid="{64F5A6FE-B27C-419C-8DAC-DD7DEEE8DD7E}"/>
    <cellStyle name="Normal 4 4 3 3 2 4" xfId="6007" xr:uid="{DC03F221-C779-438F-B08A-301AB2C51A32}"/>
    <cellStyle name="Normal 4 4 3 3 2 4 2" xfId="26753" xr:uid="{7E56A677-DD69-4423-A87C-C38E81CDF76C}"/>
    <cellStyle name="Normal 4 4 3 3 2 4 3" xfId="15460" xr:uid="{8CE8E04D-DABA-4F74-A4D7-17932519216B}"/>
    <cellStyle name="Normal 4 4 3 3 2 5" xfId="7913" xr:uid="{135AA85E-B505-4979-8CFE-8F669DFB904C}"/>
    <cellStyle name="Normal 4 4 3 3 2 5 2" xfId="18293" xr:uid="{9C6875CF-756F-4369-917A-1465F7590E8E}"/>
    <cellStyle name="Normal 4 4 3 3 2 6" xfId="10746" xr:uid="{81E31FC3-9B90-4324-A081-8B029DE02FBB}"/>
    <cellStyle name="Normal 4 4 3 3 2 6 2" xfId="21126" xr:uid="{BB59E8E2-2876-44B8-9E50-3A0D9FDF678F}"/>
    <cellStyle name="Normal 4 4 3 3 2 7" xfId="24539" xr:uid="{D0303B1B-2F01-471D-8F33-C7270CAF9253}"/>
    <cellStyle name="Normal 4 4 3 3 2 8" xfId="13248" xr:uid="{173229FF-8CBC-415F-9F70-A0EEEACE8ADD}"/>
    <cellStyle name="Normal 4 4 3 3 3" xfId="3354" xr:uid="{00000000-0005-0000-0000-00003A060000}"/>
    <cellStyle name="Normal 4 4 3 3 3 2" xfId="4536" xr:uid="{2AF32572-1D55-4043-826F-337A7D3BA8CE}"/>
    <cellStyle name="Normal 4 4 3 3 3 2 2" xfId="9308" xr:uid="{45D872CE-A08D-46C5-A3DD-CDA2BF6CAC57}"/>
    <cellStyle name="Normal 4 4 3 3 3 2 2 2" xfId="29285" xr:uid="{CE6FA758-4B8B-4C6D-806B-8AE678C81868}"/>
    <cellStyle name="Normal 4 4 3 3 3 2 2 3" xfId="19688" xr:uid="{44E12208-224C-4FDB-A214-4B6F69A1F655}"/>
    <cellStyle name="Normal 4 4 3 3 3 2 3" xfId="12141" xr:uid="{52809B32-C92D-4190-AB94-36EA9F3C327D}"/>
    <cellStyle name="Normal 4 4 3 3 3 2 3 2" xfId="22521" xr:uid="{45274F09-A6A6-4C4A-90F6-70E767FA7A66}"/>
    <cellStyle name="Normal 4 4 3 3 3 2 4" xfId="24208" xr:uid="{756062A5-B80E-49F4-AFE4-CD7C99C58703}"/>
    <cellStyle name="Normal 4 4 3 3 3 2 5" xfId="16855" xr:uid="{91FE53EC-E4A0-4C39-AE05-CD1981029634}"/>
    <cellStyle name="Normal 4 4 3 3 3 3" xfId="6412" xr:uid="{EA003898-62FC-4629-B6C3-D855DEF0542D}"/>
    <cellStyle name="Normal 4 4 3 3 3 3 2" xfId="27035" xr:uid="{EB7ADEE8-6F10-447A-9F5D-DBF7D9E7F011}"/>
    <cellStyle name="Normal 4 4 3 3 3 3 3" xfId="15981" xr:uid="{4F70E156-9B38-42D4-8E18-B4690DD41064}"/>
    <cellStyle name="Normal 4 4 3 3 3 4" xfId="8434" xr:uid="{28892803-79E2-452F-90CA-6BC77CF0B8F1}"/>
    <cellStyle name="Normal 4 4 3 3 3 4 2" xfId="18814" xr:uid="{F25BF1F6-DAE9-4182-B9D8-83B852976089}"/>
    <cellStyle name="Normal 4 4 3 3 3 5" xfId="11267" xr:uid="{A07FF229-102F-4CE4-B5BB-201F868E9851}"/>
    <cellStyle name="Normal 4 4 3 3 3 5 2" xfId="21647" xr:uid="{9572FE2A-D274-485D-A855-286B92CDED99}"/>
    <cellStyle name="Normal 4 4 3 3 3 6" xfId="24689" xr:uid="{6416F198-8AD4-4B3A-9F17-CEEADF7E3048}"/>
    <cellStyle name="Normal 4 4 3 3 3 7" xfId="13915" xr:uid="{7B4F3DE0-9FDC-4221-AD6B-EE360D26973C}"/>
    <cellStyle name="Normal 4 4 3 3 4" xfId="3352" xr:uid="{00000000-0005-0000-0000-00003B060000}"/>
    <cellStyle name="Normal 4 4 3 3 4 2" xfId="6410" xr:uid="{6A58AA44-063B-43CE-B4FE-985CDAE9F865}"/>
    <cellStyle name="Normal 4 4 3 3 4 2 2" xfId="27093" xr:uid="{01FB4A3D-7480-408E-ABA8-EF7662A5402B}"/>
    <cellStyle name="Normal 4 4 3 3 4 2 3" xfId="15979" xr:uid="{A73A6EF9-151F-4F93-AD08-B5DD39728763}"/>
    <cellStyle name="Normal 4 4 3 3 4 3" xfId="8432" xr:uid="{CF293C32-F919-4C58-AC3E-3E5AB26D8B3C}"/>
    <cellStyle name="Normal 4 4 3 3 4 3 2" xfId="18812" xr:uid="{477A468F-C2D5-4456-890A-FF41B7654703}"/>
    <cellStyle name="Normal 4 4 3 3 4 4" xfId="11265" xr:uid="{A039E16B-631D-427E-895C-CBABD9D4E697}"/>
    <cellStyle name="Normal 4 4 3 3 4 4 2" xfId="21645" xr:uid="{47BDA3F0-6F5E-462A-BC6D-126B47833054}"/>
    <cellStyle name="Normal 4 4 3 3 4 5" xfId="24364" xr:uid="{9538830B-933E-45F1-BC65-9663407F486D}"/>
    <cellStyle name="Normal 4 4 3 3 4 6" xfId="13913" xr:uid="{93F374F6-97EE-4EBD-99B3-147461753B05}"/>
    <cellStyle name="Normal 4 4 3 3 5" xfId="2636" xr:uid="{00000000-0005-0000-0000-00003C060000}"/>
    <cellStyle name="Normal 4 4 3 3 5 2" xfId="5898" xr:uid="{63CA9AAF-F898-4537-8DBE-380FD52EA124}"/>
    <cellStyle name="Normal 4 4 3 3 5 2 2" xfId="25898" xr:uid="{5187551B-F931-4F3F-9206-E053730CE909}"/>
    <cellStyle name="Normal 4 4 3 3 5 2 3" xfId="15308" xr:uid="{961BEBA4-5A1C-4407-BA52-D43019A5E04F}"/>
    <cellStyle name="Normal 4 4 3 3 5 3" xfId="7761" xr:uid="{C6EFDBEE-700F-410E-BB09-BCD1CE215D15}"/>
    <cellStyle name="Normal 4 4 3 3 5 3 2" xfId="18141" xr:uid="{552287C7-C581-4E88-BBC5-A50C28782E2B}"/>
    <cellStyle name="Normal 4 4 3 3 5 4" xfId="10594" xr:uid="{DAA8BED5-C170-49E3-AC82-37DBA6B62B26}"/>
    <cellStyle name="Normal 4 4 3 3 5 4 2" xfId="20974" xr:uid="{7E5C18AC-3CCD-4195-B99A-712E5F5B6083}"/>
    <cellStyle name="Normal 4 4 3 3 5 5" xfId="22811" xr:uid="{7D0DEE30-7119-4E67-838F-7CD9460FC46C}"/>
    <cellStyle name="Normal 4 4 3 3 5 6" xfId="13025" xr:uid="{24990CB0-AC00-47D7-8D6B-73BD6DB6B8DC}"/>
    <cellStyle name="Normal 4 4 3 3 6" xfId="4195" xr:uid="{F8050C67-3479-48F0-B876-AD9FA46BA241}"/>
    <cellStyle name="Normal 4 4 3 3 6 2" xfId="8967" xr:uid="{93D58050-9847-47E1-A557-62177E9B5932}"/>
    <cellStyle name="Normal 4 4 3 3 6 2 2" xfId="19347" xr:uid="{98EFF169-CDEC-4076-B940-C5FA2B85906C}"/>
    <cellStyle name="Normal 4 4 3 3 6 3" xfId="11800" xr:uid="{F09FD3D1-DFD5-4556-90D5-D910BA727AD6}"/>
    <cellStyle name="Normal 4 4 3 3 6 3 2" xfId="22180" xr:uid="{E36F1620-3757-4F53-B69F-A9FF7618A73E}"/>
    <cellStyle name="Normal 4 4 3 3 6 4" xfId="24371" xr:uid="{8EE0D10C-BDC4-4D48-970D-E5DE062DDB5A}"/>
    <cellStyle name="Normal 4 4 3 3 6 5" xfId="16514" xr:uid="{72836CC3-ABF1-40C5-A4D5-2351DEC11668}"/>
    <cellStyle name="Normal 4 4 3 3 7" xfId="5297" xr:uid="{5803F386-E0DE-4418-9726-4CE82A63EF34}"/>
    <cellStyle name="Normal 4 4 3 3 7 2" xfId="14595" xr:uid="{74767BF4-0B8F-4645-BCD0-84EFEFF6D25E}"/>
    <cellStyle name="Normal 4 4 3 3 8" xfId="7048" xr:uid="{013B7FAA-C254-48DA-BE9F-BA80F3E2D199}"/>
    <cellStyle name="Normal 4 4 3 3 8 2" xfId="17428" xr:uid="{CC2020D9-9169-4658-A4C8-416E8A9C78A1}"/>
    <cellStyle name="Normal 4 4 3 3 9" xfId="9881" xr:uid="{EAFE72B4-CD0F-40A2-97A0-4393DEC9A480}"/>
    <cellStyle name="Normal 4 4 3 3 9 2" xfId="20261" xr:uid="{7041593E-E7E2-47B3-9CA6-05347C57A4CB}"/>
    <cellStyle name="Normal 4 4 3 4" xfId="995" xr:uid="{00000000-0005-0000-0000-000095050000}"/>
    <cellStyle name="Normal 4 4 3 4 2" xfId="3355" xr:uid="{00000000-0005-0000-0000-00003E060000}"/>
    <cellStyle name="Normal 4 4 3 4 2 2" xfId="6413" xr:uid="{7251E840-34B1-4638-AC6A-DA67EA434AB4}"/>
    <cellStyle name="Normal 4 4 3 4 2 2 2" xfId="26060" xr:uid="{627FC662-B7FB-4583-9C2B-9F337F31DCAE}"/>
    <cellStyle name="Normal 4 4 3 4 2 2 3" xfId="15982" xr:uid="{AE59D1FA-1A30-4209-96F1-FC197317C669}"/>
    <cellStyle name="Normal 4 4 3 4 2 3" xfId="8435" xr:uid="{5FF22C8E-A8CA-4C6B-B4FA-1490ED4E47C3}"/>
    <cellStyle name="Normal 4 4 3 4 2 3 2" xfId="18815" xr:uid="{0686A48E-2A88-4628-8EFC-A49CE885F430}"/>
    <cellStyle name="Normal 4 4 3 4 2 4" xfId="11268" xr:uid="{167CC1D2-CD4C-4712-A33D-4E588DE42570}"/>
    <cellStyle name="Normal 4 4 3 4 2 4 2" xfId="21648" xr:uid="{0F4F9595-CB11-459A-9B40-40764B12B937}"/>
    <cellStyle name="Normal 4 4 3 4 2 5" xfId="23485" xr:uid="{B004CFA2-89DD-4179-9F8C-5BDF9FA7BDC5}"/>
    <cellStyle name="Normal 4 4 3 4 2 6" xfId="13916" xr:uid="{944A871A-516B-42FA-94EF-A5BB54FDED7E}"/>
    <cellStyle name="Normal 4 4 3 4 3" xfId="4342" xr:uid="{7D4F83D3-ACB9-40A9-BBF0-BFDC42BC3647}"/>
    <cellStyle name="Normal 4 4 3 4 3 2" xfId="9114" xr:uid="{8B672895-02F4-46D7-BB07-6191B75ECEC7}"/>
    <cellStyle name="Normal 4 4 3 4 3 2 2" xfId="29157" xr:uid="{A8188E99-EE5E-42EB-9D07-DBEA1FB140BD}"/>
    <cellStyle name="Normal 4 4 3 4 3 2 3" xfId="19494" xr:uid="{9E0D9D45-A637-47A1-9D94-DEA945466858}"/>
    <cellStyle name="Normal 4 4 3 4 3 3" xfId="11947" xr:uid="{C37B62D0-5209-4909-91FD-D300A2FB3891}"/>
    <cellStyle name="Normal 4 4 3 4 3 3 2" xfId="22327" xr:uid="{B968BC1A-6B8E-47ED-8584-A864CEFD6B6E}"/>
    <cellStyle name="Normal 4 4 3 4 3 4" xfId="23224" xr:uid="{E16F06DC-0EB0-4FC7-9607-F13D9592841D}"/>
    <cellStyle name="Normal 4 4 3 4 3 5" xfId="16661" xr:uid="{44126946-98A6-4740-950A-C7DA3BB4B45B}"/>
    <cellStyle name="Normal 4 4 3 4 4" xfId="5298" xr:uid="{B0EF2E6D-81B5-48F8-B5FD-D81DFC1CB626}"/>
    <cellStyle name="Normal 4 4 3 4 4 2" xfId="28043" xr:uid="{6482ACAE-82B8-439A-9FFC-FDEEFD39B253}"/>
    <cellStyle name="Normal 4 4 3 4 4 3" xfId="14596" xr:uid="{05C94D4E-4FFF-4497-9FCE-11AB953A9D8B}"/>
    <cellStyle name="Normal 4 4 3 4 5" xfId="7049" xr:uid="{169A6ED1-AF28-4045-B936-96D7BAF9625C}"/>
    <cellStyle name="Normal 4 4 3 4 5 2" xfId="17429" xr:uid="{55477A33-839D-48A0-B2A9-85A0FB0C2238}"/>
    <cellStyle name="Normal 4 4 3 4 6" xfId="9882" xr:uid="{196C6DFC-AC44-49BA-89EA-E03915D11B78}"/>
    <cellStyle name="Normal 4 4 3 4 6 2" xfId="20262" xr:uid="{5DFA6B1E-FEC9-426B-83FA-6CDD2B651B13}"/>
    <cellStyle name="Normal 4 4 3 4 7" xfId="24157" xr:uid="{679951C8-21CD-4A49-8DEB-8C20A8418E6C}"/>
    <cellStyle name="Normal 4 4 3 4 8" xfId="13246" xr:uid="{BFC39E2A-444A-4AC8-87C8-4CEB439C1644}"/>
    <cellStyle name="Normal 4 4 3 5" xfId="3356" xr:uid="{00000000-0005-0000-0000-00003F060000}"/>
    <cellStyle name="Normal 4 4 3 5 2" xfId="4537" xr:uid="{8A1DAF0E-EF1C-4E08-A67F-6C06BB375A4D}"/>
    <cellStyle name="Normal 4 4 3 5 2 2" xfId="9309" xr:uid="{CAD5FF71-949E-40AB-9FA0-088DF4BD839F}"/>
    <cellStyle name="Normal 4 4 3 5 2 2 2" xfId="29286" xr:uid="{04BB506C-2A71-4BFD-9845-6C9AA9AF36AB}"/>
    <cellStyle name="Normal 4 4 3 5 2 2 3" xfId="19689" xr:uid="{1F201D51-087C-4219-9FA9-38A39C07136D}"/>
    <cellStyle name="Normal 4 4 3 5 2 3" xfId="12142" xr:uid="{99908F6F-0D6F-4271-9A75-E206ECA258FF}"/>
    <cellStyle name="Normal 4 4 3 5 2 3 2" xfId="22522" xr:uid="{CB2EB327-0AD0-446F-9664-EBA463D847E2}"/>
    <cellStyle name="Normal 4 4 3 5 2 4" xfId="25266" xr:uid="{59F5CA62-8120-4F2C-82A0-5045539D4C2C}"/>
    <cellStyle name="Normal 4 4 3 5 2 5" xfId="16856" xr:uid="{A7B407D5-A51A-41A0-9711-DBE7947E463E}"/>
    <cellStyle name="Normal 4 4 3 5 3" xfId="6414" xr:uid="{CB4A76D2-9AF0-432D-8C48-8A7BB9C8B18C}"/>
    <cellStyle name="Normal 4 4 3 5 3 2" xfId="27157" xr:uid="{0269E9CC-6336-44C0-9176-1025DBB3DCDF}"/>
    <cellStyle name="Normal 4 4 3 5 3 3" xfId="15983" xr:uid="{93FFE143-70C4-48D4-B0A9-0885E9789A11}"/>
    <cellStyle name="Normal 4 4 3 5 4" xfId="8436" xr:uid="{C59EB907-09EE-4AF8-9019-C46D350EC7AB}"/>
    <cellStyle name="Normal 4 4 3 5 4 2" xfId="18816" xr:uid="{6EC7306D-7F0A-4B8B-A8F4-A2A7C560959F}"/>
    <cellStyle name="Normal 4 4 3 5 5" xfId="11269" xr:uid="{BD58CF5E-C3B1-4856-902E-79D56DF7931B}"/>
    <cellStyle name="Normal 4 4 3 5 5 2" xfId="21649" xr:uid="{CE9BBF40-A647-4A2F-8447-89D4B662BB27}"/>
    <cellStyle name="Normal 4 4 3 5 6" xfId="23883" xr:uid="{A113E34D-D55D-4C94-B3BC-F05EF30CC8D4}"/>
    <cellStyle name="Normal 4 4 3 5 7" xfId="13917" xr:uid="{22523A95-0F8B-4172-A2CD-B835B020C780}"/>
    <cellStyle name="Normal 4 4 3 6" xfId="2938" xr:uid="{00000000-0005-0000-0000-000040060000}"/>
    <cellStyle name="Normal 4 4 3 6 2" xfId="6118" xr:uid="{DAC4F8C5-D0B8-4672-83B5-E618AEE1E164}"/>
    <cellStyle name="Normal 4 4 3 6 2 2" xfId="26027" xr:uid="{43F22F43-3278-459A-86F1-BF6E3EF45ED3}"/>
    <cellStyle name="Normal 4 4 3 6 2 3" xfId="15596" xr:uid="{4A0DFF66-2F17-4F1E-85EE-1F4F98DB0015}"/>
    <cellStyle name="Normal 4 4 3 6 3" xfId="8049" xr:uid="{94716FC5-8F13-4058-8889-0545E749DA1E}"/>
    <cellStyle name="Normal 4 4 3 6 3 2" xfId="18429" xr:uid="{F8B88A64-3EF7-435B-A3AD-B277C67767EB}"/>
    <cellStyle name="Normal 4 4 3 6 4" xfId="10882" xr:uid="{C89B3736-DD14-48BD-9BEE-2E04D4FFF3F3}"/>
    <cellStyle name="Normal 4 4 3 6 4 2" xfId="21262" xr:uid="{DB4FBF38-5967-4781-80B6-28D8D153C6A8}"/>
    <cellStyle name="Normal 4 4 3 6 5" xfId="25211" xr:uid="{8363F849-2C9F-40E3-ADF2-CEAC733F65BD}"/>
    <cellStyle name="Normal 4 4 3 6 6" xfId="13457" xr:uid="{B2CBB650-F62F-4F3D-9ED1-D997039E7260}"/>
    <cellStyle name="Normal 4 4 3 7" xfId="2474" xr:uid="{00000000-0005-0000-0000-000041060000}"/>
    <cellStyle name="Normal 4 4 3 7 2" xfId="5762" xr:uid="{04F4AD66-B574-4C00-A1F1-8D40955AE931}"/>
    <cellStyle name="Normal 4 4 3 7 2 2" xfId="27725" xr:uid="{05E38D40-B47F-4473-95C7-E575DD5E21BF}"/>
    <cellStyle name="Normal 4 4 3 7 2 3" xfId="15146" xr:uid="{E55ACBE3-7A92-459B-BB2E-4901B83E95AC}"/>
    <cellStyle name="Normal 4 4 3 7 3" xfId="7599" xr:uid="{C573B88B-0CEC-432B-9DC8-08DC4E6E5C0A}"/>
    <cellStyle name="Normal 4 4 3 7 3 2" xfId="17979" xr:uid="{2302D6E8-5E33-4D96-A441-5E5C58D74428}"/>
    <cellStyle name="Normal 4 4 3 7 4" xfId="10432" xr:uid="{221AB999-3A8B-4ACE-BD55-0D81C441226A}"/>
    <cellStyle name="Normal 4 4 3 7 4 2" xfId="20812" xr:uid="{5D18B6B0-C345-43D1-ACE3-D4A698FC58C5}"/>
    <cellStyle name="Normal 4 4 3 7 5" xfId="25516" xr:uid="{5D7CF3EF-018B-418A-9426-0D93F1C34BEF}"/>
    <cellStyle name="Normal 4 4 3 7 6" xfId="12862" xr:uid="{95CACAF6-1DCB-4CE2-8C6F-C5861D75F36F}"/>
    <cellStyle name="Normal 4 4 3 8" xfId="2228" xr:uid="{00000000-0005-0000-0000-000030060000}"/>
    <cellStyle name="Normal 4 4 3 8 2" xfId="7355" xr:uid="{6A905C87-9A3B-4A07-AB8A-4890593BF642}"/>
    <cellStyle name="Normal 4 4 3 8 2 2" xfId="17735" xr:uid="{543C0C35-BFED-4A8C-A94F-D63E5B9AE1FA}"/>
    <cellStyle name="Normal 4 4 3 8 3" xfId="10188" xr:uid="{7C8E4474-2D02-499F-823F-221C6F1866F6}"/>
    <cellStyle name="Normal 4 4 3 8 3 2" xfId="20568" xr:uid="{4F0ADA6F-04D7-4078-B371-BEF3B5039476}"/>
    <cellStyle name="Normal 4 4 3 8 4" xfId="25376" xr:uid="{5C1437F5-D43E-4C9A-B2CD-ED81A8DDE73B}"/>
    <cellStyle name="Normal 4 4 3 8 5" xfId="14902" xr:uid="{78FD2DB4-8E45-4A7F-8A47-5460CDF24FEC}"/>
    <cellStyle name="Normal 4 4 3 9" xfId="3988" xr:uid="{E3EF4A25-2BD2-4977-A5C2-BF07C1113585}"/>
    <cellStyle name="Normal 4 4 3 9 2" xfId="8812" xr:uid="{E3390F32-FEB1-4383-9E9C-3691EC5FFFA9}"/>
    <cellStyle name="Normal 4 4 3 9 2 2" xfId="19192" xr:uid="{9CAA230E-3855-44C1-A67D-E17285B6D908}"/>
    <cellStyle name="Normal 4 4 3 9 3" xfId="11645" xr:uid="{3F163151-6B58-42FF-9191-F2DC3A72ECB1}"/>
    <cellStyle name="Normal 4 4 3 9 3 2" xfId="22025" xr:uid="{800E4C39-AC10-43D6-B521-0C64FFA290AB}"/>
    <cellStyle name="Normal 4 4 3 9 4" xfId="16359" xr:uid="{DCC940C9-7269-4FEE-9495-8A70DA8BD9C5}"/>
    <cellStyle name="Normal 4 4 4" xfId="996" xr:uid="{00000000-0005-0000-0000-000096050000}"/>
    <cellStyle name="Normal 4 4 4 10" xfId="7050" xr:uid="{C7EDBE78-CBBC-4E77-85E1-B0EA1E404434}"/>
    <cellStyle name="Normal 4 4 4 10 2" xfId="17430" xr:uid="{C4658174-9C40-49D0-932A-153629210D9C}"/>
    <cellStyle name="Normal 4 4 4 11" xfId="9883" xr:uid="{0D7AAE92-58E4-4069-BAAD-BB4CDE465704}"/>
    <cellStyle name="Normal 4 4 4 11 2" xfId="20263" xr:uid="{FE144F4F-1237-49AD-979F-2F30ED9D0743}"/>
    <cellStyle name="Normal 4 4 4 12" xfId="24624" xr:uid="{D6B99D32-8AA4-4D90-8DBD-F965311751D9}"/>
    <cellStyle name="Normal 4 4 4 13" xfId="12440" xr:uid="{FDD600BA-CCB6-4777-8D78-6A0CFC90510C}"/>
    <cellStyle name="Normal 4 4 4 2" xfId="997" xr:uid="{00000000-0005-0000-0000-000097050000}"/>
    <cellStyle name="Normal 4 4 4 2 10" xfId="9884" xr:uid="{C2544300-9B7C-4D63-A209-433FAFF2B1BB}"/>
    <cellStyle name="Normal 4 4 4 2 10 2" xfId="20264" xr:uid="{454D89D9-088E-4D7B-A9A4-004194F8E69A}"/>
    <cellStyle name="Normal 4 4 4 2 11" xfId="25244" xr:uid="{755DBE33-9620-456B-8558-6BA420681A39}"/>
    <cellStyle name="Normal 4 4 4 2 12" xfId="12602" xr:uid="{317D7DEB-5229-49CD-A413-E09E43704806}"/>
    <cellStyle name="Normal 4 4 4 2 2" xfId="998" xr:uid="{00000000-0005-0000-0000-000098050000}"/>
    <cellStyle name="Normal 4 4 4 2 2 2" xfId="3358" xr:uid="{00000000-0005-0000-0000-000045060000}"/>
    <cellStyle name="Normal 4 4 4 2 2 2 2" xfId="6416" xr:uid="{03875090-6E5F-44DD-833A-6C80608078B2}"/>
    <cellStyle name="Normal 4 4 4 2 2 2 2 2" xfId="27415" xr:uid="{2A107DA5-8E44-4520-B9A3-0C79CB3B4BE1}"/>
    <cellStyle name="Normal 4 4 4 2 2 2 2 3" xfId="28108" xr:uid="{766FF5AA-D9D0-4267-A2D6-2B413820192A}"/>
    <cellStyle name="Normal 4 4 4 2 2 2 2 4" xfId="15985" xr:uid="{3EDEC9DC-1BAD-43F4-95DB-A66C7D3F005A}"/>
    <cellStyle name="Normal 4 4 4 2 2 2 3" xfId="8438" xr:uid="{81DEBED4-72AF-42F8-A26D-222CBED8B206}"/>
    <cellStyle name="Normal 4 4 4 2 2 2 3 2" xfId="28913" xr:uid="{59046FA9-E20D-42FC-8A8F-E4227D0ADEC5}"/>
    <cellStyle name="Normal 4 4 4 2 2 2 3 3" xfId="18818" xr:uid="{327CDD8B-9457-4377-A186-8ED1745D4513}"/>
    <cellStyle name="Normal 4 4 4 2 2 2 4" xfId="11271" xr:uid="{51CFC370-F3A0-464B-98B4-EBB03C9F9D6C}"/>
    <cellStyle name="Normal 4 4 4 2 2 2 4 2" xfId="21651" xr:uid="{FCEE6F84-EA65-4CF2-B6F6-CDBB8409B79D}"/>
    <cellStyle name="Normal 4 4 4 2 2 2 5" xfId="23970" xr:uid="{6579C9DC-357E-4683-808E-C8719EB303A7}"/>
    <cellStyle name="Normal 4 4 4 2 2 2 6" xfId="13919" xr:uid="{04038268-992C-4F4A-A232-EF235BA526B4}"/>
    <cellStyle name="Normal 4 4 4 2 2 3" xfId="4345" xr:uid="{0B3F94E3-2FFB-4B2E-B348-19C8D38C1109}"/>
    <cellStyle name="Normal 4 4 4 2 2 3 2" xfId="9117" xr:uid="{C51B5BA3-1795-46B3-93DC-6466DFA19D6F}"/>
    <cellStyle name="Normal 4 4 4 2 2 3 2 2" xfId="29160" xr:uid="{0BA37C82-7F31-4B7E-95E8-2EEA5A3621B4}"/>
    <cellStyle name="Normal 4 4 4 2 2 3 2 3" xfId="19497" xr:uid="{2B7C2475-5837-421D-B8D8-C0AD4F400F54}"/>
    <cellStyle name="Normal 4 4 4 2 2 3 3" xfId="11950" xr:uid="{5EF607E3-F114-438E-A977-013EA6F4F8B6}"/>
    <cellStyle name="Normal 4 4 4 2 2 3 3 2" xfId="22330" xr:uid="{DE1E38F4-A7EB-4AAD-AA00-235D4C03562C}"/>
    <cellStyle name="Normal 4 4 4 2 2 3 4" xfId="23005" xr:uid="{3EB73B3C-11A5-4348-8660-1BFC5438E94E}"/>
    <cellStyle name="Normal 4 4 4 2 2 3 5" xfId="16664" xr:uid="{3AB601D0-759A-4D76-A956-E79F8EEBE6AD}"/>
    <cellStyle name="Normal 4 4 4 2 2 4" xfId="5301" xr:uid="{B6F40529-B4B1-4694-A218-89E1C16032D1}"/>
    <cellStyle name="Normal 4 4 4 2 2 4 2" xfId="26237" xr:uid="{28A02B0F-598D-41B6-8F44-B963E986971B}"/>
    <cellStyle name="Normal 4 4 4 2 2 4 3" xfId="14599" xr:uid="{003158B8-DD79-470F-9493-4A5824D92015}"/>
    <cellStyle name="Normal 4 4 4 2 2 5" xfId="7052" xr:uid="{813813DB-D9EA-4254-98F7-FF76AA85D24F}"/>
    <cellStyle name="Normal 4 4 4 2 2 5 2" xfId="17432" xr:uid="{4E2E89F7-34E3-43A6-A6DB-9EC0660C511E}"/>
    <cellStyle name="Normal 4 4 4 2 2 6" xfId="9885" xr:uid="{D37245F8-80AD-4059-8292-4C422DCA8EF6}"/>
    <cellStyle name="Normal 4 4 4 2 2 6 2" xfId="20265" xr:uid="{DF08AAFB-E7E5-497E-9BC1-7D22BF52ED72}"/>
    <cellStyle name="Normal 4 4 4 2 2 7" xfId="22692" xr:uid="{698C1711-3145-47CF-B9B8-41766CD035E6}"/>
    <cellStyle name="Normal 4 4 4 2 2 8" xfId="13250" xr:uid="{F7631C25-4395-4C75-9604-187F6D7A00F4}"/>
    <cellStyle name="Normal 4 4 4 2 3" xfId="3359" xr:uid="{00000000-0005-0000-0000-000046060000}"/>
    <cellStyle name="Normal 4 4 4 2 3 2" xfId="4538" xr:uid="{6C592024-E6C0-4BA9-A6C4-3A387FCA3D0F}"/>
    <cellStyle name="Normal 4 4 4 2 3 2 2" xfId="9310" xr:uid="{C6C96E63-FAE4-4FA8-8BCE-9E3954748629}"/>
    <cellStyle name="Normal 4 4 4 2 3 2 2 2" xfId="29287" xr:uid="{722FD663-4CC9-481F-9761-D61B64D26F4F}"/>
    <cellStyle name="Normal 4 4 4 2 3 2 2 3" xfId="19690" xr:uid="{A797533B-0B78-43A6-BB75-FE0103340D18}"/>
    <cellStyle name="Normal 4 4 4 2 3 2 3" xfId="12143" xr:uid="{83EF80AA-773B-4C80-AD96-03CE0E217BA2}"/>
    <cellStyle name="Normal 4 4 4 2 3 2 3 2" xfId="22523" xr:uid="{843DC306-8A7A-44D2-B7D0-6F75C703E697}"/>
    <cellStyle name="Normal 4 4 4 2 3 2 4" xfId="25029" xr:uid="{E337B512-1A3F-4BE0-A402-BE5A32D9B531}"/>
    <cellStyle name="Normal 4 4 4 2 3 2 5" xfId="16857" xr:uid="{F0C4DF11-AE9A-4EA8-AA94-AE2F06721B06}"/>
    <cellStyle name="Normal 4 4 4 2 3 3" xfId="6417" xr:uid="{6AA0058B-163A-43B1-BF97-8F9AB6566545}"/>
    <cellStyle name="Normal 4 4 4 2 3 3 2" xfId="28460" xr:uid="{8BCAE36E-3244-4F56-A696-61B2998E5499}"/>
    <cellStyle name="Normal 4 4 4 2 3 3 3" xfId="15986" xr:uid="{6AC2A3E9-7F45-4EF9-8304-D1EB3F06F742}"/>
    <cellStyle name="Normal 4 4 4 2 3 4" xfId="8439" xr:uid="{05322411-0D9D-457F-8699-F75A702D7B11}"/>
    <cellStyle name="Normal 4 4 4 2 3 4 2" xfId="18819" xr:uid="{297C8E3D-ADA5-4FF7-BE81-5DCE5B75A70E}"/>
    <cellStyle name="Normal 4 4 4 2 3 5" xfId="11272" xr:uid="{9446F13C-0682-450A-8B07-2F76361B7A4E}"/>
    <cellStyle name="Normal 4 4 4 2 3 5 2" xfId="21652" xr:uid="{B7020106-92DF-4608-AEC6-11E2C53A6FD3}"/>
    <cellStyle name="Normal 4 4 4 2 3 6" xfId="23114" xr:uid="{F6400042-C5B9-4CD0-BBAD-F179BC62A198}"/>
    <cellStyle name="Normal 4 4 4 2 3 7" xfId="13920" xr:uid="{7A6FAA70-C76F-4F6E-848A-AA747600E6E3}"/>
    <cellStyle name="Normal 4 4 4 2 4" xfId="3357" xr:uid="{00000000-0005-0000-0000-000047060000}"/>
    <cellStyle name="Normal 4 4 4 2 4 2" xfId="6415" xr:uid="{23355853-80A7-4A78-A41B-E45AA896A13D}"/>
    <cellStyle name="Normal 4 4 4 2 4 2 2" xfId="28113" xr:uid="{F127CEAD-9991-4F39-B678-176E526676D4}"/>
    <cellStyle name="Normal 4 4 4 2 4 2 3" xfId="15984" xr:uid="{FAF76BCB-D658-4156-9F72-9A8697882695}"/>
    <cellStyle name="Normal 4 4 4 2 4 3" xfId="8437" xr:uid="{7B236C5C-734C-4965-B2CE-BDBF780D9809}"/>
    <cellStyle name="Normal 4 4 4 2 4 3 2" xfId="18817" xr:uid="{D95EB734-FD68-4B4B-B266-2EC15198E1D9}"/>
    <cellStyle name="Normal 4 4 4 2 4 4" xfId="11270" xr:uid="{30724C10-8100-409A-B817-4823F50D671E}"/>
    <cellStyle name="Normal 4 4 4 2 4 4 2" xfId="21650" xr:uid="{B65EB3B9-7E98-40E8-BC01-369943033362}"/>
    <cellStyle name="Normal 4 4 4 2 4 5" xfId="23004" xr:uid="{FEA1E906-64FF-477F-9484-405B5D1B794A}"/>
    <cellStyle name="Normal 4 4 4 2 4 6" xfId="13918" xr:uid="{9482425E-F774-44A7-B2ED-6B6EE1893FB1}"/>
    <cellStyle name="Normal 4 4 4 2 5" xfId="2617" xr:uid="{00000000-0005-0000-0000-000048060000}"/>
    <cellStyle name="Normal 4 4 4 2 5 2" xfId="5879" xr:uid="{33825492-25B5-435A-917F-DF36DD52F69F}"/>
    <cellStyle name="Normal 4 4 4 2 5 2 2" xfId="28647" xr:uid="{12A95FD4-41F3-4CB7-932A-F8854F50C05D}"/>
    <cellStyle name="Normal 4 4 4 2 5 2 3" xfId="15289" xr:uid="{AFC81E78-B694-4FF6-B936-15FE27118288}"/>
    <cellStyle name="Normal 4 4 4 2 5 3" xfId="7742" xr:uid="{35232396-C4CC-4A08-9C67-964A44A0B0F5}"/>
    <cellStyle name="Normal 4 4 4 2 5 3 2" xfId="18122" xr:uid="{B6CE81D5-60BE-4F7A-9E73-E26308BEA637}"/>
    <cellStyle name="Normal 4 4 4 2 5 4" xfId="10575" xr:uid="{1B794C2B-1150-434B-85D5-01106D15398A}"/>
    <cellStyle name="Normal 4 4 4 2 5 4 2" xfId="20955" xr:uid="{A478C077-071A-46C1-9A5D-904B27385D3D}"/>
    <cellStyle name="Normal 4 4 4 2 5 5" xfId="23193" xr:uid="{8BEBB367-103D-4B1A-8995-B086E2583F9D}"/>
    <cellStyle name="Normal 4 4 4 2 5 6" xfId="13005" xr:uid="{A60375D1-5A3A-4503-B222-2600E2ADFD57}"/>
    <cellStyle name="Normal 4 4 4 2 6" xfId="2368" xr:uid="{00000000-0005-0000-0000-000043060000}"/>
    <cellStyle name="Normal 4 4 4 2 6 2" xfId="7495" xr:uid="{8808D859-AFD6-4F47-BF56-55B490B67563}"/>
    <cellStyle name="Normal 4 4 4 2 6 2 2" xfId="17875" xr:uid="{EFD93F5E-27EE-4326-B314-D61FA627E15F}"/>
    <cellStyle name="Normal 4 4 4 2 6 3" xfId="10328" xr:uid="{59ADA348-4017-4F47-AF30-6D76FA1F83F0}"/>
    <cellStyle name="Normal 4 4 4 2 6 3 2" xfId="20708" xr:uid="{F5854A93-6CCD-4D0A-9D7E-F813AC8B912E}"/>
    <cellStyle name="Normal 4 4 4 2 6 4" xfId="24317" xr:uid="{2C2BA283-8368-40A7-A7D6-1DF17894BA38}"/>
    <cellStyle name="Normal 4 4 4 2 6 5" xfId="15042" xr:uid="{FF33693C-B094-4380-95E9-3BEBAB21CEB7}"/>
    <cellStyle name="Normal 4 4 4 2 7" xfId="3903" xr:uid="{3CF4A500-B3E0-4AE2-981C-1CFFF06BCB70}"/>
    <cellStyle name="Normal 4 4 4 2 7 2" xfId="8735" xr:uid="{84D55116-D32B-4F3F-A3B2-025EAF3A323B}"/>
    <cellStyle name="Normal 4 4 4 2 7 2 2" xfId="19115" xr:uid="{CF8D7CE0-0912-4DBC-8FF5-7FFB36BF357D}"/>
    <cellStyle name="Normal 4 4 4 2 7 3" xfId="11568" xr:uid="{8AACB377-32CA-47EB-BE8A-762FBFB8EA64}"/>
    <cellStyle name="Normal 4 4 4 2 7 3 2" xfId="21948" xr:uid="{9075AC60-42C0-4533-B8A0-D752A7D07D1D}"/>
    <cellStyle name="Normal 4 4 4 2 7 4" xfId="16282" xr:uid="{95389B44-4309-4BC8-8D3C-A340EBF746B7}"/>
    <cellStyle name="Normal 4 4 4 2 8" xfId="5300" xr:uid="{1341A64F-6777-4FF1-9766-E908731CD750}"/>
    <cellStyle name="Normal 4 4 4 2 8 2" xfId="14598" xr:uid="{3D161FB4-19CB-4C08-B57D-D32DCEE28B32}"/>
    <cellStyle name="Normal 4 4 4 2 9" xfId="7051" xr:uid="{0093FB22-402C-4E22-BBED-493F2DDF5C82}"/>
    <cellStyle name="Normal 4 4 4 2 9 2" xfId="17431" xr:uid="{A0BC1E9E-0F8E-459B-AA01-3A63550230D3}"/>
    <cellStyle name="Normal 4 4 4 3" xfId="999" xr:uid="{00000000-0005-0000-0000-000099050000}"/>
    <cellStyle name="Normal 4 4 4 3 2" xfId="3360" xr:uid="{00000000-0005-0000-0000-00004A060000}"/>
    <cellStyle name="Normal 4 4 4 3 2 2" xfId="6418" xr:uid="{EF36B197-7777-4FDF-AEA2-8F5B89E9B752}"/>
    <cellStyle name="Normal 4 4 4 3 2 2 2" xfId="24358" xr:uid="{3070BF9F-455E-4C20-BB12-28F81AE11C96}"/>
    <cellStyle name="Normal 4 4 4 3 2 2 3" xfId="27506" xr:uid="{FDAED2D3-C308-4D07-8CB8-832ABFE1FFAA}"/>
    <cellStyle name="Normal 4 4 4 3 2 2 4" xfId="15987" xr:uid="{18C9191D-C427-4466-9D49-FA8BB378B91F}"/>
    <cellStyle name="Normal 4 4 4 3 2 3" xfId="8440" xr:uid="{9A5E3006-8ED1-4BA3-B888-ACF2AFE02C90}"/>
    <cellStyle name="Normal 4 4 4 3 2 3 2" xfId="28914" xr:uid="{D289254B-F133-4E78-81C9-4FE6B12FEEAD}"/>
    <cellStyle name="Normal 4 4 4 3 2 3 3" xfId="18820" xr:uid="{6E427F0D-995F-4EFD-AA7C-868FC2D13D79}"/>
    <cellStyle name="Normal 4 4 4 3 2 4" xfId="11273" xr:uid="{C959BA1D-45C3-4CBE-95EC-63870B9EAEE3}"/>
    <cellStyle name="Normal 4 4 4 3 2 4 2" xfId="21653" xr:uid="{68C168EE-973D-4DD6-B0ED-252385BB05DE}"/>
    <cellStyle name="Normal 4 4 4 3 2 5" xfId="24085" xr:uid="{648B5734-43DF-47B8-94AB-7B939DF0D284}"/>
    <cellStyle name="Normal 4 4 4 3 2 6" xfId="13921" xr:uid="{BCFA1EE3-744B-495B-892C-6BC66199C631}"/>
    <cellStyle name="Normal 4 4 4 3 3" xfId="2790" xr:uid="{00000000-0005-0000-0000-00004B060000}"/>
    <cellStyle name="Normal 4 4 4 3 3 2" xfId="6008" xr:uid="{95E61078-FB29-4C07-B9E5-FDA436C0E0C6}"/>
    <cellStyle name="Normal 4 4 4 3 3 2 2" xfId="26585" xr:uid="{2C82A59E-33E1-4421-A1FC-2EBE935B4ED8}"/>
    <cellStyle name="Normal 4 4 4 3 3 2 3" xfId="15461" xr:uid="{238BF7DF-13F3-46F9-9D9F-73CA532FC1DA}"/>
    <cellStyle name="Normal 4 4 4 3 3 3" xfId="7914" xr:uid="{0A713D77-728E-4A0A-B24A-81E84B27D68C}"/>
    <cellStyle name="Normal 4 4 4 3 3 3 2" xfId="18294" xr:uid="{6F660398-876E-4C90-A8BF-E7FF7BB518D4}"/>
    <cellStyle name="Normal 4 4 4 3 3 4" xfId="10747" xr:uid="{9590D4EC-AB45-469F-9D72-29B273297575}"/>
    <cellStyle name="Normal 4 4 4 3 3 4 2" xfId="21127" xr:uid="{D48D81C7-E343-4E2E-9532-C38DE0581C14}"/>
    <cellStyle name="Normal 4 4 4 3 3 5" xfId="24409" xr:uid="{C51E5AEC-B189-445D-A2C7-0E691DE2A0E4}"/>
    <cellStyle name="Normal 4 4 4 3 3 6" xfId="13249" xr:uid="{334BB120-5E5A-4C8B-AE73-AAF022AD44AE}"/>
    <cellStyle name="Normal 4 4 4 3 4" xfId="4196" xr:uid="{F1121B20-CEB1-41F1-BA26-3F0D5DDF91BF}"/>
    <cellStyle name="Normal 4 4 4 3 4 2" xfId="8968" xr:uid="{33353A15-1115-4ECC-9A78-82C9DEA231AE}"/>
    <cellStyle name="Normal 4 4 4 3 4 2 2" xfId="29052" xr:uid="{58F58315-0D2F-4E36-8DE9-E69163B7E633}"/>
    <cellStyle name="Normal 4 4 4 3 4 2 3" xfId="19348" xr:uid="{08C5529B-46A8-4265-AF4B-73ACC32FFD23}"/>
    <cellStyle name="Normal 4 4 4 3 4 3" xfId="11801" xr:uid="{2D458C5F-5EEE-419C-9490-F08D1F28FF2E}"/>
    <cellStyle name="Normal 4 4 4 3 4 3 2" xfId="22181" xr:uid="{13DA5644-7E85-4460-BE72-9AF8C8A93061}"/>
    <cellStyle name="Normal 4 4 4 3 4 4" xfId="22719" xr:uid="{1E103680-36F1-4460-8DE2-BCEAE104A888}"/>
    <cellStyle name="Normal 4 4 4 3 4 5" xfId="16515" xr:uid="{B32F69D1-5E44-4D9A-A7DA-11119775A014}"/>
    <cellStyle name="Normal 4 4 4 3 5" xfId="5302" xr:uid="{26D8D285-4BD4-42C3-814B-D5E76D472217}"/>
    <cellStyle name="Normal 4 4 4 3 5 2" xfId="28583" xr:uid="{FD7291A3-5A85-446F-AAA8-EADA62D85BD7}"/>
    <cellStyle name="Normal 4 4 4 3 5 3" xfId="14600" xr:uid="{8BCF75F2-EFBF-464C-820C-50E2DDF40C47}"/>
    <cellStyle name="Normal 4 4 4 3 6" xfId="7053" xr:uid="{F9A011E1-01BB-41C3-93B9-100A91510B54}"/>
    <cellStyle name="Normal 4 4 4 3 6 2" xfId="17433" xr:uid="{1A2FCC99-9A97-403C-971D-8D906980A398}"/>
    <cellStyle name="Normal 4 4 4 3 7" xfId="9886" xr:uid="{33CBCAA6-CE80-4B7E-A27B-E5A0EF03059A}"/>
    <cellStyle name="Normal 4 4 4 3 7 2" xfId="20266" xr:uid="{B739B518-4225-4A2D-A54D-1F1F17AB9887}"/>
    <cellStyle name="Normal 4 4 4 3 8" xfId="24764" xr:uid="{CE7969E2-243A-4991-BF98-03934FF15AF2}"/>
    <cellStyle name="Normal 4 4 4 3 9" xfId="12760" xr:uid="{9BB78BC4-A0D4-45A9-B779-47B542FC8BDE}"/>
    <cellStyle name="Normal 4 4 4 4" xfId="1000" xr:uid="{00000000-0005-0000-0000-00009A050000}"/>
    <cellStyle name="Normal 4 4 4 4 2" xfId="4539" xr:uid="{40DC97A7-EFEC-4AFF-8A63-2DE337282EEB}"/>
    <cellStyle name="Normal 4 4 4 4 2 2" xfId="9311" xr:uid="{0494D8E1-F902-4156-BE81-8D8B6E4D57C7}"/>
    <cellStyle name="Normal 4 4 4 4 2 2 2" xfId="29288" xr:uid="{4E8DAD54-7AA9-4797-9C24-9A650D8CB110}"/>
    <cellStyle name="Normal 4 4 4 4 2 2 3" xfId="19691" xr:uid="{D2B72895-373F-472F-AA24-DFC2EFC23C45}"/>
    <cellStyle name="Normal 4 4 4 4 2 3" xfId="12144" xr:uid="{4FC85916-88D8-4513-8180-248E7D47A6A5}"/>
    <cellStyle name="Normal 4 4 4 4 2 3 2" xfId="22524" xr:uid="{F04625F9-D5CC-4A3C-88D0-AA3C4FB2FA89}"/>
    <cellStyle name="Normal 4 4 4 4 2 4" xfId="25002" xr:uid="{13C1ABF9-9831-400B-8E57-98B05C393A51}"/>
    <cellStyle name="Normal 4 4 4 4 2 5" xfId="16858" xr:uid="{93A21151-956D-4EAD-A21D-18CBE156C7FD}"/>
    <cellStyle name="Normal 4 4 4 4 3" xfId="5303" xr:uid="{B1C309C8-6158-462A-BC6A-39E1933C118C}"/>
    <cellStyle name="Normal 4 4 4 4 3 2" xfId="27253" xr:uid="{6833989B-6348-47FF-818F-5372255DABFF}"/>
    <cellStyle name="Normal 4 4 4 4 3 3" xfId="14601" xr:uid="{6A2FA2C5-145A-4A4D-A081-0C65923EA226}"/>
    <cellStyle name="Normal 4 4 4 4 4" xfId="7054" xr:uid="{5E8FAC5F-71C8-4B72-BBAF-40664B6F0139}"/>
    <cellStyle name="Normal 4 4 4 4 4 2" xfId="17434" xr:uid="{5956EB13-1F99-4810-AA12-F694AFF457BC}"/>
    <cellStyle name="Normal 4 4 4 4 5" xfId="9887" xr:uid="{5FEA5465-80B1-4F65-81A4-A0D8F4AE1FFD}"/>
    <cellStyle name="Normal 4 4 4 4 5 2" xfId="20267" xr:uid="{77EEE273-1844-4963-886E-62ADB1BE98B3}"/>
    <cellStyle name="Normal 4 4 4 4 6" xfId="24314" xr:uid="{EF200C13-1907-4CFE-876F-33E195346D9F}"/>
    <cellStyle name="Normal 4 4 4 4 7" xfId="13922" xr:uid="{5D0D793A-53DE-4DF1-8764-15253F1951D4}"/>
    <cellStyle name="Normal 4 4 4 5" xfId="2939" xr:uid="{00000000-0005-0000-0000-00004D060000}"/>
    <cellStyle name="Normal 4 4 4 5 2" xfId="6119" xr:uid="{F66C619A-2CAC-410A-9256-818C85270A5E}"/>
    <cellStyle name="Normal 4 4 4 5 2 2" xfId="23908" xr:uid="{ECE91F37-C94C-4C62-B4F6-71DC1DC279E9}"/>
    <cellStyle name="Normal 4 4 4 5 2 3" xfId="26448" xr:uid="{CDB1F90C-B5A8-448C-B98A-27F3C5A43FF9}"/>
    <cellStyle name="Normal 4 4 4 5 2 4" xfId="15597" xr:uid="{1403C9B5-01B1-4946-86B2-6DED425ABC8F}"/>
    <cellStyle name="Normal 4 4 4 5 3" xfId="8050" xr:uid="{970FAA52-611A-4954-853F-D0ED3EE406BD}"/>
    <cellStyle name="Normal 4 4 4 5 3 2" xfId="28755" xr:uid="{1A902706-A498-4277-9E62-C751294506B3}"/>
    <cellStyle name="Normal 4 4 4 5 3 3" xfId="18430" xr:uid="{789A6F01-BDCB-49E4-8410-AA4F139DDE1E}"/>
    <cellStyle name="Normal 4 4 4 5 4" xfId="10883" xr:uid="{7B73EF1F-0DF8-4C67-9A50-E91B64C2867C}"/>
    <cellStyle name="Normal 4 4 4 5 4 2" xfId="21263" xr:uid="{FD611D95-78A3-4EE2-9927-46CEFD0025A1}"/>
    <cellStyle name="Normal 4 4 4 5 5" xfId="23994" xr:uid="{1BB774CB-2475-4D4E-ACDF-D608B77C3D12}"/>
    <cellStyle name="Normal 4 4 4 5 6" xfId="13458" xr:uid="{881F866B-C540-4C52-B006-F4F95350F7A5}"/>
    <cellStyle name="Normal 4 4 4 6" xfId="2454" xr:uid="{00000000-0005-0000-0000-00004E060000}"/>
    <cellStyle name="Normal 4 4 4 6 2" xfId="5746" xr:uid="{53A72FD4-2156-487B-9E14-8A5AE2F690C6}"/>
    <cellStyle name="Normal 4 4 4 6 2 2" xfId="26508" xr:uid="{3D30474E-7C03-4D01-95CC-84AE7DAC330D}"/>
    <cellStyle name="Normal 4 4 4 6 2 3" xfId="15126" xr:uid="{9ED9DA40-6B69-4083-AC75-8061A2FA2246}"/>
    <cellStyle name="Normal 4 4 4 6 3" xfId="7579" xr:uid="{CD32499E-F957-46D1-A227-04F7752BF8EB}"/>
    <cellStyle name="Normal 4 4 4 6 3 2" xfId="17959" xr:uid="{5A14481B-CFDC-460B-9FD8-9E0E00EBE5FB}"/>
    <cellStyle name="Normal 4 4 4 6 4" xfId="10412" xr:uid="{42512874-7CC1-4149-908D-506BCD2C29DA}"/>
    <cellStyle name="Normal 4 4 4 6 4 2" xfId="20792" xr:uid="{47521CC3-FF20-4DED-BD47-0781D0D359F5}"/>
    <cellStyle name="Normal 4 4 4 6 5" xfId="25520" xr:uid="{28EFAA7B-5092-4738-B6D0-1E6C65227573}"/>
    <cellStyle name="Normal 4 4 4 6 6" xfId="12842" xr:uid="{4461657B-C7B1-4A5E-88F2-8DD171F38710}"/>
    <cellStyle name="Normal 4 4 4 7" xfId="2208" xr:uid="{00000000-0005-0000-0000-000042060000}"/>
    <cellStyle name="Normal 4 4 4 7 2" xfId="7335" xr:uid="{B38A0759-A4BD-40D7-8CB4-2F5033E2E40F}"/>
    <cellStyle name="Normal 4 4 4 7 2 2" xfId="17715" xr:uid="{ECA286C6-441E-452C-9375-FA7C7E525C61}"/>
    <cellStyle name="Normal 4 4 4 7 3" xfId="10168" xr:uid="{6D7A39DA-7FE7-417A-870F-9781090D11A3}"/>
    <cellStyle name="Normal 4 4 4 7 3 2" xfId="20548" xr:uid="{A4BECFF5-4159-4887-B7F0-434CBC23D0FE}"/>
    <cellStyle name="Normal 4 4 4 7 4" xfId="23398" xr:uid="{485C1E1D-C2FB-48B6-8826-2BB7DFBE3364}"/>
    <cellStyle name="Normal 4 4 4 7 5" xfId="14882" xr:uid="{A6DFB3F5-1D5A-4872-A120-85A7BD096F16}"/>
    <cellStyle name="Normal 4 4 4 8" xfId="3989" xr:uid="{8CD16E0F-DA36-42CE-A34D-ED6AF1FE0895}"/>
    <cellStyle name="Normal 4 4 4 8 2" xfId="8813" xr:uid="{32E12176-7258-4154-A73E-B50821AC7B1A}"/>
    <cellStyle name="Normal 4 4 4 8 2 2" xfId="19193" xr:uid="{58F8214F-97C5-436E-B51A-96BADBE2730D}"/>
    <cellStyle name="Normal 4 4 4 8 3" xfId="11646" xr:uid="{7DEE0DDE-B74F-49B8-BFC0-32E5073415E7}"/>
    <cellStyle name="Normal 4 4 4 8 3 2" xfId="22026" xr:uid="{B885DA79-08FA-4705-AD66-CCDCBB227D49}"/>
    <cellStyle name="Normal 4 4 4 8 4" xfId="16360" xr:uid="{ABFCD0AC-F0DA-4C64-A82C-4EF2D27FFBBE}"/>
    <cellStyle name="Normal 4 4 4 9" xfId="5299" xr:uid="{EF5C3EB4-638F-445E-A79E-41DEB3B50A4C}"/>
    <cellStyle name="Normal 4 4 4 9 2" xfId="14597" xr:uid="{7D3033D7-2B29-4887-9509-AC9C23F1FE5B}"/>
    <cellStyle name="Normal 4 4 5" xfId="1001" xr:uid="{00000000-0005-0000-0000-00009B050000}"/>
    <cellStyle name="Normal 4 4 5 10" xfId="9888" xr:uid="{16F5F45C-D235-49B7-94DE-A3E2C2D06838}"/>
    <cellStyle name="Normal 4 4 5 10 2" xfId="20268" xr:uid="{242E4335-78F5-4F5F-9ABA-CC9C49C6DC96}"/>
    <cellStyle name="Normal 4 4 5 11" xfId="24926" xr:uid="{7998F79C-D3E2-49A1-A95A-98AC8C432774}"/>
    <cellStyle name="Normal 4 4 5 12" xfId="12603" xr:uid="{68B74E87-9871-4A40-87AE-ACC328289E58}"/>
    <cellStyle name="Normal 4 4 5 2" xfId="1002" xr:uid="{00000000-0005-0000-0000-00009C050000}"/>
    <cellStyle name="Normal 4 4 5 2 2" xfId="1003" xr:uid="{00000000-0005-0000-0000-00009D050000}"/>
    <cellStyle name="Normal 4 4 5 2 2 2" xfId="5306" xr:uid="{DD7857A8-D175-4583-AE4A-26DD2B7F5062}"/>
    <cellStyle name="Normal 4 4 5 2 2 2 2" xfId="25702" xr:uid="{88AC2463-1BB3-42E3-9D48-8398256D4AF6}"/>
    <cellStyle name="Normal 4 4 5 2 2 2 3" xfId="26828" xr:uid="{46B3AC03-328A-4440-A341-F5CB77FE611F}"/>
    <cellStyle name="Normal 4 4 5 2 2 2 4" xfId="14604" xr:uid="{E3723172-F2EA-4EFD-BC2F-2C970FA713A4}"/>
    <cellStyle name="Normal 4 4 5 2 2 3" xfId="7057" xr:uid="{DDA45C04-3CFE-4ABA-84CD-152D16D7CC78}"/>
    <cellStyle name="Normal 4 4 5 2 2 3 2" xfId="27634" xr:uid="{BDBB6237-0921-42FE-8629-80819553752C}"/>
    <cellStyle name="Normal 4 4 5 2 2 3 3" xfId="28073" xr:uid="{7C5B4288-D4C8-47CC-B70F-A18C7C11D12F}"/>
    <cellStyle name="Normal 4 4 5 2 2 3 4" xfId="17437" xr:uid="{0AF1FA6A-7CE4-4E51-9CB2-924344A4D2C5}"/>
    <cellStyle name="Normal 4 4 5 2 2 4" xfId="9890" xr:uid="{9093B250-F6EE-4859-9F00-A4653F8B99CD}"/>
    <cellStyle name="Normal 4 4 5 2 2 4 2" xfId="29425" xr:uid="{0CD80B09-EF99-4B7F-AB69-5810AA88D4E4}"/>
    <cellStyle name="Normal 4 4 5 2 2 4 3" xfId="20270" xr:uid="{75EACD12-2681-422C-AC08-3CB872F5B78D}"/>
    <cellStyle name="Normal 4 4 5 2 2 5" xfId="25255" xr:uid="{147C0FE4-3A21-4E94-9914-1B4814A4D8B1}"/>
    <cellStyle name="Normal 4 4 5 2 2 6" xfId="13923" xr:uid="{07E36866-7C18-4DD0-B284-0EF3D8727234}"/>
    <cellStyle name="Normal 4 4 5 2 3" xfId="2791" xr:uid="{00000000-0005-0000-0000-000052060000}"/>
    <cellStyle name="Normal 4 4 5 2 3 2" xfId="6009" xr:uid="{CE7AFD0E-8092-4DA3-80F8-8FA81744DA66}"/>
    <cellStyle name="Normal 4 4 5 2 3 2 2" xfId="27205" xr:uid="{B2E27831-7E3C-49D0-9011-0B7B44A0E7CE}"/>
    <cellStyle name="Normal 4 4 5 2 3 2 3" xfId="15462" xr:uid="{917B7BE5-EDBF-473D-AFC2-BA32433A78DD}"/>
    <cellStyle name="Normal 4 4 5 2 3 3" xfId="7915" xr:uid="{EA3B60D5-C874-427B-8716-9D53F5F4FB6E}"/>
    <cellStyle name="Normal 4 4 5 2 3 3 2" xfId="18295" xr:uid="{B17C187E-B186-4CB5-83C8-40E34B0FA39F}"/>
    <cellStyle name="Normal 4 4 5 2 3 4" xfId="10748" xr:uid="{BDE02073-8405-44C1-BC1B-B051ADC26AA9}"/>
    <cellStyle name="Normal 4 4 5 2 3 4 2" xfId="21128" xr:uid="{F99F29C8-8C7E-4F3E-86C8-704FA96D7231}"/>
    <cellStyle name="Normal 4 4 5 2 3 5" xfId="25480" xr:uid="{A91A1B21-AD46-4711-9B50-CA06B4675BB3}"/>
    <cellStyle name="Normal 4 4 5 2 3 6" xfId="13251" xr:uid="{969C48FF-68B7-4182-A723-66124E589D51}"/>
    <cellStyle name="Normal 4 4 5 2 4" xfId="4197" xr:uid="{99BFB79F-B4CF-4F3B-AAE0-35DF005617EE}"/>
    <cellStyle name="Normal 4 4 5 2 4 2" xfId="8969" xr:uid="{57CE870F-D132-458D-A873-BDB54D8DF4DB}"/>
    <cellStyle name="Normal 4 4 5 2 4 2 2" xfId="29053" xr:uid="{4CF38B8C-6BC1-4C32-B00A-D2DFCB03C3D3}"/>
    <cellStyle name="Normal 4 4 5 2 4 2 3" xfId="19349" xr:uid="{EFDE5DC0-FBAC-409F-A800-8830F172B514}"/>
    <cellStyle name="Normal 4 4 5 2 4 3" xfId="11802" xr:uid="{99DF6630-E4B6-4123-81D2-8F0F5B6EB153}"/>
    <cellStyle name="Normal 4 4 5 2 4 3 2" xfId="22182" xr:uid="{13945A86-9CA3-42D3-9554-8748E71DA122}"/>
    <cellStyle name="Normal 4 4 5 2 4 4" xfId="24717" xr:uid="{45D4E709-B390-40F3-A9F2-4EFA576767BD}"/>
    <cellStyle name="Normal 4 4 5 2 4 5" xfId="16516" xr:uid="{EE3A76F2-C586-4F5F-86EC-2C80C357EE49}"/>
    <cellStyle name="Normal 4 4 5 2 5" xfId="5305" xr:uid="{7D73C64A-02AC-4435-9EEB-01CCDC2B77C3}"/>
    <cellStyle name="Normal 4 4 5 2 5 2" xfId="27879" xr:uid="{AE1F5D17-E54A-4D73-A1CA-3D24092FF178}"/>
    <cellStyle name="Normal 4 4 5 2 5 3" xfId="14603" xr:uid="{3FBA9A7A-34D1-4BE1-AC5D-2344FF63AEBC}"/>
    <cellStyle name="Normal 4 4 5 2 6" xfId="7056" xr:uid="{A37449EC-D562-42CE-A322-BD1E226405CD}"/>
    <cellStyle name="Normal 4 4 5 2 6 2" xfId="17436" xr:uid="{4E6D09B3-DEBE-405E-8E6E-A21E5E93C3EC}"/>
    <cellStyle name="Normal 4 4 5 2 7" xfId="9889" xr:uid="{2829D9F3-BBFF-4808-8252-16EA7EF502D5}"/>
    <cellStyle name="Normal 4 4 5 2 7 2" xfId="20269" xr:uid="{E754C17D-384F-4DDB-B7AC-967A21976FDC}"/>
    <cellStyle name="Normal 4 4 5 2 8" xfId="23290" xr:uid="{40574334-C0E6-4AC8-9B36-A66A8ED60D16}"/>
    <cellStyle name="Normal 4 4 5 2 9" xfId="12761" xr:uid="{F71B41F8-EF3C-4354-A8B2-90D485F75089}"/>
    <cellStyle name="Normal 4 4 5 3" xfId="1004" xr:uid="{00000000-0005-0000-0000-00009E050000}"/>
    <cellStyle name="Normal 4 4 5 3 2" xfId="4540" xr:uid="{2D7A0363-1FAA-4900-BE5D-48C700B5EE01}"/>
    <cellStyle name="Normal 4 4 5 3 2 2" xfId="9312" xr:uid="{69106FA5-8C7B-440D-83A5-AAE9C0C78835}"/>
    <cellStyle name="Normal 4 4 5 3 2 2 2" xfId="29289" xr:uid="{15B04334-15F1-43F6-9C0D-10DCC12795BB}"/>
    <cellStyle name="Normal 4 4 5 3 2 2 3" xfId="19692" xr:uid="{1DF4B71A-C5D4-44B2-A4DB-7A8A1E776D25}"/>
    <cellStyle name="Normal 4 4 5 3 2 3" xfId="12145" xr:uid="{6335F738-FD50-42ED-A853-A2D84AF1A9D0}"/>
    <cellStyle name="Normal 4 4 5 3 2 3 2" xfId="22525" xr:uid="{920126DA-F2B6-43E5-AA97-3404A9EE20D1}"/>
    <cellStyle name="Normal 4 4 5 3 2 4" xfId="24984" xr:uid="{25B352C5-A39F-4314-AEA7-AC6027891DE1}"/>
    <cellStyle name="Normal 4 4 5 3 2 5" xfId="16859" xr:uid="{20753686-122A-46A3-9245-4C0AEAE8699F}"/>
    <cellStyle name="Normal 4 4 5 3 3" xfId="5307" xr:uid="{6D6DA234-9AC1-4169-8BDF-3211187845B4}"/>
    <cellStyle name="Normal 4 4 5 3 3 2" xfId="23674" xr:uid="{3569FF17-3CBD-44DF-9D8F-B5F201627365}"/>
    <cellStyle name="Normal 4 4 5 3 3 3" xfId="26268" xr:uid="{F35D419D-FB03-41DC-B447-33C7AA09F0CF}"/>
    <cellStyle name="Normal 4 4 5 3 3 4" xfId="14605" xr:uid="{A6B424B6-5E71-4A74-8405-8FB97525D24A}"/>
    <cellStyle name="Normal 4 4 5 3 4" xfId="7058" xr:uid="{6CAF7BEF-5982-4DCA-96C9-6B7C80EE4025}"/>
    <cellStyle name="Normal 4 4 5 3 4 2" xfId="25765" xr:uid="{B1B1A273-EC73-4488-B4F3-7D71FDBDDA94}"/>
    <cellStyle name="Normal 4 4 5 3 4 3" xfId="25993" xr:uid="{DB5899AB-E747-43BC-86FA-CBA26A860066}"/>
    <cellStyle name="Normal 4 4 5 3 4 4" xfId="17438" xr:uid="{D80B1D8F-93B5-4435-A434-75FD9D8D7E10}"/>
    <cellStyle name="Normal 4 4 5 3 5" xfId="9891" xr:uid="{90F7CBB5-02A5-4AA1-9BD0-5D8D35B415DC}"/>
    <cellStyle name="Normal 4 4 5 3 5 2" xfId="29426" xr:uid="{A13EEE21-7B0A-4EBD-BEF3-901417E03F3C}"/>
    <cellStyle name="Normal 4 4 5 3 5 3" xfId="20271" xr:uid="{4744E9E6-E976-4329-8229-18CDCC09EAE7}"/>
    <cellStyle name="Normal 4 4 5 3 6" xfId="23930" xr:uid="{D9386DB6-E07F-4DAA-BB80-F66DBF8F3526}"/>
    <cellStyle name="Normal 4 4 5 3 7" xfId="13924" xr:uid="{81C0A880-F72A-4860-BFD6-60ADA17F271B}"/>
    <cellStyle name="Normal 4 4 5 4" xfId="1005" xr:uid="{00000000-0005-0000-0000-00009F050000}"/>
    <cellStyle name="Normal 4 4 5 4 2" xfId="5308" xr:uid="{1A94B53A-833C-4E69-A12A-43F499437481}"/>
    <cellStyle name="Normal 4 4 5 4 2 2" xfId="24575" xr:uid="{618F0D91-24AC-4526-BAC7-F4CC59904697}"/>
    <cellStyle name="Normal 4 4 5 4 2 3" xfId="27691" xr:uid="{70AF2120-D6E0-4679-9E84-A4C1AB1E9147}"/>
    <cellStyle name="Normal 4 4 5 4 2 4" xfId="14606" xr:uid="{6314B871-73F4-42DA-A1BC-B3A211D85F56}"/>
    <cellStyle name="Normal 4 4 5 4 3" xfId="7059" xr:uid="{CF3ABF44-08C1-4B2D-A3B1-88F8A135FCCE}"/>
    <cellStyle name="Normal 4 4 5 4 3 2" xfId="27553" xr:uid="{B23825C7-EE6F-4DE2-AD28-C25CC21EC7C5}"/>
    <cellStyle name="Normal 4 4 5 4 3 3" xfId="17439" xr:uid="{77EA27B9-2A9A-42DE-84EA-741571ED6716}"/>
    <cellStyle name="Normal 4 4 5 4 4" xfId="9892" xr:uid="{7B072EF8-4827-48EF-83D2-52241F50C049}"/>
    <cellStyle name="Normal 4 4 5 4 4 2" xfId="20272" xr:uid="{AD18713A-C709-4872-8060-8246F3E29064}"/>
    <cellStyle name="Normal 4 4 5 4 5" xfId="24279" xr:uid="{327A1E05-9C0B-4A61-86C2-084FE4379863}"/>
    <cellStyle name="Normal 4 4 5 4 6" xfId="13459" xr:uid="{B15A62B1-3EB5-424F-B0C7-E50C2844AA1D}"/>
    <cellStyle name="Normal 4 4 5 5" xfId="2514" xr:uid="{00000000-0005-0000-0000-000055060000}"/>
    <cellStyle name="Normal 4 4 5 5 2" xfId="5792" xr:uid="{F80C5709-8B51-4782-B09A-FB5D51A47210}"/>
    <cellStyle name="Normal 4 4 5 5 2 2" xfId="27017" xr:uid="{69850DA3-4F07-41FF-BC4C-037DD4D2032A}"/>
    <cellStyle name="Normal 4 4 5 5 2 3" xfId="15186" xr:uid="{3432E184-3EE8-4D4D-B7FD-E2B3E982D7A6}"/>
    <cellStyle name="Normal 4 4 5 5 3" xfId="7639" xr:uid="{72294D53-15B9-4DB9-869B-B4E5E3E0BBDF}"/>
    <cellStyle name="Normal 4 4 5 5 3 2" xfId="18019" xr:uid="{1D6459BF-4D37-4C41-9386-007357DBB069}"/>
    <cellStyle name="Normal 4 4 5 5 4" xfId="10472" xr:uid="{738BFEA3-4A2F-4AD0-A8A8-77E35D96E6A3}"/>
    <cellStyle name="Normal 4 4 5 5 4 2" xfId="20852" xr:uid="{494CAAD0-7B56-40EA-B286-5B3AD9EB8690}"/>
    <cellStyle name="Normal 4 4 5 5 5" xfId="24990" xr:uid="{450CD28E-C26E-4BD5-BF97-A427713A773B}"/>
    <cellStyle name="Normal 4 4 5 5 6" xfId="12902" xr:uid="{093D30A8-1BD4-4321-86F0-A5736D3758E3}"/>
    <cellStyle name="Normal 4 4 5 6" xfId="2369" xr:uid="{00000000-0005-0000-0000-00004F060000}"/>
    <cellStyle name="Normal 4 4 5 6 2" xfId="7496" xr:uid="{1B2A7748-D5AE-4E38-BA4C-B2142EE8EF97}"/>
    <cellStyle name="Normal 4 4 5 6 2 2" xfId="27446" xr:uid="{95D02F40-3045-4BEB-9878-F592FA3D8C0C}"/>
    <cellStyle name="Normal 4 4 5 6 2 3" xfId="17876" xr:uid="{72C9FAD3-8A41-4E9F-9C10-9E6828419C2E}"/>
    <cellStyle name="Normal 4 4 5 6 3" xfId="10329" xr:uid="{6F456B92-D2E2-4A6E-BC4B-9372510FD23A}"/>
    <cellStyle name="Normal 4 4 5 6 3 2" xfId="20709" xr:uid="{BEA9430B-5C14-423D-9E97-5D4250C7D95B}"/>
    <cellStyle name="Normal 4 4 5 6 4" xfId="23405" xr:uid="{11D633F0-12A4-4406-8811-53A07D6613B5}"/>
    <cellStyle name="Normal 4 4 5 6 5" xfId="15043" xr:uid="{2C1BBA1E-9DE6-4D11-8D66-8817576A6094}"/>
    <cellStyle name="Normal 4 4 5 7" xfId="3990" xr:uid="{92C63C86-5719-4B31-8589-9D4F4AE9CB95}"/>
    <cellStyle name="Normal 4 4 5 7 2" xfId="8814" xr:uid="{4D9654E6-0611-4A90-AF2E-F648D5625232}"/>
    <cellStyle name="Normal 4 4 5 7 2 2" xfId="19194" xr:uid="{885627D0-3413-4158-A579-0620AA2FF892}"/>
    <cellStyle name="Normal 4 4 5 7 3" xfId="11647" xr:uid="{7067B2DE-2E51-4E9A-A591-30FE48DD678A}"/>
    <cellStyle name="Normal 4 4 5 7 3 2" xfId="22027" xr:uid="{2A7D3620-EDC9-40A5-A8CC-47345B35D85E}"/>
    <cellStyle name="Normal 4 4 5 7 4" xfId="26712" xr:uid="{7FB71A15-6EFB-4AB0-9453-48985C07BB1C}"/>
    <cellStyle name="Normal 4 4 5 7 5" xfId="16361" xr:uid="{BA6F796B-4CF2-496D-A533-DB865784B7FC}"/>
    <cellStyle name="Normal 4 4 5 8" xfId="5304" xr:uid="{E625F85E-866A-4601-961F-6B98C2F8AF7B}"/>
    <cellStyle name="Normal 4 4 5 8 2" xfId="14602" xr:uid="{3CFA5BC5-4474-4165-9DEC-33A0B0D55546}"/>
    <cellStyle name="Normal 4 4 5 9" xfId="7055" xr:uid="{2C3307C6-E532-4616-A2FD-70F09548DA82}"/>
    <cellStyle name="Normal 4 4 5 9 2" xfId="17435" xr:uid="{01BB8787-6EC3-4FD1-B4F1-B2B35749404D}"/>
    <cellStyle name="Normal 4 4 6" xfId="1006" xr:uid="{00000000-0005-0000-0000-0000A0050000}"/>
    <cellStyle name="Normal 4 4 6 10" xfId="9893" xr:uid="{35555099-0C7E-4389-9542-D186D69336E0}"/>
    <cellStyle name="Normal 4 4 6 10 2" xfId="20273" xr:uid="{C3E67B0F-09F5-4C1A-AAB9-BD205F3D9E5C}"/>
    <cellStyle name="Normal 4 4 6 11" xfId="23266" xr:uid="{AAB2BD3A-19FC-4CB0-A99E-03992EEB4657}"/>
    <cellStyle name="Normal 4 4 6 12" xfId="12604" xr:uid="{8B9181DF-4CC3-4F89-A955-CCC1362EE781}"/>
    <cellStyle name="Normal 4 4 6 2" xfId="1007" xr:uid="{00000000-0005-0000-0000-0000A1050000}"/>
    <cellStyle name="Normal 4 4 6 2 2" xfId="1008" xr:uid="{00000000-0005-0000-0000-0000A2050000}"/>
    <cellStyle name="Normal 4 4 6 2 2 2" xfId="5311" xr:uid="{CC89DBF1-7B99-47E4-A6D3-D0436405CC9E}"/>
    <cellStyle name="Normal 4 4 6 2 2 2 2" xfId="24014" xr:uid="{4981416F-3B0F-4676-98D5-6AFDE258BE89}"/>
    <cellStyle name="Normal 4 4 6 2 2 2 3" xfId="26995" xr:uid="{6787D601-1E6A-4740-A280-6A4BCA91A4E4}"/>
    <cellStyle name="Normal 4 4 6 2 2 2 4" xfId="14609" xr:uid="{C680909C-CE46-44F4-B9BE-4E0D04AC9358}"/>
    <cellStyle name="Normal 4 4 6 2 2 3" xfId="7062" xr:uid="{6802134B-1227-4770-B612-678DFA6DE62E}"/>
    <cellStyle name="Normal 4 4 6 2 2 3 2" xfId="27635" xr:uid="{452B0C8E-FD97-40F5-949D-9C4223A37416}"/>
    <cellStyle name="Normal 4 4 6 2 2 3 3" xfId="28059" xr:uid="{3A65D403-450F-4C58-9F99-EF443F7430BE}"/>
    <cellStyle name="Normal 4 4 6 2 2 3 4" xfId="17442" xr:uid="{7FE0B6DB-CF8D-4329-84E7-B421CA66D0A4}"/>
    <cellStyle name="Normal 4 4 6 2 2 4" xfId="9895" xr:uid="{D0D5F939-C22F-4987-9177-2ECB13D3B7BE}"/>
    <cellStyle name="Normal 4 4 6 2 2 4 2" xfId="29427" xr:uid="{3D98BFD9-4436-4701-9F1E-7F14F57B77D6}"/>
    <cellStyle name="Normal 4 4 6 2 2 4 3" xfId="20275" xr:uid="{0DBADDED-EF2D-4E49-A7F6-A9EE0B3F71CB}"/>
    <cellStyle name="Normal 4 4 6 2 2 5" xfId="22646" xr:uid="{A76277E6-4622-4903-9488-C6D42433084B}"/>
    <cellStyle name="Normal 4 4 6 2 2 6" xfId="13925" xr:uid="{D962E703-7C84-4C0F-814A-6CAAAFFD29CA}"/>
    <cellStyle name="Normal 4 4 6 2 3" xfId="2792" xr:uid="{00000000-0005-0000-0000-000059060000}"/>
    <cellStyle name="Normal 4 4 6 2 3 2" xfId="6010" xr:uid="{C443970B-A747-4D81-A575-7502948273F5}"/>
    <cellStyle name="Normal 4 4 6 2 3 2 2" xfId="25957" xr:uid="{01686228-2362-4359-835D-10546A7AF693}"/>
    <cellStyle name="Normal 4 4 6 2 3 2 3" xfId="15463" xr:uid="{56AD114F-DA40-4DC5-BED5-C53EF6E1637B}"/>
    <cellStyle name="Normal 4 4 6 2 3 3" xfId="7916" xr:uid="{7E2FB29E-0BCE-4104-9705-6995F0DA5E69}"/>
    <cellStyle name="Normal 4 4 6 2 3 3 2" xfId="18296" xr:uid="{FAB75683-A1EF-4360-A3C8-8AC87B0431EC}"/>
    <cellStyle name="Normal 4 4 6 2 3 4" xfId="10749" xr:uid="{AC379FB3-3C42-4EA2-BC48-F9148BE23525}"/>
    <cellStyle name="Normal 4 4 6 2 3 4 2" xfId="21129" xr:uid="{3DADD595-B2C9-47C0-AAE2-C06619F92E25}"/>
    <cellStyle name="Normal 4 4 6 2 3 5" xfId="24411" xr:uid="{CDFAD032-DD11-4D52-A6EA-6A35F325D757}"/>
    <cellStyle name="Normal 4 4 6 2 3 6" xfId="13252" xr:uid="{85729ECE-FBE1-4E8F-BAEA-0608FD66CF89}"/>
    <cellStyle name="Normal 4 4 6 2 4" xfId="4198" xr:uid="{646CEC22-B35F-4C0C-AB59-0ADF5B13983F}"/>
    <cellStyle name="Normal 4 4 6 2 4 2" xfId="8970" xr:uid="{E45D12FD-2375-4FD4-AD60-4FE0F86E3711}"/>
    <cellStyle name="Normal 4 4 6 2 4 2 2" xfId="29054" xr:uid="{30B324A7-76C8-4725-B750-82261BBE0ECD}"/>
    <cellStyle name="Normal 4 4 6 2 4 2 3" xfId="19350" xr:uid="{7B0FFB52-B8BA-4312-9EF9-9DAE51FF20A3}"/>
    <cellStyle name="Normal 4 4 6 2 4 3" xfId="11803" xr:uid="{CC1DA033-C7BC-4022-8EC8-0442E52FDA7A}"/>
    <cellStyle name="Normal 4 4 6 2 4 3 2" xfId="22183" xr:uid="{591BAC96-DDBB-4DE0-ABBC-F4C65C4B784F}"/>
    <cellStyle name="Normal 4 4 6 2 4 4" xfId="25469" xr:uid="{345F13CE-9109-4FE5-A949-79D8FFAFEFA8}"/>
    <cellStyle name="Normal 4 4 6 2 4 5" xfId="16517" xr:uid="{7E7F382C-434C-4C82-BE24-1FEECE24B23B}"/>
    <cellStyle name="Normal 4 4 6 2 5" xfId="5310" xr:uid="{79B0C609-91A7-40C0-B374-54F3DDA349FE}"/>
    <cellStyle name="Normal 4 4 6 2 5 2" xfId="26092" xr:uid="{2AEA128B-7177-49EB-8260-F921A8843A1F}"/>
    <cellStyle name="Normal 4 4 6 2 5 3" xfId="14608" xr:uid="{9BF47ECC-E9A5-49D7-8A62-C169172AB25B}"/>
    <cellStyle name="Normal 4 4 6 2 6" xfId="7061" xr:uid="{C3870E88-5149-438E-A19B-CF7A0DC0D070}"/>
    <cellStyle name="Normal 4 4 6 2 6 2" xfId="17441" xr:uid="{2159F246-F892-4A47-B5E6-E0E75B41B2A1}"/>
    <cellStyle name="Normal 4 4 6 2 7" xfId="9894" xr:uid="{49B4CE77-7665-4889-952C-765A49007B1A}"/>
    <cellStyle name="Normal 4 4 6 2 7 2" xfId="20274" xr:uid="{13BB59B0-1857-4E6F-BBB0-C7F1C527C78F}"/>
    <cellStyle name="Normal 4 4 6 2 8" xfId="25233" xr:uid="{F1005FFB-B226-411F-B940-BFB3F0CCF542}"/>
    <cellStyle name="Normal 4 4 6 2 9" xfId="12762" xr:uid="{9AB8D51E-00E0-478D-8115-8C4CFF4742AB}"/>
    <cellStyle name="Normal 4 4 6 3" xfId="1009" xr:uid="{00000000-0005-0000-0000-0000A3050000}"/>
    <cellStyle name="Normal 4 4 6 3 2" xfId="4541" xr:uid="{F1C860A2-948E-4C8C-92FB-4E5A99E46265}"/>
    <cellStyle name="Normal 4 4 6 3 2 2" xfId="9313" xr:uid="{710CFDEA-5D1D-4AA3-86BE-27763845AD26}"/>
    <cellStyle name="Normal 4 4 6 3 2 2 2" xfId="29290" xr:uid="{B5986039-0188-4DA3-94FB-1D99E742FC47}"/>
    <cellStyle name="Normal 4 4 6 3 2 2 3" xfId="19693" xr:uid="{0041879B-E15D-458E-9049-B254F3A37F89}"/>
    <cellStyle name="Normal 4 4 6 3 2 3" xfId="12146" xr:uid="{F0C81F10-17F5-46F7-B082-F3354F0CE65A}"/>
    <cellStyle name="Normal 4 4 6 3 2 3 2" xfId="22526" xr:uid="{FA7D7A90-DBCA-47FF-8CE2-701D6D3282C7}"/>
    <cellStyle name="Normal 4 4 6 3 2 4" xfId="25046" xr:uid="{2F00B6D6-3BD1-4025-BBE7-0999D224CE59}"/>
    <cellStyle name="Normal 4 4 6 3 2 5" xfId="16860" xr:uid="{95614682-4BF5-4C60-B7C7-9BD9AFBE3940}"/>
    <cellStyle name="Normal 4 4 6 3 3" xfId="5312" xr:uid="{C1E7CBFA-8D70-4DC0-9D67-7F1F15B7EBBA}"/>
    <cellStyle name="Normal 4 4 6 3 3 2" xfId="26837" xr:uid="{DEE64D7E-518B-4722-AF17-48D7B372691E}"/>
    <cellStyle name="Normal 4 4 6 3 3 3" xfId="26907" xr:uid="{B9C458B0-18C1-40D6-A0D3-65E43FA1236D}"/>
    <cellStyle name="Normal 4 4 6 3 3 4" xfId="14610" xr:uid="{A19EAD2A-7C80-4745-A34B-DB943E34D81B}"/>
    <cellStyle name="Normal 4 4 6 3 4" xfId="7063" xr:uid="{9AAD0156-9948-48E8-8EBC-1802E7D52EA5}"/>
    <cellStyle name="Normal 4 4 6 3 4 2" xfId="26179" xr:uid="{07B6D851-61F4-49E1-A0A1-D44912F3FF27}"/>
    <cellStyle name="Normal 4 4 6 3 4 3" xfId="27745" xr:uid="{A8891A62-F547-471A-90C5-552DA273F4A0}"/>
    <cellStyle name="Normal 4 4 6 3 4 4" xfId="17443" xr:uid="{B2191D05-8BD2-464E-9B04-21000AF0E0B3}"/>
    <cellStyle name="Normal 4 4 6 3 5" xfId="9896" xr:uid="{4C5C3BCA-64B0-4E94-ADAD-8D656F34962F}"/>
    <cellStyle name="Normal 4 4 6 3 5 2" xfId="29428" xr:uid="{5215AEDB-4EFF-4165-BC2C-62F8FAF9450C}"/>
    <cellStyle name="Normal 4 4 6 3 5 3" xfId="20276" xr:uid="{D279E8D5-0B8B-4DFB-9E28-C211E6E64EED}"/>
    <cellStyle name="Normal 4 4 6 3 6" xfId="24532" xr:uid="{D525E559-2B44-4F09-88B3-C1CF880AB01D}"/>
    <cellStyle name="Normal 4 4 6 3 7" xfId="13926" xr:uid="{D84723B2-AC0D-40AD-9362-9B3C65B0D428}"/>
    <cellStyle name="Normal 4 4 6 4" xfId="1010" xr:uid="{00000000-0005-0000-0000-0000A4050000}"/>
    <cellStyle name="Normal 4 4 6 4 2" xfId="5313" xr:uid="{5DC5CC19-61D9-442D-A07F-3AA03D0924D0}"/>
    <cellStyle name="Normal 4 4 6 4 2 2" xfId="25105" xr:uid="{0C0ABCA3-1415-4A92-857C-A488E2E6DDE0}"/>
    <cellStyle name="Normal 4 4 6 4 2 3" xfId="27001" xr:uid="{E8084F88-466A-4474-AF0E-713070897DEF}"/>
    <cellStyle name="Normal 4 4 6 4 2 4" xfId="14611" xr:uid="{CC533787-6370-4D1A-A406-1786BC8C983D}"/>
    <cellStyle name="Normal 4 4 6 4 3" xfId="7064" xr:uid="{B0C4E085-8262-47C3-9C4F-0FB68070A9CB}"/>
    <cellStyle name="Normal 4 4 6 4 3 2" xfId="25966" xr:uid="{716B544F-6F88-45BB-A69E-A30796EF980C}"/>
    <cellStyle name="Normal 4 4 6 4 3 3" xfId="17444" xr:uid="{0DE44047-A4A2-4246-9D93-7AA3EACFCA4B}"/>
    <cellStyle name="Normal 4 4 6 4 4" xfId="9897" xr:uid="{9EADD135-B447-41E6-9C3C-489290942EF0}"/>
    <cellStyle name="Normal 4 4 6 4 4 2" xfId="20277" xr:uid="{B50305F7-FC13-4F97-AF92-A5492AC0B98D}"/>
    <cellStyle name="Normal 4 4 6 4 5" xfId="24888" xr:uid="{2F8162DB-F64E-4E58-B0F7-C1E051A56005}"/>
    <cellStyle name="Normal 4 4 6 4 6" xfId="13460" xr:uid="{D69AA7B0-0E86-4954-9614-CC301B9E59D0}"/>
    <cellStyle name="Normal 4 4 6 5" xfId="2577" xr:uid="{00000000-0005-0000-0000-00005C060000}"/>
    <cellStyle name="Normal 4 4 6 5 2" xfId="5842" xr:uid="{B8590707-D82D-4B10-8E5C-B46DD1964897}"/>
    <cellStyle name="Normal 4 4 6 5 2 2" xfId="27799" xr:uid="{77ABFE73-E8DE-4CB5-AA43-A2F9060D82E2}"/>
    <cellStyle name="Normal 4 4 6 5 2 3" xfId="15249" xr:uid="{DE20AE6C-F563-4E2C-B6E3-77AC87B7B438}"/>
    <cellStyle name="Normal 4 4 6 5 3" xfId="7702" xr:uid="{E593B547-1A44-4379-8A8B-07DADAE6175D}"/>
    <cellStyle name="Normal 4 4 6 5 3 2" xfId="18082" xr:uid="{F72F5707-7FF8-474F-9824-301D2DAF5EFC}"/>
    <cellStyle name="Normal 4 4 6 5 4" xfId="10535" xr:uid="{2A2CD21C-4AAF-43FD-91A1-927F51089E4C}"/>
    <cellStyle name="Normal 4 4 6 5 4 2" xfId="20915" xr:uid="{FCBC5583-2A22-440C-92F6-A2AFFC55E65D}"/>
    <cellStyle name="Normal 4 4 6 5 5" xfId="24876" xr:uid="{F01D5C4E-835B-4BCD-8ABA-87C976F1E2F5}"/>
    <cellStyle name="Normal 4 4 6 5 6" xfId="12965" xr:uid="{1B78FA1C-312A-42E1-90AD-123870043F67}"/>
    <cellStyle name="Normal 4 4 6 6" xfId="2370" xr:uid="{00000000-0005-0000-0000-000056060000}"/>
    <cellStyle name="Normal 4 4 6 6 2" xfId="7497" xr:uid="{37A6F410-3569-447C-A96D-17475FEF90C0}"/>
    <cellStyle name="Normal 4 4 6 6 2 2" xfId="27451" xr:uid="{C6B8C9AD-BD55-4D6F-BF23-AA4CA629BE17}"/>
    <cellStyle name="Normal 4 4 6 6 2 3" xfId="17877" xr:uid="{2A06F1A9-730A-409C-A166-75FA16781950}"/>
    <cellStyle name="Normal 4 4 6 6 3" xfId="10330" xr:uid="{942397F1-2C1B-4A41-8537-8F1A3A2F0831}"/>
    <cellStyle name="Normal 4 4 6 6 3 2" xfId="20710" xr:uid="{CD637D26-308C-42D9-9836-B3344CB75646}"/>
    <cellStyle name="Normal 4 4 6 6 4" xfId="22750" xr:uid="{45F0A560-B8AB-463B-8B75-827E68D9B470}"/>
    <cellStyle name="Normal 4 4 6 6 5" xfId="15044" xr:uid="{5C3A247B-D151-4634-9793-1C79E2FBFBF5}"/>
    <cellStyle name="Normal 4 4 6 7" xfId="3991" xr:uid="{155B17C1-6D90-4B09-AE72-8D357FDA0CA5}"/>
    <cellStyle name="Normal 4 4 6 7 2" xfId="8815" xr:uid="{D24AE6AB-7CC9-4D83-B241-7D8BDE7FF89D}"/>
    <cellStyle name="Normal 4 4 6 7 2 2" xfId="19195" xr:uid="{8B849538-5B45-466E-A744-95B84BC0C9F9}"/>
    <cellStyle name="Normal 4 4 6 7 3" xfId="11648" xr:uid="{658C68E2-27BB-4FE4-A452-C4CB55953D8A}"/>
    <cellStyle name="Normal 4 4 6 7 3 2" xfId="22028" xr:uid="{647DB8CC-3066-4CC1-87C1-11FA878B1EBB}"/>
    <cellStyle name="Normal 4 4 6 7 4" xfId="27674" xr:uid="{D080A117-65F4-4666-A844-D5784050E378}"/>
    <cellStyle name="Normal 4 4 6 7 5" xfId="16362" xr:uid="{4E16D46C-A24B-49D9-98AE-E8AF2958529B}"/>
    <cellStyle name="Normal 4 4 6 8" xfId="5309" xr:uid="{AD9C102B-E7E3-42B7-B1B6-C3A62299AFFD}"/>
    <cellStyle name="Normal 4 4 6 8 2" xfId="14607" xr:uid="{1685A019-ADCE-4DCC-AC3E-5AE359E98039}"/>
    <cellStyle name="Normal 4 4 6 9" xfId="7060" xr:uid="{0BF99C63-D936-4520-8302-D6886B2EE38C}"/>
    <cellStyle name="Normal 4 4 6 9 2" xfId="17440" xr:uid="{094F1905-0AC2-4F65-AA57-2BEDE667EA1A}"/>
    <cellStyle name="Normal 4 4 7" xfId="1011" xr:uid="{00000000-0005-0000-0000-0000A5050000}"/>
    <cellStyle name="Normal 4 4 7 10" xfId="12605" xr:uid="{BE2E1CCC-8E0B-42B4-80F4-C097E12EA611}"/>
    <cellStyle name="Normal 4 4 7 2" xfId="1012" xr:uid="{00000000-0005-0000-0000-0000A6050000}"/>
    <cellStyle name="Normal 4 4 7 2 2" xfId="2940" xr:uid="{00000000-0005-0000-0000-00005F060000}"/>
    <cellStyle name="Normal 4 4 7 2 2 2" xfId="6120" xr:uid="{739E3C6C-3BC4-4710-BE80-BABD08607F1C}"/>
    <cellStyle name="Normal 4 4 7 2 2 2 2" xfId="28204" xr:uid="{B9B6BB46-17CB-463D-B5E2-D358C4D8E0A3}"/>
    <cellStyle name="Normal 4 4 7 2 2 2 3" xfId="28124" xr:uid="{84041D0C-67BA-42DE-AF1B-CF88387940E8}"/>
    <cellStyle name="Normal 4 4 7 2 2 2 4" xfId="15598" xr:uid="{5BD3ED8F-A6EE-445C-8983-1EA763AEE431}"/>
    <cellStyle name="Normal 4 4 7 2 2 3" xfId="8051" xr:uid="{9BC7E3A2-97B1-4155-BED8-0450534958EB}"/>
    <cellStyle name="Normal 4 4 7 2 2 3 2" xfId="28756" xr:uid="{59F44E47-61D4-487A-B6B0-8DD0578FF29E}"/>
    <cellStyle name="Normal 4 4 7 2 2 3 3" xfId="18431" xr:uid="{A277618E-25E9-45FE-B30E-D361972BFF66}"/>
    <cellStyle name="Normal 4 4 7 2 2 4" xfId="10884" xr:uid="{7BC19122-8DB7-40C1-9B1B-DA4109E1F3B3}"/>
    <cellStyle name="Normal 4 4 7 2 2 4 2" xfId="21264" xr:uid="{2DA393C0-188B-4C45-BC22-0CF9B66ABCE0}"/>
    <cellStyle name="Normal 4 4 7 2 2 5" xfId="25362" xr:uid="{26658244-70BC-43F2-AC33-AC46E39822A2}"/>
    <cellStyle name="Normal 4 4 7 2 2 6" xfId="13461" xr:uid="{53200119-9172-4A95-8A94-C69F418E49D2}"/>
    <cellStyle name="Normal 4 4 7 2 3" xfId="5315" xr:uid="{8855BF12-6019-4F08-8D31-48B5D2CBE86F}"/>
    <cellStyle name="Normal 4 4 7 2 3 2" xfId="25321" xr:uid="{B3546D37-3921-4781-816B-A0D72D6CECCA}"/>
    <cellStyle name="Normal 4 4 7 2 3 3" xfId="27943" xr:uid="{3B488F3E-307F-4D08-91EA-1DA9B36B8E7F}"/>
    <cellStyle name="Normal 4 4 7 2 3 4" xfId="14613" xr:uid="{0873A52E-2D45-4329-A475-6AE635A0044F}"/>
    <cellStyle name="Normal 4 4 7 2 4" xfId="7066" xr:uid="{E0A5C9CA-0461-4194-9D7C-EA7E8E4CB9FD}"/>
    <cellStyle name="Normal 4 4 7 2 4 2" xfId="26122" xr:uid="{C916E597-A8CD-486E-A7F8-EC17BC61C6DA}"/>
    <cellStyle name="Normal 4 4 7 2 4 3" xfId="26844" xr:uid="{93C317D0-1586-4181-9382-AD6CD41ECCB9}"/>
    <cellStyle name="Normal 4 4 7 2 4 4" xfId="17446" xr:uid="{BC5163DF-52C1-44F3-8E66-96FC4FA18BF1}"/>
    <cellStyle name="Normal 4 4 7 2 5" xfId="9899" xr:uid="{86153E0A-46F0-4490-8FB0-9658F09105C3}"/>
    <cellStyle name="Normal 4 4 7 2 5 2" xfId="29429" xr:uid="{77998EB9-9E9D-4C01-BF5B-DBAB23E07B61}"/>
    <cellStyle name="Normal 4 4 7 2 5 3" xfId="20279" xr:uid="{CA409681-E26E-4AA3-B857-CF5E3EAE2290}"/>
    <cellStyle name="Normal 4 4 7 2 6" xfId="25110" xr:uid="{105F8BDA-A8FB-41D5-93EA-6C694D3D11B6}"/>
    <cellStyle name="Normal 4 4 7 2 7" xfId="12763" xr:uid="{7E61096A-02F1-4E78-B943-FCD9B78AC160}"/>
    <cellStyle name="Normal 4 4 7 3" xfId="1013" xr:uid="{00000000-0005-0000-0000-0000A7050000}"/>
    <cellStyle name="Normal 4 4 7 3 2" xfId="5316" xr:uid="{01131E2F-8EF3-4945-8C23-69F1216AC88A}"/>
    <cellStyle name="Normal 4 4 7 3 2 2" xfId="28235" xr:uid="{C434865C-34D3-49FF-8293-9B8656923D8B}"/>
    <cellStyle name="Normal 4 4 7 3 2 3" xfId="27827" xr:uid="{CF036B8A-CD5E-4D53-849A-F97D686F47AA}"/>
    <cellStyle name="Normal 4 4 7 3 2 4" xfId="14614" xr:uid="{5189D6BB-F4D5-4B79-8B8C-C6C836B28BAC}"/>
    <cellStyle name="Normal 4 4 7 3 3" xfId="7067" xr:uid="{7555240E-38B2-43C1-9E90-FD713A904B1F}"/>
    <cellStyle name="Normal 4 4 7 3 3 2" xfId="27894" xr:uid="{EE69ED68-CFCA-4C30-A445-607FAA96086A}"/>
    <cellStyle name="Normal 4 4 7 3 3 3" xfId="26674" xr:uid="{835D1CD2-07EB-4A25-A908-EC8BCEB97763}"/>
    <cellStyle name="Normal 4 4 7 3 3 4" xfId="17447" xr:uid="{ADA868AD-870A-4CA5-8622-ED0B2CCA1006}"/>
    <cellStyle name="Normal 4 4 7 3 4" xfId="9900" xr:uid="{2BFE620A-152E-4F86-8D83-6C4282D8C08B}"/>
    <cellStyle name="Normal 4 4 7 3 4 2" xfId="29430" xr:uid="{62280D68-F16B-4781-8756-B87E8D307E56}"/>
    <cellStyle name="Normal 4 4 7 3 4 3" xfId="20280" xr:uid="{9F6C3DB9-7907-46E1-99DD-A78579C02DD3}"/>
    <cellStyle name="Normal 4 4 7 3 5" xfId="23595" xr:uid="{34E6FD28-94AE-4D10-B5DA-2494E0F80D72}"/>
    <cellStyle name="Normal 4 4 7 3 6" xfId="13253" xr:uid="{8236CB6B-110F-479A-B16F-F1CCAA18212C}"/>
    <cellStyle name="Normal 4 4 7 4" xfId="2371" xr:uid="{00000000-0005-0000-0000-00005D060000}"/>
    <cellStyle name="Normal 4 4 7 4 2" xfId="7498" xr:uid="{C5E5C587-D37B-4EEC-AC44-02E0A02ADAC0}"/>
    <cellStyle name="Normal 4 4 7 4 2 2" xfId="28131" xr:uid="{7CC963D8-A7C0-4AE3-803B-CD3A4A515ACE}"/>
    <cellStyle name="Normal 4 4 7 4 2 3" xfId="17878" xr:uid="{1F68883E-EA4B-400F-9D3E-A0D99942D46A}"/>
    <cellStyle name="Normal 4 4 7 4 3" xfId="10331" xr:uid="{DBF57A1A-56F9-40E0-BDE1-F8652914CED0}"/>
    <cellStyle name="Normal 4 4 7 4 3 2" xfId="20711" xr:uid="{BAEAEC53-A598-4BCE-8947-DB2053EB9A3E}"/>
    <cellStyle name="Normal 4 4 7 4 4" xfId="24325" xr:uid="{B528F158-5BA1-4DE3-A2B8-28688EBCF78E}"/>
    <cellStyle name="Normal 4 4 7 4 5" xfId="15045" xr:uid="{E8FCA9D8-19D6-46FF-989C-F65C6B962B8D}"/>
    <cellStyle name="Normal 4 4 7 5" xfId="3992" xr:uid="{0F79F3EA-E187-4CE0-A8FD-B5B5C55A2C34}"/>
    <cellStyle name="Normal 4 4 7 5 2" xfId="8816" xr:uid="{B9B292B2-B717-4937-A76C-E0D161E48CA1}"/>
    <cellStyle name="Normal 4 4 7 5 2 2" xfId="28989" xr:uid="{162BEE58-A72A-4235-BB90-FDC3F3FCF0D0}"/>
    <cellStyle name="Normal 4 4 7 5 2 3" xfId="19196" xr:uid="{FD39C0AC-80DB-418A-BA40-70EE4F06A60C}"/>
    <cellStyle name="Normal 4 4 7 5 3" xfId="11649" xr:uid="{86EAD745-13DD-4ED2-8C0C-CCE3B7140DC1}"/>
    <cellStyle name="Normal 4 4 7 5 3 2" xfId="22029" xr:uid="{7208CB3C-6719-4C7D-94A0-1D0A5F794197}"/>
    <cellStyle name="Normal 4 4 7 5 4" xfId="22769" xr:uid="{171DFFCF-8897-4D15-BC6C-6BC6A6368CD8}"/>
    <cellStyle name="Normal 4 4 7 5 5" xfId="16363" xr:uid="{56DA68A7-DB3A-4581-BBE8-11EC60C96E9A}"/>
    <cellStyle name="Normal 4 4 7 6" xfId="5314" xr:uid="{A85E22A9-BA61-4E82-9819-FD9350344DC6}"/>
    <cellStyle name="Normal 4 4 7 6 2" xfId="25839" xr:uid="{47E2AEBB-D426-4ED2-BC33-5DF917777329}"/>
    <cellStyle name="Normal 4 4 7 6 3" xfId="26007" xr:uid="{95FB43E7-92C9-47E0-9490-7A66BA3AA9FB}"/>
    <cellStyle name="Normal 4 4 7 6 4" xfId="14612" xr:uid="{3238C1FE-2161-4FA8-A595-B1270CEB73FD}"/>
    <cellStyle name="Normal 4 4 7 7" xfId="7065" xr:uid="{CFF826D0-17A6-4F60-BFC2-4F8BAF7E4B07}"/>
    <cellStyle name="Normal 4 4 7 7 2" xfId="26196" xr:uid="{8E57E475-14CC-45D6-A680-229D5E5F470A}"/>
    <cellStyle name="Normal 4 4 7 7 3" xfId="17445" xr:uid="{42815ED4-7DE4-4A73-B27A-3D4ED683CB7C}"/>
    <cellStyle name="Normal 4 4 7 8" xfId="9898" xr:uid="{F2E3B44A-489C-493E-B3A9-1B228B724265}"/>
    <cellStyle name="Normal 4 4 7 8 2" xfId="20278" xr:uid="{6A72BC74-B1A4-4BDE-B09C-56BC6A952D22}"/>
    <cellStyle name="Normal 4 4 7 9" xfId="24138" xr:uid="{1E88A1D6-AE38-454E-B846-A2C177D96F6C}"/>
    <cellStyle name="Normal 4 4 8" xfId="1014" xr:uid="{00000000-0005-0000-0000-0000A8050000}"/>
    <cellStyle name="Normal 4 4 8 10" xfId="12606" xr:uid="{CA4D673E-C050-4B79-9C4C-56FA448EBC15}"/>
    <cellStyle name="Normal 4 4 8 2" xfId="1015" xr:uid="{00000000-0005-0000-0000-0000A9050000}"/>
    <cellStyle name="Normal 4 4 8 2 2" xfId="2941" xr:uid="{00000000-0005-0000-0000-000063060000}"/>
    <cellStyle name="Normal 4 4 8 2 2 2" xfId="6121" xr:uid="{3B030003-B56E-42A1-BF46-6D8C66FAE20A}"/>
    <cellStyle name="Normal 4 4 8 2 2 2 2" xfId="26503" xr:uid="{55689746-DEF0-4320-848A-9B0759700AEB}"/>
    <cellStyle name="Normal 4 4 8 2 2 2 3" xfId="28055" xr:uid="{C71B9B98-3B4D-4E5F-BB4C-B1108EB56177}"/>
    <cellStyle name="Normal 4 4 8 2 2 2 4" xfId="15599" xr:uid="{8B45946F-F579-493E-A777-F797ED3B3ED7}"/>
    <cellStyle name="Normal 4 4 8 2 2 3" xfId="8052" xr:uid="{A1D8FC59-41AB-4B04-835B-88003565BB56}"/>
    <cellStyle name="Normal 4 4 8 2 2 3 2" xfId="28757" xr:uid="{7A1FB7CD-6657-4363-B93E-C081C6C4C0CB}"/>
    <cellStyle name="Normal 4 4 8 2 2 3 3" xfId="18432" xr:uid="{72AF5404-8023-4DB0-9944-A6DD6DCFB028}"/>
    <cellStyle name="Normal 4 4 8 2 2 4" xfId="10885" xr:uid="{4B8C7705-E943-41CC-AD24-E8C077E49547}"/>
    <cellStyle name="Normal 4 4 8 2 2 4 2" xfId="21265" xr:uid="{7815DE7E-E3DB-4C8C-9ABD-97F8BC87D048}"/>
    <cellStyle name="Normal 4 4 8 2 2 5" xfId="24556" xr:uid="{7B00F632-A9E3-4CE5-A0A3-A286B6264ADD}"/>
    <cellStyle name="Normal 4 4 8 2 2 6" xfId="13462" xr:uid="{D6D86F86-10C3-4068-A8C3-4DF59F5B0A4B}"/>
    <cellStyle name="Normal 4 4 8 2 3" xfId="5318" xr:uid="{9246B56E-1A83-4A34-AEE9-9F32336FBABB}"/>
    <cellStyle name="Normal 4 4 8 2 3 2" xfId="24455" xr:uid="{F6CF408D-21E3-45A3-9562-314F90F14C3B}"/>
    <cellStyle name="Normal 4 4 8 2 3 3" xfId="26426" xr:uid="{FCE6C010-CFD8-4054-95A6-8CA459188694}"/>
    <cellStyle name="Normal 4 4 8 2 3 4" xfId="14616" xr:uid="{DBB95E87-488E-4B51-875B-6DDB208D5741}"/>
    <cellStyle name="Normal 4 4 8 2 4" xfId="7069" xr:uid="{784F18AB-9B24-435D-A6C4-E92B56265C4A}"/>
    <cellStyle name="Normal 4 4 8 2 4 2" xfId="27921" xr:uid="{B516F256-A46D-4533-B3BE-949792F2EE22}"/>
    <cellStyle name="Normal 4 4 8 2 4 3" xfId="26300" xr:uid="{1B4D7294-8EFD-48E3-AFD0-F972FDD89B90}"/>
    <cellStyle name="Normal 4 4 8 2 4 4" xfId="17449" xr:uid="{2E4C7ADD-D813-48C2-9E9A-50A1584D5C47}"/>
    <cellStyle name="Normal 4 4 8 2 5" xfId="9902" xr:uid="{1334673B-C8EC-4F39-8F95-079A2CD23FC4}"/>
    <cellStyle name="Normal 4 4 8 2 5 2" xfId="29431" xr:uid="{687C5457-0533-4C0A-A75C-1E00870144C9}"/>
    <cellStyle name="Normal 4 4 8 2 5 3" xfId="20282" xr:uid="{3C14766A-0A36-4E73-9351-D85562379DCA}"/>
    <cellStyle name="Normal 4 4 8 2 6" xfId="25497" xr:uid="{50DCEEB4-C889-4D27-97DC-BC2667E44D01}"/>
    <cellStyle name="Normal 4 4 8 2 7" xfId="12764" xr:uid="{31369979-5E9F-49CA-B930-C7881B0CFDC4}"/>
    <cellStyle name="Normal 4 4 8 3" xfId="1016" xr:uid="{00000000-0005-0000-0000-0000AA050000}"/>
    <cellStyle name="Normal 4 4 8 3 2" xfId="5319" xr:uid="{E2E86F4F-68D8-4D3C-887D-E8698892714F}"/>
    <cellStyle name="Normal 4 4 8 3 2 2" xfId="28058" xr:uid="{9598AFDD-A9A2-49DD-82A6-683E26459F21}"/>
    <cellStyle name="Normal 4 4 8 3 2 3" xfId="26993" xr:uid="{05E819AC-9A8C-4470-AB06-D02124642DB4}"/>
    <cellStyle name="Normal 4 4 8 3 2 4" xfId="14617" xr:uid="{9DB887E8-6FE6-41E0-9104-704BE88CFAE2}"/>
    <cellStyle name="Normal 4 4 8 3 3" xfId="7070" xr:uid="{6136E152-FF19-4728-A14E-BEDDD685E76B}"/>
    <cellStyle name="Normal 4 4 8 3 3 2" xfId="26274" xr:uid="{85F66EFF-3E16-49ED-A55B-EDFE591B5F31}"/>
    <cellStyle name="Normal 4 4 8 3 3 3" xfId="28442" xr:uid="{ADA1B494-E9DC-4EC2-A61F-A4947ABF1DB0}"/>
    <cellStyle name="Normal 4 4 8 3 3 4" xfId="17450" xr:uid="{967985C4-1652-48A3-99A2-9A65A7D80E71}"/>
    <cellStyle name="Normal 4 4 8 3 4" xfId="9903" xr:uid="{7702B13A-43EF-4E0A-AA07-6FA1DC99BEF8}"/>
    <cellStyle name="Normal 4 4 8 3 4 2" xfId="29432" xr:uid="{2EC8BCFC-BBFD-4382-9809-576090B6E08E}"/>
    <cellStyle name="Normal 4 4 8 3 4 3" xfId="20283" xr:uid="{618991E1-9A96-434F-B9A4-EAED83440C2D}"/>
    <cellStyle name="Normal 4 4 8 3 5" xfId="23293" xr:uid="{18A56854-BEAD-407D-A018-555695D98BFA}"/>
    <cellStyle name="Normal 4 4 8 3 6" xfId="13254" xr:uid="{AF5ACC42-87E4-4CDD-8C76-C26E024EB400}"/>
    <cellStyle name="Normal 4 4 8 4" xfId="2372" xr:uid="{00000000-0005-0000-0000-000061060000}"/>
    <cellStyle name="Normal 4 4 8 4 2" xfId="7499" xr:uid="{FA712A1A-C78D-4566-8A6C-60C002B93D64}"/>
    <cellStyle name="Normal 4 4 8 4 2 2" xfId="27833" xr:uid="{381D6260-34DA-47E2-8058-A41C2BE171A8}"/>
    <cellStyle name="Normal 4 4 8 4 2 3" xfId="17879" xr:uid="{6FE155C9-8C14-4E52-88A7-A2CB0868796E}"/>
    <cellStyle name="Normal 4 4 8 4 3" xfId="10332" xr:uid="{39EB91E6-4ACE-4B49-876D-EAFF865DC635}"/>
    <cellStyle name="Normal 4 4 8 4 3 2" xfId="20712" xr:uid="{FD6F8C03-761E-4C03-8A95-BAE1ADB9BA73}"/>
    <cellStyle name="Normal 4 4 8 4 4" xfId="23868" xr:uid="{F9E5135A-FDC8-4959-8530-BF40C1FAE2F9}"/>
    <cellStyle name="Normal 4 4 8 4 5" xfId="15046" xr:uid="{0A2370EB-20FB-49F5-A552-E0C973F95EA0}"/>
    <cellStyle name="Normal 4 4 8 5" xfId="3993" xr:uid="{66074DC8-455C-4006-ADF6-E0B8C85BED19}"/>
    <cellStyle name="Normal 4 4 8 5 2" xfId="8817" xr:uid="{74F21ABD-C3E3-4736-AAFA-FE36F5BBB9F6}"/>
    <cellStyle name="Normal 4 4 8 5 2 2" xfId="28990" xr:uid="{41717647-6C0F-4488-B084-66A8DF15AC31}"/>
    <cellStyle name="Normal 4 4 8 5 2 3" xfId="19197" xr:uid="{B5BE8052-07B6-43B5-8A4F-7471A7DD6759}"/>
    <cellStyle name="Normal 4 4 8 5 3" xfId="11650" xr:uid="{6BD3B780-1A9D-4CB2-910D-9901479E1CAD}"/>
    <cellStyle name="Normal 4 4 8 5 3 2" xfId="22030" xr:uid="{217EDAC7-5B6E-4A9D-AD15-CC9E63973CD4}"/>
    <cellStyle name="Normal 4 4 8 5 4" xfId="24345" xr:uid="{D28B7987-F71C-4787-A5FC-9EF235555BB9}"/>
    <cellStyle name="Normal 4 4 8 5 5" xfId="16364" xr:uid="{5710F248-B8F6-45C7-9645-D9C127473090}"/>
    <cellStyle name="Normal 4 4 8 6" xfId="5317" xr:uid="{F8D64C33-7F81-41CA-9A7B-BFD5509966D8}"/>
    <cellStyle name="Normal 4 4 8 6 2" xfId="27535" xr:uid="{7187DCBB-45D7-4B5E-A8C5-82C22FFC67E2}"/>
    <cellStyle name="Normal 4 4 8 6 3" xfId="28007" xr:uid="{786F944A-3147-4519-BA27-59A4A7F1B2D6}"/>
    <cellStyle name="Normal 4 4 8 6 4" xfId="14615" xr:uid="{560EE69E-BF5B-4779-B1F0-231547ED5E82}"/>
    <cellStyle name="Normal 4 4 8 7" xfId="7068" xr:uid="{F399FB8A-5BC4-4EB4-B81B-88874D581273}"/>
    <cellStyle name="Normal 4 4 8 7 2" xfId="28316" xr:uid="{91F53F6E-A880-4A63-B005-FD4580B83008}"/>
    <cellStyle name="Normal 4 4 8 7 3" xfId="17448" xr:uid="{CDA6D52B-FFC4-49E4-9A1B-BDB693C3B365}"/>
    <cellStyle name="Normal 4 4 8 8" xfId="9901" xr:uid="{B9C897C8-DF7B-4B98-90AB-F54105A6587F}"/>
    <cellStyle name="Normal 4 4 8 8 2" xfId="20281" xr:uid="{997751F3-F99B-4C88-9BF7-923088706D95}"/>
    <cellStyle name="Normal 4 4 8 9" xfId="24160" xr:uid="{E53EE9DC-B68A-46D1-9E6E-02406200460A}"/>
    <cellStyle name="Normal 4 4 9" xfId="1017" xr:uid="{00000000-0005-0000-0000-0000AB050000}"/>
    <cellStyle name="Normal 4 4 9 10" xfId="12599" xr:uid="{5A0CACBA-0ADF-4C2D-AF49-84D4C895EBAD}"/>
    <cellStyle name="Normal 4 4 9 2" xfId="3361" xr:uid="{00000000-0005-0000-0000-000066060000}"/>
    <cellStyle name="Normal 4 4 9 2 2" xfId="6419" xr:uid="{E4AF7A96-E96D-4A82-ACA7-4C11F0D7C92B}"/>
    <cellStyle name="Normal 4 4 9 2 2 2" xfId="25584" xr:uid="{95E6D108-01E8-4E01-ADAC-DEB0E72B18B2}"/>
    <cellStyle name="Normal 4 4 9 2 2 3" xfId="27010" xr:uid="{BE56A05B-1114-426E-BCA5-3A954C7CD794}"/>
    <cellStyle name="Normal 4 4 9 2 2 4" xfId="15988" xr:uid="{85AE6A65-C461-434B-A61D-C2E0706D0C74}"/>
    <cellStyle name="Normal 4 4 9 2 3" xfId="8441" xr:uid="{577A0B1F-AC1F-4BC0-AB30-531865130E5F}"/>
    <cellStyle name="Normal 4 4 9 2 3 2" xfId="26792" xr:uid="{8D1DA3C0-8FB4-4B9B-A557-EA97B493353B}"/>
    <cellStyle name="Normal 4 4 9 2 3 3" xfId="28915" xr:uid="{4BFC9D8D-BAFA-4124-83BC-9E3B7B622031}"/>
    <cellStyle name="Normal 4 4 9 2 3 4" xfId="18821" xr:uid="{2E647F9E-E2C3-42BC-8F48-0C1C797DE2CC}"/>
    <cellStyle name="Normal 4 4 9 2 4" xfId="11274" xr:uid="{352B4982-1DFF-4298-B613-2AD3941627D6}"/>
    <cellStyle name="Normal 4 4 9 2 4 2" xfId="29482" xr:uid="{A1180E81-8564-4CE8-922C-FF3837930D29}"/>
    <cellStyle name="Normal 4 4 9 2 4 3" xfId="21654" xr:uid="{8A7C8604-394A-444B-BD57-6AD3BB43B5C6}"/>
    <cellStyle name="Normal 4 4 9 2 5" xfId="25249" xr:uid="{16250F2A-05B5-4982-B1E5-77966F846550}"/>
    <cellStyle name="Normal 4 4 9 2 6" xfId="13927" xr:uid="{C57D806F-2A8C-42A5-A13D-1FF5221E0EF1}"/>
    <cellStyle name="Normal 4 4 9 3" xfId="2784" xr:uid="{00000000-0005-0000-0000-000067060000}"/>
    <cellStyle name="Normal 4 4 9 3 2" xfId="6002" xr:uid="{35824E72-C820-4089-9B84-2E0915F4580B}"/>
    <cellStyle name="Normal 4 4 9 3 2 2" xfId="26642" xr:uid="{EF8A40E1-2C34-47A0-8B16-1952077E715F}"/>
    <cellStyle name="Normal 4 4 9 3 2 3" xfId="15455" xr:uid="{B433D18A-56D1-4E0A-AE47-E06C0B81FEEA}"/>
    <cellStyle name="Normal 4 4 9 3 3" xfId="7908" xr:uid="{7769BCCC-8662-45CB-BABF-FE672D2DC0D0}"/>
    <cellStyle name="Normal 4 4 9 3 3 2" xfId="18288" xr:uid="{82CA3D6F-48E9-48C4-B373-F0BC9EF0F919}"/>
    <cellStyle name="Normal 4 4 9 3 4" xfId="10741" xr:uid="{B625FE9A-9DCE-4A4C-863D-8C0F57055D89}"/>
    <cellStyle name="Normal 4 4 9 3 4 2" xfId="21121" xr:uid="{89EE809F-2E16-478F-9505-8E62211C6B74}"/>
    <cellStyle name="Normal 4 4 9 3 5" xfId="24634" xr:uid="{0C71D55D-EBFC-4EE4-B11A-2D9A40CF1681}"/>
    <cellStyle name="Normal 4 4 9 3 6" xfId="13241" xr:uid="{16EADAB8-665E-4FE6-8429-1BFA7B82A5E8}"/>
    <cellStyle name="Normal 4 4 9 4" xfId="2365" xr:uid="{00000000-0005-0000-0000-000065060000}"/>
    <cellStyle name="Normal 4 4 9 4 2" xfId="7492" xr:uid="{0D5B0C44-6BCA-4539-8F51-2C183B8CA95A}"/>
    <cellStyle name="Normal 4 4 9 4 2 2" xfId="27847" xr:uid="{FCE6E47D-11D2-41A0-8218-BEF34BE38AF3}"/>
    <cellStyle name="Normal 4 4 9 4 2 3" xfId="17872" xr:uid="{42B9D3BE-8C30-41DF-96F3-DD334FC868D9}"/>
    <cellStyle name="Normal 4 4 9 4 3" xfId="10325" xr:uid="{7B8E750E-5139-4B20-AA09-F525B515AB18}"/>
    <cellStyle name="Normal 4 4 9 4 3 2" xfId="20705" xr:uid="{4294726E-CB1F-4246-B787-ACAC8C42AF9A}"/>
    <cellStyle name="Normal 4 4 9 4 4" xfId="25582" xr:uid="{30138CC3-E5CB-44A7-B41E-0E5758EEF6B1}"/>
    <cellStyle name="Normal 4 4 9 4 5" xfId="15039" xr:uid="{F338BB69-EDFA-45F5-A04C-D0226545A720}"/>
    <cellStyle name="Normal 4 4 9 5" xfId="3900" xr:uid="{44024C00-D3FE-47D0-B57A-39580CDEC769}"/>
    <cellStyle name="Normal 4 4 9 5 2" xfId="8732" xr:uid="{C9717C74-7ED6-40DF-A525-D9A0632BEECA}"/>
    <cellStyle name="Normal 4 4 9 5 2 2" xfId="19112" xr:uid="{1D841BDB-54D9-4A29-ABBC-AC0A4EDD03CB}"/>
    <cellStyle name="Normal 4 4 9 5 3" xfId="11565" xr:uid="{DE1FCD04-E87D-4AF7-8575-2D2CA3BE974D}"/>
    <cellStyle name="Normal 4 4 9 5 3 2" xfId="21945" xr:uid="{D19CA735-0498-486F-94B6-3344196D843B}"/>
    <cellStyle name="Normal 4 4 9 5 4" xfId="26267" xr:uid="{E400FC7F-A257-4C8F-BEAE-B5BFE3B7941D}"/>
    <cellStyle name="Normal 4 4 9 5 5" xfId="16279" xr:uid="{2C589C1A-4480-4627-B1F6-BC45103A33AC}"/>
    <cellStyle name="Normal 4 4 9 6" xfId="5320" xr:uid="{1569C5B3-5BBD-41FF-A302-F6D3990CFE26}"/>
    <cellStyle name="Normal 4 4 9 6 2" xfId="14618" xr:uid="{90A61658-C676-41E9-AE1D-F2159225B933}"/>
    <cellStyle name="Normal 4 4 9 7" xfId="7071" xr:uid="{3B9657B6-2776-4C06-B00B-D5BF82FB8EBB}"/>
    <cellStyle name="Normal 4 4 9 7 2" xfId="17451" xr:uid="{1EB034C5-53AA-46EE-94D3-339F728C90A8}"/>
    <cellStyle name="Normal 4 4 9 8" xfId="9904" xr:uid="{0324C80B-CF82-4EAF-971C-9218D29CB131}"/>
    <cellStyle name="Normal 4 4 9 8 2" xfId="20284" xr:uid="{28350CE1-D0C6-48D3-B3A0-BCCB4DF62AA3}"/>
    <cellStyle name="Normal 4 4 9 9" xfId="23444" xr:uid="{52970C66-47E4-431A-A6CC-18EE61A73DF0}"/>
    <cellStyle name="Normal 4 5" xfId="1018" xr:uid="{00000000-0005-0000-0000-0000AC050000}"/>
    <cellStyle name="Normal 4 5 10" xfId="5321" xr:uid="{AA327A81-5DC8-4692-9340-18993223415C}"/>
    <cellStyle name="Normal 4 5 10 2" xfId="14619" xr:uid="{7AB21E60-FA17-4254-B2B7-89D2BF5D690D}"/>
    <cellStyle name="Normal 4 5 11" xfId="7072" xr:uid="{C32C56F1-0EAB-44E2-9660-3E5C3F7ADDD7}"/>
    <cellStyle name="Normal 4 5 11 2" xfId="17452" xr:uid="{6D3AC4D4-2603-4D59-9880-7C347BAB594F}"/>
    <cellStyle name="Normal 4 5 12" xfId="9905" xr:uid="{8A633793-0BE1-48E7-9C01-528C21AF03E3}"/>
    <cellStyle name="Normal 4 5 12 2" xfId="20285" xr:uid="{48BB7326-53B9-4CF0-990F-441553D826C0}"/>
    <cellStyle name="Normal 4 5 13" xfId="25555" xr:uid="{2F7C80D2-515F-4B37-B3C2-0F41716B2516}"/>
    <cellStyle name="Normal 4 5 14" xfId="12409" xr:uid="{B417FB53-83C9-4E23-AAD7-B3EAE28C9430}"/>
    <cellStyle name="Normal 4 5 15" xfId="29574" xr:uid="{342C3EE9-6C31-424A-9F89-DC76ECE22115}"/>
    <cellStyle name="Normal 4 5 2" xfId="1019" xr:uid="{00000000-0005-0000-0000-0000AD050000}"/>
    <cellStyle name="Normal 4 5 2 10" xfId="7073" xr:uid="{F155FB5D-A444-46A9-93BA-D8A9F0A5D191}"/>
    <cellStyle name="Normal 4 5 2 10 2" xfId="17453" xr:uid="{0F2B164B-DE3C-46D9-B07B-7FCBDE3FF356}"/>
    <cellStyle name="Normal 4 5 2 11" xfId="9906" xr:uid="{0D429FD2-0B1E-4471-B9F3-559075B323D7}"/>
    <cellStyle name="Normal 4 5 2 11 2" xfId="20286" xr:uid="{77EB6FD4-BFDD-4C63-A826-EAF2B1D2DB15}"/>
    <cellStyle name="Normal 4 5 2 12" xfId="22647" xr:uid="{37A174BD-5DC6-4FD8-94FD-A049106B499C}"/>
    <cellStyle name="Normal 4 5 2 13" xfId="12469" xr:uid="{C96A457C-163F-4A39-B685-9058D2B1740E}"/>
    <cellStyle name="Normal 4 5 2 2" xfId="1020" xr:uid="{00000000-0005-0000-0000-0000AE050000}"/>
    <cellStyle name="Normal 4 5 2 2 10" xfId="9907" xr:uid="{FFBED01D-56C2-4DB9-A0A4-A4A176A4EB92}"/>
    <cellStyle name="Normal 4 5 2 2 10 2" xfId="20287" xr:uid="{18E5ED31-4796-427B-9D96-7A548B10B54A}"/>
    <cellStyle name="Normal 4 5 2 2 11" xfId="25565" xr:uid="{81FE1A69-411D-4DDA-AF27-D125FA94B8BA}"/>
    <cellStyle name="Normal 4 5 2 2 12" xfId="12608" xr:uid="{E5BE488E-DB85-46C7-B4FB-96ECB8A84659}"/>
    <cellStyle name="Normal 4 5 2 2 2" xfId="2795" xr:uid="{00000000-0005-0000-0000-00006B060000}"/>
    <cellStyle name="Normal 4 5 2 2 2 2" xfId="3363" xr:uid="{00000000-0005-0000-0000-00006C060000}"/>
    <cellStyle name="Normal 4 5 2 2 2 2 2" xfId="6421" xr:uid="{CB9A58F2-7890-4B6A-B0C4-08609EA3C9E0}"/>
    <cellStyle name="Normal 4 5 2 2 2 2 2 2" xfId="27473" xr:uid="{6A596950-F3A1-4201-8AF3-BD26A11E2E56}"/>
    <cellStyle name="Normal 4 5 2 2 2 2 2 3" xfId="27698" xr:uid="{659DC479-2BD7-4C6B-A33F-4D56A628B69D}"/>
    <cellStyle name="Normal 4 5 2 2 2 2 2 4" xfId="15990" xr:uid="{AF62BC5F-90DA-48E2-9A61-D3AB3816239E}"/>
    <cellStyle name="Normal 4 5 2 2 2 2 3" xfId="8443" xr:uid="{E90C640C-377B-4859-B0B4-A0564CE7D292}"/>
    <cellStyle name="Normal 4 5 2 2 2 2 3 2" xfId="28916" xr:uid="{54DEA4A0-01F6-40FB-A2AC-E0F618CA4A75}"/>
    <cellStyle name="Normal 4 5 2 2 2 2 3 3" xfId="18823" xr:uid="{1B15CFE1-10C9-40DA-B3F8-660B318D9E18}"/>
    <cellStyle name="Normal 4 5 2 2 2 2 4" xfId="11276" xr:uid="{CBF7840A-2BA2-490C-B408-4DFF8EA1F616}"/>
    <cellStyle name="Normal 4 5 2 2 2 2 4 2" xfId="21656" xr:uid="{45A1692A-DBBE-4571-949E-33F95E2F398C}"/>
    <cellStyle name="Normal 4 5 2 2 2 2 5" xfId="24920" xr:uid="{93AE2126-44B0-49B6-B346-061AC55C26EC}"/>
    <cellStyle name="Normal 4 5 2 2 2 2 6" xfId="13929" xr:uid="{01FF4D2D-6593-4498-AE66-ED53884D3B92}"/>
    <cellStyle name="Normal 4 5 2 2 2 3" xfId="4346" xr:uid="{F0DDF63A-1063-4A2C-834C-B0B9CC1595CB}"/>
    <cellStyle name="Normal 4 5 2 2 2 3 2" xfId="9118" xr:uid="{BE46173D-FC4C-4278-8555-0A3E13585A74}"/>
    <cellStyle name="Normal 4 5 2 2 2 3 2 2" xfId="29161" xr:uid="{EC26D65F-F883-4724-B3CF-72B900784BA4}"/>
    <cellStyle name="Normal 4 5 2 2 2 3 2 3" xfId="19498" xr:uid="{1037B84C-96B6-4E71-AE42-DB51C5047C4E}"/>
    <cellStyle name="Normal 4 5 2 2 2 3 3" xfId="11951" xr:uid="{BF4F16E1-1A00-4456-8E40-339F03E81D01}"/>
    <cellStyle name="Normal 4 5 2 2 2 3 3 2" xfId="22331" xr:uid="{CAEE0D91-E467-4130-A58D-FF5E780ED312}"/>
    <cellStyle name="Normal 4 5 2 2 2 3 4" xfId="24863" xr:uid="{7EAC0034-6BE9-4D0F-B584-A2C11E70DF05}"/>
    <cellStyle name="Normal 4 5 2 2 2 3 5" xfId="16665" xr:uid="{1A28BFBF-7731-4AB4-9B8B-9B1F1C447379}"/>
    <cellStyle name="Normal 4 5 2 2 2 4" xfId="6013" xr:uid="{8B49FA82-7B6D-4BE6-9B2F-5FB1467284B1}"/>
    <cellStyle name="Normal 4 5 2 2 2 4 2" xfId="26080" xr:uid="{D88B92DB-CA08-4AB4-83F0-0D8CC800957B}"/>
    <cellStyle name="Normal 4 5 2 2 2 4 3" xfId="15466" xr:uid="{03A527EE-D9C7-4438-83E1-C40E04B31A48}"/>
    <cellStyle name="Normal 4 5 2 2 2 5" xfId="7919" xr:uid="{46148B9B-5C5A-4E98-A683-7FF0356F6619}"/>
    <cellStyle name="Normal 4 5 2 2 2 5 2" xfId="18299" xr:uid="{FF1EB973-064D-4FD9-A7AF-A7BBDF5F6F43}"/>
    <cellStyle name="Normal 4 5 2 2 2 6" xfId="10752" xr:uid="{2FEAE426-4839-4F92-B94B-9B739D1958A8}"/>
    <cellStyle name="Normal 4 5 2 2 2 6 2" xfId="21132" xr:uid="{12431F26-C05B-4F11-95C5-F538C981F164}"/>
    <cellStyle name="Normal 4 5 2 2 2 7" xfId="24937" xr:uid="{386C30BC-3402-47D3-9CFA-77B7D0AC2B8C}"/>
    <cellStyle name="Normal 4 5 2 2 2 8" xfId="13257" xr:uid="{8151A255-92E0-4CAC-9A64-15EE978BF4BE}"/>
    <cellStyle name="Normal 4 5 2 2 3" xfId="3364" xr:uid="{00000000-0005-0000-0000-00006D060000}"/>
    <cellStyle name="Normal 4 5 2 2 3 2" xfId="4542" xr:uid="{5C992072-2692-40FE-BBF8-3D18743AFE66}"/>
    <cellStyle name="Normal 4 5 2 2 3 2 2" xfId="9314" xr:uid="{880D3A2B-4B2B-4A13-88D5-2BA0CFB149A3}"/>
    <cellStyle name="Normal 4 5 2 2 3 2 2 2" xfId="29291" xr:uid="{1B627872-8AE1-46BF-A8CA-B163849C6562}"/>
    <cellStyle name="Normal 4 5 2 2 3 2 2 3" xfId="19694" xr:uid="{81E00CB2-4CE0-4B43-9C1C-FFDF9B48CF3D}"/>
    <cellStyle name="Normal 4 5 2 2 3 2 3" xfId="12147" xr:uid="{4B085F41-08B4-4921-9306-0A37EB0AF2C5}"/>
    <cellStyle name="Normal 4 5 2 2 3 2 3 2" xfId="22527" xr:uid="{EB117C4D-BCAC-4C76-B3F6-79B66B8993B4}"/>
    <cellStyle name="Normal 4 5 2 2 3 2 4" xfId="26029" xr:uid="{B3F1682C-B58B-4F7B-9F3D-74263D292ABA}"/>
    <cellStyle name="Normal 4 5 2 2 3 2 5" xfId="16861" xr:uid="{D6B3FA64-94BE-402C-BB86-C7993554070A}"/>
    <cellStyle name="Normal 4 5 2 2 3 3" xfId="6422" xr:uid="{5D6D05FC-D0CA-4C56-BAD2-CA5C978CA780}"/>
    <cellStyle name="Normal 4 5 2 2 3 3 2" xfId="26715" xr:uid="{E2CA73D3-3870-41C5-A03B-CC41F8E2DA6E}"/>
    <cellStyle name="Normal 4 5 2 2 3 3 3" xfId="15991" xr:uid="{29D8A29D-7E64-4EA9-9528-D0F4D5EAA5CB}"/>
    <cellStyle name="Normal 4 5 2 2 3 4" xfId="8444" xr:uid="{F0E8D58E-5344-4E20-9372-6C93F92B2146}"/>
    <cellStyle name="Normal 4 5 2 2 3 4 2" xfId="18824" xr:uid="{27A8C04E-8DC4-4EE2-BB1E-2AEF5B1E16C1}"/>
    <cellStyle name="Normal 4 5 2 2 3 5" xfId="11277" xr:uid="{B7FFCAE5-5548-4065-97EF-997CE04E62F1}"/>
    <cellStyle name="Normal 4 5 2 2 3 5 2" xfId="21657" xr:uid="{1E8AE756-E401-42AB-B3D3-BC8125FA3A3E}"/>
    <cellStyle name="Normal 4 5 2 2 3 6" xfId="23298" xr:uid="{550288F8-7D60-4E23-9FEF-C72139F89487}"/>
    <cellStyle name="Normal 4 5 2 2 3 7" xfId="13930" xr:uid="{36AF86DA-92CA-4F5F-A5AA-A6C7EF40C8D0}"/>
    <cellStyle name="Normal 4 5 2 2 4" xfId="3362" xr:uid="{00000000-0005-0000-0000-00006E060000}"/>
    <cellStyle name="Normal 4 5 2 2 4 2" xfId="6420" xr:uid="{CD83A63A-1FFB-48A3-A5DE-2D94ACA440B6}"/>
    <cellStyle name="Normal 4 5 2 2 4 2 2" xfId="27854" xr:uid="{54548210-F9F5-4602-BD11-4984616A93E4}"/>
    <cellStyle name="Normal 4 5 2 2 4 2 3" xfId="15989" xr:uid="{8110A5F6-916F-4FD4-A60D-45568431B32A}"/>
    <cellStyle name="Normal 4 5 2 2 4 3" xfId="8442" xr:uid="{E0961122-8F68-4881-9183-7F705686D820}"/>
    <cellStyle name="Normal 4 5 2 2 4 3 2" xfId="18822" xr:uid="{FC938CFF-74C2-4051-98BE-3EEA45A5EC24}"/>
    <cellStyle name="Normal 4 5 2 2 4 4" xfId="11275" xr:uid="{111655AF-AE58-47F3-A4AD-AB796075E294}"/>
    <cellStyle name="Normal 4 5 2 2 4 4 2" xfId="21655" xr:uid="{BB70FE4F-2CB6-4C7C-AE5B-41648F4D565B}"/>
    <cellStyle name="Normal 4 5 2 2 4 5" xfId="25037" xr:uid="{A4ACC562-9D88-4446-97DF-68459C044C90}"/>
    <cellStyle name="Normal 4 5 2 2 4 6" xfId="13928" xr:uid="{15B98E35-58CB-46EB-9E15-D874394D2F3D}"/>
    <cellStyle name="Normal 4 5 2 2 5" xfId="2645" xr:uid="{00000000-0005-0000-0000-00006F060000}"/>
    <cellStyle name="Normal 4 5 2 2 5 2" xfId="5907" xr:uid="{1CBBE5B8-2179-443A-818B-CA9B82EF9375}"/>
    <cellStyle name="Normal 4 5 2 2 5 2 2" xfId="25869" xr:uid="{B87E1C25-8F25-44D1-9378-D84667DAE326}"/>
    <cellStyle name="Normal 4 5 2 2 5 2 3" xfId="15317" xr:uid="{345AB8E1-DE30-4CF1-B317-80BFA59C3620}"/>
    <cellStyle name="Normal 4 5 2 2 5 3" xfId="7770" xr:uid="{676A888C-7747-4326-BE4B-B6CA19088927}"/>
    <cellStyle name="Normal 4 5 2 2 5 3 2" xfId="18150" xr:uid="{F4A771CB-8EA8-4731-A993-49F9908CE8AF}"/>
    <cellStyle name="Normal 4 5 2 2 5 4" xfId="10603" xr:uid="{BEEF8A5C-90B7-4714-8664-ACF95091B647}"/>
    <cellStyle name="Normal 4 5 2 2 5 4 2" xfId="20983" xr:uid="{D7DDBACC-EB41-40DA-813D-BC1CB3771D23}"/>
    <cellStyle name="Normal 4 5 2 2 5 5" xfId="23116" xr:uid="{8B80382E-C38A-47FA-A5AF-6A30D1D83791}"/>
    <cellStyle name="Normal 4 5 2 2 5 6" xfId="13034" xr:uid="{61309A57-C24C-4900-8B50-03040D9E9E3A}"/>
    <cellStyle name="Normal 4 5 2 2 6" xfId="2374" xr:uid="{00000000-0005-0000-0000-00006A060000}"/>
    <cellStyle name="Normal 4 5 2 2 6 2" xfId="7501" xr:uid="{F5DDBCD1-A370-4BE4-ADF7-46BD5E7DD97F}"/>
    <cellStyle name="Normal 4 5 2 2 6 2 2" xfId="17881" xr:uid="{F453CDBF-C831-42A3-BFC3-C961D652161E}"/>
    <cellStyle name="Normal 4 5 2 2 6 3" xfId="10334" xr:uid="{860BBF6A-8155-4DE9-949D-80FEB27F3863}"/>
    <cellStyle name="Normal 4 5 2 2 6 3 2" xfId="20714" xr:uid="{8AE5DF16-29D6-4421-9F51-9317E93651F0}"/>
    <cellStyle name="Normal 4 5 2 2 6 4" xfId="23378" xr:uid="{DF3EB088-984B-417A-BB85-B384657AE050}"/>
    <cellStyle name="Normal 4 5 2 2 6 5" xfId="15048" xr:uid="{293FAE86-6E93-4DFD-A93B-E82E1E6422AC}"/>
    <cellStyle name="Normal 4 5 2 2 7" xfId="3925" xr:uid="{7E2B3D55-D6D0-4C09-B428-C3AD35411B83}"/>
    <cellStyle name="Normal 4 5 2 2 7 2" xfId="8757" xr:uid="{A650A9D6-C2AB-487C-ADB2-2CE5DE7F65AC}"/>
    <cellStyle name="Normal 4 5 2 2 7 2 2" xfId="19137" xr:uid="{3F3709B6-1FFE-4BDD-9910-F531057AF7F1}"/>
    <cellStyle name="Normal 4 5 2 2 7 3" xfId="11590" xr:uid="{470C3297-9168-421A-A970-7E70E99F9138}"/>
    <cellStyle name="Normal 4 5 2 2 7 3 2" xfId="21970" xr:uid="{AA8A2487-E093-4AFD-A277-EE1F5C962F5E}"/>
    <cellStyle name="Normal 4 5 2 2 7 4" xfId="16304" xr:uid="{2C93F13E-B605-4915-8773-D57DC68E5694}"/>
    <cellStyle name="Normal 4 5 2 2 8" xfId="5323" xr:uid="{CAF91BE3-2382-40FE-9F2E-80D1F470AEA1}"/>
    <cellStyle name="Normal 4 5 2 2 8 2" xfId="14621" xr:uid="{E082096E-F5A6-479A-8B05-758495EE71E3}"/>
    <cellStyle name="Normal 4 5 2 2 9" xfId="7074" xr:uid="{DF087704-CA16-4900-BF9B-2E6F667E0BEA}"/>
    <cellStyle name="Normal 4 5 2 2 9 2" xfId="17454" xr:uid="{B2E5202B-3541-4813-ADD1-48D3D22AFC0D}"/>
    <cellStyle name="Normal 4 5 2 3" xfId="1021" xr:uid="{00000000-0005-0000-0000-0000AF050000}"/>
    <cellStyle name="Normal 4 5 2 3 2" xfId="3365" xr:uid="{00000000-0005-0000-0000-000071060000}"/>
    <cellStyle name="Normal 4 5 2 3 2 2" xfId="6423" xr:uid="{459C8634-173F-4FA7-8F98-1D1FB39BDB13}"/>
    <cellStyle name="Normal 4 5 2 3 2 2 2" xfId="26713" xr:uid="{014981DB-CA37-4B50-9DC7-B2236888C132}"/>
    <cellStyle name="Normal 4 5 2 3 2 2 3" xfId="28206" xr:uid="{2287D21F-F269-4EDE-A5E9-9239AC3D462F}"/>
    <cellStyle name="Normal 4 5 2 3 2 2 4" xfId="15992" xr:uid="{13033BDD-4417-4546-8CFD-8638009AD7C8}"/>
    <cellStyle name="Normal 4 5 2 3 2 3" xfId="8445" xr:uid="{40D61485-F520-49B1-9C29-E069B765A44C}"/>
    <cellStyle name="Normal 4 5 2 3 2 3 2" xfId="28917" xr:uid="{E6E461C7-6D28-4E72-8949-A7E04526583A}"/>
    <cellStyle name="Normal 4 5 2 3 2 3 3" xfId="18825" xr:uid="{A3C05C27-2EDC-4FC4-8A78-2D6E14971659}"/>
    <cellStyle name="Normal 4 5 2 3 2 4" xfId="11278" xr:uid="{EA636CB6-32B7-450C-9E87-0CCC537034BA}"/>
    <cellStyle name="Normal 4 5 2 3 2 4 2" xfId="21658" xr:uid="{8341F538-F959-47F1-81DD-444AAB02536D}"/>
    <cellStyle name="Normal 4 5 2 3 2 5" xfId="23924" xr:uid="{CE4AC6F4-76E0-4F1C-B9A5-5E31E24684C3}"/>
    <cellStyle name="Normal 4 5 2 3 2 6" xfId="13931" xr:uid="{76ADFE17-F2FC-413F-8265-DF1E47501A2D}"/>
    <cellStyle name="Normal 4 5 2 3 3" xfId="2794" xr:uid="{00000000-0005-0000-0000-000072060000}"/>
    <cellStyle name="Normal 4 5 2 3 3 2" xfId="6012" xr:uid="{400D8516-E8C7-4321-B8DB-54514AC3D66C}"/>
    <cellStyle name="Normal 4 5 2 3 3 2 2" xfId="26349" xr:uid="{057C0257-4C3C-4E3B-801C-62361A39334D}"/>
    <cellStyle name="Normal 4 5 2 3 3 2 3" xfId="15465" xr:uid="{E8F3B38E-D972-406C-B8EB-8AF202F55272}"/>
    <cellStyle name="Normal 4 5 2 3 3 3" xfId="7918" xr:uid="{3A3DA035-EEE4-4D6C-8388-45D36777A705}"/>
    <cellStyle name="Normal 4 5 2 3 3 3 2" xfId="18298" xr:uid="{D53A0738-1DC9-45B6-BC04-1A735BF5253C}"/>
    <cellStyle name="Normal 4 5 2 3 3 4" xfId="10751" xr:uid="{3B260D01-0AEC-4BEC-AD71-C0FC7295E086}"/>
    <cellStyle name="Normal 4 5 2 3 3 4 2" xfId="21131" xr:uid="{84D30868-90AE-401A-8540-72E9ED39E07F}"/>
    <cellStyle name="Normal 4 5 2 3 3 5" xfId="24763" xr:uid="{6DD962BE-D982-4AA3-8D54-B11338C5AA27}"/>
    <cellStyle name="Normal 4 5 2 3 3 6" xfId="13256" xr:uid="{3CE8EF1E-53AE-466E-9903-35699626116A}"/>
    <cellStyle name="Normal 4 5 2 3 4" xfId="4200" xr:uid="{1BBE04BA-B312-41DF-8E4F-91CE866111F9}"/>
    <cellStyle name="Normal 4 5 2 3 4 2" xfId="8972" xr:uid="{8C0CCA2C-B560-4ABF-A070-379E56CB628F}"/>
    <cellStyle name="Normal 4 5 2 3 4 2 2" xfId="29056" xr:uid="{CBBEF2D0-1ACB-4FAA-9118-0988D24ACFA7}"/>
    <cellStyle name="Normal 4 5 2 3 4 2 3" xfId="19352" xr:uid="{F6C7C216-708E-4EFA-9CFD-5BF38621E0DB}"/>
    <cellStyle name="Normal 4 5 2 3 4 3" xfId="11805" xr:uid="{64CE70D4-A754-41B3-A960-A290C3878BF3}"/>
    <cellStyle name="Normal 4 5 2 3 4 3 2" xfId="22185" xr:uid="{4942E4E4-488E-4036-A981-3401653602CF}"/>
    <cellStyle name="Normal 4 5 2 3 4 4" xfId="23123" xr:uid="{9037FD61-653D-4558-825E-7AB8F20BDFF9}"/>
    <cellStyle name="Normal 4 5 2 3 4 5" xfId="16519" xr:uid="{B950B559-2C43-4BBF-BAF9-19C3D9A4D097}"/>
    <cellStyle name="Normal 4 5 2 3 5" xfId="5324" xr:uid="{E8C9F035-67B4-4D4E-BEFC-1A01562ADC02}"/>
    <cellStyle name="Normal 4 5 2 3 5 2" xfId="28103" xr:uid="{2B506E37-FFA8-4E02-BAA6-F1B68752E6DD}"/>
    <cellStyle name="Normal 4 5 2 3 5 3" xfId="14622" xr:uid="{B7FEE906-8681-416A-A08E-03393217D948}"/>
    <cellStyle name="Normal 4 5 2 3 6" xfId="7075" xr:uid="{FF80577F-0C14-415F-B02B-440809EF298E}"/>
    <cellStyle name="Normal 4 5 2 3 6 2" xfId="17455" xr:uid="{DCFAB2C2-192E-470A-BDA5-A15F0C6A1833}"/>
    <cellStyle name="Normal 4 5 2 3 7" xfId="9908" xr:uid="{35230ABF-FEB9-4A17-9B50-76B113473D69}"/>
    <cellStyle name="Normal 4 5 2 3 7 2" xfId="20288" xr:uid="{6DF26397-F749-4566-8724-3EAC1C0B5F21}"/>
    <cellStyle name="Normal 4 5 2 3 8" xfId="24273" xr:uid="{DEF51CA1-A777-4F59-AEA8-7F597CE65896}"/>
    <cellStyle name="Normal 4 5 2 3 9" xfId="12766" xr:uid="{F4CD9708-8509-49EF-9028-1858B70BD86E}"/>
    <cellStyle name="Normal 4 5 2 4" xfId="3366" xr:uid="{00000000-0005-0000-0000-000073060000}"/>
    <cellStyle name="Normal 4 5 2 4 2" xfId="4543" xr:uid="{D2E0A647-8B6B-484D-8EE5-B1FB6E1E52A5}"/>
    <cellStyle name="Normal 4 5 2 4 2 2" xfId="9315" xr:uid="{75B32AE0-920B-4E50-9E4B-443BB07783DE}"/>
    <cellStyle name="Normal 4 5 2 4 2 2 2" xfId="29292" xr:uid="{D8687BEB-7788-403F-A995-83E18A9367FE}"/>
    <cellStyle name="Normal 4 5 2 4 2 2 3" xfId="19695" xr:uid="{59100568-AC60-4A4C-A9CC-44EF4D006FA5}"/>
    <cellStyle name="Normal 4 5 2 4 2 3" xfId="12148" xr:uid="{894BA2BA-90E1-4317-A624-28764CE900B2}"/>
    <cellStyle name="Normal 4 5 2 4 2 3 2" xfId="22528" xr:uid="{82A5730E-C394-4437-BA7F-722AC2D07145}"/>
    <cellStyle name="Normal 4 5 2 4 2 4" xfId="25020" xr:uid="{D713E987-184A-413A-B836-C3B46E2666CF}"/>
    <cellStyle name="Normal 4 5 2 4 2 5" xfId="16862" xr:uid="{D933F60A-5A4E-4698-91E8-20233232B81F}"/>
    <cellStyle name="Normal 4 5 2 4 3" xfId="6424" xr:uid="{983D88EE-DF78-4F1B-83D8-DC36886EF344}"/>
    <cellStyle name="Normal 4 5 2 4 3 2" xfId="27520" xr:uid="{A6954AA8-0820-4173-BE56-4C426E4ECE2F}"/>
    <cellStyle name="Normal 4 5 2 4 3 3" xfId="15993" xr:uid="{F5992DB5-F890-4C29-B7BE-91756223422F}"/>
    <cellStyle name="Normal 4 5 2 4 4" xfId="8446" xr:uid="{50121966-DFAF-4303-B730-9406E0ED63E3}"/>
    <cellStyle name="Normal 4 5 2 4 4 2" xfId="18826" xr:uid="{4C0F9CDA-5884-4E28-B870-8DAC82B50996}"/>
    <cellStyle name="Normal 4 5 2 4 5" xfId="11279" xr:uid="{F532776D-2596-4BF2-A6EE-39E9B3A2C549}"/>
    <cellStyle name="Normal 4 5 2 4 5 2" xfId="21659" xr:uid="{D3AB1E21-DB7C-40F0-B25E-2B913D76A52B}"/>
    <cellStyle name="Normal 4 5 2 4 6" xfId="25025" xr:uid="{944C4AA1-0864-47DF-BF38-2010D49F015F}"/>
    <cellStyle name="Normal 4 5 2 4 7" xfId="13932" xr:uid="{89F49A4B-4346-4D42-8E10-799312E09AEF}"/>
    <cellStyle name="Normal 4 5 2 5" xfId="2943" xr:uid="{00000000-0005-0000-0000-000074060000}"/>
    <cellStyle name="Normal 4 5 2 5 2" xfId="6123" xr:uid="{2744C5C0-75C5-4713-BC0A-F01BAADDBA57}"/>
    <cellStyle name="Normal 4 5 2 5 2 2" xfId="27369" xr:uid="{FC4C0F38-2B2C-4837-A1DA-BEF2D68B0720}"/>
    <cellStyle name="Normal 4 5 2 5 2 3" xfId="28358" xr:uid="{40DFC500-5AA3-4A15-9614-05182B12FC67}"/>
    <cellStyle name="Normal 4 5 2 5 2 4" xfId="15601" xr:uid="{77C204C5-CCBA-4322-A4BF-6B2C917B659C}"/>
    <cellStyle name="Normal 4 5 2 5 3" xfId="8054" xr:uid="{A2BE1429-F9BC-4D60-A195-C274BBBBACE0}"/>
    <cellStyle name="Normal 4 5 2 5 3 2" xfId="27518" xr:uid="{EEB7D116-4090-4B01-A5A0-E3B19006C968}"/>
    <cellStyle name="Normal 4 5 2 5 3 3" xfId="18434" xr:uid="{5C80B42C-1955-4E42-8F61-F75CCEAFD189}"/>
    <cellStyle name="Normal 4 5 2 5 4" xfId="10887" xr:uid="{8C22F40A-C5D8-44A4-AED1-028559AEB72C}"/>
    <cellStyle name="Normal 4 5 2 5 4 2" xfId="21267" xr:uid="{90631456-16A4-48B0-A410-5FCA7318B9C2}"/>
    <cellStyle name="Normal 4 5 2 5 5" xfId="23794" xr:uid="{62B9C0EA-202A-4492-81AA-215BEC066F55}"/>
    <cellStyle name="Normal 4 5 2 5 6" xfId="13464" xr:uid="{7C28B4C5-3FCA-4F98-B5BB-5B6EEB327288}"/>
    <cellStyle name="Normal 4 5 2 6" xfId="2543" xr:uid="{00000000-0005-0000-0000-000075060000}"/>
    <cellStyle name="Normal 4 5 2 6 2" xfId="5815" xr:uid="{5986A24A-3267-44F7-BDFA-37391523A0FF}"/>
    <cellStyle name="Normal 4 5 2 6 2 2" xfId="27974" xr:uid="{3A4835A5-C5F7-468B-A642-C7D071561171}"/>
    <cellStyle name="Normal 4 5 2 6 2 3" xfId="15215" xr:uid="{7C4775D2-24AD-4EAA-85A9-BD50BD163413}"/>
    <cellStyle name="Normal 4 5 2 6 3" xfId="7668" xr:uid="{436CBBD9-8020-4EEC-B6DD-0911D57FF9E3}"/>
    <cellStyle name="Normal 4 5 2 6 3 2" xfId="18048" xr:uid="{FF9CBDD4-2A00-48C9-8FAE-F1013466C211}"/>
    <cellStyle name="Normal 4 5 2 6 4" xfId="10501" xr:uid="{FF77A2ED-2A16-46EF-B1A4-178BBD7F2FDB}"/>
    <cellStyle name="Normal 4 5 2 6 4 2" xfId="20881" xr:uid="{D4971610-CD2E-4D89-9CD5-F79318FEB2CE}"/>
    <cellStyle name="Normal 4 5 2 6 5" xfId="23152" xr:uid="{310123C0-F71E-414D-B200-08ED6D598F4B}"/>
    <cellStyle name="Normal 4 5 2 6 6" xfId="12931" xr:uid="{C0662821-CD8B-45D1-A046-854C09043DA1}"/>
    <cellStyle name="Normal 4 5 2 7" xfId="2237" xr:uid="{00000000-0005-0000-0000-000069060000}"/>
    <cellStyle name="Normal 4 5 2 7 2" xfId="7364" xr:uid="{28FE7E03-AD46-4741-A7FC-A676B678967A}"/>
    <cellStyle name="Normal 4 5 2 7 2 2" xfId="17744" xr:uid="{139A849F-7CFF-45E6-9FFD-CE714C088692}"/>
    <cellStyle name="Normal 4 5 2 7 3" xfId="10197" xr:uid="{2173FA89-6B46-4218-B70F-152B78916DF5}"/>
    <cellStyle name="Normal 4 5 2 7 3 2" xfId="20577" xr:uid="{75A2AA50-3592-490A-AF97-366D825E3B28}"/>
    <cellStyle name="Normal 4 5 2 7 4" xfId="23207" xr:uid="{D29F9E26-F9BE-4CD8-BE8C-62F0E5D26E59}"/>
    <cellStyle name="Normal 4 5 2 7 5" xfId="14911" xr:uid="{B891686C-B505-442D-BAC8-21228870E711}"/>
    <cellStyle name="Normal 4 5 2 8" xfId="3995" xr:uid="{E629CDDD-B813-4D71-807C-07FDC78629DF}"/>
    <cellStyle name="Normal 4 5 2 8 2" xfId="8819" xr:uid="{5D54BAB1-67C3-4710-AA67-8A6221137546}"/>
    <cellStyle name="Normal 4 5 2 8 2 2" xfId="19199" xr:uid="{1A57B2EE-5F55-4B87-9DE1-E0E3E445277B}"/>
    <cellStyle name="Normal 4 5 2 8 3" xfId="11652" xr:uid="{05572E02-0B75-4D1E-8E13-82C2E4DC02ED}"/>
    <cellStyle name="Normal 4 5 2 8 3 2" xfId="22032" xr:uid="{C058CAE0-4D4F-4D35-B4C2-74E1FD69A372}"/>
    <cellStyle name="Normal 4 5 2 8 4" xfId="16366" xr:uid="{192B4CD1-614C-44AD-95D8-C6E8AAF67198}"/>
    <cellStyle name="Normal 4 5 2 9" xfId="5322" xr:uid="{93AF8565-2114-4AB8-9876-2498C27D9664}"/>
    <cellStyle name="Normal 4 5 2 9 2" xfId="14620" xr:uid="{D40FF11D-13DB-426F-8633-5700B906C03C}"/>
    <cellStyle name="Normal 4 5 3" xfId="1022" xr:uid="{00000000-0005-0000-0000-0000B0050000}"/>
    <cellStyle name="Normal 4 5 3 10" xfId="9909" xr:uid="{C2AB3C88-B4D7-40DD-9379-8DA92DC41E3F}"/>
    <cellStyle name="Normal 4 5 3 10 2" xfId="20289" xr:uid="{D6FEA916-69B3-43D5-BD39-069339D93CF8}"/>
    <cellStyle name="Normal 4 5 3 11" xfId="23559" xr:uid="{14E72F27-0EBF-4CC1-A22C-453E4D7BA1BE}"/>
    <cellStyle name="Normal 4 5 3 12" xfId="12607" xr:uid="{C04F5E53-07FE-4D1D-BA93-92A7622E5671}"/>
    <cellStyle name="Normal 4 5 3 2" xfId="2796" xr:uid="{00000000-0005-0000-0000-000077060000}"/>
    <cellStyle name="Normal 4 5 3 2 2" xfId="3368" xr:uid="{00000000-0005-0000-0000-000078060000}"/>
    <cellStyle name="Normal 4 5 3 2 2 2" xfId="6426" xr:uid="{CDDD6384-D4EA-4EA1-8AF3-B22C1319784C}"/>
    <cellStyle name="Normal 4 5 3 2 2 2 2" xfId="27036" xr:uid="{47718808-69D2-44BB-B6B5-62AF05398240}"/>
    <cellStyle name="Normal 4 5 3 2 2 2 3" xfId="26023" xr:uid="{E50F255F-8400-46BD-A4E4-C149E4D49D5B}"/>
    <cellStyle name="Normal 4 5 3 2 2 2 4" xfId="15995" xr:uid="{6D2B7213-828E-4619-B9F3-D70C355E9B51}"/>
    <cellStyle name="Normal 4 5 3 2 2 3" xfId="8448" xr:uid="{3350974A-82A5-42D5-8A32-C89687AA424F}"/>
    <cellStyle name="Normal 4 5 3 2 2 3 2" xfId="28918" xr:uid="{329F68BD-C226-49FF-8344-A0B9B3AA855A}"/>
    <cellStyle name="Normal 4 5 3 2 2 3 3" xfId="18828" xr:uid="{1CB9FBE1-4FEF-432E-9AD9-962B501B277D}"/>
    <cellStyle name="Normal 4 5 3 2 2 4" xfId="11281" xr:uid="{B7203EA3-5441-4CE2-83E4-AEDA06983B0C}"/>
    <cellStyle name="Normal 4 5 3 2 2 4 2" xfId="21661" xr:uid="{3EF7E2BC-84C1-45B1-AF06-39A02C2A1AFA}"/>
    <cellStyle name="Normal 4 5 3 2 2 5" xfId="23371" xr:uid="{E9F2DCF3-D677-45D0-9FB0-2130CF05C61F}"/>
    <cellStyle name="Normal 4 5 3 2 2 6" xfId="13934" xr:uid="{C6C8432E-61CB-400A-B4F9-A8ABB02ABA66}"/>
    <cellStyle name="Normal 4 5 3 2 3" xfId="4347" xr:uid="{A37089E4-C760-4D54-9BCC-60B110A38149}"/>
    <cellStyle name="Normal 4 5 3 2 3 2" xfId="9119" xr:uid="{9BC4DA4B-FC10-4819-8AA3-C70EE0DB1A02}"/>
    <cellStyle name="Normal 4 5 3 2 3 2 2" xfId="29162" xr:uid="{A2279844-75AF-4F2D-B8A7-437A9CF27E6B}"/>
    <cellStyle name="Normal 4 5 3 2 3 2 3" xfId="19499" xr:uid="{BA1D082C-F915-4E86-ACB0-4D7152133CDC}"/>
    <cellStyle name="Normal 4 5 3 2 3 3" xfId="11952" xr:uid="{AC170593-1E44-4D79-9C04-59B3C7464D98}"/>
    <cellStyle name="Normal 4 5 3 2 3 3 2" xfId="22332" xr:uid="{8B2FA5CB-B576-4D9B-8B95-FB3C1B17E2D8}"/>
    <cellStyle name="Normal 4 5 3 2 3 4" xfId="24945" xr:uid="{EE8082B8-E8C8-4F16-A431-3BF33F466BA4}"/>
    <cellStyle name="Normal 4 5 3 2 3 5" xfId="16666" xr:uid="{E0D545DC-D036-42AF-82A6-A474358E058F}"/>
    <cellStyle name="Normal 4 5 3 2 4" xfId="6014" xr:uid="{46DC8AD1-A778-4A9B-B266-465C1F6E965B}"/>
    <cellStyle name="Normal 4 5 3 2 4 2" xfId="28208" xr:uid="{C5352B8D-2D4C-4A94-995D-3C2B527636C9}"/>
    <cellStyle name="Normal 4 5 3 2 4 3" xfId="15467" xr:uid="{6242F917-36F3-4071-86C8-B3B61B2199C9}"/>
    <cellStyle name="Normal 4 5 3 2 5" xfId="7920" xr:uid="{ADD9E9B6-DF64-4CEE-960E-3D57D32A6A47}"/>
    <cellStyle name="Normal 4 5 3 2 5 2" xfId="18300" xr:uid="{A6182F69-0633-467E-9C16-FCC5887F5846}"/>
    <cellStyle name="Normal 4 5 3 2 6" xfId="10753" xr:uid="{9B3B9507-35B2-4C6F-A081-90707E0F1F50}"/>
    <cellStyle name="Normal 4 5 3 2 6 2" xfId="21133" xr:uid="{3EDE4003-8002-4D57-ADFD-C8FC42B87326}"/>
    <cellStyle name="Normal 4 5 3 2 7" xfId="23118" xr:uid="{9214831E-63EB-4F9B-8C37-001619DFF200}"/>
    <cellStyle name="Normal 4 5 3 2 8" xfId="13258" xr:uid="{FDD54B08-2957-4F4A-9D51-84AA185B23C0}"/>
    <cellStyle name="Normal 4 5 3 3" xfId="3369" xr:uid="{00000000-0005-0000-0000-000079060000}"/>
    <cellStyle name="Normal 4 5 3 3 2" xfId="4544" xr:uid="{A4BB8FCD-A516-4B8F-9FD5-C02633F3C41E}"/>
    <cellStyle name="Normal 4 5 3 3 2 2" xfId="9316" xr:uid="{65762DF2-16C9-4A1A-AE53-3A9D22630157}"/>
    <cellStyle name="Normal 4 5 3 3 2 2 2" xfId="29293" xr:uid="{80807EDB-C4A0-4C78-9063-146F367F8D4C}"/>
    <cellStyle name="Normal 4 5 3 3 2 2 3" xfId="19696" xr:uid="{02ADD01E-9B8A-4F56-9A26-642AAA4D2B33}"/>
    <cellStyle name="Normal 4 5 3 3 2 3" xfId="12149" xr:uid="{C80691F1-2334-4321-8D18-251F439DD494}"/>
    <cellStyle name="Normal 4 5 3 3 2 3 2" xfId="22529" xr:uid="{2F889955-AA65-4881-BBFD-860DE60993DC}"/>
    <cellStyle name="Normal 4 5 3 3 2 4" xfId="23489" xr:uid="{3C8BB0E9-8267-4FDE-906A-29C20B22F8D2}"/>
    <cellStyle name="Normal 4 5 3 3 2 5" xfId="16863" xr:uid="{8DD6D398-9E33-42CC-A6CE-6741A5213352}"/>
    <cellStyle name="Normal 4 5 3 3 3" xfId="6427" xr:uid="{04605D07-819B-4931-A888-86D2BBB822DE}"/>
    <cellStyle name="Normal 4 5 3 3 3 2" xfId="27372" xr:uid="{51F70EB8-F14F-429C-BA73-AB6E1AC9A64E}"/>
    <cellStyle name="Normal 4 5 3 3 3 3" xfId="15996" xr:uid="{39445E8F-35DC-4CA0-B413-8EA55E918A8D}"/>
    <cellStyle name="Normal 4 5 3 3 4" xfId="8449" xr:uid="{51FAD66A-6840-4746-9F75-BC02A246452D}"/>
    <cellStyle name="Normal 4 5 3 3 4 2" xfId="18829" xr:uid="{B7429266-C428-4494-A399-EE860F13549F}"/>
    <cellStyle name="Normal 4 5 3 3 5" xfId="11282" xr:uid="{D2ED3D46-00C4-4A38-A158-B65142EC9065}"/>
    <cellStyle name="Normal 4 5 3 3 5 2" xfId="21662" xr:uid="{530C4BBB-824C-49F0-A9DC-DB10B354F7CC}"/>
    <cellStyle name="Normal 4 5 3 3 6" xfId="22883" xr:uid="{1C341B25-BD3F-41B0-B7EE-8DFA4F6E1CEA}"/>
    <cellStyle name="Normal 4 5 3 3 7" xfId="13935" xr:uid="{7CF23737-597D-4A42-A2B8-BAAB5597C0DC}"/>
    <cellStyle name="Normal 4 5 3 4" xfId="3367" xr:uid="{00000000-0005-0000-0000-00007A060000}"/>
    <cellStyle name="Normal 4 5 3 4 2" xfId="6425" xr:uid="{3B5BE5A0-FE42-4104-8BA0-6887C298DC19}"/>
    <cellStyle name="Normal 4 5 3 4 2 2" xfId="26748" xr:uid="{143F4099-0362-4499-81BD-AC03DC35B8F0}"/>
    <cellStyle name="Normal 4 5 3 4 2 3" xfId="15994" xr:uid="{4FE40EE6-7168-4E83-98D2-0664591EE9DF}"/>
    <cellStyle name="Normal 4 5 3 4 3" xfId="8447" xr:uid="{CC9B6CF3-EC75-481E-944B-E23CF2B12C38}"/>
    <cellStyle name="Normal 4 5 3 4 3 2" xfId="18827" xr:uid="{F0DB8B7F-4AED-4334-BD3E-0BBC9D40E83B}"/>
    <cellStyle name="Normal 4 5 3 4 4" xfId="11280" xr:uid="{B21DA2A6-4EDC-4D97-A93A-56CB47644E05}"/>
    <cellStyle name="Normal 4 5 3 4 4 2" xfId="21660" xr:uid="{F6E1F950-E577-4949-B354-057561187360}"/>
    <cellStyle name="Normal 4 5 3 4 5" xfId="24618" xr:uid="{E53C5F61-2C38-4EB3-B244-E079DB1AA7D5}"/>
    <cellStyle name="Normal 4 5 3 4 6" xfId="13933" xr:uid="{8266669C-C74A-4B7F-A416-9556F42899E8}"/>
    <cellStyle name="Normal 4 5 3 5" xfId="2586" xr:uid="{00000000-0005-0000-0000-00007B060000}"/>
    <cellStyle name="Normal 4 5 3 5 2" xfId="5851" xr:uid="{8CA30565-C8A5-499F-81EB-C994E3E26CEE}"/>
    <cellStyle name="Normal 4 5 3 5 2 2" xfId="27404" xr:uid="{8A1E56C1-E235-45ED-B0BD-EC133C950A3B}"/>
    <cellStyle name="Normal 4 5 3 5 2 3" xfId="15258" xr:uid="{37F6C1BB-08F0-44A1-9E20-6BC7914D6BE8}"/>
    <cellStyle name="Normal 4 5 3 5 3" xfId="7711" xr:uid="{50692379-D91D-4C07-9DE9-BE085C0335BE}"/>
    <cellStyle name="Normal 4 5 3 5 3 2" xfId="18091" xr:uid="{C877F4E8-7A38-4352-8699-FCC053A57F58}"/>
    <cellStyle name="Normal 4 5 3 5 4" xfId="10544" xr:uid="{15446674-6301-48C8-9CB0-2EA325897001}"/>
    <cellStyle name="Normal 4 5 3 5 4 2" xfId="20924" xr:uid="{37BDA2F8-A64F-4002-A7DD-8B4F2804EB6B}"/>
    <cellStyle name="Normal 4 5 3 5 5" xfId="22974" xr:uid="{E6CC10CC-52FD-46AC-8D1F-4DD7F00D1514}"/>
    <cellStyle name="Normal 4 5 3 5 6" xfId="12974" xr:uid="{3B6D2ED0-900B-4492-8078-22C0B1BCF264}"/>
    <cellStyle name="Normal 4 5 3 6" xfId="2373" xr:uid="{00000000-0005-0000-0000-000076060000}"/>
    <cellStyle name="Normal 4 5 3 6 2" xfId="7500" xr:uid="{58506A69-CFA6-43BA-B90F-1F6DE4551B15}"/>
    <cellStyle name="Normal 4 5 3 6 2 2" xfId="17880" xr:uid="{67F92608-0627-42DC-A26E-011E7DB9BA0B}"/>
    <cellStyle name="Normal 4 5 3 6 3" xfId="10333" xr:uid="{5F4B949F-1C47-433B-8FCF-AC8CD7996BB9}"/>
    <cellStyle name="Normal 4 5 3 6 3 2" xfId="20713" xr:uid="{906D78E2-EAE7-4162-BFD2-15DE8D0F865C}"/>
    <cellStyle name="Normal 4 5 3 6 4" xfId="24346" xr:uid="{E56095CB-0FD6-47CE-9FFB-5D7B2BCE14C0}"/>
    <cellStyle name="Normal 4 5 3 6 5" xfId="15047" xr:uid="{F79FCD76-54CF-4281-83CD-A03A535328F4}"/>
    <cellStyle name="Normal 4 5 3 7" xfId="3916" xr:uid="{06D6F7B0-88A1-4FDA-8A5F-40FAE895E25D}"/>
    <cellStyle name="Normal 4 5 3 7 2" xfId="8748" xr:uid="{8C74A894-709E-4754-BFB5-5F7D9FF716F4}"/>
    <cellStyle name="Normal 4 5 3 7 2 2" xfId="19128" xr:uid="{0DDC1B0B-9292-4631-82B1-91D20E242ECA}"/>
    <cellStyle name="Normal 4 5 3 7 3" xfId="11581" xr:uid="{D276F419-BF9B-4084-A51A-24B3258A579C}"/>
    <cellStyle name="Normal 4 5 3 7 3 2" xfId="21961" xr:uid="{9843EC8B-BA8B-4292-9ECD-ED7BD7DC45BE}"/>
    <cellStyle name="Normal 4 5 3 7 4" xfId="16295" xr:uid="{777C31E9-A830-4EF1-AD59-0E59428A5CB7}"/>
    <cellStyle name="Normal 4 5 3 8" xfId="5325" xr:uid="{93F95F2E-482A-4836-8938-B5C31F660364}"/>
    <cellStyle name="Normal 4 5 3 8 2" xfId="14623" xr:uid="{DB3D4FCF-F1EF-42C4-A98E-86FEC5CF11D4}"/>
    <cellStyle name="Normal 4 5 3 9" xfId="7076" xr:uid="{B5063EEE-FC94-4CBE-A8AD-3A41213A7627}"/>
    <cellStyle name="Normal 4 5 3 9 2" xfId="17456" xr:uid="{0AD4AEF5-C9EE-4A09-B9B4-83B4A0D2A573}"/>
    <cellStyle name="Normal 4 5 4" xfId="1023" xr:uid="{00000000-0005-0000-0000-0000B1050000}"/>
    <cellStyle name="Normal 4 5 4 2" xfId="3370" xr:uid="{00000000-0005-0000-0000-00007D060000}"/>
    <cellStyle name="Normal 4 5 4 2 2" xfId="6428" xr:uid="{F531157A-8A64-42AD-AB38-367C0467017D}"/>
    <cellStyle name="Normal 4 5 4 2 2 2" xfId="24466" xr:uid="{B3D47B1A-51C4-46BC-B691-5C33A014E6D4}"/>
    <cellStyle name="Normal 4 5 4 2 2 3" xfId="26584" xr:uid="{C253BFE2-5027-412F-B218-E93582380519}"/>
    <cellStyle name="Normal 4 5 4 2 2 4" xfId="15997" xr:uid="{967B74A0-774A-48C8-A3C3-EE0F4881CD60}"/>
    <cellStyle name="Normal 4 5 4 2 3" xfId="8450" xr:uid="{4608D409-D28F-4C57-A452-F3B6B05C59D0}"/>
    <cellStyle name="Normal 4 5 4 2 3 2" xfId="28919" xr:uid="{5E4706F0-DD60-4F70-8867-F1F0D1436203}"/>
    <cellStyle name="Normal 4 5 4 2 3 3" xfId="18830" xr:uid="{05511378-9591-44A6-99D5-436A7B51C350}"/>
    <cellStyle name="Normal 4 5 4 2 4" xfId="11283" xr:uid="{1C2F02AD-0D79-453B-8623-F1824FCA615E}"/>
    <cellStyle name="Normal 4 5 4 2 4 2" xfId="21663" xr:uid="{FDC49964-05F1-46FF-8D38-5C337274A0A5}"/>
    <cellStyle name="Normal 4 5 4 2 5" xfId="24104" xr:uid="{328E76FF-8BA1-46E4-86D9-CE673D7A12B9}"/>
    <cellStyle name="Normal 4 5 4 2 6" xfId="13936" xr:uid="{EEB5AF47-5AB2-43F8-85D6-716D9CBCCEE8}"/>
    <cellStyle name="Normal 4 5 4 3" xfId="2793" xr:uid="{00000000-0005-0000-0000-00007E060000}"/>
    <cellStyle name="Normal 4 5 4 3 2" xfId="6011" xr:uid="{F6AD08A0-96EC-440C-9AB6-9D9E39FE0DC4}"/>
    <cellStyle name="Normal 4 5 4 3 2 2" xfId="27432" xr:uid="{650275E6-7018-49FE-A978-E0C83CCC0AD9}"/>
    <cellStyle name="Normal 4 5 4 3 2 3" xfId="15464" xr:uid="{33431AFC-DDFD-48AE-B90D-5EC13EECDEF7}"/>
    <cellStyle name="Normal 4 5 4 3 3" xfId="7917" xr:uid="{F4B719A7-0708-449D-A5BB-ED35762B8AD3}"/>
    <cellStyle name="Normal 4 5 4 3 3 2" xfId="18297" xr:uid="{995D6AC7-C01E-4BAC-9742-19DE13A75250}"/>
    <cellStyle name="Normal 4 5 4 3 4" xfId="10750" xr:uid="{4EEA8DBB-3E22-49B4-86BF-6A81EFACD9FB}"/>
    <cellStyle name="Normal 4 5 4 3 4 2" xfId="21130" xr:uid="{2E25CABE-E320-4D74-8C85-82664600F774}"/>
    <cellStyle name="Normal 4 5 4 3 5" xfId="23095" xr:uid="{AA11B069-EA2A-4668-A7B6-F5ECF714A43F}"/>
    <cellStyle name="Normal 4 5 4 3 6" xfId="13255" xr:uid="{9750CDEC-06B1-4C19-9948-01DBBBDED92F}"/>
    <cellStyle name="Normal 4 5 4 4" xfId="4199" xr:uid="{1645401E-F3F5-499C-937A-D575F5ECD0AA}"/>
    <cellStyle name="Normal 4 5 4 4 2" xfId="8971" xr:uid="{0E6992F0-99C0-4977-AD8D-3395200AD305}"/>
    <cellStyle name="Normal 4 5 4 4 2 2" xfId="29055" xr:uid="{97B7D4EB-0199-4532-9965-1BB565797835}"/>
    <cellStyle name="Normal 4 5 4 4 2 3" xfId="19351" xr:uid="{A42B2B0B-22BB-46E0-BD4E-28ECEBB7D5B3}"/>
    <cellStyle name="Normal 4 5 4 4 3" xfId="11804" xr:uid="{7C2F02D2-678D-4BEF-BBFA-BBF4BDF3F8BA}"/>
    <cellStyle name="Normal 4 5 4 4 3 2" xfId="22184" xr:uid="{33BA402A-475D-403F-8FAC-1503C6D735EC}"/>
    <cellStyle name="Normal 4 5 4 4 4" xfId="23080" xr:uid="{4E375AF9-F0C9-4BC5-82B5-4EC7130621D2}"/>
    <cellStyle name="Normal 4 5 4 4 5" xfId="16518" xr:uid="{63A5E80F-9A87-45C6-BD04-1DA7C178BD4B}"/>
    <cellStyle name="Normal 4 5 4 5" xfId="5326" xr:uid="{597FCC5F-6ACB-4CBA-B673-3ED675AD1915}"/>
    <cellStyle name="Normal 4 5 4 5 2" xfId="28222" xr:uid="{B33BE7A2-09B2-450E-B19D-FECEAC5557B9}"/>
    <cellStyle name="Normal 4 5 4 5 3" xfId="14624" xr:uid="{2B05A4D0-AA97-4EC9-8F7A-17C3998C94FB}"/>
    <cellStyle name="Normal 4 5 4 6" xfId="7077" xr:uid="{757A1225-C23F-47F8-95B9-F8311BE49047}"/>
    <cellStyle name="Normal 4 5 4 6 2" xfId="17457" xr:uid="{98F37E42-1A29-470C-9116-A5404DBF1E4C}"/>
    <cellStyle name="Normal 4 5 4 7" xfId="9910" xr:uid="{FC781E71-4D27-4251-B981-1041BA33DD64}"/>
    <cellStyle name="Normal 4 5 4 7 2" xfId="20290" xr:uid="{605493C5-F06D-43D7-8AE5-FE21B2FA985D}"/>
    <cellStyle name="Normal 4 5 4 8" xfId="23843" xr:uid="{DEE4D0D6-DDAA-47DD-B407-4B63FA530AB1}"/>
    <cellStyle name="Normal 4 5 4 9" xfId="12765" xr:uid="{0F3A30A5-CAF6-4F9B-BDFF-2A7831AAE39D}"/>
    <cellStyle name="Normal 4 5 5" xfId="1024" xr:uid="{00000000-0005-0000-0000-0000B2050000}"/>
    <cellStyle name="Normal 4 5 5 2" xfId="4545" xr:uid="{E7906615-1A5F-4F5F-934B-349A841D2AFE}"/>
    <cellStyle name="Normal 4 5 5 2 2" xfId="9317" xr:uid="{A3029EBE-55A0-4222-869C-1FC4A98761CB}"/>
    <cellStyle name="Normal 4 5 5 2 2 2" xfId="29294" xr:uid="{345A85FA-BE7E-4055-960B-132753D3A999}"/>
    <cellStyle name="Normal 4 5 5 2 2 3" xfId="19697" xr:uid="{524577B2-A602-4A7B-8F62-D52F9266DADC}"/>
    <cellStyle name="Normal 4 5 5 2 3" xfId="12150" xr:uid="{56628441-C5E7-49A3-BFB0-AA576BF9735A}"/>
    <cellStyle name="Normal 4 5 5 2 3 2" xfId="22530" xr:uid="{246B1EAC-4FBF-4A92-8E7F-F20C5FE7E3BB}"/>
    <cellStyle name="Normal 4 5 5 2 4" xfId="24609" xr:uid="{80C73287-3944-4B55-A42C-6138875D6D1F}"/>
    <cellStyle name="Normal 4 5 5 2 5" xfId="16864" xr:uid="{D9BEFC78-FD4F-4A56-9F30-3A5454786AF5}"/>
    <cellStyle name="Normal 4 5 5 3" xfId="5327" xr:uid="{D6D78FE2-1BB5-404C-857A-CF014809247C}"/>
    <cellStyle name="Normal 4 5 5 3 2" xfId="26728" xr:uid="{121DF6EC-14E1-4BFB-8DA2-1285D002466D}"/>
    <cellStyle name="Normal 4 5 5 3 3" xfId="14625" xr:uid="{E140B0F9-CD58-450C-9751-70C636B0EFDC}"/>
    <cellStyle name="Normal 4 5 5 4" xfId="7078" xr:uid="{AE803436-D80B-4D57-B979-6621B8C71ED8}"/>
    <cellStyle name="Normal 4 5 5 4 2" xfId="17458" xr:uid="{FE8FCFAD-D612-458F-8111-9B172F8CDC8B}"/>
    <cellStyle name="Normal 4 5 5 5" xfId="9911" xr:uid="{09018AD2-7195-4BCD-A200-DB43248BB54A}"/>
    <cellStyle name="Normal 4 5 5 5 2" xfId="20291" xr:uid="{DEBBE446-73DC-42F4-A2CE-F06CE3F5CC13}"/>
    <cellStyle name="Normal 4 5 5 6" xfId="24110" xr:uid="{8295CE0F-969D-4DEC-B1FD-A2B0851FBB93}"/>
    <cellStyle name="Normal 4 5 5 7" xfId="13937" xr:uid="{ED9C66A4-C167-408D-A40E-CCD3909AAB32}"/>
    <cellStyle name="Normal 4 5 6" xfId="2942" xr:uid="{00000000-0005-0000-0000-000080060000}"/>
    <cellStyle name="Normal 4 5 6 2" xfId="6122" xr:uid="{8289F053-B125-4065-9B80-4CE1903DC934}"/>
    <cellStyle name="Normal 4 5 6 2 2" xfId="25633" xr:uid="{FB938224-4086-43FB-B5EE-CF78584A9791}"/>
    <cellStyle name="Normal 4 5 6 2 3" xfId="27491" xr:uid="{7D4C0B84-FFDD-489C-A5A5-322D84EA64AB}"/>
    <cellStyle name="Normal 4 5 6 2 4" xfId="15600" xr:uid="{F2DE9FFD-A9D0-4777-AABA-3933C92E408A}"/>
    <cellStyle name="Normal 4 5 6 3" xfId="8053" xr:uid="{97E97715-25E4-45DD-BBB9-7EE1D8D26A29}"/>
    <cellStyle name="Normal 4 5 6 3 2" xfId="28758" xr:uid="{481442CD-098A-4693-AEE9-B34E445C8564}"/>
    <cellStyle name="Normal 4 5 6 3 3" xfId="18433" xr:uid="{A4D5C3BA-C727-49AE-B674-1569EE4AEC46}"/>
    <cellStyle name="Normal 4 5 6 4" xfId="10886" xr:uid="{7FB32AF5-F084-47F5-9D59-1E96D73637F7}"/>
    <cellStyle name="Normal 4 5 6 4 2" xfId="21266" xr:uid="{0E26F104-831C-4146-BBFD-9B01FAAEB27F}"/>
    <cellStyle name="Normal 4 5 6 5" xfId="25564" xr:uid="{C740A216-2D57-4DC2-9D60-F28DEF7CFA53}"/>
    <cellStyle name="Normal 4 5 6 6" xfId="13463" xr:uid="{BEA4189C-BDE5-406D-8106-BAA681283927}"/>
    <cellStyle name="Normal 4 5 7" xfId="2483" xr:uid="{00000000-0005-0000-0000-000081060000}"/>
    <cellStyle name="Normal 4 5 7 2" xfId="5769" xr:uid="{D53AFC23-5220-4212-9169-92706A1A5E76}"/>
    <cellStyle name="Normal 4 5 7 2 2" xfId="28516" xr:uid="{FC06777D-9BE7-45DB-9AFF-1E1E2878CFF4}"/>
    <cellStyle name="Normal 4 5 7 2 3" xfId="15155" xr:uid="{1CF306E4-6761-4571-8151-7925ECDA9294}"/>
    <cellStyle name="Normal 4 5 7 3" xfId="7608" xr:uid="{40B0CBA3-1331-441F-A438-DCCE573111BC}"/>
    <cellStyle name="Normal 4 5 7 3 2" xfId="17988" xr:uid="{93D1D9F1-970E-4FB5-9F4E-9FCC5E03E973}"/>
    <cellStyle name="Normal 4 5 7 4" xfId="10441" xr:uid="{50C57C61-110F-482B-B2D6-9E74AAF3C889}"/>
    <cellStyle name="Normal 4 5 7 4 2" xfId="20821" xr:uid="{088DCA51-F8F7-45F3-8ADE-3690CA5A4DA9}"/>
    <cellStyle name="Normal 4 5 7 5" xfId="25072" xr:uid="{93913901-167A-4853-89BE-CD5C9E2D55BE}"/>
    <cellStyle name="Normal 4 5 7 6" xfId="12871" xr:uid="{D3A27890-A68A-480F-947A-55E902196E2B}"/>
    <cellStyle name="Normal 4 5 8" xfId="2177" xr:uid="{00000000-0005-0000-0000-000068060000}"/>
    <cellStyle name="Normal 4 5 8 2" xfId="7304" xr:uid="{291A5AB1-AC31-49A1-8203-9F51529AD636}"/>
    <cellStyle name="Normal 4 5 8 2 2" xfId="17684" xr:uid="{DE9FB33E-AB3A-47D6-90CB-2CBA608AEA40}"/>
    <cellStyle name="Normal 4 5 8 3" xfId="10137" xr:uid="{EC6E9979-1D68-42ED-BF78-07F100900E03}"/>
    <cellStyle name="Normal 4 5 8 3 2" xfId="20517" xr:uid="{DAF369CA-2D58-4AFD-A919-9EAD2C3CF720}"/>
    <cellStyle name="Normal 4 5 8 4" xfId="22894" xr:uid="{40973BC3-78C2-47D6-ABCC-E65DCBF39FB6}"/>
    <cellStyle name="Normal 4 5 8 5" xfId="14851" xr:uid="{ACAF7595-D900-400F-96B1-516EB766474D}"/>
    <cellStyle name="Normal 4 5 9" xfId="3994" xr:uid="{91D3A399-68E9-469C-8A0A-350305A8561B}"/>
    <cellStyle name="Normal 4 5 9 2" xfId="8818" xr:uid="{EF6897BD-557A-4A45-9F60-B014DCE4A927}"/>
    <cellStyle name="Normal 4 5 9 2 2" xfId="19198" xr:uid="{ACF224B1-ACA4-4ACA-8CC8-004E5D016286}"/>
    <cellStyle name="Normal 4 5 9 3" xfId="11651" xr:uid="{345967C5-DAE6-4233-A16F-747397CE158E}"/>
    <cellStyle name="Normal 4 5 9 3 2" xfId="22031" xr:uid="{97B64D74-B138-4706-A078-CCFD9F606C89}"/>
    <cellStyle name="Normal 4 5 9 4" xfId="16365" xr:uid="{E3E0A48C-0EE3-4A4F-984F-7C509E41F676}"/>
    <cellStyle name="Normal 4 6" xfId="1025" xr:uid="{00000000-0005-0000-0000-0000B3050000}"/>
    <cellStyle name="Normal 4 6 10" xfId="5328" xr:uid="{0C28CB16-68EA-42ED-BB70-906C37DC531A}"/>
    <cellStyle name="Normal 4 6 10 2" xfId="14626" xr:uid="{FF9121A2-83A1-4951-B51F-0ABD25335A2E}"/>
    <cellStyle name="Normal 4 6 11" xfId="7079" xr:uid="{33A56829-01D2-4684-9E7C-A90C663291F2}"/>
    <cellStyle name="Normal 4 6 11 2" xfId="17459" xr:uid="{722E9304-BBD0-4679-B3C2-65715E6CC4A7}"/>
    <cellStyle name="Normal 4 6 12" xfId="9912" xr:uid="{CD9E0B6E-51AE-4A65-BC1B-658D1E621266}"/>
    <cellStyle name="Normal 4 6 12 2" xfId="20292" xr:uid="{814F4D16-02C4-451E-9192-8C98D690B1DD}"/>
    <cellStyle name="Normal 4 6 13" xfId="23302" xr:uid="{62C3DB15-E4ED-45C7-9B52-8901B051FE55}"/>
    <cellStyle name="Normal 4 6 14" xfId="12415" xr:uid="{C633D6F3-9737-4C2E-B84E-2AC91B2C0E85}"/>
    <cellStyle name="Normal 4 6 2" xfId="1026" xr:uid="{00000000-0005-0000-0000-0000B4050000}"/>
    <cellStyle name="Normal 4 6 2 10" xfId="7080" xr:uid="{7A1A84C5-39EF-4122-B38A-C515D21A5FE6}"/>
    <cellStyle name="Normal 4 6 2 10 2" xfId="17460" xr:uid="{F468F3F2-39EF-423B-BEFD-55041D6A2BB3}"/>
    <cellStyle name="Normal 4 6 2 11" xfId="9913" xr:uid="{FCE9CA63-E303-4279-BCEB-BB1AFC702794}"/>
    <cellStyle name="Normal 4 6 2 11 2" xfId="20293" xr:uid="{C70D2436-8A40-40FD-96E2-2F6B5E428B92}"/>
    <cellStyle name="Normal 4 6 2 12" xfId="22694" xr:uid="{669146A1-A520-4013-8D63-08A79CDED512}"/>
    <cellStyle name="Normal 4 6 2 13" xfId="12475" xr:uid="{90241AAD-0CD6-41BC-A879-79AAE70544AC}"/>
    <cellStyle name="Normal 4 6 2 2" xfId="1027" xr:uid="{00000000-0005-0000-0000-0000B5050000}"/>
    <cellStyle name="Normal 4 6 2 2 10" xfId="13040" xr:uid="{6FA01EE3-F9F0-4984-AD38-5C094CD9AE5A}"/>
    <cellStyle name="Normal 4 6 2 2 2" xfId="2799" xr:uid="{00000000-0005-0000-0000-000085060000}"/>
    <cellStyle name="Normal 4 6 2 2 2 2" xfId="3373" xr:uid="{00000000-0005-0000-0000-000086060000}"/>
    <cellStyle name="Normal 4 6 2 2 2 2 2" xfId="6431" xr:uid="{46C1C465-1ECA-4F70-97B0-A5127B806E50}"/>
    <cellStyle name="Normal 4 6 2 2 2 2 2 2" xfId="25946" xr:uid="{EB53E93D-A7E3-4A0B-94AE-601D33B70F7C}"/>
    <cellStyle name="Normal 4 6 2 2 2 2 2 3" xfId="16000" xr:uid="{A9A08517-D890-449F-9AE8-DB3AC7156A4B}"/>
    <cellStyle name="Normal 4 6 2 2 2 2 3" xfId="8453" xr:uid="{FFD41181-32F6-4DB2-BDBA-22F84A18C731}"/>
    <cellStyle name="Normal 4 6 2 2 2 2 3 2" xfId="18833" xr:uid="{D5EEAA85-B873-42BB-A1D6-C3D692D98009}"/>
    <cellStyle name="Normal 4 6 2 2 2 2 4" xfId="11286" xr:uid="{AC591E7F-A936-47AE-8D97-8E58F0CC77C1}"/>
    <cellStyle name="Normal 4 6 2 2 2 2 4 2" xfId="21666" xr:uid="{ED92329A-0CDA-40FA-B99A-6DAE0049D0EE}"/>
    <cellStyle name="Normal 4 6 2 2 2 2 5" xfId="22711" xr:uid="{29DD1439-4647-45C0-A5BB-D8A53D8EA0C6}"/>
    <cellStyle name="Normal 4 6 2 2 2 2 6" xfId="13940" xr:uid="{117987FD-D06D-4E3F-B84D-C32959E27025}"/>
    <cellStyle name="Normal 4 6 2 2 2 3" xfId="4349" xr:uid="{D5DEB954-C0A1-4A31-8478-A8A05F96D4B8}"/>
    <cellStyle name="Normal 4 6 2 2 2 3 2" xfId="9121" xr:uid="{8EF489EF-50C0-43F1-B259-76B2B1811B71}"/>
    <cellStyle name="Normal 4 6 2 2 2 3 2 2" xfId="29164" xr:uid="{F317FB8D-F678-4CC8-9ACD-97F03CF0E5CB}"/>
    <cellStyle name="Normal 4 6 2 2 2 3 2 3" xfId="19501" xr:uid="{4C00B135-26C6-451D-9974-2C80BE207696}"/>
    <cellStyle name="Normal 4 6 2 2 2 3 3" xfId="11954" xr:uid="{14C4C8B8-24FD-4825-A155-75173C10E544}"/>
    <cellStyle name="Normal 4 6 2 2 2 3 3 2" xfId="22334" xr:uid="{329F8AF8-FF7C-4181-B235-DEEA3343C9B7}"/>
    <cellStyle name="Normal 4 6 2 2 2 3 4" xfId="25431" xr:uid="{B521D83F-449A-48BF-917B-E534CA576C87}"/>
    <cellStyle name="Normal 4 6 2 2 2 3 5" xfId="16668" xr:uid="{8102EE3F-FEE4-437B-8EB4-A477D4941138}"/>
    <cellStyle name="Normal 4 6 2 2 2 4" xfId="6017" xr:uid="{C783EF5B-C02D-4E1D-80B9-0CF81A0D89A1}"/>
    <cellStyle name="Normal 4 6 2 2 2 4 2" xfId="26086" xr:uid="{5846167A-769B-4FE7-BD08-54AB5BACF3C7}"/>
    <cellStyle name="Normal 4 6 2 2 2 4 3" xfId="15470" xr:uid="{41262F22-8D53-4A0B-AD9F-5619F796BB3D}"/>
    <cellStyle name="Normal 4 6 2 2 2 5" xfId="7923" xr:uid="{3C2C3F16-B06A-4716-A24E-76E03C1BD422}"/>
    <cellStyle name="Normal 4 6 2 2 2 5 2" xfId="18303" xr:uid="{DD8FE170-101B-42FD-A7F3-255F21271763}"/>
    <cellStyle name="Normal 4 6 2 2 2 6" xfId="10756" xr:uid="{735402AE-AA86-4645-BC87-5D037ED6794D}"/>
    <cellStyle name="Normal 4 6 2 2 2 6 2" xfId="21136" xr:uid="{0BAB771B-960F-4482-9C45-054D3D05C2CD}"/>
    <cellStyle name="Normal 4 6 2 2 2 7" xfId="24347" xr:uid="{4C301CF6-6B74-4665-92EC-864110B94E09}"/>
    <cellStyle name="Normal 4 6 2 2 2 8" xfId="13261" xr:uid="{7B9A48AF-8C5B-463E-91AD-FBC68180DEDF}"/>
    <cellStyle name="Normal 4 6 2 2 3" xfId="3374" xr:uid="{00000000-0005-0000-0000-000087060000}"/>
    <cellStyle name="Normal 4 6 2 2 3 2" xfId="4546" xr:uid="{BFCF5E32-216A-483A-AD55-2722FAC4318F}"/>
    <cellStyle name="Normal 4 6 2 2 3 2 2" xfId="9318" xr:uid="{BA7CAE72-2177-49EC-A9B2-BC87F4E70D4E}"/>
    <cellStyle name="Normal 4 6 2 2 3 2 2 2" xfId="19698" xr:uid="{7228007E-DC5B-44AE-AAE9-11E8B76A8BFF}"/>
    <cellStyle name="Normal 4 6 2 2 3 2 3" xfId="12151" xr:uid="{29DCCD41-7DE6-4377-9C16-0307B6B7E77A}"/>
    <cellStyle name="Normal 4 6 2 2 3 2 3 2" xfId="22531" xr:uid="{23C9BCEB-E65C-45F0-9F26-55E7B1D335CD}"/>
    <cellStyle name="Normal 4 6 2 2 3 2 4" xfId="27464" xr:uid="{021EF560-5E99-4968-9F1D-7509E16725F3}"/>
    <cellStyle name="Normal 4 6 2 2 3 2 5" xfId="16865" xr:uid="{D55ADE14-B7B1-4D41-9029-FDFC077556B0}"/>
    <cellStyle name="Normal 4 6 2 2 3 3" xfId="6432" xr:uid="{DD6B51D7-D03E-466E-BCF0-7778F96B21F9}"/>
    <cellStyle name="Normal 4 6 2 2 3 3 2" xfId="16001" xr:uid="{247704BE-F97F-4C13-8470-47A729758F75}"/>
    <cellStyle name="Normal 4 6 2 2 3 4" xfId="8454" xr:uid="{861ACCDF-A24B-4060-A0E3-8CD3E8CA9A52}"/>
    <cellStyle name="Normal 4 6 2 2 3 4 2" xfId="18834" xr:uid="{DD830CC8-3449-4E92-A65F-AD122329EA83}"/>
    <cellStyle name="Normal 4 6 2 2 3 5" xfId="11287" xr:uid="{2048C4C1-A745-48D0-8F53-7ECC9DC9EE58}"/>
    <cellStyle name="Normal 4 6 2 2 3 5 2" xfId="21667" xr:uid="{D983ABD9-A86E-40CF-9A2C-17BA76DB65F3}"/>
    <cellStyle name="Normal 4 6 2 2 3 6" xfId="23571" xr:uid="{2814C6B9-AF17-482E-BCAD-B9F62AA51F35}"/>
    <cellStyle name="Normal 4 6 2 2 3 7" xfId="13941" xr:uid="{F5739022-5223-406A-BA03-1C91FECBADEF}"/>
    <cellStyle name="Normal 4 6 2 2 4" xfId="3372" xr:uid="{00000000-0005-0000-0000-000088060000}"/>
    <cellStyle name="Normal 4 6 2 2 4 2" xfId="6430" xr:uid="{238C84E5-6F33-43AE-8C8A-00735DF97ECB}"/>
    <cellStyle name="Normal 4 6 2 2 4 2 2" xfId="27685" xr:uid="{217227E8-B500-43BA-A371-EF25835FC96C}"/>
    <cellStyle name="Normal 4 6 2 2 4 2 3" xfId="15999" xr:uid="{A5A40F7E-9E60-4856-B011-E6B594DEDD77}"/>
    <cellStyle name="Normal 4 6 2 2 4 3" xfId="8452" xr:uid="{7702EDA0-DDD6-4B61-A178-22E38269048C}"/>
    <cellStyle name="Normal 4 6 2 2 4 3 2" xfId="18832" xr:uid="{C549DCEC-4430-47E0-B2EC-44589FA07C0C}"/>
    <cellStyle name="Normal 4 6 2 2 4 4" xfId="11285" xr:uid="{AAC401BE-E29B-468C-9674-D73F6EEF4246}"/>
    <cellStyle name="Normal 4 6 2 2 4 4 2" xfId="21665" xr:uid="{01E2D04D-4996-4EBB-AF62-62703EAEF02D}"/>
    <cellStyle name="Normal 4 6 2 2 4 5" xfId="25574" xr:uid="{E1C4CBC8-9ED7-4382-BF6B-7BBCE7379DC1}"/>
    <cellStyle name="Normal 4 6 2 2 4 6" xfId="13939" xr:uid="{AB21AA70-4C29-4E40-82A6-27E05CEFD33C}"/>
    <cellStyle name="Normal 4 6 2 2 5" xfId="4241" xr:uid="{7BBC9497-82B0-4ADB-A7A3-2F1533CE31CC}"/>
    <cellStyle name="Normal 4 6 2 2 5 2" xfId="9013" xr:uid="{B9ED2CFE-69D1-4188-ADEF-5D6363C8360F}"/>
    <cellStyle name="Normal 4 6 2 2 5 2 2" xfId="29084" xr:uid="{7CE498E7-E51D-4A07-B524-3164CAB63061}"/>
    <cellStyle name="Normal 4 6 2 2 5 2 3" xfId="19393" xr:uid="{043CDCFB-1C20-4D1F-91C0-F42D8CEADAE4}"/>
    <cellStyle name="Normal 4 6 2 2 5 3" xfId="11846" xr:uid="{B5DE2472-92FD-4AD6-B80E-8F7054A7112C}"/>
    <cellStyle name="Normal 4 6 2 2 5 3 2" xfId="22226" xr:uid="{2C3B597A-756B-4D67-9D62-0C244C280664}"/>
    <cellStyle name="Normal 4 6 2 2 5 4" xfId="22888" xr:uid="{C6014893-A7C7-4A82-9CA3-CA61DA4F29D4}"/>
    <cellStyle name="Normal 4 6 2 2 5 5" xfId="16560" xr:uid="{4BB7572C-CABF-4AB6-A614-BBE127A3BA44}"/>
    <cellStyle name="Normal 4 6 2 2 6" xfId="5330" xr:uid="{0BC6F27B-5223-4C6B-A1BD-C0DAAC3F5FFA}"/>
    <cellStyle name="Normal 4 6 2 2 6 2" xfId="26511" xr:uid="{B9489960-85F9-4505-A5C2-1F8532D4F4DF}"/>
    <cellStyle name="Normal 4 6 2 2 6 3" xfId="14628" xr:uid="{CF5B7C4E-A7A0-4306-97EE-8FEBF7CAB449}"/>
    <cellStyle name="Normal 4 6 2 2 7" xfId="7081" xr:uid="{DC6C013B-8A94-4095-AF5D-268893FFE2A2}"/>
    <cellStyle name="Normal 4 6 2 2 7 2" xfId="17461" xr:uid="{3E27D583-53B5-49F9-8AA4-8796FABFE141}"/>
    <cellStyle name="Normal 4 6 2 2 8" xfId="9914" xr:uid="{CBB50BD5-681D-443C-9868-4193C8A822BE}"/>
    <cellStyle name="Normal 4 6 2 2 8 2" xfId="20294" xr:uid="{47608F98-F220-4E32-A389-7F1FF8F58975}"/>
    <cellStyle name="Normal 4 6 2 2 9" xfId="25554" xr:uid="{F51A6025-3625-4273-96DD-FA29E6925DE5}"/>
    <cellStyle name="Normal 4 6 2 3" xfId="2798" xr:uid="{00000000-0005-0000-0000-000089060000}"/>
    <cellStyle name="Normal 4 6 2 3 2" xfId="3375" xr:uid="{00000000-0005-0000-0000-00008A060000}"/>
    <cellStyle name="Normal 4 6 2 3 2 2" xfId="6433" xr:uid="{880CAF5C-4AC2-4228-BFF6-717331E14064}"/>
    <cellStyle name="Normal 4 6 2 3 2 2 2" xfId="27459" xr:uid="{C2291383-4F7F-471B-B6F6-643F1244FFA0}"/>
    <cellStyle name="Normal 4 6 2 3 2 2 3" xfId="16002" xr:uid="{8D5A8F50-BECA-49B4-9B6F-7F3E5334F744}"/>
    <cellStyle name="Normal 4 6 2 3 2 3" xfId="8455" xr:uid="{9FD6D99F-F8BC-4485-89F9-262AD42F3226}"/>
    <cellStyle name="Normal 4 6 2 3 2 3 2" xfId="18835" xr:uid="{03B18222-BF3C-42FE-A591-71C34DA0E657}"/>
    <cellStyle name="Normal 4 6 2 3 2 4" xfId="11288" xr:uid="{4D8CE8A3-16C8-4C1F-ADA3-A839C5636C16}"/>
    <cellStyle name="Normal 4 6 2 3 2 4 2" xfId="21668" xr:uid="{3EB5A2D3-8416-40DA-85A2-7E435DA59E15}"/>
    <cellStyle name="Normal 4 6 2 3 2 5" xfId="23457" xr:uid="{A9AE0ADF-588F-433F-BC38-596516722669}"/>
    <cellStyle name="Normal 4 6 2 3 2 6" xfId="13942" xr:uid="{EA1AC588-B608-4722-8945-FC4F3505763E}"/>
    <cellStyle name="Normal 4 6 2 3 3" xfId="4348" xr:uid="{33991BCD-F775-4318-80DB-758A0F992761}"/>
    <cellStyle name="Normal 4 6 2 3 3 2" xfId="9120" xr:uid="{B420165E-4375-445C-A6FA-7FDFBC7CFB61}"/>
    <cellStyle name="Normal 4 6 2 3 3 2 2" xfId="29163" xr:uid="{7C4D684C-7F2D-4649-ABF0-FCD9C55140AA}"/>
    <cellStyle name="Normal 4 6 2 3 3 2 3" xfId="19500" xr:uid="{9E68BC75-A358-42E8-ACFB-EDBA14863A2E}"/>
    <cellStyle name="Normal 4 6 2 3 3 3" xfId="11953" xr:uid="{261320A2-93F7-4A07-9958-424AAD113807}"/>
    <cellStyle name="Normal 4 6 2 3 3 3 2" xfId="22333" xr:uid="{949CAFC4-8871-4ACE-BEDE-5CF90CEFC2B9}"/>
    <cellStyle name="Normal 4 6 2 3 3 4" xfId="23790" xr:uid="{74D6E03D-3524-44D2-95CC-50F897D80617}"/>
    <cellStyle name="Normal 4 6 2 3 3 5" xfId="16667" xr:uid="{2236F4F1-DC6E-4ADC-B66E-8AD3A6423D89}"/>
    <cellStyle name="Normal 4 6 2 3 4" xfId="6016" xr:uid="{549DDB82-193B-40EB-BA86-5591FDFDE21C}"/>
    <cellStyle name="Normal 4 6 2 3 4 2" xfId="28741" xr:uid="{66E455AA-C372-40FF-BCAA-19EB6694B7F7}"/>
    <cellStyle name="Normal 4 6 2 3 4 3" xfId="15469" xr:uid="{05D3D57B-DDB3-41F1-82B1-B823E9146CA9}"/>
    <cellStyle name="Normal 4 6 2 3 5" xfId="7922" xr:uid="{578D98C4-7BBC-4E51-A64A-87B87A34B3A3}"/>
    <cellStyle name="Normal 4 6 2 3 5 2" xfId="18302" xr:uid="{887E17B5-1162-4D84-910B-C7259F3F7D5C}"/>
    <cellStyle name="Normal 4 6 2 3 6" xfId="10755" xr:uid="{EC7B1093-E08D-43FB-A576-FB7BF1F8C0E9}"/>
    <cellStyle name="Normal 4 6 2 3 6 2" xfId="21135" xr:uid="{002DD402-31AF-43C4-A8FD-480AABED7F2F}"/>
    <cellStyle name="Normal 4 6 2 3 7" xfId="24847" xr:uid="{5FA861CB-960F-4F70-8496-8715392A77B1}"/>
    <cellStyle name="Normal 4 6 2 3 8" xfId="13260" xr:uid="{5F45DE9B-7C40-47FD-A7B2-AA4DF5042440}"/>
    <cellStyle name="Normal 4 6 2 4" xfId="3376" xr:uid="{00000000-0005-0000-0000-00008B060000}"/>
    <cellStyle name="Normal 4 6 2 4 2" xfId="4547" xr:uid="{749E27D2-7FCE-4D76-9AA5-6D44FC29F920}"/>
    <cellStyle name="Normal 4 6 2 4 2 2" xfId="9319" xr:uid="{9EFD28D9-37C4-4EDC-AA86-4C8EFF8AF0C6}"/>
    <cellStyle name="Normal 4 6 2 4 2 2 2" xfId="19699" xr:uid="{9DEFEACB-BD51-4E5C-ADB6-7EE6CE7D305E}"/>
    <cellStyle name="Normal 4 6 2 4 2 3" xfId="12152" xr:uid="{1422BA2B-04C1-464D-8F5A-C55CBB0A4305}"/>
    <cellStyle name="Normal 4 6 2 4 2 3 2" xfId="22532" xr:uid="{E0E79656-BC44-4B8D-BC07-773BF57F1545}"/>
    <cellStyle name="Normal 4 6 2 4 2 4" xfId="28225" xr:uid="{27FFF2D2-6DF0-4A23-9AE8-59C2B0104837}"/>
    <cellStyle name="Normal 4 6 2 4 2 5" xfId="16866" xr:uid="{ABE290DE-BBD1-4714-B8E9-936D08C7DAC6}"/>
    <cellStyle name="Normal 4 6 2 4 3" xfId="6434" xr:uid="{9E72A876-C62D-4F44-8E52-DCAC54AC59A6}"/>
    <cellStyle name="Normal 4 6 2 4 3 2" xfId="16003" xr:uid="{5ED750DD-F985-4D60-B795-87EA2355995A}"/>
    <cellStyle name="Normal 4 6 2 4 4" xfId="8456" xr:uid="{FCCF48FB-37BC-42B7-9431-B4CDCEFB7844}"/>
    <cellStyle name="Normal 4 6 2 4 4 2" xfId="18836" xr:uid="{FFA19266-D96D-4747-AA47-FD9F5C716AC7}"/>
    <cellStyle name="Normal 4 6 2 4 5" xfId="11289" xr:uid="{52B16D53-16A7-4D69-B14D-5E03BD6D4452}"/>
    <cellStyle name="Normal 4 6 2 4 5 2" xfId="21669" xr:uid="{E7995802-90F3-422F-8B7F-E0636E370639}"/>
    <cellStyle name="Normal 4 6 2 4 6" xfId="23821" xr:uid="{F2D36C3B-1B93-4771-8680-B2C00BEE802A}"/>
    <cellStyle name="Normal 4 6 2 4 7" xfId="13943" xr:uid="{F2571187-447E-4431-998D-0C219264E416}"/>
    <cellStyle name="Normal 4 6 2 5" xfId="3371" xr:uid="{00000000-0005-0000-0000-00008C060000}"/>
    <cellStyle name="Normal 4 6 2 5 2" xfId="6429" xr:uid="{01A369A0-5815-472D-97F3-A707B176889F}"/>
    <cellStyle name="Normal 4 6 2 5 2 2" xfId="26382" xr:uid="{16CB294B-F5FE-4515-BC4C-7748DEE1246C}"/>
    <cellStyle name="Normal 4 6 2 5 2 3" xfId="15998" xr:uid="{72F13864-9C06-40FA-BE5B-611CC6680535}"/>
    <cellStyle name="Normal 4 6 2 5 3" xfId="8451" xr:uid="{329386A7-6D86-40F6-8462-4DBE5BCB0B6D}"/>
    <cellStyle name="Normal 4 6 2 5 3 2" xfId="18831" xr:uid="{66D3882B-A6BA-47A6-8426-7BF6347CC412}"/>
    <cellStyle name="Normal 4 6 2 5 4" xfId="11284" xr:uid="{0D6E7808-C939-4A45-835C-6D27BEA1445A}"/>
    <cellStyle name="Normal 4 6 2 5 4 2" xfId="21664" xr:uid="{0C4BD208-8BE2-47DF-95F1-9787C9753DB7}"/>
    <cellStyle name="Normal 4 6 2 5 5" xfId="23231" xr:uid="{A0757412-99F0-4C37-9858-3E46AAA0C5DD}"/>
    <cellStyle name="Normal 4 6 2 5 6" xfId="13938" xr:uid="{E9B9564E-68B5-4E24-9065-9266C55071EC}"/>
    <cellStyle name="Normal 4 6 2 6" xfId="2549" xr:uid="{00000000-0005-0000-0000-00008D060000}"/>
    <cellStyle name="Normal 4 6 2 6 2" xfId="5821" xr:uid="{41544DA0-315C-44C7-AB6A-C9E301631538}"/>
    <cellStyle name="Normal 4 6 2 6 2 2" xfId="27511" xr:uid="{B3544BF6-F1E3-4B61-A540-E164104E4554}"/>
    <cellStyle name="Normal 4 6 2 6 2 3" xfId="15221" xr:uid="{7CD8B811-98BB-46E5-9CBA-D4CB87EA26E7}"/>
    <cellStyle name="Normal 4 6 2 6 3" xfId="7674" xr:uid="{7DCDBF62-8E47-4CB3-B802-602270E11C65}"/>
    <cellStyle name="Normal 4 6 2 6 3 2" xfId="18054" xr:uid="{61C0FDFA-84FE-454C-BD28-7756B99CB7D9}"/>
    <cellStyle name="Normal 4 6 2 6 4" xfId="10507" xr:uid="{0844F20E-431F-4A55-9533-1A1A9A61E0C7}"/>
    <cellStyle name="Normal 4 6 2 6 4 2" xfId="20887" xr:uid="{2882705B-DE5A-47A0-980E-CCA99F13C3A7}"/>
    <cellStyle name="Normal 4 6 2 6 5" xfId="22884" xr:uid="{E569D9BE-2496-4E68-BCDB-7012DD07E64E}"/>
    <cellStyle name="Normal 4 6 2 6 6" xfId="12937" xr:uid="{5886AA2B-A425-4F55-ACF6-F4BA10054406}"/>
    <cellStyle name="Normal 4 6 2 7" xfId="2243" xr:uid="{00000000-0005-0000-0000-000083060000}"/>
    <cellStyle name="Normal 4 6 2 7 2" xfId="7370" xr:uid="{84744B32-E0B7-4FC2-BB3B-B844A50F7DD0}"/>
    <cellStyle name="Normal 4 6 2 7 2 2" xfId="17750" xr:uid="{EDB24E2C-1183-4A31-B407-E5DFC0DCEDDC}"/>
    <cellStyle name="Normal 4 6 2 7 3" xfId="10203" xr:uid="{BA064AAF-62D6-4D3E-A5FB-B26EF5E73022}"/>
    <cellStyle name="Normal 4 6 2 7 3 2" xfId="20583" xr:uid="{FC3E2AD7-2C23-44A9-8943-266601646C4B}"/>
    <cellStyle name="Normal 4 6 2 7 4" xfId="25327" xr:uid="{222E9E21-D11A-4201-9FF5-9E84412AD29A}"/>
    <cellStyle name="Normal 4 6 2 7 5" xfId="14917" xr:uid="{8E47B897-A7B3-49F2-94FB-E0E005800D29}"/>
    <cellStyle name="Normal 4 6 2 8" xfId="3796" xr:uid="{66B84ED8-BC9E-4498-A73B-35889857A41E}"/>
    <cellStyle name="Normal 4 6 2 8 2" xfId="8632" xr:uid="{0F4416F8-99F8-41E9-A3CF-47FF7549839A}"/>
    <cellStyle name="Normal 4 6 2 8 2 2" xfId="19012" xr:uid="{A666FD74-CE94-4372-8D89-8248332C0E1E}"/>
    <cellStyle name="Normal 4 6 2 8 3" xfId="11465" xr:uid="{A0875D6F-228A-4E12-BCF7-F94FD1AB637F}"/>
    <cellStyle name="Normal 4 6 2 8 3 2" xfId="21845" xr:uid="{DE2D0665-F305-444B-955F-D1DD4BFCD16F}"/>
    <cellStyle name="Normal 4 6 2 8 4" xfId="16179" xr:uid="{38500B39-885A-4599-BE45-97D879E734F5}"/>
    <cellStyle name="Normal 4 6 2 9" xfId="5329" xr:uid="{65FE34F6-2A0D-4B2D-BC52-5DA0F62E3CEE}"/>
    <cellStyle name="Normal 4 6 2 9 2" xfId="14627" xr:uid="{005A2762-6103-4BE6-A709-99F685D5DE72}"/>
    <cellStyle name="Normal 4 6 3" xfId="1028" xr:uid="{00000000-0005-0000-0000-0000B6050000}"/>
    <cellStyle name="Normal 4 6 3 10" xfId="9915" xr:uid="{65D62F54-5204-4AF7-A9C3-2B42FD0785E3}"/>
    <cellStyle name="Normal 4 6 3 10 2" xfId="20295" xr:uid="{8B81BF18-E32E-4551-B32C-DD2102694D8F}"/>
    <cellStyle name="Normal 4 6 3 11" xfId="24210" xr:uid="{C8F8A3B3-7610-4B3D-88F8-49B14B8E669F}"/>
    <cellStyle name="Normal 4 6 3 12" xfId="12609" xr:uid="{92ACC22C-1DCF-4694-902C-29F38736A8E4}"/>
    <cellStyle name="Normal 4 6 3 2" xfId="2800" xr:uid="{00000000-0005-0000-0000-00008F060000}"/>
    <cellStyle name="Normal 4 6 3 2 2" xfId="3378" xr:uid="{00000000-0005-0000-0000-000090060000}"/>
    <cellStyle name="Normal 4 6 3 2 2 2" xfId="6436" xr:uid="{ECC1323C-BBCE-4C05-85B0-B7CD0379B66F}"/>
    <cellStyle name="Normal 4 6 3 2 2 2 2" xfId="28307" xr:uid="{CC38E7A4-818E-4713-AA1B-5EDBDD564FF5}"/>
    <cellStyle name="Normal 4 6 3 2 2 2 3" xfId="16005" xr:uid="{5D2BBA40-6627-4DA8-894C-64BF6AFF0124}"/>
    <cellStyle name="Normal 4 6 3 2 2 3" xfId="8458" xr:uid="{43FD189E-CF21-4F1F-84A3-354648D057E9}"/>
    <cellStyle name="Normal 4 6 3 2 2 3 2" xfId="18838" xr:uid="{2B00C903-3F5A-47B0-8475-DB1A2595A7FF}"/>
    <cellStyle name="Normal 4 6 3 2 2 4" xfId="11291" xr:uid="{9F945B0E-35D3-47C6-B261-9488E148600D}"/>
    <cellStyle name="Normal 4 6 3 2 2 4 2" xfId="21671" xr:uid="{9BE4E36D-2165-4661-B95D-60B47B200893}"/>
    <cellStyle name="Normal 4 6 3 2 2 5" xfId="23902" xr:uid="{99ADA984-40C4-405F-9146-D49474D20BF9}"/>
    <cellStyle name="Normal 4 6 3 2 2 6" xfId="13945" xr:uid="{4251F45D-B259-4191-887B-749C4FDC8CE6}"/>
    <cellStyle name="Normal 4 6 3 2 3" xfId="4350" xr:uid="{901FB3A0-8012-498C-9CCB-3EF37ACD6D75}"/>
    <cellStyle name="Normal 4 6 3 2 3 2" xfId="9122" xr:uid="{D16C0C56-8186-4342-8995-BAEF3C464C17}"/>
    <cellStyle name="Normal 4 6 3 2 3 2 2" xfId="29165" xr:uid="{C7EF66EA-693F-4B28-9BBC-25B8894BDAE5}"/>
    <cellStyle name="Normal 4 6 3 2 3 2 3" xfId="19502" xr:uid="{5E451109-4797-4230-9A2C-67668D2DDAFC}"/>
    <cellStyle name="Normal 4 6 3 2 3 3" xfId="11955" xr:uid="{BEEED125-E58D-4368-AED4-BBD4584C6ED8}"/>
    <cellStyle name="Normal 4 6 3 2 3 3 2" xfId="22335" xr:uid="{33CE28C0-6194-40B2-BB08-EEACDD9E6787}"/>
    <cellStyle name="Normal 4 6 3 2 3 4" xfId="24025" xr:uid="{7989FA24-BFED-499B-9E24-07FDD2DAA521}"/>
    <cellStyle name="Normal 4 6 3 2 3 5" xfId="16669" xr:uid="{91CA9D4E-359C-4C52-8609-A7C8330665B8}"/>
    <cellStyle name="Normal 4 6 3 2 4" xfId="6018" xr:uid="{59E052AB-7D7E-4A3D-976D-4709C348FFB7}"/>
    <cellStyle name="Normal 4 6 3 2 4 2" xfId="26948" xr:uid="{02767540-DF5E-4B92-80D7-9FD45739C69D}"/>
    <cellStyle name="Normal 4 6 3 2 4 3" xfId="15471" xr:uid="{DDDB477A-4CD4-4AC8-84C7-B0A32B3EBDDC}"/>
    <cellStyle name="Normal 4 6 3 2 5" xfId="7924" xr:uid="{4E6E7CA1-9D4F-4542-984E-C278AFFBBC10}"/>
    <cellStyle name="Normal 4 6 3 2 5 2" xfId="18304" xr:uid="{61542B72-7518-472E-BD8F-792E0FF34D99}"/>
    <cellStyle name="Normal 4 6 3 2 6" xfId="10757" xr:uid="{ABD51765-B398-485E-8795-9B8333D02366}"/>
    <cellStyle name="Normal 4 6 3 2 6 2" xfId="21137" xr:uid="{93867C53-5D9A-4BD7-90FE-2978CC3A71BD}"/>
    <cellStyle name="Normal 4 6 3 2 7" xfId="23038" xr:uid="{D9FA77CE-9ED0-4400-9135-1F8631E9D081}"/>
    <cellStyle name="Normal 4 6 3 2 8" xfId="13262" xr:uid="{51C5BCC4-BF37-4FC8-A816-6C0EC2E4824E}"/>
    <cellStyle name="Normal 4 6 3 3" xfId="3379" xr:uid="{00000000-0005-0000-0000-000091060000}"/>
    <cellStyle name="Normal 4 6 3 3 2" xfId="4548" xr:uid="{E221C829-7C95-4079-854A-5EBDF76DD425}"/>
    <cellStyle name="Normal 4 6 3 3 2 2" xfId="9320" xr:uid="{4DEF5092-6EB7-4BC7-9957-FECF1C25D9F1}"/>
    <cellStyle name="Normal 4 6 3 3 2 2 2" xfId="29295" xr:uid="{D3A93D07-91C3-4843-A204-60D26D324504}"/>
    <cellStyle name="Normal 4 6 3 3 2 2 3" xfId="19700" xr:uid="{DD7743E5-D6EA-4048-BE56-A3455AB786FD}"/>
    <cellStyle name="Normal 4 6 3 3 2 3" xfId="12153" xr:uid="{77A8F7AB-4E87-4258-807B-C7F69B105ADF}"/>
    <cellStyle name="Normal 4 6 3 3 2 3 2" xfId="22533" xr:uid="{58610B75-D3AA-4372-AE19-009B80C3D1A7}"/>
    <cellStyle name="Normal 4 6 3 3 2 4" xfId="24087" xr:uid="{0D6BCC69-94B7-4F2D-AFED-7BA5C54DEC4A}"/>
    <cellStyle name="Normal 4 6 3 3 2 5" xfId="16867" xr:uid="{27469A74-8DD6-41A1-B7AC-C6C4FAAFD828}"/>
    <cellStyle name="Normal 4 6 3 3 3" xfId="6437" xr:uid="{623468F2-DB1D-4A25-9F04-83975724908B}"/>
    <cellStyle name="Normal 4 6 3 3 3 2" xfId="27818" xr:uid="{EBF82967-C964-4B43-BCF0-0679A04E8F94}"/>
    <cellStyle name="Normal 4 6 3 3 3 3" xfId="16006" xr:uid="{5494DBDC-DD7D-4D87-8DEE-442698AE16EA}"/>
    <cellStyle name="Normal 4 6 3 3 4" xfId="8459" xr:uid="{A8365E87-BB44-439D-9A0C-3F33A415FE65}"/>
    <cellStyle name="Normal 4 6 3 3 4 2" xfId="18839" xr:uid="{18EEF64B-50EE-4128-A3E3-2DA4BBF896F7}"/>
    <cellStyle name="Normal 4 6 3 3 5" xfId="11292" xr:uid="{789E31E8-3EB5-48E4-B8B1-CABF5AA7D4A0}"/>
    <cellStyle name="Normal 4 6 3 3 5 2" xfId="21672" xr:uid="{0DEB7017-66B9-4564-A4BB-9E3C9FE50BAC}"/>
    <cellStyle name="Normal 4 6 3 3 6" xfId="25504" xr:uid="{3436378B-9E79-4637-A21E-71AC240B0DDD}"/>
    <cellStyle name="Normal 4 6 3 3 7" xfId="13946" xr:uid="{9AF3BE5F-10EF-4920-A4B5-935A140E3D04}"/>
    <cellStyle name="Normal 4 6 3 4" xfId="3377" xr:uid="{00000000-0005-0000-0000-000092060000}"/>
    <cellStyle name="Normal 4 6 3 4 2" xfId="6435" xr:uid="{A886D118-9798-4B5F-B36C-335C108265F6}"/>
    <cellStyle name="Normal 4 6 3 4 2 2" xfId="26706" xr:uid="{FAB36108-C6D0-47AF-BEE1-BC28397C8375}"/>
    <cellStyle name="Normal 4 6 3 4 2 3" xfId="16004" xr:uid="{CB19526C-0119-4CF9-AAB4-86A3527D295C}"/>
    <cellStyle name="Normal 4 6 3 4 3" xfId="8457" xr:uid="{AF3CC76E-0B3E-4EB8-A8A1-5953B3F0274B}"/>
    <cellStyle name="Normal 4 6 3 4 3 2" xfId="18837" xr:uid="{2EFF01A5-BFE2-42F0-B845-57884D25FD7F}"/>
    <cellStyle name="Normal 4 6 3 4 4" xfId="11290" xr:uid="{625C0DC1-3F0E-4E75-8366-20573A204629}"/>
    <cellStyle name="Normal 4 6 3 4 4 2" xfId="21670" xr:uid="{F42CB666-5D98-4AB0-8DA7-A311C7ED6FFD}"/>
    <cellStyle name="Normal 4 6 3 4 5" xfId="25122" xr:uid="{8232A13F-E8FD-43DB-A4C5-900C2D745B05}"/>
    <cellStyle name="Normal 4 6 3 4 6" xfId="13944" xr:uid="{E230A255-7C47-4E73-9DCC-7CC97062DFB8}"/>
    <cellStyle name="Normal 4 6 3 5" xfId="2592" xr:uid="{00000000-0005-0000-0000-000093060000}"/>
    <cellStyle name="Normal 4 6 3 5 2" xfId="5857" xr:uid="{6D81AD73-E358-4DC6-B538-A344F8457572}"/>
    <cellStyle name="Normal 4 6 3 5 2 2" xfId="26791" xr:uid="{16CED827-F0E7-46A8-96CD-1D6D37DD6EC7}"/>
    <cellStyle name="Normal 4 6 3 5 2 3" xfId="15264" xr:uid="{44B554EA-51CE-4740-88C4-673048E6CE4E}"/>
    <cellStyle name="Normal 4 6 3 5 3" xfId="7717" xr:uid="{E5302134-8F60-4297-9414-BF9364858382}"/>
    <cellStyle name="Normal 4 6 3 5 3 2" xfId="18097" xr:uid="{95A2416F-C317-4DCF-B9B0-F5D2680D25D6}"/>
    <cellStyle name="Normal 4 6 3 5 4" xfId="10550" xr:uid="{6189DE3A-7947-47B5-BFBB-FE8ED5761E0A}"/>
    <cellStyle name="Normal 4 6 3 5 4 2" xfId="20930" xr:uid="{44CBDEB3-C6B6-4F6D-A1B9-6FE03C2B83B1}"/>
    <cellStyle name="Normal 4 6 3 5 5" xfId="23929" xr:uid="{BC0E6D03-EBDA-495D-884C-09FD51EE881D}"/>
    <cellStyle name="Normal 4 6 3 5 6" xfId="12980" xr:uid="{40EAB2F3-82C5-4BFA-8CBB-A38D930B46D9}"/>
    <cellStyle name="Normal 4 6 3 6" xfId="2375" xr:uid="{00000000-0005-0000-0000-00008E060000}"/>
    <cellStyle name="Normal 4 6 3 6 2" xfId="7502" xr:uid="{D5F0E475-829F-4382-B8E0-F6660E807072}"/>
    <cellStyle name="Normal 4 6 3 6 2 2" xfId="17882" xr:uid="{4937C117-2160-4AB8-BEBD-AABD170FF688}"/>
    <cellStyle name="Normal 4 6 3 6 3" xfId="10335" xr:uid="{EBC08E7D-5530-47D8-A3F4-26578A6FE87F}"/>
    <cellStyle name="Normal 4 6 3 6 3 2" xfId="20715" xr:uid="{7AC2691F-6757-43AF-BCC2-16AE5386A8B5}"/>
    <cellStyle name="Normal 4 6 3 6 4" xfId="25446" xr:uid="{9C4F7415-8D2D-4E21-9BFE-337BF7D76875}"/>
    <cellStyle name="Normal 4 6 3 6 5" xfId="15049" xr:uid="{F992069E-7030-4E0F-8FC2-7DF6BC38C7D4}"/>
    <cellStyle name="Normal 4 6 3 7" xfId="3926" xr:uid="{924801CF-FC74-4CA9-B147-9E360EDB88E6}"/>
    <cellStyle name="Normal 4 6 3 7 2" xfId="8758" xr:uid="{4D943242-7C2D-42A4-A9EF-D885DE73F0F0}"/>
    <cellStyle name="Normal 4 6 3 7 2 2" xfId="19138" xr:uid="{88F63E08-9EF1-4D65-85FD-DB425D9DEE45}"/>
    <cellStyle name="Normal 4 6 3 7 3" xfId="11591" xr:uid="{D4F74956-11A9-4EC4-881E-71BDF2275367}"/>
    <cellStyle name="Normal 4 6 3 7 3 2" xfId="21971" xr:uid="{19FDC02D-D04F-456E-9356-E9B81E218EC7}"/>
    <cellStyle name="Normal 4 6 3 7 4" xfId="16305" xr:uid="{E6E6D48B-F82C-45C2-B441-F678F8C3916E}"/>
    <cellStyle name="Normal 4 6 3 8" xfId="5331" xr:uid="{607ADC84-15AD-45CE-8404-B51B4BCF585F}"/>
    <cellStyle name="Normal 4 6 3 8 2" xfId="14629" xr:uid="{423F566A-93EB-4271-9D48-AE6925D4E99E}"/>
    <cellStyle name="Normal 4 6 3 9" xfId="7082" xr:uid="{6B1299FA-5846-4160-B210-58C7C0DDF07D}"/>
    <cellStyle name="Normal 4 6 3 9 2" xfId="17462" xr:uid="{3A67E0D5-267D-4E35-8F08-7307358D77B8}"/>
    <cellStyle name="Normal 4 6 4" xfId="1029" xr:uid="{00000000-0005-0000-0000-0000B7050000}"/>
    <cellStyle name="Normal 4 6 4 2" xfId="3380" xr:uid="{00000000-0005-0000-0000-000095060000}"/>
    <cellStyle name="Normal 4 6 4 2 2" xfId="6438" xr:uid="{DF2BC96C-2FB0-4962-9806-62CD31B7ECED}"/>
    <cellStyle name="Normal 4 6 4 2 2 2" xfId="26974" xr:uid="{8716AC8C-11C4-474C-8456-E9B906350AA6}"/>
    <cellStyle name="Normal 4 6 4 2 2 3" xfId="16007" xr:uid="{A2B4B55D-AE48-42DA-9B4D-D608BAA9A44D}"/>
    <cellStyle name="Normal 4 6 4 2 3" xfId="8460" xr:uid="{6DBD12A6-2213-429C-AC16-8933FD49C409}"/>
    <cellStyle name="Normal 4 6 4 2 3 2" xfId="18840" xr:uid="{8135583A-409D-4449-BE67-C70F4FC82A0F}"/>
    <cellStyle name="Normal 4 6 4 2 4" xfId="11293" xr:uid="{974BD558-C368-47BB-B456-94E3E124EE42}"/>
    <cellStyle name="Normal 4 6 4 2 4 2" xfId="21673" xr:uid="{8B909957-D330-4C32-9A3C-E9EA72CC9DF6}"/>
    <cellStyle name="Normal 4 6 4 2 5" xfId="23756" xr:uid="{80E40EDF-AC2D-43E5-AF8D-8B8412EA8E75}"/>
    <cellStyle name="Normal 4 6 4 2 6" xfId="13947" xr:uid="{9AC6C785-FA2C-4C59-9E87-BABB63367A3C}"/>
    <cellStyle name="Normal 4 6 4 3" xfId="2797" xr:uid="{00000000-0005-0000-0000-000096060000}"/>
    <cellStyle name="Normal 4 6 4 3 2" xfId="6015" xr:uid="{6C483FC5-646A-4F50-85C1-8E995DCF95F1}"/>
    <cellStyle name="Normal 4 6 4 3 2 2" xfId="27504" xr:uid="{8ADA07F8-9A0B-4FC4-A429-84D780E180CE}"/>
    <cellStyle name="Normal 4 6 4 3 2 3" xfId="15468" xr:uid="{C62DDB48-E9B1-4C52-9486-4A9C55884380}"/>
    <cellStyle name="Normal 4 6 4 3 3" xfId="7921" xr:uid="{10E3C720-B3FB-4150-8280-9F5978754AB3}"/>
    <cellStyle name="Normal 4 6 4 3 3 2" xfId="18301" xr:uid="{8BB6CA60-1AC8-47E9-9408-6B49377EC56A}"/>
    <cellStyle name="Normal 4 6 4 3 4" xfId="10754" xr:uid="{21F570A0-3A0C-4A55-830B-E33CF98C2F1B}"/>
    <cellStyle name="Normal 4 6 4 3 4 2" xfId="21134" xr:uid="{BE0654F7-F076-4459-B2AE-3701B9BDDD41}"/>
    <cellStyle name="Normal 4 6 4 3 5" xfId="24885" xr:uid="{5608BF8D-F8BE-4E20-9495-238DAD20BFD1}"/>
    <cellStyle name="Normal 4 6 4 3 6" xfId="13259" xr:uid="{D4DC4BC2-2489-434E-B83E-F5C77EB46244}"/>
    <cellStyle name="Normal 4 6 4 4" xfId="4201" xr:uid="{A57E2CE8-3522-4BE4-A60A-936B9032D4FA}"/>
    <cellStyle name="Normal 4 6 4 4 2" xfId="8973" xr:uid="{C94728F6-AC6E-455A-908E-50D33529407D}"/>
    <cellStyle name="Normal 4 6 4 4 2 2" xfId="19353" xr:uid="{0CA64AC8-0492-4B95-9D47-014B6E1AABEE}"/>
    <cellStyle name="Normal 4 6 4 4 3" xfId="11806" xr:uid="{4AD76A22-88B8-4419-862B-F0BD30D77D2E}"/>
    <cellStyle name="Normal 4 6 4 4 3 2" xfId="22186" xr:uid="{4EB621FE-93A1-4D11-87A8-8318FEB65438}"/>
    <cellStyle name="Normal 4 6 4 4 4" xfId="23076" xr:uid="{733A50BF-9F77-4A27-B6D3-AC1CAF03E720}"/>
    <cellStyle name="Normal 4 6 4 4 5" xfId="16520" xr:uid="{645438F7-51BC-45C7-AE07-E4D07A053734}"/>
    <cellStyle name="Normal 4 6 4 5" xfId="5332" xr:uid="{9AB68C42-FC3A-4C78-8542-B8DA3FD6B9FB}"/>
    <cellStyle name="Normal 4 6 4 5 2" xfId="14630" xr:uid="{73F47F6E-2A0E-4804-AC52-DADCA8073015}"/>
    <cellStyle name="Normal 4 6 4 6" xfId="7083" xr:uid="{73D88EF4-697B-4643-B67A-ADBF92497027}"/>
    <cellStyle name="Normal 4 6 4 6 2" xfId="17463" xr:uid="{E2F6927A-9127-41AD-A8A9-A72D9C1DEF4A}"/>
    <cellStyle name="Normal 4 6 4 7" xfId="9916" xr:uid="{505BD350-6781-42B3-B3A5-60CCEB242031}"/>
    <cellStyle name="Normal 4 6 4 7 2" xfId="20296" xr:uid="{BC126441-CDF2-49F7-8E8E-C90F634FFA7D}"/>
    <cellStyle name="Normal 4 6 4 8" xfId="24942" xr:uid="{8CBEC4C0-6167-4ACD-B708-2F1EF5FCBA0D}"/>
    <cellStyle name="Normal 4 6 4 9" xfId="12767" xr:uid="{F1573951-130D-4364-86D9-F96C85D8EA5C}"/>
    <cellStyle name="Normal 4 6 5" xfId="3381" xr:uid="{00000000-0005-0000-0000-000097060000}"/>
    <cellStyle name="Normal 4 6 5 2" xfId="4549" xr:uid="{581CFBF6-C1AC-444F-A46C-02981E676F45}"/>
    <cellStyle name="Normal 4 6 5 2 2" xfId="9321" xr:uid="{CFAAE2CF-B7A9-4A13-A923-164E8CDC0A96}"/>
    <cellStyle name="Normal 4 6 5 2 2 2" xfId="29296" xr:uid="{ED4DE572-AFE9-42EB-A725-25F832C8068A}"/>
    <cellStyle name="Normal 4 6 5 2 2 3" xfId="19701" xr:uid="{E0FCC1E7-FE38-42F2-B0E0-07FCC59D20A8}"/>
    <cellStyle name="Normal 4 6 5 2 3" xfId="12154" xr:uid="{A1925F0E-E782-467A-B13D-335839335128}"/>
    <cellStyle name="Normal 4 6 5 2 3 2" xfId="22534" xr:uid="{AC00FD10-3A98-4B2C-827D-6861B8AA029B}"/>
    <cellStyle name="Normal 4 6 5 2 4" xfId="23305" xr:uid="{C9677F74-E8DA-4B04-B1E5-90A610B7759B}"/>
    <cellStyle name="Normal 4 6 5 2 5" xfId="16868" xr:uid="{BBFEB372-A371-413B-BB71-5A998ACFD46D}"/>
    <cellStyle name="Normal 4 6 5 3" xfId="6439" xr:uid="{7BEDD6E8-8DEB-4481-93FD-E3DDF32C9C2E}"/>
    <cellStyle name="Normal 4 6 5 3 2" xfId="26244" xr:uid="{243F8F15-6787-4C0A-A720-7FADCA7EEA10}"/>
    <cellStyle name="Normal 4 6 5 3 3" xfId="16008" xr:uid="{A5D04E9F-CB05-4A4F-8261-564A0F8E7F47}"/>
    <cellStyle name="Normal 4 6 5 4" xfId="8461" xr:uid="{532730D0-B859-46F1-8F49-E074F3AD6383}"/>
    <cellStyle name="Normal 4 6 5 4 2" xfId="18841" xr:uid="{DBB5BC43-DA6F-4B42-B0E7-8C259BA09246}"/>
    <cellStyle name="Normal 4 6 5 5" xfId="11294" xr:uid="{162DD07D-91B8-403D-9E9D-0E51B22F1306}"/>
    <cellStyle name="Normal 4 6 5 5 2" xfId="21674" xr:uid="{A456DF34-40D1-4C8D-9238-1A647AA31703}"/>
    <cellStyle name="Normal 4 6 5 6" xfId="25112" xr:uid="{0CC5BDD8-8D65-423E-85DA-4B5C43D446A2}"/>
    <cellStyle name="Normal 4 6 5 7" xfId="13948" xr:uid="{197DA3D7-F9EF-4319-8013-37E02FA82DBE}"/>
    <cellStyle name="Normal 4 6 6" xfId="2944" xr:uid="{00000000-0005-0000-0000-000098060000}"/>
    <cellStyle name="Normal 4 6 6 2" xfId="6124" xr:uid="{AB61B0ED-0C05-4DA9-A5B5-9B1C7FDA926D}"/>
    <cellStyle name="Normal 4 6 6 2 2" xfId="26509" xr:uid="{4E26FDE3-85AD-41CB-BE54-C9C7D9AED855}"/>
    <cellStyle name="Normal 4 6 6 2 3" xfId="15602" xr:uid="{FEB8E9C5-960A-4575-8FDE-A17B18FE6308}"/>
    <cellStyle name="Normal 4 6 6 3" xfId="8055" xr:uid="{7E7448F5-FD6C-40E9-A151-B5B80535108C}"/>
    <cellStyle name="Normal 4 6 6 3 2" xfId="18435" xr:uid="{DE24D157-716F-431F-890B-BD71DF75388E}"/>
    <cellStyle name="Normal 4 6 6 4" xfId="10888" xr:uid="{4AF5FA3F-E5DF-451E-B08B-27DE264D3C73}"/>
    <cellStyle name="Normal 4 6 6 4 2" xfId="21268" xr:uid="{85296F37-8CF4-4711-AAD8-2164B0504D56}"/>
    <cellStyle name="Normal 4 6 6 5" xfId="24035" xr:uid="{EFD7E220-F198-47E0-B4BD-5358AAF6C1A3}"/>
    <cellStyle name="Normal 4 6 6 6" xfId="13465" xr:uid="{2503850D-3D78-45E2-B8FA-EB848C72E4DA}"/>
    <cellStyle name="Normal 4 6 7" xfId="2489" xr:uid="{00000000-0005-0000-0000-000099060000}"/>
    <cellStyle name="Normal 4 6 7 2" xfId="5774" xr:uid="{50B46806-7D8D-42E2-9C6C-C21CBC4D37E3}"/>
    <cellStyle name="Normal 4 6 7 2 2" xfId="26160" xr:uid="{5256F9A0-EFB7-41AC-8504-22C92C43AF49}"/>
    <cellStyle name="Normal 4 6 7 2 3" xfId="15161" xr:uid="{6897A209-42EE-48B8-BFAE-E2EB752E78D0}"/>
    <cellStyle name="Normal 4 6 7 3" xfId="7614" xr:uid="{928CE829-45FF-468E-A724-D3EE3587A3C7}"/>
    <cellStyle name="Normal 4 6 7 3 2" xfId="17994" xr:uid="{F45296D9-6049-45CD-B7D0-0CFB0861CF15}"/>
    <cellStyle name="Normal 4 6 7 4" xfId="10447" xr:uid="{BA5CEA8B-76A7-4BFB-BA5E-EAEA0955FEB6}"/>
    <cellStyle name="Normal 4 6 7 4 2" xfId="20827" xr:uid="{A8D583BB-F8BD-4143-BF7C-57AA7EAD4000}"/>
    <cellStyle name="Normal 4 6 7 5" xfId="23320" xr:uid="{103450DD-2735-4A4C-A33D-984DF1C76EF3}"/>
    <cellStyle name="Normal 4 6 7 6" xfId="12877" xr:uid="{5E9881F1-2B8A-4A6A-B900-3DD69FFF754E}"/>
    <cellStyle name="Normal 4 6 8" xfId="2183" xr:uid="{00000000-0005-0000-0000-000082060000}"/>
    <cellStyle name="Normal 4 6 8 2" xfId="7310" xr:uid="{15F803F6-1D1C-408C-8311-625EC20A9C42}"/>
    <cellStyle name="Normal 4 6 8 2 2" xfId="17690" xr:uid="{ECBBA2BE-6D98-41EE-955A-755DC0787FD2}"/>
    <cellStyle name="Normal 4 6 8 3" xfId="10143" xr:uid="{D7A27A57-4429-427A-B428-FE3C620908DD}"/>
    <cellStyle name="Normal 4 6 8 3 2" xfId="20523" xr:uid="{27F0C316-878F-4708-A6DC-5E58065A94E5}"/>
    <cellStyle name="Normal 4 6 8 4" xfId="24271" xr:uid="{57A341D5-D594-4091-B7AB-8FBEB2695850}"/>
    <cellStyle name="Normal 4 6 8 5" xfId="14857" xr:uid="{B9219575-002C-4DFB-927E-315FE24DBD76}"/>
    <cellStyle name="Normal 4 6 9" xfId="3996" xr:uid="{5B3FB2E7-98AC-4D7F-BA21-C2139A83A87B}"/>
    <cellStyle name="Normal 4 6 9 2" xfId="8820" xr:uid="{3E5090D4-3654-4158-BCF2-FABCE5B40C12}"/>
    <cellStyle name="Normal 4 6 9 2 2" xfId="19200" xr:uid="{7D347B0F-9A4C-4D9C-8307-CFF1A1F2517E}"/>
    <cellStyle name="Normal 4 6 9 3" xfId="11653" xr:uid="{86DCD437-03D8-46D8-8996-3ADBC1159A65}"/>
    <cellStyle name="Normal 4 6 9 3 2" xfId="22033" xr:uid="{50E8EB04-21AB-46A5-8681-584EA55457EA}"/>
    <cellStyle name="Normal 4 6 9 4" xfId="16367" xr:uid="{6FA59F06-511F-49EB-9289-21244F33BEA0}"/>
    <cellStyle name="Normal 4 7" xfId="1030" xr:uid="{00000000-0005-0000-0000-0000B8050000}"/>
    <cellStyle name="Normal 4 7 10" xfId="5333" xr:uid="{ECD87BB0-BD90-49E2-9EE4-1F117221ACC5}"/>
    <cellStyle name="Normal 4 7 10 2" xfId="14631" xr:uid="{578552DA-6914-4709-8E5C-C93C603F32F4}"/>
    <cellStyle name="Normal 4 7 11" xfId="7084" xr:uid="{9290D053-35CD-4DAD-B80F-CACC9D3EF23C}"/>
    <cellStyle name="Normal 4 7 11 2" xfId="17464" xr:uid="{9A5C5777-3C3B-4BE8-A61E-31C493E774F9}"/>
    <cellStyle name="Normal 4 7 12" xfId="9917" xr:uid="{54880313-3C79-496B-A6D2-CCD9E0A1380A}"/>
    <cellStyle name="Normal 4 7 12 2" xfId="20297" xr:uid="{A2342BC1-9AA9-4364-9E56-FE359188ABB0}"/>
    <cellStyle name="Normal 4 7 13" xfId="23856" xr:uid="{EBC395B5-5298-4DCD-92C9-D8E9E3D2D57F}"/>
    <cellStyle name="Normal 4 7 14" xfId="12449" xr:uid="{FCC9BB74-58F6-4344-8DA8-0B927FF84A14}"/>
    <cellStyle name="Normal 4 7 2" xfId="1031" xr:uid="{00000000-0005-0000-0000-0000B9050000}"/>
    <cellStyle name="Normal 4 7 2 10" xfId="9918" xr:uid="{94CF7FCF-8478-4AE2-BFEB-AA8994DB8173}"/>
    <cellStyle name="Normal 4 7 2 10 2" xfId="20298" xr:uid="{B8110599-1DF2-4031-8E30-7BC6F555E3E1}"/>
    <cellStyle name="Normal 4 7 2 11" xfId="23059" xr:uid="{C66A64D2-0115-49AB-8BAC-36C4C9F008CD}"/>
    <cellStyle name="Normal 4 7 2 12" xfId="12610" xr:uid="{372D399D-0D52-40E3-994E-BA9ACBAB3711}"/>
    <cellStyle name="Normal 4 7 2 2" xfId="1032" xr:uid="{00000000-0005-0000-0000-0000BA050000}"/>
    <cellStyle name="Normal 4 7 2 2 2" xfId="3383" xr:uid="{00000000-0005-0000-0000-00009D060000}"/>
    <cellStyle name="Normal 4 7 2 2 2 2" xfId="6441" xr:uid="{E8A3B782-7144-4FB0-A0EE-14B664F1AEEF}"/>
    <cellStyle name="Normal 4 7 2 2 2 2 2" xfId="28066" xr:uid="{29F7E3EA-44BD-4021-8043-DAFB97F08BE6}"/>
    <cellStyle name="Normal 4 7 2 2 2 2 3" xfId="28198" xr:uid="{4F7C77A2-78FE-4A4A-B990-19A68F9D2F5F}"/>
    <cellStyle name="Normal 4 7 2 2 2 2 4" xfId="16010" xr:uid="{F484AA9B-596C-4BA3-AAF6-DE2DAFBC6117}"/>
    <cellStyle name="Normal 4 7 2 2 2 3" xfId="8463" xr:uid="{DB1A5F90-6857-43A1-8F1C-44EADF4E8061}"/>
    <cellStyle name="Normal 4 7 2 2 2 3 2" xfId="28920" xr:uid="{76A5D998-14F7-4EAD-91A8-CE53040F9BFB}"/>
    <cellStyle name="Normal 4 7 2 2 2 3 3" xfId="18843" xr:uid="{5A3404FA-1001-4144-A50A-EE677EE8B9B8}"/>
    <cellStyle name="Normal 4 7 2 2 2 4" xfId="11296" xr:uid="{A28B9933-EC09-4B39-9F68-FD7D5F491CFA}"/>
    <cellStyle name="Normal 4 7 2 2 2 4 2" xfId="21676" xr:uid="{139D2729-7A86-450C-ADE0-E252CD4B5BC9}"/>
    <cellStyle name="Normal 4 7 2 2 2 5" xfId="25331" xr:uid="{8FF248EE-F638-42F5-ACC7-A7C7BDB6519A}"/>
    <cellStyle name="Normal 4 7 2 2 2 6" xfId="13950" xr:uid="{29518F3D-1C02-4796-BB61-1355E1A9BFAF}"/>
    <cellStyle name="Normal 4 7 2 2 3" xfId="4352" xr:uid="{7C9569F9-0B92-4310-B4E2-53E9059F7EF8}"/>
    <cellStyle name="Normal 4 7 2 2 3 2" xfId="9124" xr:uid="{63FAED40-B796-4AEF-BC17-2BF11FA5189D}"/>
    <cellStyle name="Normal 4 7 2 2 3 2 2" xfId="29167" xr:uid="{F085E40B-C5E6-49D6-AEE1-8FC4AA0BDC7C}"/>
    <cellStyle name="Normal 4 7 2 2 3 2 3" xfId="19504" xr:uid="{98648650-F394-48D4-AE0E-51BE9FF8CA15}"/>
    <cellStyle name="Normal 4 7 2 2 3 3" xfId="11957" xr:uid="{8F26758B-F365-4B22-97EB-7FE5B65756B4}"/>
    <cellStyle name="Normal 4 7 2 2 3 3 2" xfId="22337" xr:uid="{F4405DCB-26E9-4D89-AA90-63F15D2747C7}"/>
    <cellStyle name="Normal 4 7 2 2 3 4" xfId="24691" xr:uid="{7F0753E8-F1BD-409E-8269-F6CE2CD8D05E}"/>
    <cellStyle name="Normal 4 7 2 2 3 5" xfId="16671" xr:uid="{09AD0ACB-335F-4A42-90EB-CAD05ED9EB23}"/>
    <cellStyle name="Normal 4 7 2 2 4" xfId="5335" xr:uid="{DB1BE809-91C4-4487-99CB-BA78682A7C08}"/>
    <cellStyle name="Normal 4 7 2 2 4 2" xfId="28189" xr:uid="{A26A072C-D439-465F-8D03-1CF7DF9CD02C}"/>
    <cellStyle name="Normal 4 7 2 2 4 3" xfId="14633" xr:uid="{0139C56B-5A9C-45D6-BBB5-8554DD1B4F94}"/>
    <cellStyle name="Normal 4 7 2 2 5" xfId="7086" xr:uid="{B0630248-094C-483E-9963-30E693C048AA}"/>
    <cellStyle name="Normal 4 7 2 2 5 2" xfId="17466" xr:uid="{E06B5C2A-5D99-4097-B1BA-91F8173A2815}"/>
    <cellStyle name="Normal 4 7 2 2 6" xfId="9919" xr:uid="{7D9B4A9C-318A-435B-8C9E-76189CD7F2C3}"/>
    <cellStyle name="Normal 4 7 2 2 6 2" xfId="20299" xr:uid="{A6ED4FA1-0582-4D26-AC7A-0D47AB97FF54}"/>
    <cellStyle name="Normal 4 7 2 2 7" xfId="25434" xr:uid="{EB845783-5C7F-4EDB-A2B7-8BC7C5A27B2D}"/>
    <cellStyle name="Normal 4 7 2 2 8" xfId="13264" xr:uid="{913CF532-A37B-483B-993E-FE9409C1DF05}"/>
    <cellStyle name="Normal 4 7 2 3" xfId="3384" xr:uid="{00000000-0005-0000-0000-00009E060000}"/>
    <cellStyle name="Normal 4 7 2 3 2" xfId="4550" xr:uid="{46E8E3F4-9AB2-4D0B-B228-F3DC92A59B02}"/>
    <cellStyle name="Normal 4 7 2 3 2 2" xfId="9322" xr:uid="{2DA334AD-81EE-4891-BCB6-5089645CC691}"/>
    <cellStyle name="Normal 4 7 2 3 2 2 2" xfId="29297" xr:uid="{19A243B4-9041-4A6A-8E43-BA4AA68BEF79}"/>
    <cellStyle name="Normal 4 7 2 3 2 2 3" xfId="19702" xr:uid="{7C21054C-ACE6-499C-8990-14AA71D66B40}"/>
    <cellStyle name="Normal 4 7 2 3 2 3" xfId="12155" xr:uid="{2F241494-6F03-4B86-825D-30B31DD43E71}"/>
    <cellStyle name="Normal 4 7 2 3 2 3 2" xfId="22535" xr:uid="{AF42D84B-7E58-4283-B265-DE2E94B06C5A}"/>
    <cellStyle name="Normal 4 7 2 3 2 4" xfId="23486" xr:uid="{5B829299-0FCA-4C9C-9574-D55A1DC93103}"/>
    <cellStyle name="Normal 4 7 2 3 2 5" xfId="16869" xr:uid="{07513BF6-2D82-4EC8-B8B0-AC57E661D50E}"/>
    <cellStyle name="Normal 4 7 2 3 3" xfId="6442" xr:uid="{1DDC8553-A0E4-4B99-B2E0-F701DA3F52F6}"/>
    <cellStyle name="Normal 4 7 2 3 3 2" xfId="27028" xr:uid="{C46C6744-48A7-43D5-8CD9-3FD923C8623C}"/>
    <cellStyle name="Normal 4 7 2 3 3 3" xfId="16011" xr:uid="{070E18B2-A9DA-412A-9425-8F969BB857C8}"/>
    <cellStyle name="Normal 4 7 2 3 4" xfId="8464" xr:uid="{0B5C1032-4D0D-46D5-ADEA-0B598EFEC199}"/>
    <cellStyle name="Normal 4 7 2 3 4 2" xfId="18844" xr:uid="{71DD5A18-900F-41BE-BF88-CC0809D70932}"/>
    <cellStyle name="Normal 4 7 2 3 5" xfId="11297" xr:uid="{79F1994A-278B-4DEF-AEC2-B86E8FFB31C5}"/>
    <cellStyle name="Normal 4 7 2 3 5 2" xfId="21677" xr:uid="{B6BBE588-2FB3-42B0-A3A6-9ECB44F53A85}"/>
    <cellStyle name="Normal 4 7 2 3 6" xfId="25019" xr:uid="{AE535D31-2888-43C8-804E-538BFB7C8FF7}"/>
    <cellStyle name="Normal 4 7 2 3 7" xfId="13951" xr:uid="{EF8865A0-2634-419C-81AC-1714230109F7}"/>
    <cellStyle name="Normal 4 7 2 4" xfId="3382" xr:uid="{00000000-0005-0000-0000-00009F060000}"/>
    <cellStyle name="Normal 4 7 2 4 2" xfId="6440" xr:uid="{44311F7F-2340-4F7A-9344-E05C23D09BCD}"/>
    <cellStyle name="Normal 4 7 2 4 2 2" xfId="28424" xr:uid="{1C11FF97-9659-4FB7-AC3B-B25BE5B4DB15}"/>
    <cellStyle name="Normal 4 7 2 4 2 3" xfId="16009" xr:uid="{C08F120F-7CC1-4EEB-A06A-816B435EB5B2}"/>
    <cellStyle name="Normal 4 7 2 4 3" xfId="8462" xr:uid="{A22906B9-4109-4F4C-BBF4-B084F26F0CCC}"/>
    <cellStyle name="Normal 4 7 2 4 3 2" xfId="18842" xr:uid="{1C94C6A9-D861-4BBE-9AA3-04ABD8CF95D3}"/>
    <cellStyle name="Normal 4 7 2 4 4" xfId="11295" xr:uid="{6BD22341-7B6C-4FB8-90AE-11D2A7650CD1}"/>
    <cellStyle name="Normal 4 7 2 4 4 2" xfId="21675" xr:uid="{2F38134A-C2EE-47AB-A1CD-74FA4985A5C7}"/>
    <cellStyle name="Normal 4 7 2 4 5" xfId="24340" xr:uid="{6965742A-DABB-4B5D-9CE3-B0D88D66FD56}"/>
    <cellStyle name="Normal 4 7 2 4 6" xfId="13949" xr:uid="{B6052090-0D22-43E5-88F5-DDA9F623168E}"/>
    <cellStyle name="Normal 4 7 2 5" xfId="2523" xr:uid="{00000000-0005-0000-0000-0000A0060000}"/>
    <cellStyle name="Normal 4 7 2 5 2" xfId="5800" xr:uid="{1AC14EAF-8ADA-411F-A2C1-37BEE74DE42E}"/>
    <cellStyle name="Normal 4 7 2 5 2 2" xfId="26469" xr:uid="{117D4155-8638-4B52-8860-014C54F77B84}"/>
    <cellStyle name="Normal 4 7 2 5 2 3" xfId="15195" xr:uid="{F470E651-EC4D-4C74-8AF6-4B70F2FCE2D5}"/>
    <cellStyle name="Normal 4 7 2 5 3" xfId="7648" xr:uid="{AC2A7936-D137-45E5-821B-FF609AA4C807}"/>
    <cellStyle name="Normal 4 7 2 5 3 2" xfId="18028" xr:uid="{58297419-9B42-45A9-8950-5062F9D9CCED}"/>
    <cellStyle name="Normal 4 7 2 5 4" xfId="10481" xr:uid="{05309789-5721-4EE0-BED9-D5CC4AA4F93F}"/>
    <cellStyle name="Normal 4 7 2 5 4 2" xfId="20861" xr:uid="{16FD0403-A5A0-41B4-980F-E4E5CA6782A1}"/>
    <cellStyle name="Normal 4 7 2 5 5" xfId="23081" xr:uid="{71E1624A-1843-43BD-9FAC-84A73E78AD77}"/>
    <cellStyle name="Normal 4 7 2 5 6" xfId="12911" xr:uid="{F3420428-407E-4F95-BBFF-207AD811E7A4}"/>
    <cellStyle name="Normal 4 7 2 6" xfId="2376" xr:uid="{00000000-0005-0000-0000-00009B060000}"/>
    <cellStyle name="Normal 4 7 2 6 2" xfId="7503" xr:uid="{769F161F-E878-49EA-8072-B568DBC03A28}"/>
    <cellStyle name="Normal 4 7 2 6 2 2" xfId="17883" xr:uid="{7C18E9CA-EA6B-48B2-A9F0-EA0B1DAC3E03}"/>
    <cellStyle name="Normal 4 7 2 6 3" xfId="10336" xr:uid="{90998299-42E9-496E-8965-36CD62139D03}"/>
    <cellStyle name="Normal 4 7 2 6 3 2" xfId="20716" xr:uid="{6FAC6990-7233-46E1-B31D-9D1FDFF969E7}"/>
    <cellStyle name="Normal 4 7 2 6 4" xfId="24502" xr:uid="{1924E8D1-A701-45E4-82EE-829B5B013230}"/>
    <cellStyle name="Normal 4 7 2 6 5" xfId="15050" xr:uid="{F18E1523-3355-49B4-80C9-2784B61EFC05}"/>
    <cellStyle name="Normal 4 7 2 7" xfId="3941" xr:uid="{9A2BB48D-FADA-4B23-A83B-8D431BD98AFA}"/>
    <cellStyle name="Normal 4 7 2 7 2" xfId="8773" xr:uid="{205B2BCB-1F78-4D50-B231-1502D096C554}"/>
    <cellStyle name="Normal 4 7 2 7 2 2" xfId="19153" xr:uid="{A77F6656-C547-4095-9BA2-3AA9FE2C626B}"/>
    <cellStyle name="Normal 4 7 2 7 3" xfId="11606" xr:uid="{81CBB1C2-C06C-4A59-B37A-19E4D285DD49}"/>
    <cellStyle name="Normal 4 7 2 7 3 2" xfId="21986" xr:uid="{826A3372-9C55-4A35-8393-4EA473919891}"/>
    <cellStyle name="Normal 4 7 2 7 4" xfId="16320" xr:uid="{68465F4B-39FB-4BAF-A0DD-78AC77D86B4E}"/>
    <cellStyle name="Normal 4 7 2 8" xfId="5334" xr:uid="{13546F49-DAB2-463E-958C-F5E4FC99F3B6}"/>
    <cellStyle name="Normal 4 7 2 8 2" xfId="14632" xr:uid="{2269BC98-E52E-4AEF-9318-3A0C7BF899CA}"/>
    <cellStyle name="Normal 4 7 2 9" xfId="7085" xr:uid="{33C0665B-8DFC-4FC7-BA5E-9DFF3D24B26A}"/>
    <cellStyle name="Normal 4 7 2 9 2" xfId="17465" xr:uid="{32C2A2A0-758E-4D70-A747-30F54F2880C2}"/>
    <cellStyle name="Normal 4 7 3" xfId="1033" xr:uid="{00000000-0005-0000-0000-0000BB050000}"/>
    <cellStyle name="Normal 4 7 3 10" xfId="23218" xr:uid="{B23255F7-F4B4-46C6-BDC3-F7F7DFB45E4A}"/>
    <cellStyle name="Normal 4 7 3 11" xfId="12768" xr:uid="{5B9B4569-F3DC-453F-AD77-C2CDBB04CD4C}"/>
    <cellStyle name="Normal 4 7 3 2" xfId="2801" xr:uid="{00000000-0005-0000-0000-0000A2060000}"/>
    <cellStyle name="Normal 4 7 3 2 2" xfId="3386" xr:uid="{00000000-0005-0000-0000-0000A3060000}"/>
    <cellStyle name="Normal 4 7 3 2 2 2" xfId="6444" xr:uid="{53810B6E-C53B-43D6-AE3D-46C149E1B3A1}"/>
    <cellStyle name="Normal 4 7 3 2 2 2 2" xfId="27861" xr:uid="{922C9D80-9D89-4676-A90B-FCD9E2F55F3A}"/>
    <cellStyle name="Normal 4 7 3 2 2 2 3" xfId="16013" xr:uid="{EE8F8F7A-6623-4A9F-AC91-6EE3BC856599}"/>
    <cellStyle name="Normal 4 7 3 2 2 3" xfId="8466" xr:uid="{987597A1-1E85-465F-8B60-C8E171A18F9A}"/>
    <cellStyle name="Normal 4 7 3 2 2 3 2" xfId="18846" xr:uid="{AD69400C-C4E8-42CD-8880-52DE0A26604D}"/>
    <cellStyle name="Normal 4 7 3 2 2 4" xfId="11299" xr:uid="{25156719-1487-4052-A1B6-39B57135340C}"/>
    <cellStyle name="Normal 4 7 3 2 2 4 2" xfId="21679" xr:uid="{0694350B-6E7D-4D01-B7CC-180A5898F4DF}"/>
    <cellStyle name="Normal 4 7 3 2 2 5" xfId="24236" xr:uid="{1AA7E446-D1B4-4ADD-BC9E-A6D05A68F541}"/>
    <cellStyle name="Normal 4 7 3 2 2 6" xfId="13953" xr:uid="{57FFFDF5-F0ED-4873-B3C0-9C23ED89195F}"/>
    <cellStyle name="Normal 4 7 3 2 3" xfId="4353" xr:uid="{F2D3C5C8-BAE8-4D9C-8DFE-4C96ED79DDF2}"/>
    <cellStyle name="Normal 4 7 3 2 3 2" xfId="9125" xr:uid="{A49144D0-4FE4-49F0-A873-33B5C37A2C6A}"/>
    <cellStyle name="Normal 4 7 3 2 3 2 2" xfId="29168" xr:uid="{1A3937BD-0170-4894-8AD8-4C2E846B41A3}"/>
    <cellStyle name="Normal 4 7 3 2 3 2 3" xfId="19505" xr:uid="{174F01A6-25FE-4035-A4BF-51FD59274363}"/>
    <cellStyle name="Normal 4 7 3 2 3 3" xfId="11958" xr:uid="{8C135C48-1145-490B-B793-34B596722489}"/>
    <cellStyle name="Normal 4 7 3 2 3 3 2" xfId="22338" xr:uid="{4F9D8817-78BB-4B17-A34F-5D9FC35D447A}"/>
    <cellStyle name="Normal 4 7 3 2 3 4" xfId="25532" xr:uid="{DFC30A2A-229D-400B-B244-DFA9FC8D4734}"/>
    <cellStyle name="Normal 4 7 3 2 3 5" xfId="16672" xr:uid="{1C831B97-2D5D-4E91-86F5-9A9EEC6E1B8E}"/>
    <cellStyle name="Normal 4 7 3 2 4" xfId="6019" xr:uid="{8FFFC580-834C-44BE-8CD3-430B44793A15}"/>
    <cellStyle name="Normal 4 7 3 2 4 2" xfId="28637" xr:uid="{15FC67DB-08EC-4071-88B1-443275FF92F3}"/>
    <cellStyle name="Normal 4 7 3 2 4 3" xfId="15472" xr:uid="{F902FE6B-2ED5-47E7-91FE-6E0FF680D717}"/>
    <cellStyle name="Normal 4 7 3 2 5" xfId="7925" xr:uid="{D959163E-A8B4-47B6-96F1-4D896F486CB6}"/>
    <cellStyle name="Normal 4 7 3 2 5 2" xfId="18305" xr:uid="{0018F348-2C9B-41A8-A852-EE2BC648AA2E}"/>
    <cellStyle name="Normal 4 7 3 2 6" xfId="10758" xr:uid="{027BA73A-DF2F-4918-82A3-C0134AE5FF7B}"/>
    <cellStyle name="Normal 4 7 3 2 6 2" xfId="21138" xr:uid="{C64351CD-0232-4399-8F6D-BE020A06A669}"/>
    <cellStyle name="Normal 4 7 3 2 7" xfId="22934" xr:uid="{64832F62-A492-4AE4-BE82-8EFB4A39830D}"/>
    <cellStyle name="Normal 4 7 3 2 8" xfId="13265" xr:uid="{3905BF4B-7F26-4FB9-AD8A-D397C10486DE}"/>
    <cellStyle name="Normal 4 7 3 3" xfId="3387" xr:uid="{00000000-0005-0000-0000-0000A4060000}"/>
    <cellStyle name="Normal 4 7 3 3 2" xfId="4551" xr:uid="{1A165274-7D2D-4845-81C7-9F9CA3DCC295}"/>
    <cellStyle name="Normal 4 7 3 3 2 2" xfId="9323" xr:uid="{21017B07-9533-48F2-B76A-A9904B1E572D}"/>
    <cellStyle name="Normal 4 7 3 3 2 2 2" xfId="29298" xr:uid="{92DAF1EC-399A-4473-9A26-D4AD3C49A537}"/>
    <cellStyle name="Normal 4 7 3 3 2 2 3" xfId="19703" xr:uid="{E71B1D6B-637F-41AC-B085-44710507AB2C}"/>
    <cellStyle name="Normal 4 7 3 3 2 3" xfId="12156" xr:uid="{76545C79-C1E2-4205-AEB0-60C9055EB96D}"/>
    <cellStyle name="Normal 4 7 3 3 2 3 2" xfId="22536" xr:uid="{8252839B-50AF-4E47-B69C-62417D030820}"/>
    <cellStyle name="Normal 4 7 3 3 2 4" xfId="25616" xr:uid="{637A9F53-2129-4063-921B-5BD1687D5E8B}"/>
    <cellStyle name="Normal 4 7 3 3 2 5" xfId="16870" xr:uid="{2CBBAB85-9FF0-42EB-8DC7-FCAAD67F3D9B}"/>
    <cellStyle name="Normal 4 7 3 3 3" xfId="6445" xr:uid="{2559EC73-01AB-4BE6-A858-866E4A0C693F}"/>
    <cellStyle name="Normal 4 7 3 3 3 2" xfId="28121" xr:uid="{AB0AF7AD-5560-48ED-BBAE-26CC74CFAACA}"/>
    <cellStyle name="Normal 4 7 3 3 3 3" xfId="16014" xr:uid="{FB973B5B-099F-4680-AF5B-352F45B579C1}"/>
    <cellStyle name="Normal 4 7 3 3 4" xfId="8467" xr:uid="{367044B2-E779-46AB-A5B5-81DFF701B7A8}"/>
    <cellStyle name="Normal 4 7 3 3 4 2" xfId="18847" xr:uid="{D40E5ABF-24A8-4F3E-813F-4EA94B08E4CC}"/>
    <cellStyle name="Normal 4 7 3 3 5" xfId="11300" xr:uid="{B9B4D268-90DE-40C9-8B09-C131EF47E421}"/>
    <cellStyle name="Normal 4 7 3 3 5 2" xfId="21680" xr:uid="{8A80F0E3-ED14-4D82-8BC7-7D8F9EA01122}"/>
    <cellStyle name="Normal 4 7 3 3 6" xfId="24999" xr:uid="{7F6158B9-9876-495F-8DF5-4CACFE99AB03}"/>
    <cellStyle name="Normal 4 7 3 3 7" xfId="13954" xr:uid="{177470DF-4091-4B6E-B0A3-4B0D9B91F2E4}"/>
    <cellStyle name="Normal 4 7 3 4" xfId="3385" xr:uid="{00000000-0005-0000-0000-0000A5060000}"/>
    <cellStyle name="Normal 4 7 3 4 2" xfId="6443" xr:uid="{B57E6A99-9D37-46F1-86C4-1665A67C78CA}"/>
    <cellStyle name="Normal 4 7 3 4 2 2" xfId="27720" xr:uid="{35086D57-83FE-470F-9779-AD8EA3F5608F}"/>
    <cellStyle name="Normal 4 7 3 4 2 3" xfId="16012" xr:uid="{93D24E2A-F630-477B-9CF3-DB560698D985}"/>
    <cellStyle name="Normal 4 7 3 4 3" xfId="8465" xr:uid="{67BFA435-4966-48C1-9AEE-BE2730AED301}"/>
    <cellStyle name="Normal 4 7 3 4 3 2" xfId="18845" xr:uid="{C4D13922-CE08-4A44-A88F-FD569EC6A9B5}"/>
    <cellStyle name="Normal 4 7 3 4 4" xfId="11298" xr:uid="{BABB8930-1355-46D6-A763-80D50C44C383}"/>
    <cellStyle name="Normal 4 7 3 4 4 2" xfId="21678" xr:uid="{C907EC8E-8F9B-4F15-88B2-FD60624213FF}"/>
    <cellStyle name="Normal 4 7 3 4 5" xfId="24445" xr:uid="{C135DED2-7814-4405-B062-AEB9A2623711}"/>
    <cellStyle name="Normal 4 7 3 4 6" xfId="13952" xr:uid="{925FDADB-741E-453C-BDB1-A14A8AFBF160}"/>
    <cellStyle name="Normal 4 7 3 5" xfId="2626" xr:uid="{00000000-0005-0000-0000-0000A6060000}"/>
    <cellStyle name="Normal 4 7 3 5 2" xfId="5888" xr:uid="{467E7569-D1DD-41C7-8C42-647AD7DF3179}"/>
    <cellStyle name="Normal 4 7 3 5 2 2" xfId="26532" xr:uid="{76B339F9-1083-444A-9CBE-37140A9D40E6}"/>
    <cellStyle name="Normal 4 7 3 5 2 3" xfId="15298" xr:uid="{948ECB5D-E4FA-42A5-80B8-D9B79CF7CD33}"/>
    <cellStyle name="Normal 4 7 3 5 3" xfId="7751" xr:uid="{F56D7C1A-5CC2-4803-8EC0-F89C274DEF58}"/>
    <cellStyle name="Normal 4 7 3 5 3 2" xfId="18131" xr:uid="{84E8834E-20A7-46A3-9C3E-C6E062ED13C8}"/>
    <cellStyle name="Normal 4 7 3 5 4" xfId="10584" xr:uid="{C7D846FE-8615-42A3-BF1D-2893344EBB91}"/>
    <cellStyle name="Normal 4 7 3 5 4 2" xfId="20964" xr:uid="{BB17348A-AB35-40FE-B741-367C816F42E2}"/>
    <cellStyle name="Normal 4 7 3 5 5" xfId="24285" xr:uid="{F61C2860-C58E-46C6-8409-4FFC8CA3C0A9}"/>
    <cellStyle name="Normal 4 7 3 5 6" xfId="13014" xr:uid="{78609EAF-EFE9-4A1E-B1AE-DE10254DF8F3}"/>
    <cellStyle name="Normal 4 7 3 6" xfId="4202" xr:uid="{FB33D749-A623-47A1-A7DC-8EC67DD0405B}"/>
    <cellStyle name="Normal 4 7 3 6 2" xfId="8974" xr:uid="{FDA51955-8791-428A-8F87-6E902F65568A}"/>
    <cellStyle name="Normal 4 7 3 6 2 2" xfId="19354" xr:uid="{7140A27B-0B13-40A9-A699-67404A1F7F75}"/>
    <cellStyle name="Normal 4 7 3 6 3" xfId="11807" xr:uid="{02D7088C-C31C-4B88-947A-DDC072D56879}"/>
    <cellStyle name="Normal 4 7 3 6 3 2" xfId="22187" xr:uid="{1A8FAFBF-CC8B-4EA7-82A4-F2D76EBBB64A}"/>
    <cellStyle name="Normal 4 7 3 6 4" xfId="24266" xr:uid="{E02FEA3B-468A-40C0-BC2D-348E7AE01BFF}"/>
    <cellStyle name="Normal 4 7 3 6 5" xfId="16521" xr:uid="{B367F241-D9A8-4AB9-A5AD-1000D26A3B42}"/>
    <cellStyle name="Normal 4 7 3 7" xfId="5336" xr:uid="{58BE4E7E-F5FF-439E-978A-AF357221A2F9}"/>
    <cellStyle name="Normal 4 7 3 7 2" xfId="14634" xr:uid="{B160EAE7-2B0E-401E-8AC0-4034E825233C}"/>
    <cellStyle name="Normal 4 7 3 8" xfId="7087" xr:uid="{CECA2A84-0C2A-4E0E-BB1F-EE2345128D84}"/>
    <cellStyle name="Normal 4 7 3 8 2" xfId="17467" xr:uid="{DB124342-2633-4FBF-BD15-2D33BC0A29E7}"/>
    <cellStyle name="Normal 4 7 3 9" xfId="9920" xr:uid="{B588683A-1EF9-49B5-A3BD-82F505139439}"/>
    <cellStyle name="Normal 4 7 3 9 2" xfId="20300" xr:uid="{106BF3F6-63AD-4F0C-A036-62CAC7501F23}"/>
    <cellStyle name="Normal 4 7 4" xfId="1034" xr:uid="{00000000-0005-0000-0000-0000BC050000}"/>
    <cellStyle name="Normal 4 7 4 2" xfId="3388" xr:uid="{00000000-0005-0000-0000-0000A8060000}"/>
    <cellStyle name="Normal 4 7 4 2 2" xfId="6446" xr:uid="{FD891397-8334-4F44-B2C4-56922778E1F9}"/>
    <cellStyle name="Normal 4 7 4 2 2 2" xfId="27169" xr:uid="{14E18352-F4FB-4D06-92DF-366278A948F0}"/>
    <cellStyle name="Normal 4 7 4 2 2 3" xfId="16015" xr:uid="{A728E423-9CBE-452C-84D6-DA8535635E1E}"/>
    <cellStyle name="Normal 4 7 4 2 3" xfId="8468" xr:uid="{43FDE11D-6573-4D36-A25B-606951578EAB}"/>
    <cellStyle name="Normal 4 7 4 2 3 2" xfId="18848" xr:uid="{0E50BC27-C20A-4AAB-A0B7-C919FE3AE2BA}"/>
    <cellStyle name="Normal 4 7 4 2 4" xfId="11301" xr:uid="{5055A7E8-A0FC-4BD5-910C-28427D9345B0}"/>
    <cellStyle name="Normal 4 7 4 2 4 2" xfId="21681" xr:uid="{EB971B07-4D8E-4A44-B85D-AF9C7609AF55}"/>
    <cellStyle name="Normal 4 7 4 2 5" xfId="25510" xr:uid="{79801D7F-59F0-4C0B-93D3-156EC60B82D5}"/>
    <cellStyle name="Normal 4 7 4 2 6" xfId="13955" xr:uid="{966C5FA1-B594-4EED-9289-57738A45AFF7}"/>
    <cellStyle name="Normal 4 7 4 3" xfId="4351" xr:uid="{0171176F-39CE-44B5-A480-3D9153E12332}"/>
    <cellStyle name="Normal 4 7 4 3 2" xfId="9123" xr:uid="{FEE9070C-3614-4F3E-B87E-CC3269B95B6C}"/>
    <cellStyle name="Normal 4 7 4 3 2 2" xfId="29166" xr:uid="{CE131DC5-BF72-42BF-8EBE-38EB427C7BEC}"/>
    <cellStyle name="Normal 4 7 4 3 2 3" xfId="19503" xr:uid="{6C44936C-282E-4706-8A77-6721B9A79177}"/>
    <cellStyle name="Normal 4 7 4 3 3" xfId="11956" xr:uid="{04F42CBE-42E1-4190-BA4C-F8C08E80A45B}"/>
    <cellStyle name="Normal 4 7 4 3 3 2" xfId="22336" xr:uid="{B6D132A1-D984-4C1C-A3E6-2063CCE02F8C}"/>
    <cellStyle name="Normal 4 7 4 3 4" xfId="24656" xr:uid="{08338032-EEE5-4928-875B-7E0858B9F159}"/>
    <cellStyle name="Normal 4 7 4 3 5" xfId="16670" xr:uid="{B8B7285C-A24E-4A2C-A53B-D96F4C63D471}"/>
    <cellStyle name="Normal 4 7 4 4" xfId="5337" xr:uid="{B016F4A0-D05B-4FE3-B6DC-3B377F36D9D9}"/>
    <cellStyle name="Normal 4 7 4 4 2" xfId="27134" xr:uid="{AFBDEBCF-A32A-4D62-8D60-42CEC6EA2C9B}"/>
    <cellStyle name="Normal 4 7 4 4 3" xfId="14635" xr:uid="{B30A266E-ADB7-4B04-8ED4-270865894F7D}"/>
    <cellStyle name="Normal 4 7 4 5" xfId="7088" xr:uid="{8656F3D8-2A5D-4D5B-BBBC-E5464E3E3920}"/>
    <cellStyle name="Normal 4 7 4 5 2" xfId="17468" xr:uid="{71C7C10F-B6D6-4218-A674-F13DA0471321}"/>
    <cellStyle name="Normal 4 7 4 6" xfId="9921" xr:uid="{C4D45CEE-C45F-4FDB-A4B4-54CE41E6640E}"/>
    <cellStyle name="Normal 4 7 4 6 2" xfId="20301" xr:uid="{923A9ECC-B39B-42BE-AE4F-848FCB9F9C9A}"/>
    <cellStyle name="Normal 4 7 4 7" xfId="23635" xr:uid="{059C9136-819D-42E1-B24B-81E5236E9C4C}"/>
    <cellStyle name="Normal 4 7 4 8" xfId="13263" xr:uid="{78A61C52-0EB4-4A22-B21E-6AC973B0CB2B}"/>
    <cellStyle name="Normal 4 7 5" xfId="3389" xr:uid="{00000000-0005-0000-0000-0000A9060000}"/>
    <cellStyle name="Normal 4 7 5 2" xfId="4552" xr:uid="{1AC12079-FAAE-4952-8A63-9E520EA71BD6}"/>
    <cellStyle name="Normal 4 7 5 2 2" xfId="9324" xr:uid="{8F237C10-887B-406C-9296-1B65BC9ECACE}"/>
    <cellStyle name="Normal 4 7 5 2 2 2" xfId="29299" xr:uid="{2700BF11-F8F9-4C83-BEC9-DF9DEB27EE8A}"/>
    <cellStyle name="Normal 4 7 5 2 2 3" xfId="19704" xr:uid="{06CFF376-4B8A-4378-BD56-36D1F63F9218}"/>
    <cellStyle name="Normal 4 7 5 2 3" xfId="12157" xr:uid="{06B4C537-F745-4E19-B271-A79299626284}"/>
    <cellStyle name="Normal 4 7 5 2 3 2" xfId="22537" xr:uid="{CB6D4BA7-0D72-4DD1-948F-BC28E4DC62E2}"/>
    <cellStyle name="Normal 4 7 5 2 4" xfId="23504" xr:uid="{7A2135C5-4325-4B96-8CA5-4658F0B8CAE5}"/>
    <cellStyle name="Normal 4 7 5 2 5" xfId="16871" xr:uid="{91FEC4DC-D85D-4ECF-828A-109546493296}"/>
    <cellStyle name="Normal 4 7 5 3" xfId="6447" xr:uid="{1010A598-4F8B-4B42-BA60-88973C19D759}"/>
    <cellStyle name="Normal 4 7 5 3 2" xfId="28410" xr:uid="{EF52E748-5F8A-4362-9E35-4E655BE28529}"/>
    <cellStyle name="Normal 4 7 5 3 3" xfId="16016" xr:uid="{F7F982E8-3334-4350-9811-03001F6F76C9}"/>
    <cellStyle name="Normal 4 7 5 4" xfId="8469" xr:uid="{403FCCE6-6F4D-46CC-A7EA-58A68A8988A6}"/>
    <cellStyle name="Normal 4 7 5 4 2" xfId="18849" xr:uid="{6161F666-5627-4304-A235-3A091AE22388}"/>
    <cellStyle name="Normal 4 7 5 5" xfId="11302" xr:uid="{8B281023-1159-4147-AC5E-52CD14096041}"/>
    <cellStyle name="Normal 4 7 5 5 2" xfId="21682" xr:uid="{B0F7BB96-F83E-472F-AE1A-73C1FEE99CD3}"/>
    <cellStyle name="Normal 4 7 5 6" xfId="24109" xr:uid="{5B227303-F15B-4221-AD36-24A5A5068E25}"/>
    <cellStyle name="Normal 4 7 5 7" xfId="13956" xr:uid="{E48D1D16-C7EF-4283-9258-9D6B0B2DB5BE}"/>
    <cellStyle name="Normal 4 7 6" xfId="2945" xr:uid="{00000000-0005-0000-0000-0000AA060000}"/>
    <cellStyle name="Normal 4 7 6 2" xfId="6125" xr:uid="{F615DED7-A8A1-4773-8FB6-A8CFFB8A3E29}"/>
    <cellStyle name="Normal 4 7 6 2 2" xfId="26019" xr:uid="{EDD28773-EB40-43A0-81A7-D8703487BEFE}"/>
    <cellStyle name="Normal 4 7 6 2 3" xfId="15603" xr:uid="{2AE3843D-DAA7-4879-95D1-9719036EED47}"/>
    <cellStyle name="Normal 4 7 6 3" xfId="8056" xr:uid="{AC28A63F-6B80-4564-988E-C166759FBEA6}"/>
    <cellStyle name="Normal 4 7 6 3 2" xfId="18436" xr:uid="{F6019E17-2720-4A10-98D8-361802ADE904}"/>
    <cellStyle name="Normal 4 7 6 4" xfId="10889" xr:uid="{37A84365-2A49-43CC-A4F0-4B7CE36ADA6C}"/>
    <cellStyle name="Normal 4 7 6 4 2" xfId="21269" xr:uid="{B364E9EE-1067-4834-8492-3B98479CFE23}"/>
    <cellStyle name="Normal 4 7 6 5" xfId="23692" xr:uid="{8329929E-E0B0-43D4-A5B4-DF7C31A3F077}"/>
    <cellStyle name="Normal 4 7 6 6" xfId="13466" xr:uid="{32EC6C28-971A-4668-B6F6-4013290CF67E}"/>
    <cellStyle name="Normal 4 7 7" xfId="2463" xr:uid="{00000000-0005-0000-0000-0000AB060000}"/>
    <cellStyle name="Normal 4 7 7 2" xfId="5754" xr:uid="{1E182BFF-53A3-419D-8B78-9CF8C2552F20}"/>
    <cellStyle name="Normal 4 7 7 2 2" xfId="26646" xr:uid="{6DE66B16-01B0-4400-8558-9A854364871F}"/>
    <cellStyle name="Normal 4 7 7 2 3" xfId="15135" xr:uid="{189A590E-9E8B-4FAE-AB18-A6A3DF38D4D2}"/>
    <cellStyle name="Normal 4 7 7 3" xfId="7588" xr:uid="{9631383F-EA73-420F-9B7C-B7DBB081BD3F}"/>
    <cellStyle name="Normal 4 7 7 3 2" xfId="17968" xr:uid="{8DCEF87A-4EBB-4150-BA66-B616970B0F28}"/>
    <cellStyle name="Normal 4 7 7 4" xfId="10421" xr:uid="{E881F229-E8F5-431F-BF42-0D7520F8F52B}"/>
    <cellStyle name="Normal 4 7 7 4 2" xfId="20801" xr:uid="{50F9BEC4-804D-48B7-B495-FC7FF5063A4C}"/>
    <cellStyle name="Normal 4 7 7 5" xfId="25400" xr:uid="{182EF9FF-8287-4F59-9452-65A72BE06BC2}"/>
    <cellStyle name="Normal 4 7 7 6" xfId="12851" xr:uid="{8420457E-9B08-4741-8C26-390042569F50}"/>
    <cellStyle name="Normal 4 7 8" xfId="2217" xr:uid="{00000000-0005-0000-0000-00009A060000}"/>
    <cellStyle name="Normal 4 7 8 2" xfId="7344" xr:uid="{391F0690-FC1E-4043-AB5F-2D55CB99CFDE}"/>
    <cellStyle name="Normal 4 7 8 2 2" xfId="17724" xr:uid="{BB350AC2-7109-4CB0-B5D9-ACAF48401B53}"/>
    <cellStyle name="Normal 4 7 8 3" xfId="10177" xr:uid="{2D5AC400-5AEA-4B23-A763-438F939FC9C1}"/>
    <cellStyle name="Normal 4 7 8 3 2" xfId="20557" xr:uid="{DD553A7C-8908-4545-AB7B-0874A202CDF3}"/>
    <cellStyle name="Normal 4 7 8 4" xfId="25273" xr:uid="{44F47FBC-07A1-452C-B590-775A4DD7ECC2}"/>
    <cellStyle name="Normal 4 7 8 5" xfId="14891" xr:uid="{141A1A32-2580-4523-8911-D5D48711AF63}"/>
    <cellStyle name="Normal 4 7 9" xfId="3997" xr:uid="{F9366F69-AABF-49B2-ACE2-2A92D4BFADA6}"/>
    <cellStyle name="Normal 4 7 9 2" xfId="8821" xr:uid="{DF857D7A-A4BA-4849-BAA1-99D352DC3C25}"/>
    <cellStyle name="Normal 4 7 9 2 2" xfId="19201" xr:uid="{B4FDC014-8D46-424D-88C9-8795081D17FD}"/>
    <cellStyle name="Normal 4 7 9 3" xfId="11654" xr:uid="{0F212C51-7461-4ACB-946C-A88A76CA55D0}"/>
    <cellStyle name="Normal 4 7 9 3 2" xfId="22034" xr:uid="{42E3AB64-8C3D-4294-8A24-241D6B7BC120}"/>
    <cellStyle name="Normal 4 7 9 4" xfId="16368" xr:uid="{0F6DCDA7-6629-4A18-9260-323E0A63C54D}"/>
    <cellStyle name="Normal 4 8" xfId="1035" xr:uid="{00000000-0005-0000-0000-0000BD050000}"/>
    <cellStyle name="Normal 4 8 10" xfId="7089" xr:uid="{0E68DBD6-B580-4FB4-A252-D85A6822BE94}"/>
    <cellStyle name="Normal 4 8 10 2" xfId="17469" xr:uid="{8824C5FA-9947-42C6-AD38-C3E6D1739F48}"/>
    <cellStyle name="Normal 4 8 11" xfId="9922" xr:uid="{25430173-3613-4ECB-A55F-FC8C49491788}"/>
    <cellStyle name="Normal 4 8 11 2" xfId="20302" xr:uid="{4F67A3E3-6E0B-4957-8ABA-DD956505FBC6}"/>
    <cellStyle name="Normal 4 8 12" xfId="24988" xr:uid="{54460413-664E-4E30-BE9E-48C3BB321303}"/>
    <cellStyle name="Normal 4 8 13" xfId="12432" xr:uid="{ED88C738-33A7-448E-827E-42403932E6F6}"/>
    <cellStyle name="Normal 4 8 2" xfId="1036" xr:uid="{00000000-0005-0000-0000-0000BE050000}"/>
    <cellStyle name="Normal 4 8 2 10" xfId="9923" xr:uid="{52E3C84E-B966-45DB-8254-F2F7DEB13D1D}"/>
    <cellStyle name="Normal 4 8 2 10 2" xfId="20303" xr:uid="{DA8A5918-5FA1-481C-A682-EED4A60277A9}"/>
    <cellStyle name="Normal 4 8 2 11" xfId="23528" xr:uid="{4383186B-EFAA-4C26-B1E2-3524DDA7E32D}"/>
    <cellStyle name="Normal 4 8 2 12" xfId="12611" xr:uid="{E7A10BB2-5975-4E4F-9870-033EECFD50EB}"/>
    <cellStyle name="Normal 4 8 2 2" xfId="1037" xr:uid="{00000000-0005-0000-0000-0000BF050000}"/>
    <cellStyle name="Normal 4 8 2 2 2" xfId="3391" xr:uid="{00000000-0005-0000-0000-0000AF060000}"/>
    <cellStyle name="Normal 4 8 2 2 2 2" xfId="6449" xr:uid="{4D6A5572-506B-4738-A098-8740C14C0E42}"/>
    <cellStyle name="Normal 4 8 2 2 2 2 2" xfId="26342" xr:uid="{BE6B9EF0-AC47-43E0-B016-F13AEC884F0F}"/>
    <cellStyle name="Normal 4 8 2 2 2 2 3" xfId="27307" xr:uid="{4FDA63DE-1E05-4711-98A9-1322BB99A607}"/>
    <cellStyle name="Normal 4 8 2 2 2 2 4" xfId="16018" xr:uid="{0E300A29-A2B3-482C-8C33-AA1E0CFC7F2C}"/>
    <cellStyle name="Normal 4 8 2 2 2 3" xfId="8471" xr:uid="{C50F841F-A775-48C7-ACE5-816F7E765325}"/>
    <cellStyle name="Normal 4 8 2 2 2 3 2" xfId="28921" xr:uid="{75AF749C-2826-497C-A038-1E4DAFDDE239}"/>
    <cellStyle name="Normal 4 8 2 2 2 3 3" xfId="18851" xr:uid="{84CC2466-7A0F-4FCA-83BF-9B4FED299935}"/>
    <cellStyle name="Normal 4 8 2 2 2 4" xfId="11304" xr:uid="{57F4A539-C415-4349-B4C9-2DFEE462097F}"/>
    <cellStyle name="Normal 4 8 2 2 2 4 2" xfId="21684" xr:uid="{3CB5222B-EE71-4A68-BEA0-C37FFEDBD398}"/>
    <cellStyle name="Normal 4 8 2 2 2 5" xfId="23698" xr:uid="{94635B12-FD7A-43DA-BA4D-6DE95FA5EB48}"/>
    <cellStyle name="Normal 4 8 2 2 2 6" xfId="13958" xr:uid="{832892E7-520A-41C8-A90D-07BA918B1FCA}"/>
    <cellStyle name="Normal 4 8 2 2 3" xfId="4354" xr:uid="{46BF9421-B460-4CEA-AD65-4E77C63643CC}"/>
    <cellStyle name="Normal 4 8 2 2 3 2" xfId="9126" xr:uid="{A422A131-7302-48F1-AAE4-90C9AD87957D}"/>
    <cellStyle name="Normal 4 8 2 2 3 2 2" xfId="29169" xr:uid="{294C0ECC-CA0D-4F6F-AA64-9154E4DDEB0A}"/>
    <cellStyle name="Normal 4 8 2 2 3 2 3" xfId="19506" xr:uid="{5CBD84B9-7B0E-4182-A126-A387E0E76624}"/>
    <cellStyle name="Normal 4 8 2 2 3 3" xfId="11959" xr:uid="{416F40D4-C528-4670-9900-C208EDF59E30}"/>
    <cellStyle name="Normal 4 8 2 2 3 3 2" xfId="22339" xr:uid="{00B1E31D-A4A2-45C3-97CA-86A58ADD1BC7}"/>
    <cellStyle name="Normal 4 8 2 2 3 4" xfId="22788" xr:uid="{63212859-BC98-4112-8BEF-6665B53BAE35}"/>
    <cellStyle name="Normal 4 8 2 2 3 5" xfId="16673" xr:uid="{94F82AF7-9392-4E31-9F6B-45C925077D59}"/>
    <cellStyle name="Normal 4 8 2 2 4" xfId="5340" xr:uid="{92FF8351-AB21-49A2-B6A0-C694DF35FCDA}"/>
    <cellStyle name="Normal 4 8 2 2 4 2" xfId="25954" xr:uid="{528296E9-E0CB-4EED-8AF0-BCE95ED72426}"/>
    <cellStyle name="Normal 4 8 2 2 4 3" xfId="14638" xr:uid="{CC1D89E6-F4EC-493D-BBF1-726B013C8046}"/>
    <cellStyle name="Normal 4 8 2 2 5" xfId="7091" xr:uid="{AD482192-52D6-4C76-B092-4015CB6876A2}"/>
    <cellStyle name="Normal 4 8 2 2 5 2" xfId="17471" xr:uid="{1C37D1B3-5026-4F66-8A87-B397473DE93F}"/>
    <cellStyle name="Normal 4 8 2 2 6" xfId="9924" xr:uid="{A2453B6D-EC41-42EF-B276-E49878F827C4}"/>
    <cellStyle name="Normal 4 8 2 2 6 2" xfId="20304" xr:uid="{5C8DC2F1-B8E3-4264-9DDE-1DD6AC8F8A5B}"/>
    <cellStyle name="Normal 4 8 2 2 7" xfId="24321" xr:uid="{4FF295D4-2EB3-4F3B-AE7E-3BEF51C8677C}"/>
    <cellStyle name="Normal 4 8 2 2 8" xfId="13267" xr:uid="{703CF99C-4DA0-421C-A25E-CE4D036BF2A8}"/>
    <cellStyle name="Normal 4 8 2 3" xfId="3392" xr:uid="{00000000-0005-0000-0000-0000B0060000}"/>
    <cellStyle name="Normal 4 8 2 3 2" xfId="4553" xr:uid="{1141795F-4970-4282-A437-A02733F5A0F8}"/>
    <cellStyle name="Normal 4 8 2 3 2 2" xfId="9325" xr:uid="{3C873FE4-0564-472E-864B-1C6A151969B6}"/>
    <cellStyle name="Normal 4 8 2 3 2 2 2" xfId="29300" xr:uid="{3315FAAD-144E-47FC-9945-3BCA6AF2304B}"/>
    <cellStyle name="Normal 4 8 2 3 2 2 3" xfId="19705" xr:uid="{57807E75-751D-4D7B-8013-DC671C3CC680}"/>
    <cellStyle name="Normal 4 8 2 3 2 3" xfId="12158" xr:uid="{27D5F749-3BA6-490A-A6AD-92B708FF5813}"/>
    <cellStyle name="Normal 4 8 2 3 2 3 2" xfId="22538" xr:uid="{FC102CA3-67E6-4835-A3DD-21204F44984A}"/>
    <cellStyle name="Normal 4 8 2 3 2 4" xfId="25316" xr:uid="{FC3A0BE0-4424-4B73-A103-BF8D9D09AD60}"/>
    <cellStyle name="Normal 4 8 2 3 2 5" xfId="16872" xr:uid="{48C5E890-F0FD-4A21-8D49-3BAEEAF74020}"/>
    <cellStyle name="Normal 4 8 2 3 3" xfId="6450" xr:uid="{3F9E7AF4-5E8F-4C9A-8343-C812E4436998}"/>
    <cellStyle name="Normal 4 8 2 3 3 2" xfId="28109" xr:uid="{A7FDA864-715C-4377-B7BA-43426A29F161}"/>
    <cellStyle name="Normal 4 8 2 3 3 3" xfId="16019" xr:uid="{C7FF072F-0902-4DDE-B846-E24342A749C4}"/>
    <cellStyle name="Normal 4 8 2 3 4" xfId="8472" xr:uid="{624BB4C6-C480-4D43-97F1-5DFEECBF6BF4}"/>
    <cellStyle name="Normal 4 8 2 3 4 2" xfId="18852" xr:uid="{CEC1651B-32B1-48F6-8B75-3D5C40A6311C}"/>
    <cellStyle name="Normal 4 8 2 3 5" xfId="11305" xr:uid="{C29A85E2-83AC-4A09-9970-A5EF9DA94884}"/>
    <cellStyle name="Normal 4 8 2 3 5 2" xfId="21685" xr:uid="{90BCEC2C-9ECF-460A-A569-052CCF24F8D8}"/>
    <cellStyle name="Normal 4 8 2 3 6" xfId="24787" xr:uid="{45DFC502-CC72-4268-B85E-6082DD850264}"/>
    <cellStyle name="Normal 4 8 2 3 7" xfId="13959" xr:uid="{AC055922-E2CD-43CC-8BA4-98B09E42C8C5}"/>
    <cellStyle name="Normal 4 8 2 4" xfId="3390" xr:uid="{00000000-0005-0000-0000-0000B1060000}"/>
    <cellStyle name="Normal 4 8 2 4 2" xfId="6448" xr:uid="{3798026B-38A6-4296-9ECD-B3DA5FA7B80D}"/>
    <cellStyle name="Normal 4 8 2 4 2 2" xfId="25996" xr:uid="{91044338-5D8B-4A4B-9C80-234B5EA1807C}"/>
    <cellStyle name="Normal 4 8 2 4 2 3" xfId="16017" xr:uid="{063A03D4-A676-469E-9ECF-7E0F6126DC3F}"/>
    <cellStyle name="Normal 4 8 2 4 3" xfId="8470" xr:uid="{B1F73A7A-2F5F-42DA-92A2-5229B7FFD291}"/>
    <cellStyle name="Normal 4 8 2 4 3 2" xfId="18850" xr:uid="{143363F1-5603-4EB7-8625-8E08D1B72DD9}"/>
    <cellStyle name="Normal 4 8 2 4 4" xfId="11303" xr:uid="{90DE5F27-D816-42D1-A24E-02F4D294DDE5}"/>
    <cellStyle name="Normal 4 8 2 4 4 2" xfId="21683" xr:uid="{9CCE3B56-B7F9-4E72-89C8-B7103F3AD266}"/>
    <cellStyle name="Normal 4 8 2 4 5" xfId="25062" xr:uid="{F2EFB454-6840-45DD-94BD-C5FC99910EA0}"/>
    <cellStyle name="Normal 4 8 2 4 6" xfId="13957" xr:uid="{79473D91-F358-4B53-8DD7-29CC7AA308C5}"/>
    <cellStyle name="Normal 4 8 2 5" xfId="2609" xr:uid="{00000000-0005-0000-0000-0000B2060000}"/>
    <cellStyle name="Normal 4 8 2 5 2" xfId="5873" xr:uid="{1BB1FCFC-5CF7-4CCC-B2A9-1229C5DDA142}"/>
    <cellStyle name="Normal 4 8 2 5 2 2" xfId="28570" xr:uid="{A13AD14A-D3DB-4D74-9461-E29CCE6B6935}"/>
    <cellStyle name="Normal 4 8 2 5 2 3" xfId="15281" xr:uid="{2EDCE808-A8D3-4316-B2C5-26C904252B45}"/>
    <cellStyle name="Normal 4 8 2 5 3" xfId="7734" xr:uid="{06C16159-EB5D-4718-8E34-5371EEF470A2}"/>
    <cellStyle name="Normal 4 8 2 5 3 2" xfId="18114" xr:uid="{8B52E96D-4AC7-42B3-A93C-4CAC5AB92841}"/>
    <cellStyle name="Normal 4 8 2 5 4" xfId="10567" xr:uid="{D9501F38-DF9C-44F6-9B7D-6AF33241A956}"/>
    <cellStyle name="Normal 4 8 2 5 4 2" xfId="20947" xr:uid="{88CA89B8-1BFD-41F0-BA8A-B7A846B1A0B0}"/>
    <cellStyle name="Normal 4 8 2 5 5" xfId="24137" xr:uid="{3BC2C6F0-0BEF-47B1-B0E8-AC9481FCA77B}"/>
    <cellStyle name="Normal 4 8 2 5 6" xfId="12997" xr:uid="{47BAE656-EC9E-4146-85AB-F86AA13E01A0}"/>
    <cellStyle name="Normal 4 8 2 6" xfId="2377" xr:uid="{00000000-0005-0000-0000-0000AD060000}"/>
    <cellStyle name="Normal 4 8 2 6 2" xfId="7504" xr:uid="{DAC97AA2-E5A4-4EEA-B897-303CA1FB9CF7}"/>
    <cellStyle name="Normal 4 8 2 6 2 2" xfId="17884" xr:uid="{87971EE5-E131-4053-98C9-DDD212EC3D11}"/>
    <cellStyle name="Normal 4 8 2 6 3" xfId="10337" xr:uid="{9232C93A-DF49-480D-A771-BAE47882AFBC}"/>
    <cellStyle name="Normal 4 8 2 6 3 2" xfId="20717" xr:uid="{64F56D8A-D43E-4CA8-8BBD-0B5C4AFA41DF}"/>
    <cellStyle name="Normal 4 8 2 6 4" xfId="24630" xr:uid="{E1A84F69-C757-4E1B-9D93-15638EB0F0AF}"/>
    <cellStyle name="Normal 4 8 2 6 5" xfId="15051" xr:uid="{4D938FE7-CE85-494D-91B5-B40622B3C74F}"/>
    <cellStyle name="Normal 4 8 2 7" xfId="3942" xr:uid="{7A88FBDE-9507-4134-97EA-80923727E376}"/>
    <cellStyle name="Normal 4 8 2 7 2" xfId="8774" xr:uid="{B1FF5D05-9626-4E88-9E84-A7251C9F663E}"/>
    <cellStyle name="Normal 4 8 2 7 2 2" xfId="19154" xr:uid="{E2EF7EA5-A2CF-4CBD-8688-05541F82525E}"/>
    <cellStyle name="Normal 4 8 2 7 3" xfId="11607" xr:uid="{E0EC3274-30EB-451C-BDB3-A0323C2B11C6}"/>
    <cellStyle name="Normal 4 8 2 7 3 2" xfId="21987" xr:uid="{CF90CC8B-9D60-4ADF-B54C-454958AB6D34}"/>
    <cellStyle name="Normal 4 8 2 7 4" xfId="16321" xr:uid="{7CED60C4-3FFA-44FD-A30F-83EE1FEE1DBD}"/>
    <cellStyle name="Normal 4 8 2 8" xfId="5339" xr:uid="{902C0B0E-C4A0-4981-9707-DC0113C37539}"/>
    <cellStyle name="Normal 4 8 2 8 2" xfId="14637" xr:uid="{AA2E2A77-DEAA-4A1B-81C1-2BCA8305B4F0}"/>
    <cellStyle name="Normal 4 8 2 9" xfId="7090" xr:uid="{D0D07CCA-276A-41C2-9F72-54F476CDFE24}"/>
    <cellStyle name="Normal 4 8 2 9 2" xfId="17470" xr:uid="{A72D69C6-C74C-414E-A521-E425C04AD6D1}"/>
    <cellStyle name="Normal 4 8 3" xfId="1038" xr:uid="{00000000-0005-0000-0000-0000C0050000}"/>
    <cellStyle name="Normal 4 8 3 2" xfId="3393" xr:uid="{00000000-0005-0000-0000-0000B4060000}"/>
    <cellStyle name="Normal 4 8 3 2 2" xfId="6451" xr:uid="{6EFCB61C-7357-4684-9E3A-0FCD927DD456}"/>
    <cellStyle name="Normal 4 8 3 2 2 2" xfId="25798" xr:uid="{E04C89D1-BAA7-40C1-BC46-F7CE41911F85}"/>
    <cellStyle name="Normal 4 8 3 2 2 3" xfId="27957" xr:uid="{B28F36EE-3268-4C28-A6BC-D4ED592E6965}"/>
    <cellStyle name="Normal 4 8 3 2 2 4" xfId="16020" xr:uid="{0C7E26DA-2B7A-4895-B864-1CAB123016A7}"/>
    <cellStyle name="Normal 4 8 3 2 3" xfId="8473" xr:uid="{EED53452-5939-466E-8695-45E55BA1D2CB}"/>
    <cellStyle name="Normal 4 8 3 2 3 2" xfId="28922" xr:uid="{4FAD5E52-B238-484A-8AD5-4926695E24BF}"/>
    <cellStyle name="Normal 4 8 3 2 3 3" xfId="18853" xr:uid="{B5B0DCE4-48DA-480E-A1E0-3D2A91C35A32}"/>
    <cellStyle name="Normal 4 8 3 2 4" xfId="11306" xr:uid="{77082873-FC23-4D52-84B3-16E16D740661}"/>
    <cellStyle name="Normal 4 8 3 2 4 2" xfId="21686" xr:uid="{745341AC-5B45-4254-8AEA-490B25F78984}"/>
    <cellStyle name="Normal 4 8 3 2 5" xfId="22826" xr:uid="{A5AF6C31-5CE8-481B-BABC-0C7C8CD0A23A}"/>
    <cellStyle name="Normal 4 8 3 2 6" xfId="13960" xr:uid="{A33A0049-D6F8-4E3C-8917-26F7161B722D}"/>
    <cellStyle name="Normal 4 8 3 3" xfId="2802" xr:uid="{00000000-0005-0000-0000-0000B5060000}"/>
    <cellStyle name="Normal 4 8 3 3 2" xfId="6020" xr:uid="{A69378F3-7126-43E8-957C-AEF3A8217A72}"/>
    <cellStyle name="Normal 4 8 3 3 2 2" xfId="26564" xr:uid="{9920AF1B-1502-4153-86EE-9E491C23E980}"/>
    <cellStyle name="Normal 4 8 3 3 2 3" xfId="15473" xr:uid="{B1567AF6-EF33-4AB9-8B8F-63FE914A07E5}"/>
    <cellStyle name="Normal 4 8 3 3 3" xfId="7926" xr:uid="{2D1BB9FA-4D4A-4C54-898F-B770F4965FBD}"/>
    <cellStyle name="Normal 4 8 3 3 3 2" xfId="18306" xr:uid="{FE3FC21E-E23C-4118-ABE2-1A66E94B9357}"/>
    <cellStyle name="Normal 4 8 3 3 4" xfId="10759" xr:uid="{E2F9B43E-0A02-4C38-BA5D-ECC510BC70E6}"/>
    <cellStyle name="Normal 4 8 3 3 4 2" xfId="21139" xr:uid="{5EEA83E8-121B-42E9-94D0-B744FCB7C7D5}"/>
    <cellStyle name="Normal 4 8 3 3 5" xfId="23605" xr:uid="{6470B5F1-FD1F-4995-8318-8EC822E2DD3C}"/>
    <cellStyle name="Normal 4 8 3 3 6" xfId="13266" xr:uid="{29FB101E-D901-48D2-BE02-0A0BDDC9A648}"/>
    <cellStyle name="Normal 4 8 3 4" xfId="4203" xr:uid="{5FFDCD3D-191C-4816-9CA7-FB6D45A05F99}"/>
    <cellStyle name="Normal 4 8 3 4 2" xfId="8975" xr:uid="{070C8C1D-8AEF-46BE-8C98-0091E8D5CB10}"/>
    <cellStyle name="Normal 4 8 3 4 2 2" xfId="29057" xr:uid="{4C8275A9-C16B-4EC9-9863-FF7A8CDDDD99}"/>
    <cellStyle name="Normal 4 8 3 4 2 3" xfId="19355" xr:uid="{893AE50F-8DCF-4C57-B16A-FE83FE00F9A5}"/>
    <cellStyle name="Normal 4 8 3 4 3" xfId="11808" xr:uid="{32AC2F98-E71F-4095-BAC4-574F9FAC974E}"/>
    <cellStyle name="Normal 4 8 3 4 3 2" xfId="22188" xr:uid="{5716DFA4-B51D-4F99-95E7-5C279343345C}"/>
    <cellStyle name="Normal 4 8 3 4 4" xfId="24359" xr:uid="{1F3D2E20-3A87-41F9-AEEC-5C3F44D9E70F}"/>
    <cellStyle name="Normal 4 8 3 4 5" xfId="16522" xr:uid="{329DE75E-7547-4F7D-A283-DE84FDC4B800}"/>
    <cellStyle name="Normal 4 8 3 5" xfId="5341" xr:uid="{59B8A850-AE58-4417-9B79-645D1117C3F9}"/>
    <cellStyle name="Normal 4 8 3 5 2" xfId="27586" xr:uid="{47C431D5-BF21-485E-B445-D73E7C5FF7F3}"/>
    <cellStyle name="Normal 4 8 3 5 3" xfId="14639" xr:uid="{A085ECE6-AAED-4853-AA6D-E6CE7606978A}"/>
    <cellStyle name="Normal 4 8 3 6" xfId="7092" xr:uid="{BF5B1421-7114-4C59-84E6-FF22BF14D01C}"/>
    <cellStyle name="Normal 4 8 3 6 2" xfId="17472" xr:uid="{50F66810-BC52-4D59-B3A9-CBD2F562B7C1}"/>
    <cellStyle name="Normal 4 8 3 7" xfId="9925" xr:uid="{E1E5A673-FD43-4767-9671-202BFC3237CE}"/>
    <cellStyle name="Normal 4 8 3 7 2" xfId="20305" xr:uid="{ABB182C6-5691-4072-A342-0FE314AA56DD}"/>
    <cellStyle name="Normal 4 8 3 8" xfId="23362" xr:uid="{DA7BCDF4-2302-49E7-AFEC-1183D2581450}"/>
    <cellStyle name="Normal 4 8 3 9" xfId="12769" xr:uid="{66A1D130-8853-47BE-9E8F-EB39290D0E65}"/>
    <cellStyle name="Normal 4 8 4" xfId="1039" xr:uid="{00000000-0005-0000-0000-0000C1050000}"/>
    <cellStyle name="Normal 4 8 4 2" xfId="4554" xr:uid="{4A53458D-E17E-4BB7-9B78-E41E6108CD46}"/>
    <cellStyle name="Normal 4 8 4 2 2" xfId="9326" xr:uid="{DC6DF52B-15E0-407A-8FD8-91CCFA995276}"/>
    <cellStyle name="Normal 4 8 4 2 2 2" xfId="29301" xr:uid="{22CBBC2C-6EB7-4F8D-9BF3-8C6A7E2E0971}"/>
    <cellStyle name="Normal 4 8 4 2 2 3" xfId="19706" xr:uid="{BBE92403-9659-4990-9EB1-3C980877811E}"/>
    <cellStyle name="Normal 4 8 4 2 3" xfId="12159" xr:uid="{EC1E7D03-E6CD-4B6A-A889-E82AA6D291E8}"/>
    <cellStyle name="Normal 4 8 4 2 3 2" xfId="22539" xr:uid="{0FEE8662-2D8F-4A33-AB47-1B88ED44E02E}"/>
    <cellStyle name="Normal 4 8 4 2 4" xfId="25729" xr:uid="{B29B947F-BF6C-4162-9758-A19DE764DCC0}"/>
    <cellStyle name="Normal 4 8 4 2 5" xfId="16873" xr:uid="{BAE9BF8E-D4C8-44F9-A359-3FCB88ADBC3D}"/>
    <cellStyle name="Normal 4 8 4 3" xfId="5342" xr:uid="{2F7E15B8-6D4F-40EF-A62B-5AC6AB5CE46A}"/>
    <cellStyle name="Normal 4 8 4 3 2" xfId="27514" xr:uid="{E12BE31D-F7D8-41F8-B8F2-FF5737E4F9B6}"/>
    <cellStyle name="Normal 4 8 4 3 3" xfId="14640" xr:uid="{BAC52ED1-B28A-4108-B645-8BADC5ECED70}"/>
    <cellStyle name="Normal 4 8 4 4" xfId="7093" xr:uid="{64C2FEF8-951F-4D16-A7AE-2EC7C1FFFCB3}"/>
    <cellStyle name="Normal 4 8 4 4 2" xfId="17473" xr:uid="{9704C883-5736-4EA5-8187-F66451D5E9A7}"/>
    <cellStyle name="Normal 4 8 4 5" xfId="9926" xr:uid="{2D7F1617-CC5B-43FE-8F93-D0245C9DAE4E}"/>
    <cellStyle name="Normal 4 8 4 5 2" xfId="20306" xr:uid="{64309F65-88F7-4EF9-A4EE-6046D6192837}"/>
    <cellStyle name="Normal 4 8 4 6" xfId="24597" xr:uid="{FAFE0EDA-07F8-4FE7-9744-558229B9E9CF}"/>
    <cellStyle name="Normal 4 8 4 7" xfId="13961" xr:uid="{98860BFA-E002-4D04-B6BC-10368C072A02}"/>
    <cellStyle name="Normal 4 8 5" xfId="2946" xr:uid="{00000000-0005-0000-0000-0000B7060000}"/>
    <cellStyle name="Normal 4 8 5 2" xfId="6126" xr:uid="{3A90E411-B0E1-4D1D-8CBF-0FA213C408C9}"/>
    <cellStyle name="Normal 4 8 5 2 2" xfId="22889" xr:uid="{323BCB07-E0C4-4324-9387-BB441B091CBA}"/>
    <cellStyle name="Normal 4 8 5 2 3" xfId="27022" xr:uid="{0ADDFC1F-FD80-4CB0-9417-459BB5DA67EE}"/>
    <cellStyle name="Normal 4 8 5 2 4" xfId="15604" xr:uid="{2EE76BEA-D134-4681-ABFD-D9E13ED59382}"/>
    <cellStyle name="Normal 4 8 5 3" xfId="8057" xr:uid="{49F03E7D-F8CF-4539-A4E2-8D4E390C1C2C}"/>
    <cellStyle name="Normal 4 8 5 3 2" xfId="28759" xr:uid="{1F490A06-3F6F-4F75-AAFD-3FC8E68046D8}"/>
    <cellStyle name="Normal 4 8 5 3 3" xfId="18437" xr:uid="{663CB6D6-FD8C-425B-A1B7-45FBFF432DCC}"/>
    <cellStyle name="Normal 4 8 5 4" xfId="10890" xr:uid="{420CEDED-F913-4CED-A0A6-C8812B15D841}"/>
    <cellStyle name="Normal 4 8 5 4 2" xfId="21270" xr:uid="{7E3BF973-9134-4A00-9B1A-BA0C7D081897}"/>
    <cellStyle name="Normal 4 8 5 5" xfId="24125" xr:uid="{393509DD-5235-442B-A267-5E4D400C7C73}"/>
    <cellStyle name="Normal 4 8 5 6" xfId="13467" xr:uid="{982210BB-347A-4FD7-B053-F2B565925200}"/>
    <cellStyle name="Normal 4 8 6" xfId="2446" xr:uid="{00000000-0005-0000-0000-0000B8060000}"/>
    <cellStyle name="Normal 4 8 6 2" xfId="5740" xr:uid="{4D6A6D2A-C857-4FFE-A450-2E160D6EF7CD}"/>
    <cellStyle name="Normal 4 8 6 2 2" xfId="27102" xr:uid="{DEFD9B35-CA72-4AED-BB02-EB6A90E849D3}"/>
    <cellStyle name="Normal 4 8 6 2 3" xfId="15118" xr:uid="{D47C087F-8414-4BDA-B2D0-6329B80D357B}"/>
    <cellStyle name="Normal 4 8 6 3" xfId="7571" xr:uid="{AF799A62-90A1-4278-8CAC-411CABE1649B}"/>
    <cellStyle name="Normal 4 8 6 3 2" xfId="17951" xr:uid="{692457AA-E4A8-4130-B954-A586181B5B49}"/>
    <cellStyle name="Normal 4 8 6 4" xfId="10404" xr:uid="{04E2B5B6-D284-4423-9A0A-6EE8830E5E22}"/>
    <cellStyle name="Normal 4 8 6 4 2" xfId="20784" xr:uid="{DF578FD9-7125-4605-9C27-85F372D05A66}"/>
    <cellStyle name="Normal 4 8 6 5" xfId="22696" xr:uid="{729EE0F8-E1C5-4C04-8DF5-244E9ACA131C}"/>
    <cellStyle name="Normal 4 8 6 6" xfId="12834" xr:uid="{BC199602-588A-4E28-A840-5C19D5FBD532}"/>
    <cellStyle name="Normal 4 8 7" xfId="2200" xr:uid="{00000000-0005-0000-0000-0000AC060000}"/>
    <cellStyle name="Normal 4 8 7 2" xfId="7327" xr:uid="{6DC10D9B-AD30-4AFE-B5AB-C9BDDADD2450}"/>
    <cellStyle name="Normal 4 8 7 2 2" xfId="17707" xr:uid="{3688C2AB-DAA0-4D32-9B01-3A58F0803499}"/>
    <cellStyle name="Normal 4 8 7 3" xfId="10160" xr:uid="{2145218E-5174-4AB5-9392-445EA353E7DE}"/>
    <cellStyle name="Normal 4 8 7 3 2" xfId="20540" xr:uid="{D4414ED4-57FB-4635-A875-1F72F8E92A7F}"/>
    <cellStyle name="Normal 4 8 7 4" xfId="25047" xr:uid="{7AFBC9C0-08AB-470D-B140-140688BC0FD1}"/>
    <cellStyle name="Normal 4 8 7 5" xfId="14874" xr:uid="{F24D1869-95EF-4B26-9CB9-D07A8B793B64}"/>
    <cellStyle name="Normal 4 8 8" xfId="3998" xr:uid="{281ACFA1-D698-4080-8D6B-0AF4D83A6F8E}"/>
    <cellStyle name="Normal 4 8 8 2" xfId="8822" xr:uid="{CFB66AB3-D734-4A79-A87B-9A2EFF98D5E4}"/>
    <cellStyle name="Normal 4 8 8 2 2" xfId="19202" xr:uid="{E19055ED-866D-4B93-91A7-6B9EFA80B315}"/>
    <cellStyle name="Normal 4 8 8 3" xfId="11655" xr:uid="{639A8475-980A-43F0-953D-AA1C4BC8A225}"/>
    <cellStyle name="Normal 4 8 8 3 2" xfId="22035" xr:uid="{238B5422-CD6E-4709-A692-929601A47CEA}"/>
    <cellStyle name="Normal 4 8 8 4" xfId="16369" xr:uid="{EED70B44-2A93-4B41-9D5A-91AD6D5EE158}"/>
    <cellStyle name="Normal 4 8 9" xfId="5338" xr:uid="{AEAD4F3A-23BD-4982-A966-DE7F04C30F37}"/>
    <cellStyle name="Normal 4 8 9 2" xfId="14636" xr:uid="{88B9D1B0-17D6-4FD9-BC3D-D627679CD327}"/>
    <cellStyle name="Normal 4 9" xfId="1040" xr:uid="{00000000-0005-0000-0000-0000C2050000}"/>
    <cellStyle name="Normal 4 9 10" xfId="7094" xr:uid="{FED65E8B-9E0C-4993-9D9D-09C6A5CCBF77}"/>
    <cellStyle name="Normal 4 9 10 2" xfId="17474" xr:uid="{85C94C34-2764-4D4A-A55A-3CC3B94E06B0}"/>
    <cellStyle name="Normal 4 9 11" xfId="9927" xr:uid="{8592E14F-7933-451D-9CE9-B4860A2D52B7}"/>
    <cellStyle name="Normal 4 9 11 2" xfId="20307" xr:uid="{02417B0E-5595-45E5-90CB-41EC334685D5}"/>
    <cellStyle name="Normal 4 9 12" xfId="23729" xr:uid="{BD948A75-B0F9-44FF-BBAB-26E8C81CCBE0}"/>
    <cellStyle name="Normal 4 9 13" xfId="12494" xr:uid="{CD8A0886-089C-446A-8DE1-556D66857C2D}"/>
    <cellStyle name="Normal 4 9 2" xfId="1041" xr:uid="{00000000-0005-0000-0000-0000C3050000}"/>
    <cellStyle name="Normal 4 9 2 10" xfId="9928" xr:uid="{28370A61-F559-432A-B25C-14DD633AD195}"/>
    <cellStyle name="Normal 4 9 2 10 2" xfId="20308" xr:uid="{201A2F93-DAA0-4A27-BF79-B00C29977018}"/>
    <cellStyle name="Normal 4 9 2 11" xfId="22763" xr:uid="{0087A8B8-93CC-4BFE-AA5E-D6C7D2CA9A00}"/>
    <cellStyle name="Normal 4 9 2 12" xfId="12612" xr:uid="{74C7346E-50B0-47C0-BB11-55DFB2707C47}"/>
    <cellStyle name="Normal 4 9 2 2" xfId="1042" xr:uid="{00000000-0005-0000-0000-0000C4050000}"/>
    <cellStyle name="Normal 4 9 2 2 2" xfId="3395" xr:uid="{00000000-0005-0000-0000-0000BC060000}"/>
    <cellStyle name="Normal 4 9 2 2 2 2" xfId="6453" xr:uid="{11E9BE83-9BEF-456C-844D-D31925E7C983}"/>
    <cellStyle name="Normal 4 9 2 2 2 2 2" xfId="28694" xr:uid="{B7AD161C-F341-4DA4-8DE4-27608ACA660B}"/>
    <cellStyle name="Normal 4 9 2 2 2 2 3" xfId="28199" xr:uid="{38F0B293-0D62-432D-9C4F-EE43645FC28D}"/>
    <cellStyle name="Normal 4 9 2 2 2 2 4" xfId="16022" xr:uid="{8BDDD3B4-B9A2-45C7-AF12-56D5B99F1810}"/>
    <cellStyle name="Normal 4 9 2 2 2 3" xfId="8475" xr:uid="{9038C36F-0961-43F9-92E9-2FBEC2FD15A9}"/>
    <cellStyle name="Normal 4 9 2 2 2 3 2" xfId="28923" xr:uid="{F7762159-4A43-4FD5-B9A3-4DD12BD141F2}"/>
    <cellStyle name="Normal 4 9 2 2 2 3 3" xfId="18855" xr:uid="{917F8D4E-1CFD-4DAC-815C-226344EE8AAB}"/>
    <cellStyle name="Normal 4 9 2 2 2 4" xfId="11308" xr:uid="{FF99C08E-2FD0-44B9-A815-374563E54528}"/>
    <cellStyle name="Normal 4 9 2 2 2 4 2" xfId="21688" xr:uid="{59C14F52-2CDE-44D9-B32A-5AD6C2967E44}"/>
    <cellStyle name="Normal 4 9 2 2 2 5" xfId="24386" xr:uid="{3C35500F-A6B9-49B4-BB95-075B0AEC0C74}"/>
    <cellStyle name="Normal 4 9 2 2 2 6" xfId="13963" xr:uid="{EAE0E571-E60D-47E1-93EB-992FA5AF217A}"/>
    <cellStyle name="Normal 4 9 2 2 3" xfId="4355" xr:uid="{B7CECDB9-48DC-4889-B3EF-7E0171FF32B0}"/>
    <cellStyle name="Normal 4 9 2 2 3 2" xfId="9127" xr:uid="{B287CC7E-81A6-4F37-95CD-77D3B7A9D44B}"/>
    <cellStyle name="Normal 4 9 2 2 3 2 2" xfId="29170" xr:uid="{01E746A7-4123-43E0-AB3E-B028EF387EB6}"/>
    <cellStyle name="Normal 4 9 2 2 3 2 3" xfId="19507" xr:uid="{39187655-B24B-4182-BDE2-038D1B8846B2}"/>
    <cellStyle name="Normal 4 9 2 2 3 3" xfId="11960" xr:uid="{8211DA65-4B71-4084-AF16-B8C6040CE355}"/>
    <cellStyle name="Normal 4 9 2 2 3 3 2" xfId="22340" xr:uid="{8A3F3DA4-464D-44A0-BF17-399DABF26D3E}"/>
    <cellStyle name="Normal 4 9 2 2 3 4" xfId="24746" xr:uid="{53C96F65-A9A7-47BE-804A-52A54B7CBC06}"/>
    <cellStyle name="Normal 4 9 2 2 3 5" xfId="16674" xr:uid="{AEF97B57-EBB3-40C7-A330-5F1D3B247A08}"/>
    <cellStyle name="Normal 4 9 2 2 4" xfId="5345" xr:uid="{96342CCA-55A5-47D1-A797-2C36D42FFB2A}"/>
    <cellStyle name="Normal 4 9 2 2 4 2" xfId="27027" xr:uid="{DBE57265-6D69-4443-95A6-FC9DC1A9B761}"/>
    <cellStyle name="Normal 4 9 2 2 4 3" xfId="14643" xr:uid="{8C4ADD13-00FC-4CC3-AD26-03FC256F0E18}"/>
    <cellStyle name="Normal 4 9 2 2 5" xfId="7096" xr:uid="{3C1AF9BA-F553-4120-B127-A4197615CA77}"/>
    <cellStyle name="Normal 4 9 2 2 5 2" xfId="17476" xr:uid="{632F33F2-D68C-4055-927E-790550974824}"/>
    <cellStyle name="Normal 4 9 2 2 6" xfId="9929" xr:uid="{2C8C1A72-261D-44D7-96A5-2516D17DBD05}"/>
    <cellStyle name="Normal 4 9 2 2 6 2" xfId="20309" xr:uid="{79CDB092-0135-4613-B647-132677FBB4DC}"/>
    <cellStyle name="Normal 4 9 2 2 7" xfId="23126" xr:uid="{723A8EC1-6226-49C0-95A1-E85A20D6241E}"/>
    <cellStyle name="Normal 4 9 2 2 8" xfId="13269" xr:uid="{1C00D6FC-68F7-4724-A70D-4669B52F1AA0}"/>
    <cellStyle name="Normal 4 9 2 3" xfId="3396" xr:uid="{00000000-0005-0000-0000-0000BD060000}"/>
    <cellStyle name="Normal 4 9 2 3 2" xfId="4555" xr:uid="{429A3C00-EA96-4A8D-852C-E18122DA3BFC}"/>
    <cellStyle name="Normal 4 9 2 3 2 2" xfId="9327" xr:uid="{078A8D01-3A66-4BF7-A0C3-9EA9566C4FBA}"/>
    <cellStyle name="Normal 4 9 2 3 2 2 2" xfId="29302" xr:uid="{81E919EC-171F-4337-8F54-BAF4FAA1875E}"/>
    <cellStyle name="Normal 4 9 2 3 2 2 3" xfId="19707" xr:uid="{AEF3400C-B76F-41BC-A7D4-E6ACE6A7356F}"/>
    <cellStyle name="Normal 4 9 2 3 2 3" xfId="12160" xr:uid="{3A9B6F7D-697F-4A82-94EE-0008EAD9B053}"/>
    <cellStyle name="Normal 4 9 2 3 2 3 2" xfId="22540" xr:uid="{EF7F18C2-0586-4A8A-BEE2-3AFDB87ABC8E}"/>
    <cellStyle name="Normal 4 9 2 3 2 4" xfId="24302" xr:uid="{281778F3-8B05-4B77-B5C9-E8664219A3E7}"/>
    <cellStyle name="Normal 4 9 2 3 2 5" xfId="16874" xr:uid="{26292AE9-A676-4867-8354-8FDF65FF8704}"/>
    <cellStyle name="Normal 4 9 2 3 3" xfId="6454" xr:uid="{E0E8314D-1134-4E1C-B19E-01A0BC6639B8}"/>
    <cellStyle name="Normal 4 9 2 3 3 2" xfId="26876" xr:uid="{54796271-879F-4167-BA9B-BD66C88C0419}"/>
    <cellStyle name="Normal 4 9 2 3 3 3" xfId="16023" xr:uid="{51271DC9-1A29-44F5-97D7-BCACACE46210}"/>
    <cellStyle name="Normal 4 9 2 3 4" xfId="8476" xr:uid="{AB9A5261-844D-4CD8-A4BA-30EAD92011D8}"/>
    <cellStyle name="Normal 4 9 2 3 4 2" xfId="18856" xr:uid="{AD961A38-47B8-4F6B-937B-81803D0557EA}"/>
    <cellStyle name="Normal 4 9 2 3 5" xfId="11309" xr:uid="{B27C72B8-AD1B-44BC-BDD7-12ADA905F9B6}"/>
    <cellStyle name="Normal 4 9 2 3 5 2" xfId="21689" xr:uid="{B3F3CBB2-6F69-4275-AAFA-CB8D22E05A51}"/>
    <cellStyle name="Normal 4 9 2 3 6" xfId="23990" xr:uid="{EE707BDF-7721-4690-8488-D9E5F4960A9C}"/>
    <cellStyle name="Normal 4 9 2 3 7" xfId="13964" xr:uid="{425ACECC-3E0F-46C2-8378-FFD904F5B98A}"/>
    <cellStyle name="Normal 4 9 2 4" xfId="3394" xr:uid="{00000000-0005-0000-0000-0000BE060000}"/>
    <cellStyle name="Normal 4 9 2 4 2" xfId="6452" xr:uid="{E9DBFBC1-94F8-4265-B53D-C168DE8425DE}"/>
    <cellStyle name="Normal 4 9 2 4 2 2" xfId="27636" xr:uid="{D134B4F9-958C-4105-8EB7-56E094FF549D}"/>
    <cellStyle name="Normal 4 9 2 4 2 3" xfId="16021" xr:uid="{CD533D81-4227-4367-AD8A-972D87E4277A}"/>
    <cellStyle name="Normal 4 9 2 4 3" xfId="8474" xr:uid="{3F24AFFD-A75E-450C-A9EF-92566A7C3F04}"/>
    <cellStyle name="Normal 4 9 2 4 3 2" xfId="18854" xr:uid="{558DB0AB-D2E0-4ADC-8A48-18296A3BBF68}"/>
    <cellStyle name="Normal 4 9 2 4 4" xfId="11307" xr:uid="{1A76F0A1-8D28-4290-8946-F2B4A37D6264}"/>
    <cellStyle name="Normal 4 9 2 4 4 2" xfId="21687" xr:uid="{8B7841B6-B6A5-43C6-9864-9348B6A6EB0E}"/>
    <cellStyle name="Normal 4 9 2 4 5" xfId="25330" xr:uid="{7C7C8256-B9E5-4613-B263-AB4056C9349D}"/>
    <cellStyle name="Normal 4 9 2 4 6" xfId="13962" xr:uid="{FF2032C4-8BF9-4137-BD49-7B217EF6F85A}"/>
    <cellStyle name="Normal 4 9 2 5" xfId="2657" xr:uid="{00000000-0005-0000-0000-0000BF060000}"/>
    <cellStyle name="Normal 4 9 2 5 2" xfId="5917" xr:uid="{41952D99-ABDB-4293-834B-F38C838B1168}"/>
    <cellStyle name="Normal 4 9 2 5 2 2" xfId="27668" xr:uid="{B83C8430-3C67-4460-8840-7F0BDA03DB8B}"/>
    <cellStyle name="Normal 4 9 2 5 2 3" xfId="15329" xr:uid="{BC35F09B-CE5B-4916-9597-B10216CAA486}"/>
    <cellStyle name="Normal 4 9 2 5 3" xfId="7782" xr:uid="{9DD94790-E2C5-4C61-9D03-570B091E3C4D}"/>
    <cellStyle name="Normal 4 9 2 5 3 2" xfId="18162" xr:uid="{0ABF3531-97C8-4476-9FAD-A96156326B2F}"/>
    <cellStyle name="Normal 4 9 2 5 4" xfId="10615" xr:uid="{8C1CF07B-3467-4C48-912E-2E1C444A4F06}"/>
    <cellStyle name="Normal 4 9 2 5 4 2" xfId="20995" xr:uid="{252AC7F1-0AB2-4B98-9212-B2CC72E9BB0C}"/>
    <cellStyle name="Normal 4 9 2 5 5" xfId="24390" xr:uid="{531B2959-78A0-4777-AF18-50FB596D273D}"/>
    <cellStyle name="Normal 4 9 2 5 6" xfId="13059" xr:uid="{1A269D4F-B737-489D-B7A7-D1D28B78EA22}"/>
    <cellStyle name="Normal 4 9 2 6" xfId="2378" xr:uid="{00000000-0005-0000-0000-0000BA060000}"/>
    <cellStyle name="Normal 4 9 2 6 2" xfId="7505" xr:uid="{D6504F32-9E30-4636-8E43-11D3A1544429}"/>
    <cellStyle name="Normal 4 9 2 6 2 2" xfId="17885" xr:uid="{0A365267-F0E1-4CB9-8305-0282D4AD3D06}"/>
    <cellStyle name="Normal 4 9 2 6 3" xfId="10338" xr:uid="{E4B342D6-E1E6-4E71-B82A-B35FC665DD40}"/>
    <cellStyle name="Normal 4 9 2 6 3 2" xfId="20718" xr:uid="{6073AC3D-C593-4C95-970E-A50E189650EC}"/>
    <cellStyle name="Normal 4 9 2 6 4" xfId="24543" xr:uid="{215AFCB9-7E53-4A64-A0F6-85835A7537F7}"/>
    <cellStyle name="Normal 4 9 2 6 5" xfId="15052" xr:uid="{99D15716-0A26-4820-A1B9-0E615D69DB7C}"/>
    <cellStyle name="Normal 4 9 2 7" xfId="3955" xr:uid="{5662DC37-F90E-41B1-8934-44962F194A3A}"/>
    <cellStyle name="Normal 4 9 2 7 2" xfId="8787" xr:uid="{7D06C3E6-4AF0-4B89-8901-A8CEEF48497E}"/>
    <cellStyle name="Normal 4 9 2 7 2 2" xfId="19167" xr:uid="{D8782B79-623B-4E23-BD16-08969CEE0135}"/>
    <cellStyle name="Normal 4 9 2 7 3" xfId="11620" xr:uid="{24202C2E-E9BC-4B30-A123-54FB0FE2BA5B}"/>
    <cellStyle name="Normal 4 9 2 7 3 2" xfId="22000" xr:uid="{6B243055-76E8-4D7F-93D0-717A0B52A8C3}"/>
    <cellStyle name="Normal 4 9 2 7 4" xfId="16334" xr:uid="{D16B8EEB-DBF4-45EA-8E00-E56CA3FA07FB}"/>
    <cellStyle name="Normal 4 9 2 8" xfId="5344" xr:uid="{FA09D750-66D3-46F2-AA20-E5C5C6D5A7A2}"/>
    <cellStyle name="Normal 4 9 2 8 2" xfId="14642" xr:uid="{EB460EF6-969D-48F3-9585-CD572D0075A6}"/>
    <cellStyle name="Normal 4 9 2 9" xfId="7095" xr:uid="{7A8048F7-241E-4979-B207-70F8C28C3BBA}"/>
    <cellStyle name="Normal 4 9 2 9 2" xfId="17475" xr:uid="{9DD638C0-C0F0-4C0A-A277-0655FAB0BB6A}"/>
    <cellStyle name="Normal 4 9 3" xfId="1043" xr:uid="{00000000-0005-0000-0000-0000C5050000}"/>
    <cellStyle name="Normal 4 9 3 2" xfId="3397" xr:uid="{00000000-0005-0000-0000-0000C1060000}"/>
    <cellStyle name="Normal 4 9 3 2 2" xfId="6455" xr:uid="{EC58CF77-95B6-42C0-8B6D-E6C38386E713}"/>
    <cellStyle name="Normal 4 9 3 2 2 2" xfId="23775" xr:uid="{DC92D57D-5795-4BFD-B9C6-40860AECCF78}"/>
    <cellStyle name="Normal 4 9 3 2 2 3" xfId="27659" xr:uid="{BD270951-A7CB-4512-B042-ED92B3AF51B0}"/>
    <cellStyle name="Normal 4 9 3 2 2 4" xfId="16024" xr:uid="{F7DFEFAD-B8A4-4014-A965-79AC03EE98CA}"/>
    <cellStyle name="Normal 4 9 3 2 3" xfId="8477" xr:uid="{D017D5D2-9F67-46D6-9C65-8D3ADB37B85E}"/>
    <cellStyle name="Normal 4 9 3 2 3 2" xfId="28924" xr:uid="{3CE00559-6AD8-4A77-8FD5-69456922A500}"/>
    <cellStyle name="Normal 4 9 3 2 3 3" xfId="18857" xr:uid="{127CBB48-2A01-470A-BD74-3890FD0642C8}"/>
    <cellStyle name="Normal 4 9 3 2 4" xfId="11310" xr:uid="{72168985-3B71-4213-80CA-7C09896A4598}"/>
    <cellStyle name="Normal 4 9 3 2 4 2" xfId="21690" xr:uid="{BD9DCD0E-2F77-44EF-97C0-5BB4BFF291DF}"/>
    <cellStyle name="Normal 4 9 3 2 5" xfId="24906" xr:uid="{9BFE87F1-B694-4E99-B970-076C7ACAE04A}"/>
    <cellStyle name="Normal 4 9 3 2 6" xfId="13965" xr:uid="{BCF44529-9CE9-460D-B060-C9F0FB761974}"/>
    <cellStyle name="Normal 4 9 3 3" xfId="2803" xr:uid="{00000000-0005-0000-0000-0000C2060000}"/>
    <cellStyle name="Normal 4 9 3 3 2" xfId="6021" xr:uid="{9EDD67D1-5C2C-41FB-8DB5-F20ED392B8C6}"/>
    <cellStyle name="Normal 4 9 3 3 2 2" xfId="26495" xr:uid="{D2B1457E-7C6D-43FE-97D1-D741065D3543}"/>
    <cellStyle name="Normal 4 9 3 3 2 3" xfId="15474" xr:uid="{4C1DDB65-F2A6-453B-9303-D769A622CC45}"/>
    <cellStyle name="Normal 4 9 3 3 3" xfId="7927" xr:uid="{C4B41890-42D4-4559-BB21-ACCE2AE869DB}"/>
    <cellStyle name="Normal 4 9 3 3 3 2" xfId="18307" xr:uid="{3A0D7D73-2444-4B2D-AE17-EAC42634EFA4}"/>
    <cellStyle name="Normal 4 9 3 3 4" xfId="10760" xr:uid="{CFAD69D5-A814-46DE-87BE-BF954F5E5BF9}"/>
    <cellStyle name="Normal 4 9 3 3 4 2" xfId="21140" xr:uid="{EBAEB439-29CF-471F-B1AE-7CBD9143C4D3}"/>
    <cellStyle name="Normal 4 9 3 3 5" xfId="23430" xr:uid="{5E6BB81F-081E-4ACD-B0C1-13DEA25765B8}"/>
    <cellStyle name="Normal 4 9 3 3 6" xfId="13268" xr:uid="{17F04C83-C241-4809-AF38-EF377A2E1468}"/>
    <cellStyle name="Normal 4 9 3 4" xfId="4204" xr:uid="{59B0931E-45F8-4742-866F-5C5AC23997A1}"/>
    <cellStyle name="Normal 4 9 3 4 2" xfId="8976" xr:uid="{154E08C5-8FF7-48F4-B67A-35F5CAF52B32}"/>
    <cellStyle name="Normal 4 9 3 4 2 2" xfId="29058" xr:uid="{039F68C9-4D7A-420B-A116-ED61329DE099}"/>
    <cellStyle name="Normal 4 9 3 4 2 3" xfId="19356" xr:uid="{75FD03FC-72A0-4F5E-A0CA-5FE0B27F42F2}"/>
    <cellStyle name="Normal 4 9 3 4 3" xfId="11809" xr:uid="{B23AF0B9-02E9-4983-96E2-542D5F5C0818}"/>
    <cellStyle name="Normal 4 9 3 4 3 2" xfId="22189" xr:uid="{B783A89E-86D7-4233-B590-0C0232E081AF}"/>
    <cellStyle name="Normal 4 9 3 4 4" xfId="24448" xr:uid="{ECE1713B-6C36-4DD6-816C-09DF059B87B7}"/>
    <cellStyle name="Normal 4 9 3 4 5" xfId="16523" xr:uid="{D0E91311-55B1-4F1E-B6D0-1D0E1521AF8F}"/>
    <cellStyle name="Normal 4 9 3 5" xfId="5346" xr:uid="{B95C7F4B-9A71-4AEC-BF82-3710F3D2C35B}"/>
    <cellStyle name="Normal 4 9 3 5 2" xfId="26033" xr:uid="{D5C88AE1-B3BD-4C8F-BA05-C1B0AB621E4B}"/>
    <cellStyle name="Normal 4 9 3 5 3" xfId="14644" xr:uid="{946793D5-930B-438A-BA01-92F106EAA79C}"/>
    <cellStyle name="Normal 4 9 3 6" xfId="7097" xr:uid="{45A6AE62-1A27-4679-9355-C7565243CC36}"/>
    <cellStyle name="Normal 4 9 3 6 2" xfId="17477" xr:uid="{5E875325-DDEF-43E5-88B0-36663A002E3A}"/>
    <cellStyle name="Normal 4 9 3 7" xfId="9930" xr:uid="{438C59F0-280F-4A01-B1FA-B98BB434E128}"/>
    <cellStyle name="Normal 4 9 3 7 2" xfId="20310" xr:uid="{9760F551-7F49-4B66-9392-BC4ED1C07275}"/>
    <cellStyle name="Normal 4 9 3 8" xfId="24810" xr:uid="{06BCB86A-1997-4F11-B114-820C012B0138}"/>
    <cellStyle name="Normal 4 9 3 9" xfId="12770" xr:uid="{4234F2F0-DD76-48C3-858A-37108DC7FF33}"/>
    <cellStyle name="Normal 4 9 4" xfId="1044" xr:uid="{00000000-0005-0000-0000-0000C6050000}"/>
    <cellStyle name="Normal 4 9 4 2" xfId="4556" xr:uid="{B60F7FE0-303D-4809-9FF9-BA03D1C69B44}"/>
    <cellStyle name="Normal 4 9 4 2 2" xfId="9328" xr:uid="{D898483C-C1B9-4E7F-8610-5E7B7DD99729}"/>
    <cellStyle name="Normal 4 9 4 2 2 2" xfId="29303" xr:uid="{411B5B70-8F18-4E55-B496-BE944566B165}"/>
    <cellStyle name="Normal 4 9 4 2 2 3" xfId="19708" xr:uid="{091F6D37-CB88-4DE7-8317-5909FD2E580A}"/>
    <cellStyle name="Normal 4 9 4 2 3" xfId="12161" xr:uid="{BB3FE38A-1F1B-4F3D-B629-ADA754C185CC}"/>
    <cellStyle name="Normal 4 9 4 2 3 2" xfId="22541" xr:uid="{5FFEF487-F08A-48EB-A592-4927EE828390}"/>
    <cellStyle name="Normal 4 9 4 2 4" xfId="24397" xr:uid="{BAB0A28D-4E99-4B0E-BBA3-3FA6958A4ED7}"/>
    <cellStyle name="Normal 4 9 4 2 5" xfId="16875" xr:uid="{15504F81-1EA2-4C0E-B012-16BAE8A59B70}"/>
    <cellStyle name="Normal 4 9 4 3" xfId="5347" xr:uid="{0E040CF3-0042-422A-BA5E-6AAA80545842}"/>
    <cellStyle name="Normal 4 9 4 3 2" xfId="26420" xr:uid="{9737F622-9F4D-4215-9D5E-4603C76300E2}"/>
    <cellStyle name="Normal 4 9 4 3 3" xfId="14645" xr:uid="{1605F229-F8A2-4434-9B75-426B7260F6B9}"/>
    <cellStyle name="Normal 4 9 4 4" xfId="7098" xr:uid="{154A79A8-E326-4846-BD3C-FCF566EEFF09}"/>
    <cellStyle name="Normal 4 9 4 4 2" xfId="17478" xr:uid="{48CE7B65-0A47-49AA-A0FB-D19A0D3D9D98}"/>
    <cellStyle name="Normal 4 9 4 5" xfId="9931" xr:uid="{E883B33E-6308-4FF6-9680-F215C520DFC2}"/>
    <cellStyle name="Normal 4 9 4 5 2" xfId="20311" xr:uid="{5F0F5074-2CF6-416D-BFD7-6299FC13A09D}"/>
    <cellStyle name="Normal 4 9 4 6" xfId="25406" xr:uid="{BA7D3C25-E40B-4434-A1BB-73C9F27BBACC}"/>
    <cellStyle name="Normal 4 9 4 7" xfId="13966" xr:uid="{CE3262C7-FE81-4080-A643-90F204935236}"/>
    <cellStyle name="Normal 4 9 5" xfId="2947" xr:uid="{00000000-0005-0000-0000-0000C4060000}"/>
    <cellStyle name="Normal 4 9 5 2" xfId="6127" xr:uid="{8FE178C2-CBA3-433F-A7C2-84FC619F5B81}"/>
    <cellStyle name="Normal 4 9 5 2 2" xfId="24057" xr:uid="{4E4E5A2D-359D-46B2-A19E-DBF03D5EF5F9}"/>
    <cellStyle name="Normal 4 9 5 2 3" xfId="27544" xr:uid="{C39916A2-C003-4C43-9C9A-9AC63521D991}"/>
    <cellStyle name="Normal 4 9 5 2 4" xfId="15605" xr:uid="{4543F762-D666-4FA6-ABE4-C9631A5B5E34}"/>
    <cellStyle name="Normal 4 9 5 3" xfId="8058" xr:uid="{DE5353BF-C4EC-4276-9C20-3C9D1B71ABCA}"/>
    <cellStyle name="Normal 4 9 5 3 2" xfId="28760" xr:uid="{BC05135D-49F9-4C43-8779-B049198642E6}"/>
    <cellStyle name="Normal 4 9 5 3 3" xfId="18438" xr:uid="{AD4191F7-A8FF-4446-ABBC-0AF88631DCE5}"/>
    <cellStyle name="Normal 4 9 5 4" xfId="10891" xr:uid="{FA8A25CE-B31C-43F8-A59B-36EA28645A33}"/>
    <cellStyle name="Normal 4 9 5 4 2" xfId="21271" xr:uid="{4927AD9C-0BD5-4299-BC43-309E2FA370C1}"/>
    <cellStyle name="Normal 4 9 5 5" xfId="23972" xr:uid="{34073EE8-2408-4029-BCA1-F24C370C643F}"/>
    <cellStyle name="Normal 4 9 5 6" xfId="13468" xr:uid="{AC7DC948-1164-4B8F-BA4C-16C1F6D5BBCA}"/>
    <cellStyle name="Normal 4 9 6" xfId="2506" xr:uid="{00000000-0005-0000-0000-0000C5060000}"/>
    <cellStyle name="Normal 4 9 6 2" xfId="5786" xr:uid="{C5DB1F4C-84E0-4922-9AF3-EB13B41C9A24}"/>
    <cellStyle name="Normal 4 9 6 2 2" xfId="27873" xr:uid="{87BC2480-2AB3-4E58-946B-68C1A6688A73}"/>
    <cellStyle name="Normal 4 9 6 2 3" xfId="15178" xr:uid="{6429479B-48DE-4743-A1AE-AE3E25563ABC}"/>
    <cellStyle name="Normal 4 9 6 3" xfId="7631" xr:uid="{DC26186C-24BB-4851-B8BA-E951777B6486}"/>
    <cellStyle name="Normal 4 9 6 3 2" xfId="18011" xr:uid="{8D143DA6-04AA-4573-A04D-157B4DFCECA0}"/>
    <cellStyle name="Normal 4 9 6 4" xfId="10464" xr:uid="{6E09233B-E859-4C16-B2F7-186BEBD86034}"/>
    <cellStyle name="Normal 4 9 6 4 2" xfId="20844" xr:uid="{B2EBD67C-2D94-4BBC-9EC9-755791AC361C}"/>
    <cellStyle name="Normal 4 9 6 5" xfId="23171" xr:uid="{F03EBC55-AE1F-42DF-AB33-8551F9067632}"/>
    <cellStyle name="Normal 4 9 6 6" xfId="12894" xr:uid="{3021E087-4766-4419-B53E-DFF3977350AA}"/>
    <cellStyle name="Normal 4 9 7" xfId="2262" xr:uid="{00000000-0005-0000-0000-0000B9060000}"/>
    <cellStyle name="Normal 4 9 7 2" xfId="7389" xr:uid="{32C9A824-0488-4806-8D99-CFC51AABAF81}"/>
    <cellStyle name="Normal 4 9 7 2 2" xfId="17769" xr:uid="{DA96CD8A-5157-4F8F-9A9C-59010E38E781}"/>
    <cellStyle name="Normal 4 9 7 3" xfId="10222" xr:uid="{DC37B7A9-8333-428A-AFF8-B24F26B0F802}"/>
    <cellStyle name="Normal 4 9 7 3 2" xfId="20602" xr:uid="{09BA70BB-9E2F-4C92-BDE6-A2D55D353E26}"/>
    <cellStyle name="Normal 4 9 7 4" xfId="24845" xr:uid="{4CB515D3-9236-4373-A92A-18A2F5F6E62F}"/>
    <cellStyle name="Normal 4 9 7 5" xfId="14936" xr:uid="{A33D728C-722B-4236-A9CF-7BF81F686EC4}"/>
    <cellStyle name="Normal 4 9 8" xfId="3999" xr:uid="{FB00525F-F625-4EBD-91ED-9DCBAED536F6}"/>
    <cellStyle name="Normal 4 9 8 2" xfId="8823" xr:uid="{18EB733E-EE76-4921-A96E-C69C33C3D8B9}"/>
    <cellStyle name="Normal 4 9 8 2 2" xfId="19203" xr:uid="{30B088D8-493E-4B50-8AE3-E18AEF7C462B}"/>
    <cellStyle name="Normal 4 9 8 3" xfId="11656" xr:uid="{85D8D720-9657-4EE8-BBCD-0244CF3EF351}"/>
    <cellStyle name="Normal 4 9 8 3 2" xfId="22036" xr:uid="{0A524794-595E-421E-98C3-5BD4E863566A}"/>
    <cellStyle name="Normal 4 9 8 4" xfId="16370" xr:uid="{C46AB949-0015-4839-8683-C34DB6ABA655}"/>
    <cellStyle name="Normal 4 9 9" xfId="5343" xr:uid="{9F32A828-194D-41BB-86AC-BC1E9E4BD583}"/>
    <cellStyle name="Normal 4 9 9 2" xfId="14641" xr:uid="{48C8B0A3-4F68-493C-9981-7A51C895F469}"/>
    <cellStyle name="Normal 5" xfId="1045" xr:uid="{00000000-0005-0000-0000-0000C7050000}"/>
    <cellStyle name="Normal 5 2" xfId="1046" xr:uid="{00000000-0005-0000-0000-0000C8050000}"/>
    <cellStyle name="Normal 5 2 10" xfId="31722" xr:uid="{71B46BFA-E7B7-45A8-AC20-01BE1303DDF6}"/>
    <cellStyle name="Normal 5 2 2" xfId="1047" xr:uid="{00000000-0005-0000-0000-0000C9050000}"/>
    <cellStyle name="Normal 5 2 2 2" xfId="1048" xr:uid="{00000000-0005-0000-0000-0000CA050000}"/>
    <cellStyle name="Normal 5 2 2 3" xfId="1049" xr:uid="{00000000-0005-0000-0000-0000CB050000}"/>
    <cellStyle name="Normal 5 2 2 3 2" xfId="1050" xr:uid="{00000000-0005-0000-0000-0000CC050000}"/>
    <cellStyle name="Normal 5 2 2 3 3" xfId="1051" xr:uid="{00000000-0005-0000-0000-0000CD050000}"/>
    <cellStyle name="Normal 5 2 2 3 3 2" xfId="1052" xr:uid="{00000000-0005-0000-0000-0000CE050000}"/>
    <cellStyle name="Normal 5 2 2 3 3 2 2" xfId="1053" xr:uid="{00000000-0005-0000-0000-0000CF050000}"/>
    <cellStyle name="Normal 5 2 2 3 3 2 3" xfId="1054" xr:uid="{00000000-0005-0000-0000-0000D0050000}"/>
    <cellStyle name="Normal 5 2 2 3 3 2 3 2" xfId="1055" xr:uid="{00000000-0005-0000-0000-0000D1050000}"/>
    <cellStyle name="Normal 5 2 2 3 3 2 3 2 2" xfId="1056" xr:uid="{00000000-0005-0000-0000-0000D2050000}"/>
    <cellStyle name="Normal 5 2 2 3 3 2 3 2 2 2" xfId="25824" xr:uid="{54CDD460-EA0A-4C9F-A2E9-D83616F70B34}"/>
    <cellStyle name="Normal 5 2 2 3 3 2 3 2 2 3" xfId="22975" xr:uid="{4F628876-254C-42A5-A33A-0B9E9D415554}"/>
    <cellStyle name="Normal 5 2 2 3 3 2 3 2 3" xfId="1057" xr:uid="{00000000-0005-0000-0000-0000D3050000}"/>
    <cellStyle name="Normal 5 2 2 3 3 2 3 2 3 2" xfId="1994" xr:uid="{00000000-0005-0000-0000-0000D4050000}"/>
    <cellStyle name="Normal 5 2 2 3 3 2 3 2 3 3" xfId="3718" xr:uid="{00000000-0005-0000-0000-000040050000}"/>
    <cellStyle name="Normal 5 2 2 3 3 2 3 2 3 3 2" xfId="4692" xr:uid="{51905AF2-C163-47F0-8B1F-2980361FD244}"/>
    <cellStyle name="Normal 5 2 2 3 3 2 3 2 3 3 3" xfId="30243" xr:uid="{CA1835E3-D7CA-494D-AA80-1B1149D5AFB8}"/>
    <cellStyle name="Normal 5 2 2 3 3 2 3 2 3 3 3 2" xfId="31386" xr:uid="{887E578E-D69D-402D-8C71-0EB314923E1C}"/>
    <cellStyle name="Normal 5 2 2 3 3 2 3 2 3 3 4" xfId="31583" xr:uid="{92D8B8E4-BB12-424E-9790-D21F8131DC73}"/>
    <cellStyle name="Normal 5 2 2 3 3 2 3 2 4" xfId="25788" xr:uid="{1D08EFFC-DA7F-41BE-978E-EC07123E36B4}"/>
    <cellStyle name="Normal 5 2 2 3 3 2 3 3" xfId="1058" xr:uid="{00000000-0005-0000-0000-0000D5050000}"/>
    <cellStyle name="Normal 5 2 2 3 3 2 3 4" xfId="2949" xr:uid="{00000000-0005-0000-0000-0000D2060000}"/>
    <cellStyle name="Normal 5 2 2 3 3 2 3 4 2" xfId="31297" xr:uid="{78CA0B19-A34B-4E31-AA24-2A14D9E7C4D2}"/>
    <cellStyle name="Normal 5 2 2 3 3 2 3 5" xfId="2102" xr:uid="{00000000-0005-0000-0000-000062020000}"/>
    <cellStyle name="Normal 5 2 2 3 3 2 3 5 2" xfId="4646" xr:uid="{DCF2241D-14ED-485A-9D65-B2AB943923E7}"/>
    <cellStyle name="Normal 5 2 2 3 3 2 3 5 3" xfId="30183" xr:uid="{A412684C-6109-4521-B609-EE02EEB536F2}"/>
    <cellStyle name="Normal 5 2 2 3 3 2 3 5 3 2" xfId="31327" xr:uid="{B0044842-2681-4637-80B7-F8CD98CD6A4C}"/>
    <cellStyle name="Normal 5 2 2 3 3 2 3 5 4" xfId="31523" xr:uid="{F88276D7-3241-416D-82B9-264DD5195C56}"/>
    <cellStyle name="Normal 5 2 2 3 3 2 3 6" xfId="4001" xr:uid="{F1B4F0B9-FD33-4680-A501-B9D0765C51F9}"/>
    <cellStyle name="Normal 5 2 2 3 3 2 3 6 2" xfId="4696" xr:uid="{87C651C8-4B39-4467-81FB-F4E1577DF4A5}"/>
    <cellStyle name="Normal 5 2 2 3 3 2 3 6 3" xfId="30304" xr:uid="{20D658DA-AA9C-4B8A-88DB-4A53FA3E1566}"/>
    <cellStyle name="Normal 5 2 2 3 3 2 3 6 3 2" xfId="31447" xr:uid="{8335C654-6A5B-43B0-9BF5-99B5E4D6EAF0}"/>
    <cellStyle name="Normal 5 2 2 3 3 2 3 6 4" xfId="31644" xr:uid="{648E6EA8-0CB8-4625-96BD-1713085C6150}"/>
    <cellStyle name="Normal 5 2 2 3 3 2 3 7" xfId="30125" xr:uid="{DAC80EA3-45F7-49F1-A349-239CC3856162}"/>
    <cellStyle name="Normal 5 2 2 3 3 2 3 7 2" xfId="30487" xr:uid="{207BB286-D44A-4530-97B5-78C32E75393D}"/>
    <cellStyle name="Normal 5 2 2 3 3 2 4" xfId="1059" xr:uid="{00000000-0005-0000-0000-0000D6050000}"/>
    <cellStyle name="Normal 5 2 2 3 3 2 4 2" xfId="2948" xr:uid="{00000000-0005-0000-0000-0000D3060000}"/>
    <cellStyle name="Normal 5 2 2 3 3 2 4 3" xfId="25593" xr:uid="{5B9280FC-9264-4B15-A200-680DEEC4D82C}"/>
    <cellStyle name="Normal 5 2 2 3 3 2 4 3 2" xfId="29625" xr:uid="{10ECCC93-74F9-4A09-802F-48DA5B303C31}"/>
    <cellStyle name="Normal 5 2 2 3 3 2 4 3 3" xfId="29601" xr:uid="{C8E61550-9BF6-4809-AD63-521FABB334AF}"/>
    <cellStyle name="Normal 5 2 2 3 3 2 4 3 3 2" xfId="29645" xr:uid="{CBBE4A4C-8051-48A5-A221-A862F98BE9FB}"/>
    <cellStyle name="Normal 5 2 2 3 3 2 4 3 3 3" xfId="30387" xr:uid="{869F3D5D-AE97-4CC5-B41A-A19DC4D969BE}"/>
    <cellStyle name="Normal 5 2 2 3 3 2 4 3 3 4" xfId="30374" xr:uid="{5CC7FCC2-30E8-4DE4-8C04-E4F3FF779ED6}"/>
    <cellStyle name="Normal 5 2 2 3 3 2 4 3 3 4 2" xfId="31713" xr:uid="{97349D98-A108-4282-8CFA-A793557F04C8}"/>
    <cellStyle name="Normal 5 2 2 3 3 2 4 3 4" xfId="30357" xr:uid="{1C60EA9A-684E-4679-89C8-749CEAB253C5}"/>
    <cellStyle name="Normal 5 2 2 3 3 2 4 3 4 2" xfId="31699" xr:uid="{AD204089-4C71-4050-991D-38E2B324F7EB}"/>
    <cellStyle name="Normal 5 2 2 3 3 2 5" xfId="2101" xr:uid="{00000000-0005-0000-0000-000060020000}"/>
    <cellStyle name="Normal 5 2 2 3 3 2 5 2" xfId="4665" xr:uid="{456E6ACB-B92B-4E09-90D7-9887AC9A6356}"/>
    <cellStyle name="Normal 5 2 2 3 3 2 5 3" xfId="30182" xr:uid="{949196C8-26F0-48F8-A360-5C93471FB753}"/>
    <cellStyle name="Normal 5 2 2 3 3 2 5 3 2" xfId="31326" xr:uid="{1776B697-3D7A-44A6-8CF4-26DCA157D5FD}"/>
    <cellStyle name="Normal 5 2 2 3 3 2 5 4" xfId="31522" xr:uid="{BEF860A1-5D07-4575-A886-606466C1C1D9}"/>
    <cellStyle name="Normal 5 2 2 3 3 2 6" xfId="4000" xr:uid="{A738EDEF-3EA0-4135-885D-6506E619A596}"/>
    <cellStyle name="Normal 5 2 2 3 3 2 6 2" xfId="4815" xr:uid="{54779593-FE24-451B-9985-E9D706451F82}"/>
    <cellStyle name="Normal 5 2 2 3 3 2 6 3" xfId="30303" xr:uid="{6891DA91-5722-4BAC-8C6B-FDD9DC564F07}"/>
    <cellStyle name="Normal 5 2 2 3 3 2 6 3 2" xfId="31446" xr:uid="{6A366D88-F890-46E2-BB04-E1D17258EF3B}"/>
    <cellStyle name="Normal 5 2 2 3 3 2 6 4" xfId="31643" xr:uid="{06A84B95-836D-4AEB-8DAA-809DFA91FB68}"/>
    <cellStyle name="Normal 5 2 2 3 3 2 7" xfId="30124" xr:uid="{16F6B502-50DE-40DF-90B1-0876CC1A1C94}"/>
    <cellStyle name="Normal 5 2 2 3 3 2 7 2" xfId="30486" xr:uid="{32F471BB-0723-4682-B1A0-F64159294218}"/>
    <cellStyle name="Normal 5 2 2 3 3 3" xfId="1060" xr:uid="{00000000-0005-0000-0000-0000D7050000}"/>
    <cellStyle name="Normal 5 2 2 3 3 4" xfId="1061" xr:uid="{00000000-0005-0000-0000-0000D8050000}"/>
    <cellStyle name="Normal 5 2 2 3 3 4 2" xfId="1062" xr:uid="{00000000-0005-0000-0000-0000D9050000}"/>
    <cellStyle name="Normal 5 2 2 3 3 4 2 2" xfId="1063" xr:uid="{00000000-0005-0000-0000-0000DA050000}"/>
    <cellStyle name="Normal 5 2 2 3 3 4 2 2 2" xfId="1064" xr:uid="{00000000-0005-0000-0000-0000DB050000}"/>
    <cellStyle name="Normal 5 2 2 3 3 4 2 2 2 2" xfId="1995" xr:uid="{00000000-0005-0000-0000-0000DC050000}"/>
    <cellStyle name="Normal 5 2 2 3 3 4 2 2 2 2 2" xfId="30091" xr:uid="{2B878A51-CD5F-4DE5-B930-3F48D284360B}"/>
    <cellStyle name="Normal 5 2 2 3 3 4 2 2 2 3" xfId="3719" xr:uid="{00000000-0005-0000-0000-000047050000}"/>
    <cellStyle name="Normal 5 2 2 3 3 4 2 2 2 3 2" xfId="4816" xr:uid="{A9DAC7E2-553D-4565-B80F-940B97A51BE8}"/>
    <cellStyle name="Normal 5 2 2 3 3 4 2 2 2 3 3" xfId="30244" xr:uid="{BA581B0B-DADD-427E-9227-F1A4995BB8C9}"/>
    <cellStyle name="Normal 5 2 2 3 3 4 2 2 2 3 3 2" xfId="31387" xr:uid="{D3E5510B-31A3-4A73-B547-9B3F2D2B326B}"/>
    <cellStyle name="Normal 5 2 2 3 3 4 2 2 2 3 4" xfId="31584" xr:uid="{21BABE29-A0ED-45DF-9708-DEE6E0C6E1A6}"/>
    <cellStyle name="Normal 5 2 2 3 3 4 2 2 2 4" xfId="25783" xr:uid="{36E75808-49D3-4D14-9DA6-61DB80D655FD}"/>
    <cellStyle name="Normal 5 2 2 3 3 4 2 2 3" xfId="1996" xr:uid="{00000000-0005-0000-0000-0000DD050000}"/>
    <cellStyle name="Normal 5 2 2 3 3 4 2 2 4" xfId="23414" xr:uid="{BA854DC5-60A5-4E12-82F7-BBD7FC263D3A}"/>
    <cellStyle name="Normal 5 2 2 3 3 4 2 3" xfId="1065" xr:uid="{00000000-0005-0000-0000-0000DE050000}"/>
    <cellStyle name="Normal 5 2 2 3 3 4 2 3 2" xfId="1066" xr:uid="{00000000-0005-0000-0000-0000DF050000}"/>
    <cellStyle name="Normal 5 2 2 3 3 4 2 3 2 2" xfId="25815" xr:uid="{0AE676AB-4C86-4CA3-9C45-55D8413D79AD}"/>
    <cellStyle name="Normal 5 2 2 3 3 4 2 3 2 3" xfId="23197" xr:uid="{A05CFCBC-1C32-439E-B3B0-8BBB5EA27847}"/>
    <cellStyle name="Normal 5 2 2 3 3 4 2 3 3" xfId="1067" xr:uid="{00000000-0005-0000-0000-0000E0050000}"/>
    <cellStyle name="Normal 5 2 2 3 3 4 2 3 3 2" xfId="24262" xr:uid="{4E635149-A9CA-4E61-A008-49F6F6E6E5A8}"/>
    <cellStyle name="Normal 5 2 2 3 3 4 2 3 3 3" xfId="24683" xr:uid="{F7A47AF9-6E5B-4813-8096-B603E3BB974D}"/>
    <cellStyle name="Normal 5 2 2 3 3 4 2 3 4" xfId="2104" xr:uid="{00000000-0005-0000-0000-000068020000}"/>
    <cellStyle name="Normal 5 2 2 3 3 4 2 3 4 2" xfId="4709" xr:uid="{B07E0505-B8A6-484D-AAA8-0C41974ED4F4}"/>
    <cellStyle name="Normal 5 2 2 3 3 4 2 3 4 3" xfId="30185" xr:uid="{9A0870E9-F2F2-44FB-8B46-C48A4968FEEF}"/>
    <cellStyle name="Normal 5 2 2 3 3 4 2 3 4 3 2" xfId="31329" xr:uid="{CF04E88C-F7B3-4D7A-9717-FD9ACBD6475E}"/>
    <cellStyle name="Normal 5 2 2 3 3 4 2 3 4 4" xfId="31525" xr:uid="{A111558E-E85F-4251-9D3B-B86A6E2852FF}"/>
    <cellStyle name="Normal 5 2 2 3 3 4 2 3 5" xfId="25793" xr:uid="{BE81E2B3-54B5-44DA-A7B7-DF27FBF44B0E}"/>
    <cellStyle name="Normal 5 2 2 3 3 4 2 3 6" xfId="30537" xr:uid="{6AF04956-A4AA-40F2-9013-C6A327256590}"/>
    <cellStyle name="Normal 5 2 2 3 3 4 2 4" xfId="24195" xr:uid="{8D3CA287-FEA1-4E49-ADF5-2EF14E33D055}"/>
    <cellStyle name="Normal 5 2 2 3 3 4 3" xfId="1068" xr:uid="{00000000-0005-0000-0000-0000E1050000}"/>
    <cellStyle name="Normal 5 2 2 3 3 4 4" xfId="2950" xr:uid="{00000000-0005-0000-0000-0000DB060000}"/>
    <cellStyle name="Normal 5 2 2 3 3 4 4 2" xfId="31291" xr:uid="{DEB5B321-0F2A-4419-A5CA-930B6F07E2F7}"/>
    <cellStyle name="Normal 5 2 2 3 3 4 5" xfId="2103" xr:uid="{00000000-0005-0000-0000-000065020000}"/>
    <cellStyle name="Normal 5 2 2 3 3 4 5 2" xfId="3791" xr:uid="{BC5A38D1-BFF3-476A-8A69-EA1EE0617EC6}"/>
    <cellStyle name="Normal 5 2 2 3 3 4 5 3" xfId="30184" xr:uid="{5C24DA68-97CD-49FE-802F-E259FD9B70A3}"/>
    <cellStyle name="Normal 5 2 2 3 3 4 5 3 2" xfId="31328" xr:uid="{79426398-3EAD-4E7A-9356-7A768B6FCB74}"/>
    <cellStyle name="Normal 5 2 2 3 3 4 5 4" xfId="31524" xr:uid="{3AC3627F-72DF-4B18-B008-B92A5C21CB5D}"/>
    <cellStyle name="Normal 5 2 2 3 3 4 6" xfId="4002" xr:uid="{D8FD9E04-9092-4C4B-A910-C73C5CD42691}"/>
    <cellStyle name="Normal 5 2 2 3 3 4 6 2" xfId="4695" xr:uid="{E279391E-A262-4102-8448-E71B06C35C79}"/>
    <cellStyle name="Normal 5 2 2 3 3 4 6 3" xfId="30305" xr:uid="{A30F632E-33C2-4D26-936D-ECDA03E22F6E}"/>
    <cellStyle name="Normal 5 2 2 3 3 4 6 3 2" xfId="31448" xr:uid="{164E3A5C-7416-44FC-8177-DC798DF6E6A0}"/>
    <cellStyle name="Normal 5 2 2 3 3 4 6 4" xfId="31645" xr:uid="{B9006B00-B933-4FB1-A35A-D7221D1C0512}"/>
    <cellStyle name="Normal 5 2 2 3 3 4 7" xfId="30126" xr:uid="{703E38E7-8BA4-47CE-A103-8E02D7643E7A}"/>
    <cellStyle name="Normal 5 2 2 3 3 4 7 2" xfId="30488" xr:uid="{2C6C969A-844E-4616-8573-0FAFBA4D69CF}"/>
    <cellStyle name="Normal 5 2 2 3 3 5" xfId="1069" xr:uid="{00000000-0005-0000-0000-0000E2050000}"/>
    <cellStyle name="Normal 5 2 2 3 3 5 2" xfId="1070" xr:uid="{00000000-0005-0000-0000-0000E3050000}"/>
    <cellStyle name="Normal 5 2 2 3 3 5 3" xfId="3720" xr:uid="{00000000-0005-0000-0000-00004E050000}"/>
    <cellStyle name="Normal 5 2 2 3 3 5 3 2" xfId="4795" xr:uid="{DF0BC7BF-5428-4780-84E3-7F8E288418C8}"/>
    <cellStyle name="Normal 5 2 2 3 3 5 3 2 2" xfId="27327" xr:uid="{F12C00FE-6AFB-4D00-84B2-71822DC2DF6A}"/>
    <cellStyle name="Normal 5 2 2 3 3 5 3 3" xfId="22849" xr:uid="{659AE614-353A-4FE0-9C98-E3D2FE7BC367}"/>
    <cellStyle name="Normal 5 2 2 3 3 5 3 4" xfId="30245" xr:uid="{10F24001-7CC0-44EC-B648-411E63A266B9}"/>
    <cellStyle name="Normal 5 2 2 3 3 5 3 4 2" xfId="31388" xr:uid="{B9C0C66D-8676-4A44-BA99-B9C8122368E0}"/>
    <cellStyle name="Normal 5 2 2 3 3 5 3 5" xfId="31585" xr:uid="{747A6EBE-5AA8-4D25-B6CA-2B8E86458B98}"/>
    <cellStyle name="Normal 5 2 2 3 3 5 4" xfId="25353" xr:uid="{8D8B4136-989F-4529-ABF1-5DCEC950D05B}"/>
    <cellStyle name="Normal 5 2 2 3 4" xfId="1071" xr:uid="{00000000-0005-0000-0000-0000E4050000}"/>
    <cellStyle name="Normal 5 2 2 3 4 2" xfId="1072" xr:uid="{00000000-0005-0000-0000-0000E5050000}"/>
    <cellStyle name="Normal 5 2 2 3 4 3" xfId="1073" xr:uid="{00000000-0005-0000-0000-0000E6050000}"/>
    <cellStyle name="Normal 5 2 2 3 4 3 2" xfId="1074" xr:uid="{00000000-0005-0000-0000-0000E7050000}"/>
    <cellStyle name="Normal 5 2 2 3 4 3 2 2" xfId="1075" xr:uid="{00000000-0005-0000-0000-0000E8050000}"/>
    <cellStyle name="Normal 5 2 2 3 4 3 2 2 2" xfId="24422" xr:uid="{B47C1D1D-4990-4E6D-8D87-F2D0EA821190}"/>
    <cellStyle name="Normal 5 2 2 3 4 3 2 2 3" xfId="25685" xr:uid="{C0596603-1DB0-4B26-9F87-3B5181B6B939}"/>
    <cellStyle name="Normal 5 2 2 3 4 3 2 3" xfId="1076" xr:uid="{00000000-0005-0000-0000-0000E9050000}"/>
    <cellStyle name="Normal 5 2 2 3 4 3 2 3 2" xfId="1997" xr:uid="{00000000-0005-0000-0000-0000EA050000}"/>
    <cellStyle name="Normal 5 2 2 3 4 3 2 3 3" xfId="3721" xr:uid="{00000000-0005-0000-0000-000055050000}"/>
    <cellStyle name="Normal 5 2 2 3 4 3 2 3 3 2" xfId="4779" xr:uid="{2AAB0A08-DE9A-4C96-9B2A-1DB1A63BD9DB}"/>
    <cellStyle name="Normal 5 2 2 3 4 3 2 3 3 3" xfId="30246" xr:uid="{0B60F80B-7368-4D89-BA1E-AC6E4192ADD4}"/>
    <cellStyle name="Normal 5 2 2 3 4 3 2 3 3 3 2" xfId="31389" xr:uid="{6980F92F-2E8D-4F9E-B82F-A0952100F3DD}"/>
    <cellStyle name="Normal 5 2 2 3 4 3 2 3 3 4" xfId="31586" xr:uid="{7B6E9149-EDD8-47F2-8D5F-A2FC9635B763}"/>
    <cellStyle name="Normal 5 2 2 3 4 3 2 4" xfId="25686" xr:uid="{D36B2ED3-0F57-4BA2-8ECD-62BF05B0572F}"/>
    <cellStyle name="Normal 5 2 2 3 4 3 3" xfId="1077" xr:uid="{00000000-0005-0000-0000-0000EB050000}"/>
    <cellStyle name="Normal 5 2 2 3 4 3 4" xfId="2951" xr:uid="{00000000-0005-0000-0000-0000E1060000}"/>
    <cellStyle name="Normal 5 2 2 3 4 3 4 2" xfId="31275" xr:uid="{48413553-C1B7-4B8D-A3C6-C8BF89975138}"/>
    <cellStyle name="Normal 5 2 2 3 4 3 5" xfId="2106" xr:uid="{00000000-0005-0000-0000-00006C020000}"/>
    <cellStyle name="Normal 5 2 2 3 4 3 5 2" xfId="4053" xr:uid="{49B8B7A8-4856-40A4-A58F-9BFE37881BD3}"/>
    <cellStyle name="Normal 5 2 2 3 4 3 5 3" xfId="30187" xr:uid="{A70DBE0C-D5CA-4EAB-A3CA-07F95394E9AE}"/>
    <cellStyle name="Normal 5 2 2 3 4 3 5 3 2" xfId="31331" xr:uid="{490372D4-432A-4B6E-B243-E866D76B8184}"/>
    <cellStyle name="Normal 5 2 2 3 4 3 5 4" xfId="31527" xr:uid="{90AC1405-FE79-424A-BC37-FF05E9503406}"/>
    <cellStyle name="Normal 5 2 2 3 4 3 6" xfId="4004" xr:uid="{2E9BA179-24FF-4822-9D6C-F2734EFD2CB0}"/>
    <cellStyle name="Normal 5 2 2 3 4 3 6 2" xfId="4805" xr:uid="{2387F2B7-3B47-4789-BF4E-B979001A8FAA}"/>
    <cellStyle name="Normal 5 2 2 3 4 3 6 3" xfId="30307" xr:uid="{5726D493-8CED-4265-A434-DFD8EB311CD3}"/>
    <cellStyle name="Normal 5 2 2 3 4 3 6 3 2" xfId="31450" xr:uid="{FB181689-6E48-4E44-96B3-385555CE579C}"/>
    <cellStyle name="Normal 5 2 2 3 4 3 6 4" xfId="31647" xr:uid="{0067E494-22D7-4B3A-984D-B426336F4E2D}"/>
    <cellStyle name="Normal 5 2 2 3 4 3 7" xfId="30128" xr:uid="{902DB47F-C143-433C-8E02-ECCFBB8FA346}"/>
    <cellStyle name="Normal 5 2 2 3 4 3 7 2" xfId="30490" xr:uid="{56017849-602A-438E-96E0-4DE9B6F02764}"/>
    <cellStyle name="Normal 5 2 2 3 4 4" xfId="1078" xr:uid="{00000000-0005-0000-0000-0000EC050000}"/>
    <cellStyle name="Normal 5 2 2 3 4 4 2" xfId="1998" xr:uid="{00000000-0005-0000-0000-0000ED050000}"/>
    <cellStyle name="Normal 5 2 2 3 4 4 3" xfId="3722" xr:uid="{00000000-0005-0000-0000-000058050000}"/>
    <cellStyle name="Normal 5 2 2 3 4 4 3 2" xfId="4707" xr:uid="{FB999CD8-02A8-4F7C-89CE-DB6631DE48C4}"/>
    <cellStyle name="Normal 5 2 2 3 4 4 3 3" xfId="30247" xr:uid="{EE5ADEA2-84D4-4505-87AE-A6C270C3F801}"/>
    <cellStyle name="Normal 5 2 2 3 4 4 3 3 2" xfId="31390" xr:uid="{DE289E50-B422-42E4-BB23-771C03B0FE6E}"/>
    <cellStyle name="Normal 5 2 2 3 4 4 3 4" xfId="31587" xr:uid="{8C678CD5-606D-4C9C-A7A2-159D864DB7F7}"/>
    <cellStyle name="Normal 5 2 2 3 4 5" xfId="2105" xr:uid="{00000000-0005-0000-0000-00006A020000}"/>
    <cellStyle name="Normal 5 2 2 3 4 5 2" xfId="4659" xr:uid="{67E9FDA9-5A2B-445D-B40D-93E8A98A8238}"/>
    <cellStyle name="Normal 5 2 2 3 4 5 3" xfId="30186" xr:uid="{4CB0E304-139B-42D7-9A87-E169EFE7D601}"/>
    <cellStyle name="Normal 5 2 2 3 4 5 3 2" xfId="31330" xr:uid="{0F5135EB-14E6-42DE-B2B0-75C666FB0A17}"/>
    <cellStyle name="Normal 5 2 2 3 4 5 4" xfId="31526" xr:uid="{E4FC8698-639F-4C7B-A547-7219F1D50986}"/>
    <cellStyle name="Normal 5 2 2 3 4 6" xfId="4003" xr:uid="{483D2F10-7048-47B5-8EC8-C27C7ED5C5D2}"/>
    <cellStyle name="Normal 5 2 2 3 4 6 2" xfId="4722" xr:uid="{9099B238-0B4B-4E4D-B266-C731E14F65F2}"/>
    <cellStyle name="Normal 5 2 2 3 4 6 3" xfId="30306" xr:uid="{CE79C3A2-8FAA-47C3-A986-94ABFF393284}"/>
    <cellStyle name="Normal 5 2 2 3 4 6 3 2" xfId="31449" xr:uid="{6D797409-02BE-47A8-973D-58729081A7B3}"/>
    <cellStyle name="Normal 5 2 2 3 4 6 4" xfId="31646" xr:uid="{F8C769A2-8633-48D8-9C86-DFE6F04F67C4}"/>
    <cellStyle name="Normal 5 2 2 3 4 7" xfId="30127" xr:uid="{920D9317-59AD-4444-9F3B-B0AB3DA1419C}"/>
    <cellStyle name="Normal 5 2 2 3 4 7 2" xfId="30489" xr:uid="{2D2D5388-0491-48DD-9BA0-7F231209010E}"/>
    <cellStyle name="Normal 5 2 2 3 5" xfId="2067" xr:uid="{00000000-0005-0000-0000-00005D020000}"/>
    <cellStyle name="Normal 5 2 2 3 5 2" xfId="4745" xr:uid="{D9BCE5B0-F41F-41F6-A6AC-41E5B78235A9}"/>
    <cellStyle name="Normal 5 2 2 3 5 3" xfId="30167" xr:uid="{F6DDC9EB-CD6C-4D04-8F67-4FD996169366}"/>
    <cellStyle name="Normal 5 2 2 3 5 3 2" xfId="30491" xr:uid="{063E2B6E-8838-4EF2-91BA-1A4AB6C209F2}"/>
    <cellStyle name="Normal 5 2 2 3 5 4" xfId="31507" xr:uid="{4C9C7E84-AA75-41E2-BFB1-21A740FAD8B6}"/>
    <cellStyle name="Normal 5 2 2 3 6" xfId="30104" xr:uid="{93BD7124-346B-4FA7-9E75-822A18739E86}"/>
    <cellStyle name="Normal 5 2 2 3 6 2" xfId="30472" xr:uid="{B7FC6D84-3823-4E1F-9CD2-CD3763CCF30A}"/>
    <cellStyle name="Normal 5 2 2 3 7" xfId="31724" xr:uid="{CA5F41CC-B0FD-4954-8A22-3377F189CA4D}"/>
    <cellStyle name="Normal 5 2 2 4" xfId="1079" xr:uid="{00000000-0005-0000-0000-0000EE050000}"/>
    <cellStyle name="Normal 5 2 2 4 2" xfId="1080" xr:uid="{00000000-0005-0000-0000-0000EF050000}"/>
    <cellStyle name="Normal 5 2 2 4 3" xfId="1081" xr:uid="{00000000-0005-0000-0000-0000F0050000}"/>
    <cellStyle name="Normal 5 2 2 4 3 2" xfId="1082" xr:uid="{00000000-0005-0000-0000-0000F1050000}"/>
    <cellStyle name="Normal 5 2 2 4 3 2 2" xfId="1083" xr:uid="{00000000-0005-0000-0000-0000F2050000}"/>
    <cellStyle name="Normal 5 2 2 4 3 2 2 2" xfId="23666" xr:uid="{B7ABCA13-C252-49DE-8A75-C393116E6978}"/>
    <cellStyle name="Normal 5 2 2 4 3 2 2 3" xfId="25772" xr:uid="{D99DDDD1-ADF3-4C2F-9B0B-0766981E1FE4}"/>
    <cellStyle name="Normal 5 2 2 4 3 2 3" xfId="1084" xr:uid="{00000000-0005-0000-0000-0000F3050000}"/>
    <cellStyle name="Normal 5 2 2 4 3 2 3 2" xfId="1999" xr:uid="{00000000-0005-0000-0000-0000F4050000}"/>
    <cellStyle name="Normal 5 2 2 4 3 2 3 3" xfId="3723" xr:uid="{00000000-0005-0000-0000-00005F050000}"/>
    <cellStyle name="Normal 5 2 2 4 3 2 3 3 2" xfId="4737" xr:uid="{E49EB17C-CF0A-4F32-A8B8-D0C3423F7ADE}"/>
    <cellStyle name="Normal 5 2 2 4 3 2 3 3 3" xfId="30248" xr:uid="{A9BCBA25-83A3-4A30-9CD3-15C108FB8C79}"/>
    <cellStyle name="Normal 5 2 2 4 3 2 3 3 3 2" xfId="31391" xr:uid="{05EB7F35-34C6-4A04-A0F4-C81EF4E61930}"/>
    <cellStyle name="Normal 5 2 2 4 3 2 3 3 4" xfId="31588" xr:uid="{75B07DF1-2E2E-4D26-A331-293EB1A84567}"/>
    <cellStyle name="Normal 5 2 2 4 3 2 4" xfId="24571" xr:uid="{CA10D6C3-1290-4ABF-AABF-26E17988ED1A}"/>
    <cellStyle name="Normal 5 2 2 4 3 3" xfId="1085" xr:uid="{00000000-0005-0000-0000-0000F5050000}"/>
    <cellStyle name="Normal 5 2 2 4 3 4" xfId="2952" xr:uid="{00000000-0005-0000-0000-0000E8060000}"/>
    <cellStyle name="Normal 5 2 2 4 3 4 2" xfId="31278" xr:uid="{5827531A-151D-490E-B9CC-5F64E61F31DF}"/>
    <cellStyle name="Normal 5 2 2 4 3 5" xfId="2108" xr:uid="{00000000-0005-0000-0000-000070020000}"/>
    <cellStyle name="Normal 5 2 2 4 3 5 2" xfId="4630" xr:uid="{CB491582-F2CB-4E36-BE6E-EFC681D7156D}"/>
    <cellStyle name="Normal 5 2 2 4 3 5 3" xfId="30189" xr:uid="{3AAE0EAE-E8B5-495C-B313-D9EF9D9CAB64}"/>
    <cellStyle name="Normal 5 2 2 4 3 5 3 2" xfId="31333" xr:uid="{0267AC5B-64C6-4486-ADCE-246F465FDD47}"/>
    <cellStyle name="Normal 5 2 2 4 3 5 4" xfId="31529" xr:uid="{9CB041FA-68C5-4343-A51A-DA27C8958F9D}"/>
    <cellStyle name="Normal 5 2 2 4 3 6" xfId="4006" xr:uid="{D558FD0F-23C1-46DD-B9F0-9F8795729785}"/>
    <cellStyle name="Normal 5 2 2 4 3 6 2" xfId="4714" xr:uid="{B120F520-B966-4AD5-8EBE-409F270073F9}"/>
    <cellStyle name="Normal 5 2 2 4 3 6 3" xfId="30309" xr:uid="{699D5CA2-FACA-4377-99AD-77942E973491}"/>
    <cellStyle name="Normal 5 2 2 4 3 6 3 2" xfId="31452" xr:uid="{5F533371-818D-4244-ABD4-7A17DD389363}"/>
    <cellStyle name="Normal 5 2 2 4 3 6 4" xfId="31649" xr:uid="{EB53F69C-BF68-4DCA-85B3-F9FB5F32E27C}"/>
    <cellStyle name="Normal 5 2 2 4 3 7" xfId="30130" xr:uid="{BDE27110-9B13-48B7-8653-B497F720F538}"/>
    <cellStyle name="Normal 5 2 2 4 3 7 2" xfId="30493" xr:uid="{FD9D9EF5-F197-45A3-BC3A-5650DE888412}"/>
    <cellStyle name="Normal 5 2 2 4 4" xfId="1086" xr:uid="{00000000-0005-0000-0000-0000F6050000}"/>
    <cellStyle name="Normal 5 2 2 4 4 2" xfId="1087" xr:uid="{00000000-0005-0000-0000-0000F7050000}"/>
    <cellStyle name="Normal 5 2 2 4 4 3" xfId="3724" xr:uid="{00000000-0005-0000-0000-000062050000}"/>
    <cellStyle name="Normal 5 2 2 4 4 3 2" xfId="4742" xr:uid="{85B5A93A-A824-41A3-9870-5FB5020B28AB}"/>
    <cellStyle name="Normal 5 2 2 4 4 3 3" xfId="30249" xr:uid="{33C48EDD-9586-4230-8BA4-66265587F273}"/>
    <cellStyle name="Normal 5 2 2 4 4 3 3 2" xfId="31392" xr:uid="{922174FC-994D-4960-94F6-152FE500B889}"/>
    <cellStyle name="Normal 5 2 2 4 4 3 4" xfId="31589" xr:uid="{E291B842-5ED4-4126-8BEA-A2175FDD78C9}"/>
    <cellStyle name="Normal 5 2 2 4 5" xfId="2107" xr:uid="{00000000-0005-0000-0000-00006E020000}"/>
    <cellStyle name="Normal 5 2 2 4 5 2" xfId="4679" xr:uid="{1C1F360D-C6E5-496D-8E0B-7C61EF688A4B}"/>
    <cellStyle name="Normal 5 2 2 4 5 3" xfId="30188" xr:uid="{2FA02E78-E05B-4D87-8A46-DB8A8ADCC86C}"/>
    <cellStyle name="Normal 5 2 2 4 5 3 2" xfId="31332" xr:uid="{FBB927C5-8BB1-4180-BA69-EEF312036142}"/>
    <cellStyle name="Normal 5 2 2 4 5 4" xfId="31528" xr:uid="{8FFD126D-2DEA-4100-A5CD-7641C553E7A8}"/>
    <cellStyle name="Normal 5 2 2 4 6" xfId="4005" xr:uid="{487C8B09-2829-42FC-9B86-25DB3AB10663}"/>
    <cellStyle name="Normal 5 2 2 4 6 2" xfId="4778" xr:uid="{C7B64242-53F0-4D37-B483-14A3329CCC0F}"/>
    <cellStyle name="Normal 5 2 2 4 6 3" xfId="30308" xr:uid="{A106EA70-5CF5-4F4F-839A-1F540D6AFC82}"/>
    <cellStyle name="Normal 5 2 2 4 6 3 2" xfId="31451" xr:uid="{E6C509AA-8B5E-4123-B775-483D5B730539}"/>
    <cellStyle name="Normal 5 2 2 4 6 4" xfId="31648" xr:uid="{8920FE63-A71F-4725-A7D7-BA468668BA0F}"/>
    <cellStyle name="Normal 5 2 2 4 7" xfId="30129" xr:uid="{2236E3FF-3A86-4CD1-98F1-1886F111A065}"/>
    <cellStyle name="Normal 5 2 2 4 7 2" xfId="30492" xr:uid="{45FC10F0-4741-45B2-BDBE-913619A599F3}"/>
    <cellStyle name="Normal 5 2 2 5" xfId="29602" xr:uid="{51A7D0CB-4AEF-4815-897D-E9DF6C04761B}"/>
    <cellStyle name="Normal 5 2 2 5 2" xfId="29633" xr:uid="{4D46F027-DFAF-43F3-8432-E8ADA4FEF75B}"/>
    <cellStyle name="Normal 5 2 2 5 3" xfId="30358" xr:uid="{B88E4284-E474-4823-9891-BF93F08DC332}"/>
    <cellStyle name="Normal 5 2 2 5 3 2" xfId="30494" xr:uid="{31576F81-3AEC-4A0F-9C51-2A5DB1814C7E}"/>
    <cellStyle name="Normal 5 2 2 6" xfId="31499" xr:uid="{2BB411DD-5D15-4B7F-BAEC-F1A8EC41C4E3}"/>
    <cellStyle name="Normal 5 2 3" xfId="1088" xr:uid="{00000000-0005-0000-0000-0000F8050000}"/>
    <cellStyle name="Normal 5 2 3 2" xfId="1089" xr:uid="{00000000-0005-0000-0000-0000F9050000}"/>
    <cellStyle name="Normal 5 2 3 3" xfId="1090" xr:uid="{00000000-0005-0000-0000-0000FA050000}"/>
    <cellStyle name="Normal 5 2 3 4" xfId="1091" xr:uid="{00000000-0005-0000-0000-0000FB050000}"/>
    <cellStyle name="Normal 5 2 4" xfId="1092" xr:uid="{00000000-0005-0000-0000-0000FC050000}"/>
    <cellStyle name="Normal 5 2 4 2" xfId="1093" xr:uid="{00000000-0005-0000-0000-0000FD050000}"/>
    <cellStyle name="Normal 5 2 4 3" xfId="1094" xr:uid="{00000000-0005-0000-0000-0000FE050000}"/>
    <cellStyle name="Normal 5 2 4 3 2" xfId="1095" xr:uid="{00000000-0005-0000-0000-0000FF050000}"/>
    <cellStyle name="Normal 5 2 4 3 2 2" xfId="1096" xr:uid="{00000000-0005-0000-0000-000000060000}"/>
    <cellStyle name="Normal 5 2 4 3 2 3" xfId="1097" xr:uid="{00000000-0005-0000-0000-000001060000}"/>
    <cellStyle name="Normal 5 2 4 3 2 3 2" xfId="1098" xr:uid="{00000000-0005-0000-0000-000002060000}"/>
    <cellStyle name="Normal 5 2 4 3 2 3 2 2" xfId="1099" xr:uid="{00000000-0005-0000-0000-000003060000}"/>
    <cellStyle name="Normal 5 2 4 3 2 3 2 2 2" xfId="24048" xr:uid="{4777385D-2B03-4739-880A-360C2F6CA172}"/>
    <cellStyle name="Normal 5 2 4 3 2 3 2 2 3" xfId="25592" xr:uid="{4194AEC9-B5D1-4293-B8C5-62D7DE423C61}"/>
    <cellStyle name="Normal 5 2 4 3 2 3 2 3" xfId="1100" xr:uid="{00000000-0005-0000-0000-000004060000}"/>
    <cellStyle name="Normal 5 2 4 3 2 3 2 3 2" xfId="2000" xr:uid="{00000000-0005-0000-0000-000005060000}"/>
    <cellStyle name="Normal 5 2 4 3 2 3 2 3 3" xfId="3725" xr:uid="{00000000-0005-0000-0000-000070050000}"/>
    <cellStyle name="Normal 5 2 4 3 2 3 2 3 3 2" xfId="4754" xr:uid="{FD3276C6-408C-4237-B809-AE73C12F6AE6}"/>
    <cellStyle name="Normal 5 2 4 3 2 3 2 3 3 3" xfId="30250" xr:uid="{8E939996-71BD-47CE-9BF4-4ED640E9C488}"/>
    <cellStyle name="Normal 5 2 4 3 2 3 2 3 3 3 2" xfId="31393" xr:uid="{E5FDB7D8-82CC-42F9-B24A-1AB0B72AE30F}"/>
    <cellStyle name="Normal 5 2 4 3 2 3 2 3 3 4" xfId="31590" xr:uid="{169BD90C-78A7-48C8-8B4D-B8A3362C27BE}"/>
    <cellStyle name="Normal 5 2 4 3 2 3 2 4" xfId="23146" xr:uid="{70717655-02F4-404C-95BB-4DB5536E3E99}"/>
    <cellStyle name="Normal 5 2 4 3 2 3 3" xfId="1101" xr:uid="{00000000-0005-0000-0000-000006060000}"/>
    <cellStyle name="Normal 5 2 4 3 2 3 4" xfId="2954" xr:uid="{00000000-0005-0000-0000-0000F4060000}"/>
    <cellStyle name="Normal 5 2 4 3 2 3 4 2" xfId="31279" xr:uid="{51508AF3-39AA-43A7-A514-BBE022261B7A}"/>
    <cellStyle name="Normal 5 2 4 3 2 3 5" xfId="2110" xr:uid="{00000000-0005-0000-0000-000079020000}"/>
    <cellStyle name="Normal 5 2 4 3 2 3 5 2" xfId="4629" xr:uid="{D9BC3CB2-5DA1-450C-BCAA-C84E226AB1E6}"/>
    <cellStyle name="Normal 5 2 4 3 2 3 5 3" xfId="30191" xr:uid="{2FCB911F-22F5-4527-8AEA-8BB8AA3518F0}"/>
    <cellStyle name="Normal 5 2 4 3 2 3 5 3 2" xfId="31335" xr:uid="{C304E2DA-C317-4027-B01C-219F31AF267C}"/>
    <cellStyle name="Normal 5 2 4 3 2 3 5 4" xfId="31531" xr:uid="{0DF2BB2A-E61A-4C92-BAFA-3A88549AEB66}"/>
    <cellStyle name="Normal 5 2 4 3 2 3 6" xfId="4008" xr:uid="{993A1062-C514-464B-A529-806C1AF30B6A}"/>
    <cellStyle name="Normal 5 2 4 3 2 3 6 2" xfId="4694" xr:uid="{C18C23D0-B407-4C1A-B972-7E83A621B743}"/>
    <cellStyle name="Normal 5 2 4 3 2 3 6 3" xfId="30311" xr:uid="{487F42B9-1B4B-44C3-988E-42342B8A86DF}"/>
    <cellStyle name="Normal 5 2 4 3 2 3 6 3 2" xfId="31454" xr:uid="{27CFB7E5-D04B-4E2D-9DC7-CDEAC6CF78C9}"/>
    <cellStyle name="Normal 5 2 4 3 2 3 6 4" xfId="31651" xr:uid="{4D303C41-AC8E-454A-A937-02A3DD263DCF}"/>
    <cellStyle name="Normal 5 2 4 3 2 3 7" xfId="30132" xr:uid="{83341974-E50B-44D0-9696-9A6A4FF79FC7}"/>
    <cellStyle name="Normal 5 2 4 3 2 3 7 2" xfId="30496" xr:uid="{62A7FCD7-3DD3-460C-A526-2E072EA83AC6}"/>
    <cellStyle name="Normal 5 2 4 3 2 4" xfId="1102" xr:uid="{00000000-0005-0000-0000-000007060000}"/>
    <cellStyle name="Normal 5 2 4 3 2 4 2" xfId="2953" xr:uid="{00000000-0005-0000-0000-0000F5060000}"/>
    <cellStyle name="Normal 5 2 4 3 2 4 3" xfId="24690" xr:uid="{973BBD0D-C702-493A-B63A-7B759697D574}"/>
    <cellStyle name="Normal 5 2 4 3 2 4 3 2" xfId="29622" xr:uid="{75BA985B-775E-4986-B0DE-8AF96A156831}"/>
    <cellStyle name="Normal 5 2 4 3 2 4 3 3" xfId="29603" xr:uid="{406D4EA0-1A70-4389-8944-9FA1A8219A8A}"/>
    <cellStyle name="Normal 5 2 4 3 2 4 3 3 2" xfId="29646" xr:uid="{923DCAA1-B380-4E41-9BA9-6417B9F666E0}"/>
    <cellStyle name="Normal 5 2 4 3 2 4 3 3 3" xfId="30388" xr:uid="{1139EB9C-6328-4471-8AA4-7F81A5EA54F4}"/>
    <cellStyle name="Normal 5 2 4 3 2 4 3 3 4" xfId="30375" xr:uid="{E276286F-A8BD-43EF-B465-B006F70E65A1}"/>
    <cellStyle name="Normal 5 2 4 3 2 4 3 3 4 2" xfId="31714" xr:uid="{71AE4F98-CC52-4A8A-914B-1B3A2FF29A1C}"/>
    <cellStyle name="Normal 5 2 4 3 2 4 3 4" xfId="30359" xr:uid="{BB7BBCD9-B969-4973-A8B6-6CB722F841E4}"/>
    <cellStyle name="Normal 5 2 4 3 2 4 3 4 2" xfId="31700" xr:uid="{F60ECDD6-7D39-47D2-80B0-FE4508F286D8}"/>
    <cellStyle name="Normal 5 2 4 3 2 5" xfId="2109" xr:uid="{00000000-0005-0000-0000-000077020000}"/>
    <cellStyle name="Normal 5 2 4 3 2 5 2" xfId="4634" xr:uid="{CE0C5B6A-2719-4A04-925F-57872C2DEC2B}"/>
    <cellStyle name="Normal 5 2 4 3 2 5 3" xfId="30190" xr:uid="{6A370297-6A41-4E24-B999-B6EBAA07B436}"/>
    <cellStyle name="Normal 5 2 4 3 2 5 3 2" xfId="31334" xr:uid="{966323EF-1FDA-4294-B815-716BB4BA52AC}"/>
    <cellStyle name="Normal 5 2 4 3 2 5 4" xfId="31530" xr:uid="{08096505-C56A-4159-AECA-7DFEAECA569B}"/>
    <cellStyle name="Normal 5 2 4 3 2 6" xfId="4007" xr:uid="{21BCC244-DE2D-4E05-B4CA-800C7ACB717D}"/>
    <cellStyle name="Normal 5 2 4 3 2 6 2" xfId="4809" xr:uid="{FE4BE598-DEBE-491E-8102-65FC12E0DC06}"/>
    <cellStyle name="Normal 5 2 4 3 2 6 3" xfId="30310" xr:uid="{F505CACC-2E7E-4908-B592-B7E4ACA029E0}"/>
    <cellStyle name="Normal 5 2 4 3 2 6 3 2" xfId="31453" xr:uid="{39A1DB0C-5820-4471-897E-0EF9158064D9}"/>
    <cellStyle name="Normal 5 2 4 3 2 6 4" xfId="31650" xr:uid="{5F240F98-984C-4E11-894B-FD68B60B2DC6}"/>
    <cellStyle name="Normal 5 2 4 3 2 7" xfId="30131" xr:uid="{C81275DE-CA30-40D7-AD33-FAB62E0FACED}"/>
    <cellStyle name="Normal 5 2 4 3 2 7 2" xfId="30495" xr:uid="{8AAC8AE9-2926-47D6-87B5-9E837B1CDB4A}"/>
    <cellStyle name="Normal 5 2 4 3 3" xfId="1103" xr:uid="{00000000-0005-0000-0000-000008060000}"/>
    <cellStyle name="Normal 5 2 4 3 4" xfId="1104" xr:uid="{00000000-0005-0000-0000-000009060000}"/>
    <cellStyle name="Normal 5 2 4 3 4 2" xfId="1105" xr:uid="{00000000-0005-0000-0000-00000A060000}"/>
    <cellStyle name="Normal 5 2 4 3 4 2 2" xfId="1106" xr:uid="{00000000-0005-0000-0000-00000B060000}"/>
    <cellStyle name="Normal 5 2 4 3 4 2 2 2" xfId="1107" xr:uid="{00000000-0005-0000-0000-00000C060000}"/>
    <cellStyle name="Normal 5 2 4 3 4 2 2 2 2" xfId="2001" xr:uid="{00000000-0005-0000-0000-00000D060000}"/>
    <cellStyle name="Normal 5 2 4 3 4 2 2 2 2 2" xfId="30092" xr:uid="{00FBE9D4-901D-40C4-AE9A-A01535727F0E}"/>
    <cellStyle name="Normal 5 2 4 3 4 2 2 2 3" xfId="3726" xr:uid="{00000000-0005-0000-0000-000077050000}"/>
    <cellStyle name="Normal 5 2 4 3 4 2 2 2 3 2" xfId="4700" xr:uid="{D86AE0E5-80AB-45CC-BB51-27009840DF19}"/>
    <cellStyle name="Normal 5 2 4 3 4 2 2 2 3 3" xfId="30251" xr:uid="{A5913D0B-F3AB-4685-B461-6789188CB0C7}"/>
    <cellStyle name="Normal 5 2 4 3 4 2 2 2 3 3 2" xfId="31394" xr:uid="{607078C3-D295-4A84-8F6C-C1F600B3DD7A}"/>
    <cellStyle name="Normal 5 2 4 3 4 2 2 2 3 4" xfId="31591" xr:uid="{A5395D31-9BC9-49DA-9AD2-437533C755D4}"/>
    <cellStyle name="Normal 5 2 4 3 4 2 2 2 4" xfId="25814" xr:uid="{68E33F85-01FB-4372-96FF-2C95551D6F42}"/>
    <cellStyle name="Normal 5 2 4 3 4 2 2 3" xfId="2002" xr:uid="{00000000-0005-0000-0000-00000E060000}"/>
    <cellStyle name="Normal 5 2 4 3 4 2 2 4" xfId="24563" xr:uid="{1ABF2154-0515-420D-BA6C-050AA83C1161}"/>
    <cellStyle name="Normal 5 2 4 3 4 2 3" xfId="1108" xr:uid="{00000000-0005-0000-0000-00000F060000}"/>
    <cellStyle name="Normal 5 2 4 3 4 2 3 2" xfId="1109" xr:uid="{00000000-0005-0000-0000-000010060000}"/>
    <cellStyle name="Normal 5 2 4 3 4 2 3 2 2" xfId="25780" xr:uid="{C55AA561-4A9A-4C64-850D-C3D11D4FEE4B}"/>
    <cellStyle name="Normal 5 2 4 3 4 2 3 2 3" xfId="24693" xr:uid="{A05F800E-9125-4B87-98E6-688A386B1177}"/>
    <cellStyle name="Normal 5 2 4 3 4 2 3 3" xfId="1110" xr:uid="{00000000-0005-0000-0000-000011060000}"/>
    <cellStyle name="Normal 5 2 4 3 4 2 3 3 2" xfId="25379" xr:uid="{F68CF08F-A168-4264-B126-2A6CE38A1A26}"/>
    <cellStyle name="Normal 5 2 4 3 4 2 3 3 3" xfId="25764" xr:uid="{FAF7D7DA-B154-4388-9D93-722B021D173F}"/>
    <cellStyle name="Normal 5 2 4 3 4 2 3 4" xfId="2112" xr:uid="{00000000-0005-0000-0000-00007F020000}"/>
    <cellStyle name="Normal 5 2 4 3 4 2 3 4 2" xfId="4772" xr:uid="{C01071CA-2E5F-4969-B1C0-9DBB04C21783}"/>
    <cellStyle name="Normal 5 2 4 3 4 2 3 4 3" xfId="30193" xr:uid="{CFC6C10D-19C1-4175-B722-F9F6FF830FDB}"/>
    <cellStyle name="Normal 5 2 4 3 4 2 3 4 3 2" xfId="31337" xr:uid="{DE48491A-8E71-4D53-BF3A-74F36656ED66}"/>
    <cellStyle name="Normal 5 2 4 3 4 2 3 4 4" xfId="31533" xr:uid="{28552DF3-DBCC-498D-A367-6FA965B21C26}"/>
    <cellStyle name="Normal 5 2 4 3 4 2 3 5" xfId="25282" xr:uid="{C7B4FAF3-1BA0-45BB-BA6F-44260C736B84}"/>
    <cellStyle name="Normal 5 2 4 3 4 2 3 6" xfId="30538" xr:uid="{63E07DC7-F18F-4505-A38A-112CFA74FEBB}"/>
    <cellStyle name="Normal 5 2 4 3 4 2 4" xfId="23058" xr:uid="{C7716834-6B7F-4C7C-AB0F-D110ACFBAC7A}"/>
    <cellStyle name="Normal 5 2 4 3 4 3" xfId="1111" xr:uid="{00000000-0005-0000-0000-000012060000}"/>
    <cellStyle name="Normal 5 2 4 3 4 4" xfId="2955" xr:uid="{00000000-0005-0000-0000-0000FD060000}"/>
    <cellStyle name="Normal 5 2 4 3 4 4 2" xfId="31284" xr:uid="{853362D5-299F-4808-978A-B0AF91C9FCCD}"/>
    <cellStyle name="Normal 5 2 4 3 4 5" xfId="2111" xr:uid="{00000000-0005-0000-0000-00007C020000}"/>
    <cellStyle name="Normal 5 2 4 3 4 5 2" xfId="4640" xr:uid="{9499810A-4B41-448D-89FA-46D00AE72935}"/>
    <cellStyle name="Normal 5 2 4 3 4 5 3" xfId="30192" xr:uid="{13D06800-6809-4CE8-A6F4-CD71FDE8EAC6}"/>
    <cellStyle name="Normal 5 2 4 3 4 5 3 2" xfId="31336" xr:uid="{F5FBEC01-0219-4E30-92D7-6771A93AA2AE}"/>
    <cellStyle name="Normal 5 2 4 3 4 5 4" xfId="31532" xr:uid="{FACAD6D8-BE20-4E78-A39A-9835E1A36A9E}"/>
    <cellStyle name="Normal 5 2 4 3 4 6" xfId="4009" xr:uid="{F6561F36-B5FA-449D-8623-6523BDF6513B}"/>
    <cellStyle name="Normal 5 2 4 3 4 6 2" xfId="4822" xr:uid="{2C1739FD-A387-4815-9D44-5238B913A269}"/>
    <cellStyle name="Normal 5 2 4 3 4 6 3" xfId="30312" xr:uid="{E1453DD1-D0D4-41B1-96A4-D543CB7B3645}"/>
    <cellStyle name="Normal 5 2 4 3 4 6 3 2" xfId="31455" xr:uid="{58F3D4EC-46BD-4B36-8C1D-A3BFAD097151}"/>
    <cellStyle name="Normal 5 2 4 3 4 6 4" xfId="31652" xr:uid="{740B3970-8CB7-4886-90DB-201FFA1F7212}"/>
    <cellStyle name="Normal 5 2 4 3 4 7" xfId="30133" xr:uid="{0FF9C2E0-D12A-4ABC-95BB-3755B3F83C84}"/>
    <cellStyle name="Normal 5 2 4 3 4 7 2" xfId="30497" xr:uid="{FC91A448-0B30-4A6D-BA82-B1E29BB27650}"/>
    <cellStyle name="Normal 5 2 4 3 5" xfId="1112" xr:uid="{00000000-0005-0000-0000-000013060000}"/>
    <cellStyle name="Normal 5 2 4 3 5 2" xfId="1113" xr:uid="{00000000-0005-0000-0000-000014060000}"/>
    <cellStyle name="Normal 5 2 4 3 5 3" xfId="3727" xr:uid="{00000000-0005-0000-0000-00007E050000}"/>
    <cellStyle name="Normal 5 2 4 3 5 3 2" xfId="4770" xr:uid="{CC143ED1-937D-4F73-A068-C4CF9C5A1DF7}"/>
    <cellStyle name="Normal 5 2 4 3 5 3 2 2" xfId="27328" xr:uid="{17D2031A-E82D-4478-9366-F21AB81BBD6E}"/>
    <cellStyle name="Normal 5 2 4 3 5 3 3" xfId="25641" xr:uid="{DFF53FD4-FEAE-46B9-BCF3-B4723EA48D7C}"/>
    <cellStyle name="Normal 5 2 4 3 5 3 4" xfId="30252" xr:uid="{E82F2118-577E-4536-B0CB-18761AB513DD}"/>
    <cellStyle name="Normal 5 2 4 3 5 3 4 2" xfId="31395" xr:uid="{AB0E8E94-3AAB-4649-AC96-B3051481793B}"/>
    <cellStyle name="Normal 5 2 4 3 5 3 5" xfId="31592" xr:uid="{A3F63B78-3266-4C42-90CB-09F9D2C3C287}"/>
    <cellStyle name="Normal 5 2 4 3 5 4" xfId="24430" xr:uid="{16BBE468-D5C0-4B21-AD2D-3D3515796DC2}"/>
    <cellStyle name="Normal 5 2 4 4" xfId="1114" xr:uid="{00000000-0005-0000-0000-000015060000}"/>
    <cellStyle name="Normal 5 2 4 4 2" xfId="1115" xr:uid="{00000000-0005-0000-0000-000016060000}"/>
    <cellStyle name="Normal 5 2 4 4 3" xfId="1116" xr:uid="{00000000-0005-0000-0000-000017060000}"/>
    <cellStyle name="Normal 5 2 4 4 3 2" xfId="1117" xr:uid="{00000000-0005-0000-0000-000018060000}"/>
    <cellStyle name="Normal 5 2 4 4 3 2 2" xfId="1118" xr:uid="{00000000-0005-0000-0000-000019060000}"/>
    <cellStyle name="Normal 5 2 4 4 3 2 2 2" xfId="23685" xr:uid="{AF438C16-2BAB-4175-8465-C867CB828BCF}"/>
    <cellStyle name="Normal 5 2 4 4 3 2 2 3" xfId="25292" xr:uid="{7DBC5392-EC70-48EA-818B-C50A30347B3B}"/>
    <cellStyle name="Normal 5 2 4 4 3 2 3" xfId="1119" xr:uid="{00000000-0005-0000-0000-00001A060000}"/>
    <cellStyle name="Normal 5 2 4 4 3 2 3 2" xfId="2003" xr:uid="{00000000-0005-0000-0000-00001B060000}"/>
    <cellStyle name="Normal 5 2 4 4 3 2 3 3" xfId="3728" xr:uid="{00000000-0005-0000-0000-000085050000}"/>
    <cellStyle name="Normal 5 2 4 4 3 2 3 3 2" xfId="4720" xr:uid="{F35494D6-FE07-48A7-A0C8-E98B5ABBC110}"/>
    <cellStyle name="Normal 5 2 4 4 3 2 3 3 3" xfId="30253" xr:uid="{3371D826-E6D0-4F85-B3CB-12EC5DC11E04}"/>
    <cellStyle name="Normal 5 2 4 4 3 2 3 3 3 2" xfId="31396" xr:uid="{9F866689-093F-47B5-BB7A-A67F81465E01}"/>
    <cellStyle name="Normal 5 2 4 4 3 2 3 3 4" xfId="31593" xr:uid="{DF05E4B7-CFDF-423C-9FBA-EF6B9FF57097}"/>
    <cellStyle name="Normal 5 2 4 4 3 2 4" xfId="24799" xr:uid="{868BB01E-4989-41C7-8624-51DC12DB0459}"/>
    <cellStyle name="Normal 5 2 4 4 3 3" xfId="1120" xr:uid="{00000000-0005-0000-0000-00001C060000}"/>
    <cellStyle name="Normal 5 2 4 4 3 4" xfId="2956" xr:uid="{00000000-0005-0000-0000-000003070000}"/>
    <cellStyle name="Normal 5 2 4 4 3 4 2" xfId="31274" xr:uid="{FA2917AE-C3BA-4BE1-A1E6-01DBDC065E54}"/>
    <cellStyle name="Normal 5 2 4 4 3 5" xfId="2114" xr:uid="{00000000-0005-0000-0000-000083020000}"/>
    <cellStyle name="Normal 5 2 4 4 3 5 2" xfId="3783" xr:uid="{D037D556-2DF5-490C-8D04-4D0D0B902C7F}"/>
    <cellStyle name="Normal 5 2 4 4 3 5 3" xfId="30195" xr:uid="{ADC3C70D-ACE5-4A69-B04D-15C35B0C6A21}"/>
    <cellStyle name="Normal 5 2 4 4 3 5 3 2" xfId="31339" xr:uid="{3649E89F-2542-4741-8FC6-5FCC29A22267}"/>
    <cellStyle name="Normal 5 2 4 4 3 5 4" xfId="31535" xr:uid="{8641E7A6-2611-4D56-836F-9152DD7762A5}"/>
    <cellStyle name="Normal 5 2 4 4 3 6" xfId="4011" xr:uid="{48584F99-0955-4DD2-8F83-B7B1E99DDE13}"/>
    <cellStyle name="Normal 5 2 4 4 3 6 2" xfId="4710" xr:uid="{05F490C6-261E-4F3C-99BE-89B9730F2236}"/>
    <cellStyle name="Normal 5 2 4 4 3 6 3" xfId="30314" xr:uid="{56E9FF0F-F58B-4D2E-A832-37CBBFB3815E}"/>
    <cellStyle name="Normal 5 2 4 4 3 6 3 2" xfId="31457" xr:uid="{A5973D2C-5654-4EBD-BEEE-E7F4FF14014D}"/>
    <cellStyle name="Normal 5 2 4 4 3 6 4" xfId="31654" xr:uid="{784DD7EA-AE1F-40B9-95A6-82033FC6AD60}"/>
    <cellStyle name="Normal 5 2 4 4 3 7" xfId="30135" xr:uid="{043D8D7C-0FB5-4B99-8C37-48CD2D0D46E8}"/>
    <cellStyle name="Normal 5 2 4 4 3 7 2" xfId="30499" xr:uid="{530030F0-59D0-4660-8567-AD5B7CB24B9B}"/>
    <cellStyle name="Normal 5 2 4 4 4" xfId="1121" xr:uid="{00000000-0005-0000-0000-00001D060000}"/>
    <cellStyle name="Normal 5 2 4 4 4 2" xfId="1122" xr:uid="{00000000-0005-0000-0000-00001E060000}"/>
    <cellStyle name="Normal 5 2 4 4 4 3" xfId="3729" xr:uid="{00000000-0005-0000-0000-000088050000}"/>
    <cellStyle name="Normal 5 2 4 4 4 3 2" xfId="4705" xr:uid="{2B3CDEAC-4952-4F4E-97D6-E795D826D395}"/>
    <cellStyle name="Normal 5 2 4 4 4 3 3" xfId="30254" xr:uid="{E704B8BC-41EA-4454-AEA2-EF033FDE6340}"/>
    <cellStyle name="Normal 5 2 4 4 4 3 3 2" xfId="31397" xr:uid="{16EDD962-7E8E-4EA1-8369-937E3100EBBC}"/>
    <cellStyle name="Normal 5 2 4 4 4 3 4" xfId="31594" xr:uid="{EC278FCC-DA37-4F41-BA29-08FBF8957A8D}"/>
    <cellStyle name="Normal 5 2 4 4 5" xfId="1123" xr:uid="{00000000-0005-0000-0000-00001F060000}"/>
    <cellStyle name="Normal 5 2 4 4 5 2" xfId="4685" xr:uid="{00564EB2-1CAC-4E4B-B4B3-F5A40DFD44F8}"/>
    <cellStyle name="Normal 5 2 4 4 5 2 2" xfId="4826" xr:uid="{83E1FB17-2E9A-4803-B6F4-091CC3A05E18}"/>
    <cellStyle name="Normal 5 2 4 4 5 2 3" xfId="30352" xr:uid="{6DA91CAE-6F39-4002-B1F0-4B89033CE666}"/>
    <cellStyle name="Normal 5 2 4 4 5 2 3 2" xfId="31492" xr:uid="{383E5E58-7C91-413E-8FD2-3A67B7B19328}"/>
    <cellStyle name="Normal 5 2 4 4 5 2 4" xfId="31692" xr:uid="{20B02469-8862-47FA-AED8-8278520D8ED1}"/>
    <cellStyle name="Normal 5 2 4 4 5 3" xfId="4660" xr:uid="{B6A07F6F-9F13-4228-A8E1-D1C6B6C8E7AD}"/>
    <cellStyle name="Normal 5 2 4 4 5 4" xfId="24642" xr:uid="{11EB602C-CBF5-439D-843C-5A00AA8F3884}"/>
    <cellStyle name="Normal 5 2 4 4 6" xfId="2113" xr:uid="{00000000-0005-0000-0000-000081020000}"/>
    <cellStyle name="Normal 5 2 4 4 6 2" xfId="4697" xr:uid="{FE5B8EF5-9CD7-4287-865B-5A904A0E530B}"/>
    <cellStyle name="Normal 5 2 4 4 6 3" xfId="30194" xr:uid="{C315FB79-57F9-4A65-8EAE-6F681E6F5074}"/>
    <cellStyle name="Normal 5 2 4 4 6 3 2" xfId="31338" xr:uid="{BDB4D344-5AF5-4D2B-8B4E-5754C69F2E50}"/>
    <cellStyle name="Normal 5 2 4 4 6 4" xfId="31534" xr:uid="{B5BD0CD0-E8AF-4AEB-A2ED-0582CF3CA95A}"/>
    <cellStyle name="Normal 5 2 4 4 7" xfId="4010" xr:uid="{AD80C160-AEC5-4928-B410-574B477C1DBC}"/>
    <cellStyle name="Normal 5 2 4 4 7 2" xfId="4787" xr:uid="{F6E3D3A6-20C3-4DDD-A8D0-C82F8B32B771}"/>
    <cellStyle name="Normal 5 2 4 4 7 3" xfId="30313" xr:uid="{2CBF5DFB-D0DB-46CD-865F-1F5D4869B49D}"/>
    <cellStyle name="Normal 5 2 4 4 7 3 2" xfId="31456" xr:uid="{28056046-37C5-4210-A45E-87C91033B72C}"/>
    <cellStyle name="Normal 5 2 4 4 7 4" xfId="31653" xr:uid="{4A0F218C-119A-4271-A509-C12DF0B83723}"/>
    <cellStyle name="Normal 5 2 4 4 8" xfId="30134" xr:uid="{2E70D3D9-38AE-4F46-AE0C-D4B00782AB6B}"/>
    <cellStyle name="Normal 5 2 4 4 8 2" xfId="30498" xr:uid="{FF04236F-3AE0-4DDD-A3DA-183F84BE2F5D}"/>
    <cellStyle name="Normal 5 2 4 5" xfId="1124" xr:uid="{00000000-0005-0000-0000-000020060000}"/>
    <cellStyle name="Normal 5 2 4 5 2" xfId="1125" xr:uid="{00000000-0005-0000-0000-000021060000}"/>
    <cellStyle name="Normal 5 2 4 5 3" xfId="3730" xr:uid="{00000000-0005-0000-0000-00008A050000}"/>
    <cellStyle name="Normal 5 2 4 5 3 2" xfId="4794" xr:uid="{D64666DE-161D-45A7-8501-FCDF6FF74294}"/>
    <cellStyle name="Normal 5 2 4 5 3 3" xfId="30255" xr:uid="{6575DB17-95F3-4C95-905B-3ABC9211C442}"/>
    <cellStyle name="Normal 5 2 4 5 3 3 2" xfId="31398" xr:uid="{DE834904-B2BD-403C-9730-C8010FF03FF0}"/>
    <cellStyle name="Normal 5 2 4 5 3 4" xfId="31595" xr:uid="{F648D83E-0FF1-4AAA-9876-4826AC71E7EB}"/>
    <cellStyle name="Normal 5 2 4 5 4" xfId="30461" xr:uid="{15BA9B86-0397-4682-A1E5-049E65187509}"/>
    <cellStyle name="Normal 5 2 4 5 5" xfId="30500" xr:uid="{0311EE71-B5C4-4A8B-9CB9-F51438F5F7D7}"/>
    <cellStyle name="Normal 5 2 4 6" xfId="2068" xr:uid="{00000000-0005-0000-0000-000074020000}"/>
    <cellStyle name="Normal 5 2 4 6 2" xfId="4761" xr:uid="{35A1BC4F-2451-4737-BD49-D3AC91FFB2BF}"/>
    <cellStyle name="Normal 5 2 4 6 3" xfId="30168" xr:uid="{A6018F4F-C528-4905-BDB0-BF5E3AC61E88}"/>
    <cellStyle name="Normal 5 2 4 6 3 2" xfId="31316" xr:uid="{83AC687E-87C2-48AA-9A5B-F5AA4831B64D}"/>
    <cellStyle name="Normal 5 2 4 6 4" xfId="31508" xr:uid="{0746594F-F8C7-4596-9514-82C67CEA6E76}"/>
    <cellStyle name="Normal 5 2 4 7" xfId="30113" xr:uid="{342BA205-8867-43D9-9B72-B399D3F5B164}"/>
    <cellStyle name="Normal 5 2 4 7 2" xfId="30473" xr:uid="{BD37669B-A0D9-4854-A41E-C8C8D8D8F3B6}"/>
    <cellStyle name="Normal 5 2 5" xfId="1126" xr:uid="{00000000-0005-0000-0000-000022060000}"/>
    <cellStyle name="Normal 5 2 6" xfId="1127" xr:uid="{00000000-0005-0000-0000-000023060000}"/>
    <cellStyle name="Normal 5 2 6 2" xfId="1128" xr:uid="{00000000-0005-0000-0000-000024060000}"/>
    <cellStyle name="Normal 5 2 6 3" xfId="1129" xr:uid="{00000000-0005-0000-0000-000025060000}"/>
    <cellStyle name="Normal 5 2 6 3 2" xfId="1130" xr:uid="{00000000-0005-0000-0000-000026060000}"/>
    <cellStyle name="Normal 5 2 6 3 2 2" xfId="1131" xr:uid="{00000000-0005-0000-0000-000027060000}"/>
    <cellStyle name="Normal 5 2 6 3 2 2 2" xfId="25681" xr:uid="{C484C0D9-74CC-4C6B-88A9-79BE48F69CF0}"/>
    <cellStyle name="Normal 5 2 6 3 2 2 3" xfId="23164" xr:uid="{577E5655-507A-4621-891F-DE0F7D1E369D}"/>
    <cellStyle name="Normal 5 2 6 3 2 3" xfId="1132" xr:uid="{00000000-0005-0000-0000-000028060000}"/>
    <cellStyle name="Normal 5 2 6 3 2 3 2" xfId="2004" xr:uid="{00000000-0005-0000-0000-000029060000}"/>
    <cellStyle name="Normal 5 2 6 3 2 3 3" xfId="3731" xr:uid="{00000000-0005-0000-0000-000092050000}"/>
    <cellStyle name="Normal 5 2 6 3 2 3 3 2" xfId="4712" xr:uid="{7604220B-D70E-4A63-A63C-24114FAE80C9}"/>
    <cellStyle name="Normal 5 2 6 3 2 3 3 3" xfId="30256" xr:uid="{B80B6B77-F421-43D1-972F-1A065BDBB1AC}"/>
    <cellStyle name="Normal 5 2 6 3 2 3 3 3 2" xfId="31399" xr:uid="{6EB86A97-DCE1-4A16-9432-1F99543E9238}"/>
    <cellStyle name="Normal 5 2 6 3 2 3 3 4" xfId="31596" xr:uid="{B6C515EE-3083-4209-8122-BC69D0B770D5}"/>
    <cellStyle name="Normal 5 2 6 3 2 4" xfId="23097" xr:uid="{84EBBAC2-5BAF-4007-9F20-78E3A440C6FD}"/>
    <cellStyle name="Normal 5 2 6 3 3" xfId="1133" xr:uid="{00000000-0005-0000-0000-00002A060000}"/>
    <cellStyle name="Normal 5 2 6 3 4" xfId="2958" xr:uid="{00000000-0005-0000-0000-00000B070000}"/>
    <cellStyle name="Normal 5 2 6 3 4 2" xfId="31281" xr:uid="{0E491AE0-2453-47A6-807A-49B64C0F5E81}"/>
    <cellStyle name="Normal 5 2 6 3 5" xfId="2116" xr:uid="{00000000-0005-0000-0000-000088020000}"/>
    <cellStyle name="Normal 5 2 6 3 5 2" xfId="4643" xr:uid="{55F936E5-2268-4048-890B-2E7F45921A47}"/>
    <cellStyle name="Normal 5 2 6 3 5 3" xfId="30197" xr:uid="{A8DA4185-04D3-45D0-99D2-1ED1AAD9939F}"/>
    <cellStyle name="Normal 5 2 6 3 5 3 2" xfId="31341" xr:uid="{CA9214E1-83A5-4F08-8718-28FA7D00E0BF}"/>
    <cellStyle name="Normal 5 2 6 3 5 4" xfId="31537" xr:uid="{9226D559-0753-4299-B3BF-2E415381B2FD}"/>
    <cellStyle name="Normal 5 2 6 3 6" xfId="4013" xr:uid="{28ED6A24-2FD5-4CA1-A14B-0556FD75683B}"/>
    <cellStyle name="Normal 5 2 6 3 6 2" xfId="4702" xr:uid="{B1BE088F-0CAA-4678-941E-5E508D832414}"/>
    <cellStyle name="Normal 5 2 6 3 6 3" xfId="30316" xr:uid="{3495266E-E1CD-4625-9ADF-210DC6DA8762}"/>
    <cellStyle name="Normal 5 2 6 3 6 3 2" xfId="31459" xr:uid="{88902C99-11AB-43A0-AE1B-DC07654E0B23}"/>
    <cellStyle name="Normal 5 2 6 3 6 4" xfId="31656" xr:uid="{566768B4-29FC-49F4-B34F-DAB710351185}"/>
    <cellStyle name="Normal 5 2 6 3 7" xfId="30137" xr:uid="{42B1072C-8B2A-4FA2-81EC-269C4E84A3A5}"/>
    <cellStyle name="Normal 5 2 6 3 7 2" xfId="30502" xr:uid="{54FBF52F-2716-45C2-84B6-D21E6196F530}"/>
    <cellStyle name="Normal 5 2 6 4" xfId="2957" xr:uid="{00000000-0005-0000-0000-00000C070000}"/>
    <cellStyle name="Normal 5 2 6 4 2" xfId="24398" xr:uid="{2449F7EF-3427-4B32-B170-EFC2A75FD0B4}"/>
    <cellStyle name="Normal 5 2 6 4 2 2" xfId="29620" xr:uid="{6BBA2B63-2EFB-461D-82A5-559378679EC0}"/>
    <cellStyle name="Normal 5 2 6 4 2 3" xfId="29604" xr:uid="{134584C4-53AD-45C7-B411-6D77BBDF85B0}"/>
    <cellStyle name="Normal 5 2 6 4 2 3 2" xfId="29647" xr:uid="{461ECB6C-10C9-41E7-B594-2C35C2ABB073}"/>
    <cellStyle name="Normal 5 2 6 4 2 3 3" xfId="30389" xr:uid="{F9B0019A-EB20-4842-B28E-89F54920EB78}"/>
    <cellStyle name="Normal 5 2 6 4 2 3 4" xfId="30376" xr:uid="{5FD3BC8F-F873-4B95-A007-369961038735}"/>
    <cellStyle name="Normal 5 2 6 4 2 3 4 2" xfId="31715" xr:uid="{C9092062-1AFC-4823-96DF-C19A312C94F8}"/>
    <cellStyle name="Normal 5 2 6 4 2 4" xfId="30360" xr:uid="{704420A6-BB13-4C4A-98E2-F5E54ACD7C79}"/>
    <cellStyle name="Normal 5 2 6 4 2 4 2" xfId="31701" xr:uid="{BFDDA610-75E9-4FB0-AECA-C28A0E3EE21C}"/>
    <cellStyle name="Normal 5 2 6 4 3" xfId="25736" xr:uid="{4B868893-5D9C-42B3-BD3C-3EDE8A95AE5E}"/>
    <cellStyle name="Normal 5 2 6 5" xfId="2115" xr:uid="{00000000-0005-0000-0000-000086020000}"/>
    <cellStyle name="Normal 5 2 6 5 2" xfId="3961" xr:uid="{FFE7DF02-3E33-41D1-A9B4-B30866C5927C}"/>
    <cellStyle name="Normal 5 2 6 5 3" xfId="30196" xr:uid="{E9C91989-B50D-4FEA-A02E-215D82A86398}"/>
    <cellStyle name="Normal 5 2 6 5 3 2" xfId="31340" xr:uid="{A1057280-B42D-4151-91E2-1101E0CD1D18}"/>
    <cellStyle name="Normal 5 2 6 5 4" xfId="31536" xr:uid="{E4FEB8EC-79F4-4159-9C42-EA456D479CB2}"/>
    <cellStyle name="Normal 5 2 6 6" xfId="4012" xr:uid="{C0B50273-D7A8-4911-83A8-B33EA77B3B8D}"/>
    <cellStyle name="Normal 5 2 6 6 2" xfId="4768" xr:uid="{B2AFAC66-1BE6-4CD0-9FFF-950CE52A8934}"/>
    <cellStyle name="Normal 5 2 6 6 3" xfId="30315" xr:uid="{766558CD-EAD6-40AD-BA68-9A404E0FB833}"/>
    <cellStyle name="Normal 5 2 6 6 3 2" xfId="31458" xr:uid="{09F532D0-1510-46DA-9DD7-4C6D46EEAB85}"/>
    <cellStyle name="Normal 5 2 6 6 4" xfId="31655" xr:uid="{CDD3E2C2-BDCA-4455-AFE6-F094AEF3D047}"/>
    <cellStyle name="Normal 5 2 6 7" xfId="30136" xr:uid="{E209EADA-9019-48FA-A3B0-FD7DD812FC2D}"/>
    <cellStyle name="Normal 5 2 6 7 2" xfId="30501" xr:uid="{806443B8-0098-40D3-A0A9-566A12CC2022}"/>
    <cellStyle name="Normal 5 2 7" xfId="1134" xr:uid="{00000000-0005-0000-0000-00002B060000}"/>
    <cellStyle name="Normal 5 2 7 2" xfId="1135" xr:uid="{00000000-0005-0000-0000-00002C060000}"/>
    <cellStyle name="Normal 5 2 7 2 2" xfId="30568" xr:uid="{EFFE7416-A60C-4E91-9C16-93A8F1582E4A}"/>
    <cellStyle name="Normal 5 2 7 2 2 2" xfId="30911" xr:uid="{B189041D-921E-4278-AAEF-960878300956}"/>
    <cellStyle name="Normal 5 2 7 3" xfId="1136" xr:uid="{00000000-0005-0000-0000-00002D060000}"/>
    <cellStyle name="Normal 5 2 7 3 2" xfId="31303" xr:uid="{34BD8BB5-E918-46B8-B0DF-8A393CE8E137}"/>
    <cellStyle name="Normal 5 2 7 4" xfId="3732" xr:uid="{00000000-0005-0000-0000-000095050000}"/>
    <cellStyle name="Normal 5 2 7 4 2" xfId="4773" xr:uid="{5E06A59F-611A-44B3-A971-E98276EE6A1C}"/>
    <cellStyle name="Normal 5 2 7 4 3" xfId="30257" xr:uid="{0B3F8B24-1002-4B57-966D-2232D44A5100}"/>
    <cellStyle name="Normal 5 2 7 4 3 2" xfId="31400" xr:uid="{AF1E7F16-F380-4E11-96CC-725B4E0771E5}"/>
    <cellStyle name="Normal 5 2 7 4 4" xfId="31597" xr:uid="{3DFA295E-7844-49B0-8B82-BE58EA95FF05}"/>
    <cellStyle name="Normal 5 2 7 5" xfId="29605" xr:uid="{0A6BA937-6FA9-46C5-B401-7A4E2A3B41BE}"/>
    <cellStyle name="Normal 5 2 7 5 2" xfId="29636" xr:uid="{35914BEE-4FA7-4AE4-8E19-11A63582B5DB}"/>
    <cellStyle name="Normal 5 2 7 5 3" xfId="30361" xr:uid="{7D9FA1DC-0177-4EB4-91BF-12DA7B230617}"/>
    <cellStyle name="Normal 5 2 7 5 3 2" xfId="31249" xr:uid="{596C7602-7F83-46A5-B111-7EE427D394BC}"/>
    <cellStyle name="Normal 5 2 7 5 4" xfId="30462" xr:uid="{EE1BBC0C-DEC6-48E2-9E76-8915452D4F3C}"/>
    <cellStyle name="Normal 5 2 7 6" xfId="30466" xr:uid="{B67CE484-5AAE-4B38-A64C-FCA93C257D22}"/>
    <cellStyle name="Normal 5 2 7 7" xfId="30503" xr:uid="{F7491843-7F9F-43C5-8AC2-233B453AC06B}"/>
    <cellStyle name="Normal 5 2 8" xfId="31264" xr:uid="{3941616B-0E99-4AFF-91D2-813ADB9BBB4A}"/>
    <cellStyle name="Normal 5 2 9" xfId="31498" xr:uid="{A165ECB7-4FA4-404B-9049-7226479F944C}"/>
    <cellStyle name="Normal 5 3" xfId="1137" xr:uid="{00000000-0005-0000-0000-00002E060000}"/>
    <cellStyle name="Normal 5 3 2" xfId="1138" xr:uid="{00000000-0005-0000-0000-00002F060000}"/>
    <cellStyle name="Normal 5 3 3" xfId="1139" xr:uid="{00000000-0005-0000-0000-000030060000}"/>
    <cellStyle name="Normal 5 3 3 2" xfId="1140" xr:uid="{00000000-0005-0000-0000-000031060000}"/>
    <cellStyle name="Normal 5 3 3 2 2" xfId="1141" xr:uid="{00000000-0005-0000-0000-000032060000}"/>
    <cellStyle name="Normal 5 3 3 2 3" xfId="1142" xr:uid="{00000000-0005-0000-0000-000033060000}"/>
    <cellStyle name="Normal 5 3 3 2 3 2" xfId="1143" xr:uid="{00000000-0005-0000-0000-000034060000}"/>
    <cellStyle name="Normal 5 3 3 2 3 2 2" xfId="1144" xr:uid="{00000000-0005-0000-0000-000035060000}"/>
    <cellStyle name="Normal 5 3 3 2 3 2 2 2" xfId="22709" xr:uid="{7AABC8CD-E7F8-4AD3-82FF-7CFED1DB242B}"/>
    <cellStyle name="Normal 5 3 3 2 3 2 2 3" xfId="23202" xr:uid="{D84663E2-9630-4E63-AD15-6FC3E0D20873}"/>
    <cellStyle name="Normal 5 3 3 2 3 2 3" xfId="1145" xr:uid="{00000000-0005-0000-0000-000036060000}"/>
    <cellStyle name="Normal 5 3 3 2 3 2 3 2" xfId="2005" xr:uid="{00000000-0005-0000-0000-000037060000}"/>
    <cellStyle name="Normal 5 3 3 2 3 2 3 3" xfId="3733" xr:uid="{00000000-0005-0000-0000-00009F050000}"/>
    <cellStyle name="Normal 5 3 3 2 3 2 3 3 2" xfId="4801" xr:uid="{3B592359-610D-414E-8647-51F1C23BDEBE}"/>
    <cellStyle name="Normal 5 3 3 2 3 2 3 3 3" xfId="30258" xr:uid="{53839113-09EB-44FD-9EEB-21FE5DD300D4}"/>
    <cellStyle name="Normal 5 3 3 2 3 2 3 3 3 2" xfId="31401" xr:uid="{43EB51E9-16CE-41A9-A7B7-D8DAA664D14C}"/>
    <cellStyle name="Normal 5 3 3 2 3 2 3 3 4" xfId="31598" xr:uid="{B617D199-4CED-4730-8A7F-1F5E3EB22FE3}"/>
    <cellStyle name="Normal 5 3 3 2 3 2 4" xfId="25763" xr:uid="{228DCD5C-5DC3-4868-97DD-445981D2F756}"/>
    <cellStyle name="Normal 5 3 3 2 3 3" xfId="1146" xr:uid="{00000000-0005-0000-0000-000038060000}"/>
    <cellStyle name="Normal 5 3 3 2 3 4" xfId="2959" xr:uid="{00000000-0005-0000-0000-000015070000}"/>
    <cellStyle name="Normal 5 3 3 2 3 4 2" xfId="31280" xr:uid="{10A152D0-5DF9-4181-A6B6-C858B6F9085A}"/>
    <cellStyle name="Normal 5 3 3 2 3 5" xfId="2118" xr:uid="{00000000-0005-0000-0000-00008F020000}"/>
    <cellStyle name="Normal 5 3 3 2 3 5 2" xfId="4667" xr:uid="{9506A050-893F-44B9-8047-501E583497C1}"/>
    <cellStyle name="Normal 5 3 3 2 3 5 3" xfId="30199" xr:uid="{8D8A1CE9-FEE7-4142-8793-E6203B687F03}"/>
    <cellStyle name="Normal 5 3 3 2 3 5 3 2" xfId="31343" xr:uid="{D7925A58-8098-4AE1-98BB-5CA947DA6131}"/>
    <cellStyle name="Normal 5 3 3 2 3 5 4" xfId="31539" xr:uid="{CCFCB723-F6AD-462F-92D2-0C0CFB839584}"/>
    <cellStyle name="Normal 5 3 3 2 3 6" xfId="4015" xr:uid="{31A0DB43-85D3-4869-AD70-E01D62E64B6B}"/>
    <cellStyle name="Normal 5 3 3 2 3 6 2" xfId="4746" xr:uid="{6436B6BC-B08C-4B15-8C97-B396796FEFE9}"/>
    <cellStyle name="Normal 5 3 3 2 3 6 3" xfId="30318" xr:uid="{EB6FEB56-F905-4D2F-8C85-EEBBA0E88454}"/>
    <cellStyle name="Normal 5 3 3 2 3 6 3 2" xfId="31461" xr:uid="{80FFA81D-979C-43E1-8A33-E20BC8074AB0}"/>
    <cellStyle name="Normal 5 3 3 2 3 6 4" xfId="31658" xr:uid="{9DC2141B-F0B4-4E56-8BF2-20FADB2BC459}"/>
    <cellStyle name="Normal 5 3 3 2 3 7" xfId="30139" xr:uid="{CEEC2368-E04C-4884-B7E9-1C0EF9192CCC}"/>
    <cellStyle name="Normal 5 3 3 2 3 7 2" xfId="30505" xr:uid="{40091B9F-9A6C-4CD3-B1C9-52952B51C499}"/>
    <cellStyle name="Normal 5 3 3 2 4" xfId="1147" xr:uid="{00000000-0005-0000-0000-000039060000}"/>
    <cellStyle name="Normal 5 3 3 2 4 2" xfId="1148" xr:uid="{00000000-0005-0000-0000-00003A060000}"/>
    <cellStyle name="Normal 5 3 3 2 4 3" xfId="1149" xr:uid="{00000000-0005-0000-0000-00003B060000}"/>
    <cellStyle name="Normal 5 3 3 2 4 4" xfId="3734" xr:uid="{00000000-0005-0000-0000-0000A2050000}"/>
    <cellStyle name="Normal 5 3 3 2 4 4 2" xfId="4825" xr:uid="{D70A007E-549D-49FA-BB0C-2AAD55339FA5}"/>
    <cellStyle name="Normal 5 3 3 2 4 4 3" xfId="30259" xr:uid="{CEDC34C4-7C4F-42F8-A728-9E1B2B72E5DF}"/>
    <cellStyle name="Normal 5 3 3 2 4 4 3 2" xfId="31402" xr:uid="{04E1DCED-0041-4798-B5EF-C75E7638C8D7}"/>
    <cellStyle name="Normal 5 3 3 2 4 4 4" xfId="31599" xr:uid="{8CEB4D3F-87E4-4675-A00E-13A23237EE90}"/>
    <cellStyle name="Normal 5 3 3 2 5" xfId="2117" xr:uid="{00000000-0005-0000-0000-00008D020000}"/>
    <cellStyle name="Normal 5 3 3 2 5 2" xfId="4642" xr:uid="{6378A6EC-FE82-4A4D-B72E-F6F245354E18}"/>
    <cellStyle name="Normal 5 3 3 2 5 3" xfId="30198" xr:uid="{0981AB84-2DA6-4145-8664-7123FC7576F6}"/>
    <cellStyle name="Normal 5 3 3 2 5 3 2" xfId="31342" xr:uid="{EB2B9519-500F-4130-8E51-DAC57147922E}"/>
    <cellStyle name="Normal 5 3 3 2 5 4" xfId="31538" xr:uid="{0371D498-EC60-404F-B603-BA455C09888E}"/>
    <cellStyle name="Normal 5 3 3 2 6" xfId="4014" xr:uid="{336F4594-40A6-452F-A442-AD096348AEFF}"/>
    <cellStyle name="Normal 5 3 3 2 6 2" xfId="4753" xr:uid="{9079EEE4-247F-4C6E-9514-EE91EF9D4BBA}"/>
    <cellStyle name="Normal 5 3 3 2 6 3" xfId="30317" xr:uid="{B0057DC8-8D51-4F0B-8203-572F5C4F51C8}"/>
    <cellStyle name="Normal 5 3 3 2 6 3 2" xfId="31460" xr:uid="{64DB68D6-4682-48F1-BA8A-90265E89A3AD}"/>
    <cellStyle name="Normal 5 3 3 2 6 4" xfId="31657" xr:uid="{472E5388-6075-4B31-97C3-77FAE2C3A31D}"/>
    <cellStyle name="Normal 5 3 3 2 7" xfId="30138" xr:uid="{D531B8A8-AA54-477A-BB5E-9C4205A9F66B}"/>
    <cellStyle name="Normal 5 3 3 2 7 2" xfId="30504" xr:uid="{F0BFF427-E566-43AB-88DF-26A10FC54877}"/>
    <cellStyle name="Normal 5 3 3 3" xfId="1150" xr:uid="{00000000-0005-0000-0000-00003C060000}"/>
    <cellStyle name="Normal 5 3 3 3 2" xfId="1151" xr:uid="{00000000-0005-0000-0000-00003D060000}"/>
    <cellStyle name="Normal 5 3 3 3 3" xfId="3735" xr:uid="{00000000-0005-0000-0000-0000A4050000}"/>
    <cellStyle name="Normal 5 3 3 3 3 2" xfId="4719" xr:uid="{8F567422-14B6-49FC-9961-886E57C38FD3}"/>
    <cellStyle name="Normal 5 3 3 3 3 3" xfId="30260" xr:uid="{408ABDB9-2147-48DA-BFA3-76DF31BA6EC1}"/>
    <cellStyle name="Normal 5 3 3 3 3 3 2" xfId="31403" xr:uid="{A65CE80A-A839-4049-ADFD-AAF8F6EE6D79}"/>
    <cellStyle name="Normal 5 3 3 3 3 4" xfId="31600" xr:uid="{4B81E7BD-6142-432E-988B-18B93FCA55D9}"/>
    <cellStyle name="Normal 5 3 3 4" xfId="1152" xr:uid="{00000000-0005-0000-0000-00003E060000}"/>
    <cellStyle name="Normal 5 3 3 4 2" xfId="1153" xr:uid="{00000000-0005-0000-0000-00003F060000}"/>
    <cellStyle name="Normal 5 3 3 4 2 2" xfId="1154" xr:uid="{00000000-0005-0000-0000-000040060000}"/>
    <cellStyle name="Normal 5 3 3 4 2 2 2" xfId="1155" xr:uid="{00000000-0005-0000-0000-000041060000}"/>
    <cellStyle name="Normal 5 3 3 4 2 2 2 2" xfId="2006" xr:uid="{00000000-0005-0000-0000-000042060000}"/>
    <cellStyle name="Normal 5 3 3 4 2 2 2 2 2" xfId="30083" xr:uid="{E69CF877-FED2-44A6-9C89-2AAF3ED69E2C}"/>
    <cellStyle name="Normal 5 3 3 4 2 2 2 3" xfId="3736" xr:uid="{00000000-0005-0000-0000-0000A9050000}"/>
    <cellStyle name="Normal 5 3 3 4 2 2 2 3 2" xfId="4718" xr:uid="{445C2ED0-AA7A-4C15-99E2-A6CE07F7E750}"/>
    <cellStyle name="Normal 5 3 3 4 2 2 2 3 3" xfId="30261" xr:uid="{4500CED2-90B4-4C83-84D6-D51298D69CD2}"/>
    <cellStyle name="Normal 5 3 3 4 2 2 2 3 3 2" xfId="31404" xr:uid="{E891891A-4822-421D-B2CD-A770A72BB211}"/>
    <cellStyle name="Normal 5 3 3 4 2 2 2 3 4" xfId="31601" xr:uid="{1B9D8C01-B3C8-4875-9346-DF245DF8B53F}"/>
    <cellStyle name="Normal 5 3 3 4 2 2 2 4" xfId="24307" xr:uid="{B84CB32D-E550-4F7F-8234-69C0A8DFB328}"/>
    <cellStyle name="Normal 5 3 3 4 2 2 3" xfId="2007" xr:uid="{00000000-0005-0000-0000-000043060000}"/>
    <cellStyle name="Normal 5 3 3 4 2 2 4" xfId="25457" xr:uid="{8817E783-FA64-4F82-BECB-0B2150089D6E}"/>
    <cellStyle name="Normal 5 3 3 4 2 3" xfId="1156" xr:uid="{00000000-0005-0000-0000-000044060000}"/>
    <cellStyle name="Normal 5 3 3 4 2 3 2" xfId="1157" xr:uid="{00000000-0005-0000-0000-000045060000}"/>
    <cellStyle name="Normal 5 3 3 4 2 3 2 2" xfId="23075" xr:uid="{734DB718-C965-4982-84A7-9AB74327D0C2}"/>
    <cellStyle name="Normal 5 3 3 4 2 3 2 3" xfId="23239" xr:uid="{B7DA6B19-166C-4C18-AA12-FA39D1A5F057}"/>
    <cellStyle name="Normal 5 3 3 4 2 3 3" xfId="1158" xr:uid="{00000000-0005-0000-0000-000046060000}"/>
    <cellStyle name="Normal 5 3 3 4 2 3 3 2" xfId="25739" xr:uid="{F10BEF07-3DB5-4991-93CD-1FB98106BECB}"/>
    <cellStyle name="Normal 5 3 3 4 2 3 3 3" xfId="25090" xr:uid="{F1AF3DEA-DD47-4D7C-AA76-F553B9892BA2}"/>
    <cellStyle name="Normal 5 3 3 4 2 3 4" xfId="2120" xr:uid="{00000000-0005-0000-0000-000095020000}"/>
    <cellStyle name="Normal 5 3 3 4 2 3 4 2" xfId="4717" xr:uid="{9B130290-3EDE-4BC8-974D-86A484E65339}"/>
    <cellStyle name="Normal 5 3 3 4 2 3 4 3" xfId="30201" xr:uid="{FC394264-21C2-443A-85AC-A09B6102770E}"/>
    <cellStyle name="Normal 5 3 3 4 2 3 4 3 2" xfId="31345" xr:uid="{B397F56A-E127-4FEB-B511-42354C6ED55C}"/>
    <cellStyle name="Normal 5 3 3 4 2 3 4 4" xfId="31541" xr:uid="{807C005B-BCFB-47D1-823C-E799B44488B6}"/>
    <cellStyle name="Normal 5 3 3 4 2 3 5" xfId="24944" xr:uid="{9F045087-C642-46A8-91FD-AAF692F573EC}"/>
    <cellStyle name="Normal 5 3 3 4 2 3 6" xfId="30539" xr:uid="{4F060E07-9DDD-4899-B86B-3CC298685E95}"/>
    <cellStyle name="Normal 5 3 3 4 2 4" xfId="24108" xr:uid="{948204CC-FE7E-44DB-B145-20BC57C9DDCF}"/>
    <cellStyle name="Normal 5 3 3 4 3" xfId="1159" xr:uid="{00000000-0005-0000-0000-000047060000}"/>
    <cellStyle name="Normal 5 3 3 4 4" xfId="2960" xr:uid="{00000000-0005-0000-0000-00001E070000}"/>
    <cellStyle name="Normal 5 3 3 4 4 2" xfId="31293" xr:uid="{F161427D-9EB4-4451-9A6A-06D7E603F9F7}"/>
    <cellStyle name="Normal 5 3 3 4 5" xfId="2119" xr:uid="{00000000-0005-0000-0000-000092020000}"/>
    <cellStyle name="Normal 5 3 3 4 5 2" xfId="4670" xr:uid="{C1D65F0E-85F0-4012-A373-B75FD3E1BAA3}"/>
    <cellStyle name="Normal 5 3 3 4 5 3" xfId="30200" xr:uid="{BA5F1E7E-EAF0-4465-897E-F4668DC5C4A0}"/>
    <cellStyle name="Normal 5 3 3 4 5 3 2" xfId="31344" xr:uid="{ABFF19D9-FA8A-40A6-A15A-35E0040E4045}"/>
    <cellStyle name="Normal 5 3 3 4 5 4" xfId="31540" xr:uid="{50683AFB-0840-4025-A64C-4D13E7846670}"/>
    <cellStyle name="Normal 5 3 3 4 6" xfId="4016" xr:uid="{D2756F3F-6B90-4F0D-A058-F63FBCF3FF7E}"/>
    <cellStyle name="Normal 5 3 3 4 6 2" xfId="4783" xr:uid="{6E3C98E3-D3AA-4BD6-A38C-7B56FF88A673}"/>
    <cellStyle name="Normal 5 3 3 4 6 3" xfId="30319" xr:uid="{A1494EBF-E472-4D23-9E90-66371198EBEC}"/>
    <cellStyle name="Normal 5 3 3 4 6 3 2" xfId="31462" xr:uid="{5598B1F7-1EC4-47B1-BDD3-05CD60976B56}"/>
    <cellStyle name="Normal 5 3 3 4 6 4" xfId="31659" xr:uid="{02121827-5E2D-4E5E-A409-436155C20907}"/>
    <cellStyle name="Normal 5 3 3 4 7" xfId="30140" xr:uid="{347E797A-C3DA-48FE-923F-48D6C2483068}"/>
    <cellStyle name="Normal 5 3 3 4 7 2" xfId="30506" xr:uid="{2B8EC82B-053E-4181-83D9-DD6F2D19A0F7}"/>
    <cellStyle name="Normal 5 3 3 5" xfId="1160" xr:uid="{00000000-0005-0000-0000-000048060000}"/>
    <cellStyle name="Normal 5 3 3 5 2" xfId="1161" xr:uid="{00000000-0005-0000-0000-000049060000}"/>
    <cellStyle name="Normal 5 3 3 5 3" xfId="3737" xr:uid="{00000000-0005-0000-0000-0000B0050000}"/>
    <cellStyle name="Normal 5 3 3 5 3 2" xfId="4808" xr:uid="{13429663-B3E8-4F7D-8BB0-5D8781B62C1D}"/>
    <cellStyle name="Normal 5 3 3 5 3 2 2" xfId="27329" xr:uid="{D1D742DB-1D3F-4ADA-891E-043A0C8CE4C5}"/>
    <cellStyle name="Normal 5 3 3 5 3 3" xfId="25684" xr:uid="{AE73F470-D748-4439-B078-FE8783C376B5}"/>
    <cellStyle name="Normal 5 3 3 5 3 4" xfId="30262" xr:uid="{2013BC4F-1489-4ABC-B72A-BF4F1AE08F66}"/>
    <cellStyle name="Normal 5 3 3 5 3 4 2" xfId="31405" xr:uid="{DFB6642C-C241-44DB-BD6A-3B774736CE12}"/>
    <cellStyle name="Normal 5 3 3 5 3 5" xfId="31602" xr:uid="{03BEB35F-10DC-466C-B4F6-64DC8F5CFD34}"/>
    <cellStyle name="Normal 5 3 3 5 4" xfId="25356" xr:uid="{F5A8C535-4FB1-4A24-9D3B-16620EFF46D1}"/>
    <cellStyle name="Normal 5 3 3 6" xfId="1162" xr:uid="{00000000-0005-0000-0000-00004A060000}"/>
    <cellStyle name="Normal 5 3 3 6 2" xfId="2008" xr:uid="{00000000-0005-0000-0000-00004B060000}"/>
    <cellStyle name="Normal 5 3 3 6 3" xfId="3738" xr:uid="{00000000-0005-0000-0000-0000B2050000}"/>
    <cellStyle name="Normal 5 3 3 6 3 2" xfId="4733" xr:uid="{F69489D8-2553-48CA-8E76-55D2E5877230}"/>
    <cellStyle name="Normal 5 3 3 6 3 3" xfId="30263" xr:uid="{D9421690-CFB8-4A7F-8514-10825D246B89}"/>
    <cellStyle name="Normal 5 3 3 6 3 3 2" xfId="31406" xr:uid="{3C2573D1-AC8F-4143-A4EB-DB65B7B44633}"/>
    <cellStyle name="Normal 5 3 3 6 3 4" xfId="31603" xr:uid="{CEF19B6A-2698-4B31-94DB-D232E456FD88}"/>
    <cellStyle name="Normal 5 3 4" xfId="1163" xr:uid="{00000000-0005-0000-0000-00004C060000}"/>
    <cellStyle name="Normal 5 3 4 2" xfId="1164" xr:uid="{00000000-0005-0000-0000-00004D060000}"/>
    <cellStyle name="Normal 5 3 4 3" xfId="1165" xr:uid="{00000000-0005-0000-0000-00004E060000}"/>
    <cellStyle name="Normal 5 3 4 3 2" xfId="1166" xr:uid="{00000000-0005-0000-0000-00004F060000}"/>
    <cellStyle name="Normal 5 3 4 3 2 2" xfId="1167" xr:uid="{00000000-0005-0000-0000-000050060000}"/>
    <cellStyle name="Normal 5 3 4 3 2 2 2" xfId="23693" xr:uid="{84C347B8-748F-45AB-A28A-FBC4824CE893}"/>
    <cellStyle name="Normal 5 3 4 3 2 2 3" xfId="24140" xr:uid="{FA3D550E-3B4F-40AE-8C7B-1B723D4CDDFF}"/>
    <cellStyle name="Normal 5 3 4 3 2 3" xfId="1168" xr:uid="{00000000-0005-0000-0000-000051060000}"/>
    <cellStyle name="Normal 5 3 4 3 2 3 2" xfId="2009" xr:uid="{00000000-0005-0000-0000-000052060000}"/>
    <cellStyle name="Normal 5 3 4 3 2 3 3" xfId="3739" xr:uid="{00000000-0005-0000-0000-0000B9050000}"/>
    <cellStyle name="Normal 5 3 4 3 2 3 3 2" xfId="4759" xr:uid="{27CD84D7-B911-4190-A3D0-FB0C125E7707}"/>
    <cellStyle name="Normal 5 3 4 3 2 3 3 3" xfId="30264" xr:uid="{BF899BB0-E15F-4E51-901D-CDD6A013BF10}"/>
    <cellStyle name="Normal 5 3 4 3 2 3 3 3 2" xfId="31407" xr:uid="{C4B75909-CC22-4C7F-BDF8-B7847156ED0A}"/>
    <cellStyle name="Normal 5 3 4 3 2 3 3 4" xfId="31604" xr:uid="{D1B3BD06-D116-43C5-A228-6E03144C7F35}"/>
    <cellStyle name="Normal 5 3 4 3 2 4" xfId="24655" xr:uid="{5F063B03-3FE5-47FE-9028-D7BB1C893E88}"/>
    <cellStyle name="Normal 5 3 4 3 3" xfId="1169" xr:uid="{00000000-0005-0000-0000-000053060000}"/>
    <cellStyle name="Normal 5 3 4 3 4" xfId="2961" xr:uid="{00000000-0005-0000-0000-000024070000}"/>
    <cellStyle name="Normal 5 3 4 3 4 2" xfId="31288" xr:uid="{DCD0F34B-C807-48EF-AD43-4F507781571A}"/>
    <cellStyle name="Normal 5 3 4 3 5" xfId="2122" xr:uid="{00000000-0005-0000-0000-000099020000}"/>
    <cellStyle name="Normal 5 3 4 3 5 2" xfId="3818" xr:uid="{9369DBB9-DD67-4338-8EB8-DA10B04D3AFA}"/>
    <cellStyle name="Normal 5 3 4 3 5 3" xfId="30203" xr:uid="{93B0F0FE-EEB4-4F30-BC7B-21D74A10E953}"/>
    <cellStyle name="Normal 5 3 4 3 5 3 2" xfId="31347" xr:uid="{C1C74FE2-D0BD-48ED-92BA-3137D666D3B8}"/>
    <cellStyle name="Normal 5 3 4 3 5 4" xfId="31543" xr:uid="{E2D064AD-4A27-4CEF-A265-0794D4FEB3DD}"/>
    <cellStyle name="Normal 5 3 4 3 6" xfId="4018" xr:uid="{1613ADCD-F7DC-4D24-BE2E-0512CCDB9F7E}"/>
    <cellStyle name="Normal 5 3 4 3 6 2" xfId="4698" xr:uid="{DE044A17-1F25-42F0-A6B5-42ABCA6D7CD9}"/>
    <cellStyle name="Normal 5 3 4 3 6 3" xfId="30321" xr:uid="{AD79B433-505B-4DDB-81D4-604D12CD1CB9}"/>
    <cellStyle name="Normal 5 3 4 3 6 3 2" xfId="31464" xr:uid="{1800BDA3-11C3-40C5-978D-FA7BA615088A}"/>
    <cellStyle name="Normal 5 3 4 3 6 4" xfId="31661" xr:uid="{26F0A201-B426-425F-9086-BCB13F3DABE8}"/>
    <cellStyle name="Normal 5 3 4 3 7" xfId="30142" xr:uid="{8464588B-FBC9-4AEB-8137-4B7B64E1AFE0}"/>
    <cellStyle name="Normal 5 3 4 3 7 2" xfId="30508" xr:uid="{0455E1FF-3A8B-40C3-BF3A-C60A750C7BEF}"/>
    <cellStyle name="Normal 5 3 4 4" xfId="1170" xr:uid="{00000000-0005-0000-0000-000054060000}"/>
    <cellStyle name="Normal 5 3 4 4 2" xfId="2010" xr:uid="{00000000-0005-0000-0000-000055060000}"/>
    <cellStyle name="Normal 5 3 4 4 3" xfId="3740" xr:uid="{00000000-0005-0000-0000-0000BC050000}"/>
    <cellStyle name="Normal 5 3 4 4 3 2" xfId="4814" xr:uid="{0CFAAAB0-0B1B-448C-AA6F-6335CBAD8CA9}"/>
    <cellStyle name="Normal 5 3 4 4 3 3" xfId="30265" xr:uid="{A5471799-C0C9-4589-A46E-238EA1C8E213}"/>
    <cellStyle name="Normal 5 3 4 4 3 3 2" xfId="31408" xr:uid="{AF8662C3-806E-4CF6-8668-C63E00A0A729}"/>
    <cellStyle name="Normal 5 3 4 4 3 4" xfId="31605" xr:uid="{9B29F8B9-D0B4-45B0-BBC8-179A09C7733D}"/>
    <cellStyle name="Normal 5 3 4 5" xfId="2121" xr:uid="{00000000-0005-0000-0000-000097020000}"/>
    <cellStyle name="Normal 5 3 4 5 2" xfId="4652" xr:uid="{AE4239F0-8210-40A2-B60A-C02B564418C5}"/>
    <cellStyle name="Normal 5 3 4 5 3" xfId="30202" xr:uid="{C013D1DD-471B-403F-9025-A8E80966F87F}"/>
    <cellStyle name="Normal 5 3 4 5 3 2" xfId="31346" xr:uid="{1C4CE880-E9D0-4A50-950B-816A84BF1515}"/>
    <cellStyle name="Normal 5 3 4 5 4" xfId="31542" xr:uid="{3131D79D-CA78-43D8-8AFB-AF83F6987B75}"/>
    <cellStyle name="Normal 5 3 4 6" xfId="4017" xr:uid="{CB599806-7C8A-45F6-9C5C-00B11E4887E0}"/>
    <cellStyle name="Normal 5 3 4 6 2" xfId="4689" xr:uid="{C33C1D9E-89E1-44FF-859F-F450C4814C70}"/>
    <cellStyle name="Normal 5 3 4 6 3" xfId="30320" xr:uid="{AF3B5E87-0871-4E2F-8B2C-CF43843C27F0}"/>
    <cellStyle name="Normal 5 3 4 6 3 2" xfId="31463" xr:uid="{1899F4E4-4289-40CD-8114-19BEC7B0B04B}"/>
    <cellStyle name="Normal 5 3 4 6 4" xfId="31660" xr:uid="{67082448-0D89-4D8D-8399-AD957CCFD59C}"/>
    <cellStyle name="Normal 5 3 4 7" xfId="30141" xr:uid="{C5086DE0-3D25-4310-955C-9881B5375DBB}"/>
    <cellStyle name="Normal 5 3 4 7 2" xfId="30507" xr:uid="{0691E9B7-B979-49A9-82BB-8C389DE41776}"/>
    <cellStyle name="Normal 5 3 5" xfId="2069" xr:uid="{00000000-0005-0000-0000-00008A020000}"/>
    <cellStyle name="Normal 5 3 5 2" xfId="4724" xr:uid="{FB219402-4458-4731-8217-11E2AB428DAD}"/>
    <cellStyle name="Normal 5 3 5 3" xfId="30169" xr:uid="{22C0B9B5-A215-40E0-90E4-E9BF49B6C962}"/>
    <cellStyle name="Normal 5 3 5 3 2" xfId="30509" xr:uid="{2A3E056B-8875-48CA-B07B-074ED168B004}"/>
    <cellStyle name="Normal 5 3 5 4" xfId="31509" xr:uid="{19BA7BD3-B108-41EE-8AED-7AF73153AA44}"/>
    <cellStyle name="Normal 5 3 6" xfId="30114" xr:uid="{FF7EC34F-1D03-426F-944C-8DDEC9BD14BD}"/>
    <cellStyle name="Normal 5 3 6 2" xfId="30474" xr:uid="{C83318F6-E85A-4A71-88FC-A52912529995}"/>
    <cellStyle name="Normal 5 4" xfId="1171" xr:uid="{00000000-0005-0000-0000-000056060000}"/>
    <cellStyle name="Normal 5 4 2" xfId="1172" xr:uid="{00000000-0005-0000-0000-000057060000}"/>
    <cellStyle name="Normal 5 4 3" xfId="1173" xr:uid="{00000000-0005-0000-0000-000058060000}"/>
    <cellStyle name="Normal 5 4 3 2" xfId="1174" xr:uid="{00000000-0005-0000-0000-000059060000}"/>
    <cellStyle name="Normal 5 4 3 3" xfId="3741" xr:uid="{00000000-0005-0000-0000-0000C0050000}"/>
    <cellStyle name="Normal 5 4 3 3 2" xfId="4735" xr:uid="{BBB8E0E2-487A-48FB-95C7-D6B07942FE10}"/>
    <cellStyle name="Normal 5 4 3 3 3" xfId="30266" xr:uid="{077BAFD6-31C2-403C-B6C9-D7A0B0C4E389}"/>
    <cellStyle name="Normal 5 4 3 3 3 2" xfId="31409" xr:uid="{92C0E6B0-540E-4500-9E66-230FB68E0A0F}"/>
    <cellStyle name="Normal 5 4 3 3 4" xfId="31606" xr:uid="{6882488E-1D4B-4A30-B2F8-B692B5523CCB}"/>
    <cellStyle name="Normal 5 5" xfId="1175" xr:uid="{00000000-0005-0000-0000-00005A060000}"/>
    <cellStyle name="Normal 5 5 10" xfId="1176" xr:uid="{00000000-0005-0000-0000-00005B060000}"/>
    <cellStyle name="Normal 5 5 10 2" xfId="1177" xr:uid="{00000000-0005-0000-0000-00005C060000}"/>
    <cellStyle name="Normal 5 5 10 2 2" xfId="1178" xr:uid="{00000000-0005-0000-0000-00005D060000}"/>
    <cellStyle name="Normal 5 5 10 2 2 2" xfId="25544" xr:uid="{7BEF7BD9-5746-4FE3-9C2C-1E90F10823D3}"/>
    <cellStyle name="Normal 5 5 10 2 2 3" xfId="24785" xr:uid="{48FBF7A8-E27A-4A77-93F4-283DB42E8DF1}"/>
    <cellStyle name="Normal 5 5 10 2 3" xfId="1179" xr:uid="{00000000-0005-0000-0000-00005E060000}"/>
    <cellStyle name="Normal 5 5 10 2 3 2" xfId="2011" xr:uid="{00000000-0005-0000-0000-00005F060000}"/>
    <cellStyle name="Normal 5 5 10 2 3 3" xfId="3742" xr:uid="{00000000-0005-0000-0000-0000C6050000}"/>
    <cellStyle name="Normal 5 5 10 2 3 3 2" xfId="4769" xr:uid="{D86CB2CB-E6BC-4EBE-8C63-9FA0944B44AD}"/>
    <cellStyle name="Normal 5 5 10 2 3 3 3" xfId="30267" xr:uid="{59D125B9-F39A-46E1-A17C-98D62824EB27}"/>
    <cellStyle name="Normal 5 5 10 2 3 3 3 2" xfId="31410" xr:uid="{E71ACD12-B317-427B-BB6C-C76E5FC66E22}"/>
    <cellStyle name="Normal 5 5 10 2 3 3 4" xfId="31607" xr:uid="{28520A92-387B-4256-98CB-37A8D127A231}"/>
    <cellStyle name="Normal 5 5 10 2 4" xfId="25773" xr:uid="{C3D50B18-259C-4014-9BCC-0D850B8A97C8}"/>
    <cellStyle name="Normal 5 5 10 3" xfId="1180" xr:uid="{00000000-0005-0000-0000-000060060000}"/>
    <cellStyle name="Normal 5 5 10 4" xfId="2962" xr:uid="{00000000-0005-0000-0000-00002C070000}"/>
    <cellStyle name="Normal 5 5 10 4 2" xfId="31298" xr:uid="{5A6D113D-41BD-4B2B-84F1-322D480A3CB5}"/>
    <cellStyle name="Normal 5 5 10 5" xfId="2124" xr:uid="{00000000-0005-0000-0000-00009E020000}"/>
    <cellStyle name="Normal 5 5 10 5 2" xfId="3790" xr:uid="{3E02F4FD-1C4C-4539-A2B7-19465E26278C}"/>
    <cellStyle name="Normal 5 5 10 5 3" xfId="30205" xr:uid="{CD6EF2D4-0244-497A-A1A2-5CB7CEACAD08}"/>
    <cellStyle name="Normal 5 5 10 5 3 2" xfId="31349" xr:uid="{F4393F33-33B7-414E-8C16-1CC9B8AEEB67}"/>
    <cellStyle name="Normal 5 5 10 5 4" xfId="31545" xr:uid="{C11D04CC-F052-44CD-9EC7-277082F56C47}"/>
    <cellStyle name="Normal 5 5 10 6" xfId="4020" xr:uid="{337F88F3-5843-4A8A-A4B2-DC8C7B59A64B}"/>
    <cellStyle name="Normal 5 5 10 6 2" xfId="4806" xr:uid="{9AEE980B-AC49-472C-ABA8-56F2FAA76E03}"/>
    <cellStyle name="Normal 5 5 10 6 3" xfId="30323" xr:uid="{0EA3F919-8FF0-462B-A82C-815D3F9A6A5F}"/>
    <cellStyle name="Normal 5 5 10 6 3 2" xfId="31466" xr:uid="{7CB46D50-7B99-484C-ABB1-4B35FE53302E}"/>
    <cellStyle name="Normal 5 5 10 6 4" xfId="31663" xr:uid="{E4914706-502A-4324-8E26-B98952712100}"/>
    <cellStyle name="Normal 5 5 10 7" xfId="30144" xr:uid="{9EC4A54E-D459-477E-95C3-D8EED714DA54}"/>
    <cellStyle name="Normal 5 5 10 7 2" xfId="30510" xr:uid="{642D08F6-4146-4DCF-BE9E-E70107F064A1}"/>
    <cellStyle name="Normal 5 5 11" xfId="1181" xr:uid="{00000000-0005-0000-0000-000061060000}"/>
    <cellStyle name="Normal 5 5 11 10" xfId="12613" xr:uid="{3695D5BB-0027-43FC-862D-FE558296E53C}"/>
    <cellStyle name="Normal 5 5 11 2" xfId="2422" xr:uid="{00000000-0005-0000-0000-00002E070000}"/>
    <cellStyle name="Normal 5 5 11 2 2" xfId="2963" xr:uid="{00000000-0005-0000-0000-00002F070000}"/>
    <cellStyle name="Normal 5 5 11 2 2 2" xfId="6128" xr:uid="{6B6DFC32-4C86-484E-9F0D-05B0CA9AFC4E}"/>
    <cellStyle name="Normal 5 5 11 2 2 2 2" xfId="28663" xr:uid="{AB134B89-BE15-45E9-8841-CE546E5E36B1}"/>
    <cellStyle name="Normal 5 5 11 2 2 2 3" xfId="15606" xr:uid="{4D39A6A8-7A7F-438F-A7D2-922C4E407832}"/>
    <cellStyle name="Normal 5 5 11 2 2 3" xfId="8059" xr:uid="{D73A85DE-8AFC-4B29-A497-15A97CDC8239}"/>
    <cellStyle name="Normal 5 5 11 2 2 3 2" xfId="18439" xr:uid="{D015D82A-5C92-43F1-A834-20DE716815CA}"/>
    <cellStyle name="Normal 5 5 11 2 2 4" xfId="10892" xr:uid="{D7F68CFE-1F16-43B1-91AF-967BDDF8B1EA}"/>
    <cellStyle name="Normal 5 5 11 2 2 4 2" xfId="21272" xr:uid="{3E5E31A2-BC10-4DEC-A3C3-1B5362DBF4E4}"/>
    <cellStyle name="Normal 5 5 11 2 2 5" xfId="22810" xr:uid="{E340BE55-C53D-4F9C-AA48-991977BA3FFB}"/>
    <cellStyle name="Normal 5 5 11 2 2 6" xfId="13469" xr:uid="{7CC0BDF1-6F6C-4746-850D-023E13317478}"/>
    <cellStyle name="Normal 5 5 11 2 3" xfId="5722" xr:uid="{9BE5C6E4-E2C9-48C3-AB52-3478219966FB}"/>
    <cellStyle name="Normal 5 5 11 2 3 2" xfId="27026" xr:uid="{B1287434-8E5C-4373-8888-488DDEEC0B6C}"/>
    <cellStyle name="Normal 5 5 11 2 3 3" xfId="27159" xr:uid="{806EAF91-4C2D-47DE-B377-2CE9A7AA0708}"/>
    <cellStyle name="Normal 5 5 11 2 3 4" xfId="15096" xr:uid="{C3B6A006-328F-418C-BB38-F69FBD755191}"/>
    <cellStyle name="Normal 5 5 11 2 4" xfId="7549" xr:uid="{415416B5-E375-4437-87B7-0758EC39A30B}"/>
    <cellStyle name="Normal 5 5 11 2 4 2" xfId="27291" xr:uid="{AEFB8BCF-F11B-45DE-9971-ECE126C5CE6F}"/>
    <cellStyle name="Normal 5 5 11 2 4 3" xfId="17929" xr:uid="{E548CEBA-9B5D-4B7E-9B3E-8136EECC299E}"/>
    <cellStyle name="Normal 5 5 11 2 5" xfId="10382" xr:uid="{B7434DEA-6F17-46AA-9E39-B50A5312E7E5}"/>
    <cellStyle name="Normal 5 5 11 2 5 2" xfId="20762" xr:uid="{FC75A6E3-5DDB-43D4-B3A6-95BBF0818C2D}"/>
    <cellStyle name="Normal 5 5 11 2 6" xfId="24107" xr:uid="{2D4EA2C9-7135-49BC-ADCE-AA5ACAC67B81}"/>
    <cellStyle name="Normal 5 5 11 2 7" xfId="12771" xr:uid="{62206668-18DB-43EA-9408-0077C7249362}"/>
    <cellStyle name="Normal 5 5 11 3" xfId="2804" xr:uid="{00000000-0005-0000-0000-000030070000}"/>
    <cellStyle name="Normal 5 5 11 3 2" xfId="6022" xr:uid="{76E518A2-B733-4064-B276-5CD1D06EB90E}"/>
    <cellStyle name="Normal 5 5 11 3 2 2" xfId="27256" xr:uid="{425BE3AF-6ED2-44EB-9844-BC4DA8F32718}"/>
    <cellStyle name="Normal 5 5 11 3 2 3" xfId="15475" xr:uid="{FFB8BC64-B790-495D-9EA9-B7745AC47F64}"/>
    <cellStyle name="Normal 5 5 11 3 3" xfId="7928" xr:uid="{4DB0E811-7A07-4B47-94C9-51910B29B70F}"/>
    <cellStyle name="Normal 5 5 11 3 3 2" xfId="18308" xr:uid="{6F54EB1A-1311-4D27-8097-8CD8D1563D00}"/>
    <cellStyle name="Normal 5 5 11 3 4" xfId="10761" xr:uid="{48B315A3-3C3E-4BEA-8461-C941A4EB87CC}"/>
    <cellStyle name="Normal 5 5 11 3 4 2" xfId="21141" xr:uid="{B930A244-317C-412E-8650-57C826C87A35}"/>
    <cellStyle name="Normal 5 5 11 3 5" xfId="22662" xr:uid="{4334BD2E-352E-42EE-A7C7-D2F9B2A11289}"/>
    <cellStyle name="Normal 5 5 11 3 6" xfId="13270" xr:uid="{604FBC59-3295-4B13-A9F1-F981AAB3DE81}"/>
    <cellStyle name="Normal 5 5 11 4" xfId="2379" xr:uid="{00000000-0005-0000-0000-00002D070000}"/>
    <cellStyle name="Normal 5 5 11 4 2" xfId="7506" xr:uid="{FCF08EC3-F309-4899-81CE-96FD1B16F63A}"/>
    <cellStyle name="Normal 5 5 11 4 2 2" xfId="25977" xr:uid="{2F8CFD30-2F39-4BF0-AA2D-0FF044118CA5}"/>
    <cellStyle name="Normal 5 5 11 4 2 3" xfId="17886" xr:uid="{04A88E33-8E60-442A-ACB4-D5B6750B17F3}"/>
    <cellStyle name="Normal 5 5 11 4 3" xfId="10339" xr:uid="{17D7B839-A0C6-4451-8C04-70D84E4DBEDC}"/>
    <cellStyle name="Normal 5 5 11 4 3 2" xfId="20719" xr:uid="{DCCB5FD8-3287-41BE-881B-BF4A28D4EB70}"/>
    <cellStyle name="Normal 5 5 11 4 4" xfId="24784" xr:uid="{9C89D61B-0979-4EE4-8EAE-4F41590389BD}"/>
    <cellStyle name="Normal 5 5 11 4 5" xfId="15053" xr:uid="{EE4A4ECD-ED50-426C-A966-AC3CA98DA575}"/>
    <cellStyle name="Normal 5 5 11 5" xfId="4021" xr:uid="{48FCAB28-1DBD-45FB-903C-24765057A287}"/>
    <cellStyle name="Normal 5 5 11 5 2" xfId="8824" xr:uid="{9DCC1B39-D915-4DEC-98C8-9A4B33B982B5}"/>
    <cellStyle name="Normal 5 5 11 5 2 2" xfId="19204" xr:uid="{3836725B-8785-4F07-A102-D6BA5B9BBB56}"/>
    <cellStyle name="Normal 5 5 11 5 3" xfId="11657" xr:uid="{9912C377-C28E-4D27-BE9A-6F6221DE7E31}"/>
    <cellStyle name="Normal 5 5 11 5 3 2" xfId="22037" xr:uid="{E4CC2B2D-5B99-4DD1-8C43-1C4FEE8F706D}"/>
    <cellStyle name="Normal 5 5 11 5 4" xfId="27259" xr:uid="{E1C89664-C2E8-43E4-9FBC-FFE5060CDD3E}"/>
    <cellStyle name="Normal 5 5 11 5 5" xfId="16371" xr:uid="{17B663D9-77B7-4F71-B339-7819DE68ED7F}"/>
    <cellStyle name="Normal 5 5 11 6" xfId="5348" xr:uid="{8A7CB6DC-62A6-4A41-BD63-39B130266C07}"/>
    <cellStyle name="Normal 5 5 11 6 2" xfId="14646" xr:uid="{8502C43C-794E-4B6F-B67D-BD0D4D682ECE}"/>
    <cellStyle name="Normal 5 5 11 7" xfId="7099" xr:uid="{75D9ED91-7E43-489A-A8B4-89D35DF5508A}"/>
    <cellStyle name="Normal 5 5 11 7 2" xfId="17479" xr:uid="{D3798922-15BD-4391-B2DB-2869E632F67C}"/>
    <cellStyle name="Normal 5 5 11 8" xfId="9932" xr:uid="{C9B053E7-DAD6-4D4E-AF63-D9C4E93DF7D7}"/>
    <cellStyle name="Normal 5 5 11 8 2" xfId="20312" xr:uid="{6D49E5DE-4DD4-4781-A18A-ECEDA2030118}"/>
    <cellStyle name="Normal 5 5 11 9" xfId="24225" xr:uid="{7F2AEEC7-788B-48EF-8D12-1F317B985EA8}"/>
    <cellStyle name="Normal 5 5 12" xfId="1182" xr:uid="{00000000-0005-0000-0000-000062060000}"/>
    <cellStyle name="Normal 5 5 12 2" xfId="1183" xr:uid="{00000000-0005-0000-0000-000063060000}"/>
    <cellStyle name="Normal 5 5 12 2 2" xfId="25907" xr:uid="{ACDBEB07-C175-4F8A-AF35-7A83D073F597}"/>
    <cellStyle name="Normal 5 5 12 2 2 2" xfId="27059" xr:uid="{73488BCF-2C51-42DE-9E58-72168444506D}"/>
    <cellStyle name="Normal 5 5 12 2 2 3" xfId="31494" xr:uid="{8C768011-0350-4625-9C22-6E5BAC343524}"/>
    <cellStyle name="Normal 5 5 12 2 2 4" xfId="31304" xr:uid="{4E92DD05-9DE3-47E0-9C33-4A23B380A4BC}"/>
    <cellStyle name="Normal 5 5 12 2 3" xfId="27500" xr:uid="{C60B8A07-C87E-417E-81F5-A75D4AE0518D}"/>
    <cellStyle name="Normal 5 5 12 2 4" xfId="27364" xr:uid="{FCABEA70-D790-4657-BF9A-CD1687570BD1}"/>
    <cellStyle name="Normal 5 5 12 2 5" xfId="31253" xr:uid="{29DBD238-5483-4789-AB60-4DC6E160D543}"/>
    <cellStyle name="Normal 5 5 12 3" xfId="1184" xr:uid="{00000000-0005-0000-0000-000064060000}"/>
    <cellStyle name="Normal 5 5 12 3 2" xfId="1185" xr:uid="{00000000-0005-0000-0000-000065060000}"/>
    <cellStyle name="Normal 5 5 12 3 2 2" xfId="7100" xr:uid="{7DC8D161-DB25-42F7-A675-B9ABA09E6623}"/>
    <cellStyle name="Normal 5 5 12 3 2 2 2" xfId="17480" xr:uid="{CB8E9133-3D83-4494-9F60-E776A3EA70F0}"/>
    <cellStyle name="Normal 5 5 12 3 2 3" xfId="9933" xr:uid="{75CD5C8B-75F0-4E18-B7D2-91830223CFAA}"/>
    <cellStyle name="Normal 5 5 12 3 2 3 2" xfId="20313" xr:uid="{4A077567-9598-4D3C-9AEB-03C07E8EA24F}"/>
    <cellStyle name="Normal 5 5 12 3 2 4" xfId="25581" xr:uid="{DBCD1220-8789-4BF8-809A-A3A65496A92B}"/>
    <cellStyle name="Normal 5 5 12 3 2 5" xfId="14647" xr:uid="{A45105C8-7446-4B1D-BB0F-E6E66EEAF4EB}"/>
    <cellStyle name="Normal 5 5 12 3 3" xfId="3773" xr:uid="{D3491984-6149-4A4F-97CA-96AC04F0A2CD}"/>
    <cellStyle name="Normal 5 5 12 3 3 2" xfId="4807" xr:uid="{62869006-B692-4B88-AA1D-967FD650D28C}"/>
    <cellStyle name="Normal 5 5 12 3 3 3" xfId="30295" xr:uid="{0809AC62-F3B7-493F-BB49-1E9941AC2340}"/>
    <cellStyle name="Normal 5 5 12 3 3 3 2" xfId="31438" xr:uid="{7019EB67-3295-429D-8D0F-44B17EE0D105}"/>
    <cellStyle name="Normal 5 5 12 3 3 4" xfId="31635" xr:uid="{7ED5B869-69B2-431F-9CC3-F41F5D450414}"/>
    <cellStyle name="Normal 5 5 12 3 4" xfId="24796" xr:uid="{EC1A1E87-7558-46ED-8398-DDED782A19A9}"/>
    <cellStyle name="Normal 5 5 12 4" xfId="1186" xr:uid="{00000000-0005-0000-0000-000066060000}"/>
    <cellStyle name="Normal 5 5 12 4 2" xfId="2012" xr:uid="{00000000-0005-0000-0000-000067060000}"/>
    <cellStyle name="Normal 5 5 12 4 2 2" xfId="28245" xr:uid="{C0C981C0-058E-4026-91E4-71DD03B00545}"/>
    <cellStyle name="Normal 5 5 12 4 2 3" xfId="27488" xr:uid="{1A5E8FF4-C6F3-4045-99D5-5EFB1C02A4ED}"/>
    <cellStyle name="Normal 5 5 12 4 3" xfId="3743" xr:uid="{00000000-0005-0000-0000-0000CD050000}"/>
    <cellStyle name="Normal 5 5 12 4 3 2" xfId="4732" xr:uid="{D383C0AB-15AA-4183-8653-F3BF4C9DCA49}"/>
    <cellStyle name="Normal 5 5 12 4 3 3" xfId="30268" xr:uid="{0A57DE32-6FA3-493D-BCD5-EF945C4BCD4C}"/>
    <cellStyle name="Normal 5 5 12 4 3 3 2" xfId="31411" xr:uid="{8D615E02-7AB1-47B9-B5C0-EFCC16FE5595}"/>
    <cellStyle name="Normal 5 5 12 4 3 4" xfId="31608" xr:uid="{333049E4-D2E4-478B-A9A7-397D8F1AD60F}"/>
    <cellStyle name="Normal 5 5 12 4 4" xfId="23739" xr:uid="{584E66C2-83BD-4415-897A-413EAACEC637}"/>
    <cellStyle name="Normal 5 5 12 4 5" xfId="23070" xr:uid="{445314E8-3702-42F9-96C4-4F1E3E1FC2C9}"/>
    <cellStyle name="Normal 5 5 12 4 6" xfId="26121" xr:uid="{972A4539-7000-4879-8DC1-AC3C9DAB57C7}"/>
    <cellStyle name="Normal 5 5 12 5" xfId="1187" xr:uid="{00000000-0005-0000-0000-000068060000}"/>
    <cellStyle name="Normal 5 5 12 5 2" xfId="26128" xr:uid="{0C3713C4-0CF4-45B5-BE60-F039348800A1}"/>
    <cellStyle name="Normal 5 5 12 5 3" xfId="26556" xr:uid="{46B5948C-5A50-4947-9B43-BD3926155E12}"/>
    <cellStyle name="Normal 5 5 12 6" xfId="2013" xr:uid="{00000000-0005-0000-0000-000069060000}"/>
    <cellStyle name="Normal 5 5 12 6 2" xfId="25719" xr:uid="{6E76D09D-B907-43F5-8545-1CFD81722536}"/>
    <cellStyle name="Normal 5 5 12 6 3" xfId="24485" xr:uid="{D6BD1202-D166-4806-99B6-7721F3E5DC6E}"/>
    <cellStyle name="Normal 5 5 12 6 4" xfId="30397" xr:uid="{A373ECD6-01CF-4482-A92D-8D307049E070}"/>
    <cellStyle name="Normal 5 5 12 7" xfId="2134" xr:uid="{00000000-0005-0000-0000-0000A1020000}"/>
    <cellStyle name="Normal 5 5 12 7 2" xfId="4820" xr:uid="{933CD350-3DDB-4FFC-B65F-DBC9B5AC6FAA}"/>
    <cellStyle name="Normal 5 5 12 7 3" xfId="30215" xr:uid="{827A0F38-C1A0-4EEE-9A2A-D5F26A0F3BC4}"/>
    <cellStyle name="Normal 5 5 12 7 3 2" xfId="31359" xr:uid="{12077E98-D42B-4C46-B42E-477CDA1BC168}"/>
    <cellStyle name="Normal 5 5 12 7 4" xfId="31555" xr:uid="{ED0A659F-49C6-47AD-A8E9-D609C6FE0B98}"/>
    <cellStyle name="Normal 5 5 12 8" xfId="4040" xr:uid="{339DDFF4-B60C-4AB4-A281-8CA03C0100FF}"/>
    <cellStyle name="Normal 5 5 12 8 2" xfId="4818" xr:uid="{7550A7D3-C1EF-43A3-A121-A8E9FC3C1D0F}"/>
    <cellStyle name="Normal 5 5 12 8 3" xfId="30332" xr:uid="{D7DBAFC5-F908-4480-B7AC-0D36D243E461}"/>
    <cellStyle name="Normal 5 5 12 8 3 2" xfId="30468" xr:uid="{008082A2-179F-4EAE-9BED-194B26EA3013}"/>
    <cellStyle name="Normal 5 5 12 8 4" xfId="31672" xr:uid="{958C0CF7-489D-4DFD-AFD0-0923A7F799E9}"/>
    <cellStyle name="Normal 5 5 12 9" xfId="25796" xr:uid="{E3CEE472-2575-4086-9B70-8587E190341C}"/>
    <cellStyle name="Normal 5 5 12 9 2" xfId="26401" xr:uid="{EE6D3784-0C10-40B4-B5A5-246641421871}"/>
    <cellStyle name="Normal 5 5 12 9 3" xfId="31166" xr:uid="{1A4271D5-26B0-4441-8D15-E29ECA5F4D9D}"/>
    <cellStyle name="Normal 5 5 13" xfId="1188" xr:uid="{00000000-0005-0000-0000-00006A060000}"/>
    <cellStyle name="Normal 5 5 13 2" xfId="4557" xr:uid="{38105DB8-0B13-45DB-93CB-A7A2B7B10682}"/>
    <cellStyle name="Normal 5 5 13 2 2" xfId="9329" xr:uid="{0F5DC92B-D17F-4932-B880-4EB216E0BB19}"/>
    <cellStyle name="Normal 5 5 13 2 2 2" xfId="29304" xr:uid="{A528E6A3-E5CF-41CD-8A5A-85D9B57ECB1A}"/>
    <cellStyle name="Normal 5 5 13 2 2 3" xfId="19709" xr:uid="{B187A614-F1FD-4C04-8325-25B84F0A4B75}"/>
    <cellStyle name="Normal 5 5 13 2 3" xfId="12162" xr:uid="{7CDD758D-F939-4E92-9942-827284B6582E}"/>
    <cellStyle name="Normal 5 5 13 2 3 2" xfId="22542" xr:uid="{15B03982-7DF5-45B6-B4D5-42116C944D4D}"/>
    <cellStyle name="Normal 5 5 13 2 4" xfId="23764" xr:uid="{1C157A74-79B0-4AE9-B1C8-C0BCC2BE83BE}"/>
    <cellStyle name="Normal 5 5 13 2 5" xfId="16876" xr:uid="{039AE286-CAD9-40EC-9813-C989AE274BDE}"/>
    <cellStyle name="Normal 5 5 13 3" xfId="5349" xr:uid="{5A847891-704E-4D1C-A49B-5183AFA3F5F8}"/>
    <cellStyle name="Normal 5 5 13 3 2" xfId="25718" xr:uid="{BA89B0B9-DB42-4CE7-A4A3-ECE24486E886}"/>
    <cellStyle name="Normal 5 5 13 3 3" xfId="25874" xr:uid="{45F60256-2B71-41F7-8537-374E0F6D4207}"/>
    <cellStyle name="Normal 5 5 13 3 4" xfId="14648" xr:uid="{5CE4162D-AD48-4C0F-BA62-B934F4EA9B59}"/>
    <cellStyle name="Normal 5 5 13 4" xfId="7101" xr:uid="{9A900B08-9AE9-41AC-BA20-2AA538F9927D}"/>
    <cellStyle name="Normal 5 5 13 4 2" xfId="22948" xr:uid="{97C5DAE0-DA9C-4F0F-BCD1-117901AE5D5C}"/>
    <cellStyle name="Normal 5 5 13 4 3" xfId="27065" xr:uid="{D13F99A1-37DD-4A26-B175-7EDE3659B42B}"/>
    <cellStyle name="Normal 5 5 13 4 4" xfId="17481" xr:uid="{5AED7AF1-2763-4797-82AA-CF475C5E3EE4}"/>
    <cellStyle name="Normal 5 5 13 5" xfId="9934" xr:uid="{18FE5CF4-E9A5-4356-8158-B3F8919FD961}"/>
    <cellStyle name="Normal 5 5 13 5 2" xfId="29433" xr:uid="{5879B14D-2429-4E4A-9882-196F79DE5875}"/>
    <cellStyle name="Normal 5 5 13 5 3" xfId="20314" xr:uid="{0267A0D3-C892-4DAA-A391-47195DB4C23E}"/>
    <cellStyle name="Normal 5 5 13 6" xfId="24214" xr:uid="{6BA6356E-FEFE-4288-B90B-406AF9C7B10D}"/>
    <cellStyle name="Normal 5 5 13 7" xfId="13967" xr:uid="{9949E944-6653-48A5-B6AF-827C31A6C8F2}"/>
    <cellStyle name="Normal 5 5 13 8" xfId="31252" xr:uid="{74A630F6-B0B0-425A-B58E-98533DCF93A3}"/>
    <cellStyle name="Normal 5 5 14" xfId="1189" xr:uid="{00000000-0005-0000-0000-00006B060000}"/>
    <cellStyle name="Normal 5 5 14 2" xfId="1190" xr:uid="{00000000-0005-0000-0000-00006C060000}"/>
    <cellStyle name="Normal 5 5 14 3" xfId="3744" xr:uid="{00000000-0005-0000-0000-0000D2050000}"/>
    <cellStyle name="Normal 5 5 14 3 2" xfId="4727" xr:uid="{38D387F4-79B0-4AC8-8B84-16D0B67DE4C8}"/>
    <cellStyle name="Normal 5 5 14 3 2 2" xfId="28467" xr:uid="{8C94C9FE-AE2A-4793-A8B8-55E759787D53}"/>
    <cellStyle name="Normal 5 5 14 3 3" xfId="26889" xr:uid="{B149FF73-7C82-4791-B193-8AF6ACE56154}"/>
    <cellStyle name="Normal 5 5 14 3 4" xfId="30269" xr:uid="{D54B79A8-5499-4F5C-A60A-015D6BE65FD9}"/>
    <cellStyle name="Normal 5 5 14 3 4 2" xfId="31412" xr:uid="{575483AF-AA95-4D48-B584-5A9993226AA8}"/>
    <cellStyle name="Normal 5 5 14 3 5" xfId="31609" xr:uid="{14E7F71F-AA9C-4825-9092-BF0C8A1EFF2F}"/>
    <cellStyle name="Normal 5 5 14 4" xfId="28548" xr:uid="{11F1C702-C94E-40E4-AA7E-C36BBAF97840}"/>
    <cellStyle name="Normal 5 5 15" xfId="2440" xr:uid="{00000000-0005-0000-0000-000035070000}"/>
    <cellStyle name="Normal 5 5 15 2" xfId="5735" xr:uid="{7DB3CBEA-D902-42B2-B26F-9421550EC6CD}"/>
    <cellStyle name="Normal 5 5 15 2 2" xfId="27303" xr:uid="{F2621A6C-0918-4A36-97E3-78A546121BE8}"/>
    <cellStyle name="Normal 5 5 15 2 3" xfId="15112" xr:uid="{05B98610-ECCC-4335-8398-4FB0B93CE0B1}"/>
    <cellStyle name="Normal 5 5 15 3" xfId="7565" xr:uid="{35D911EE-CA73-4C5D-9B99-8E5C459EE06E}"/>
    <cellStyle name="Normal 5 5 15 3 2" xfId="17945" xr:uid="{38B158EE-2C47-4BA9-93C3-58BBE1E0AD96}"/>
    <cellStyle name="Normal 5 5 15 4" xfId="10398" xr:uid="{5DEE6F7F-8E03-4FC8-9594-1274073636D5}"/>
    <cellStyle name="Normal 5 5 15 4 2" xfId="20778" xr:uid="{9D104917-06C4-40D3-830F-73A016A7D825}"/>
    <cellStyle name="Normal 5 5 15 5" xfId="24794" xr:uid="{98197A97-5624-49B2-8B85-1F5369343C3E}"/>
    <cellStyle name="Normal 5 5 15 6" xfId="12827" xr:uid="{25B2FA1F-E539-4D97-AD51-FB2C4B7972FE}"/>
    <cellStyle name="Normal 5 5 16" xfId="2170" xr:uid="{00000000-0005-0000-0000-000028070000}"/>
    <cellStyle name="Normal 5 5 16 2" xfId="7297" xr:uid="{E92BBBE8-8A65-484D-9CC1-3D51172C4C28}"/>
    <cellStyle name="Normal 5 5 16 2 2" xfId="28153" xr:uid="{A3A849C5-5574-4D15-95F8-4036D0CDEF59}"/>
    <cellStyle name="Normal 5 5 16 2 3" xfId="17677" xr:uid="{09A459B7-30EB-40B8-87C5-77F00D92A2FA}"/>
    <cellStyle name="Normal 5 5 16 3" xfId="10130" xr:uid="{F0A238C6-4582-4CBB-BADA-A9399A706E74}"/>
    <cellStyle name="Normal 5 5 16 3 2" xfId="20510" xr:uid="{334612D8-071C-4D16-88C2-0DED4F515CFC}"/>
    <cellStyle name="Normal 5 5 16 4" xfId="22845" xr:uid="{73C69CF9-2844-4024-B796-ADEC93F6100C}"/>
    <cellStyle name="Normal 5 5 16 5" xfId="14844" xr:uid="{0D04833F-70A4-4B17-A011-739F53913398}"/>
    <cellStyle name="Normal 5 5 17" xfId="2123" xr:uid="{00000000-0005-0000-0000-00009D020000}"/>
    <cellStyle name="Normal 5 5 17 2" xfId="4711" xr:uid="{1F0EAC01-3B78-43E3-B983-74B1E0899491}"/>
    <cellStyle name="Normal 5 5 17 2 2" xfId="28529" xr:uid="{9F244A23-EF37-4CA3-9C32-8399EE7045C9}"/>
    <cellStyle name="Normal 5 5 17 3" xfId="27863" xr:uid="{94C316B2-9303-4343-AB75-17DFAF12E21D}"/>
    <cellStyle name="Normal 5 5 17 4" xfId="30204" xr:uid="{36B20FD2-E384-4E2C-943F-B6158FB818DE}"/>
    <cellStyle name="Normal 5 5 17 4 2" xfId="31348" xr:uid="{5F08F1D5-89EB-4C5D-BB57-1B880E6EB770}"/>
    <cellStyle name="Normal 5 5 17 5" xfId="31544" xr:uid="{3B55F720-3305-4D8B-B69F-321B180500C4}"/>
    <cellStyle name="Normal 5 5 18" xfId="4019" xr:uid="{F3938208-EDFC-4F17-ABB5-42A544677995}"/>
    <cellStyle name="Normal 5 5 18 2" xfId="4811" xr:uid="{F76BFFF7-F65C-4C10-94AE-340164E71EC1}"/>
    <cellStyle name="Normal 5 5 18 3" xfId="30322" xr:uid="{3F8752F1-9A5A-4A0A-9B43-2AF1C30DFDF6}"/>
    <cellStyle name="Normal 5 5 18 3 2" xfId="31465" xr:uid="{0CEB44F4-8608-49C7-AFD9-B308A93AF5D4}"/>
    <cellStyle name="Normal 5 5 18 4" xfId="31662" xr:uid="{67F64D7D-87AA-4672-BBA5-A417E15A374F}"/>
    <cellStyle name="Normal 5 5 19" xfId="24511" xr:uid="{2A1B3C75-EDBD-4134-9FA6-33FD8035DA32}"/>
    <cellStyle name="Normal 5 5 2" xfId="1191" xr:uid="{00000000-0005-0000-0000-00006D060000}"/>
    <cellStyle name="Normal 5 5 2 10" xfId="26257" xr:uid="{5DE0041A-A395-4337-A4C4-595A0109A733}"/>
    <cellStyle name="Normal 5 5 2 11" xfId="27202" xr:uid="{576765FF-1DD2-4048-9596-D0B7D8E5602E}"/>
    <cellStyle name="Normal 5 5 2 12" xfId="12425" xr:uid="{362E694F-978F-4355-B29B-573EACCA035C}"/>
    <cellStyle name="Normal 5 5 2 2" xfId="1192" xr:uid="{00000000-0005-0000-0000-00006E060000}"/>
    <cellStyle name="Normal 5 5 2 2 10" xfId="7102" xr:uid="{B0B4E6F4-CC37-40E9-80EA-BED5690BE15D}"/>
    <cellStyle name="Normal 5 5 2 2 10 2" xfId="17482" xr:uid="{2E4C73EB-3E1A-4761-96CA-1DE9565E7346}"/>
    <cellStyle name="Normal 5 5 2 2 11" xfId="9935" xr:uid="{F88CE84F-A75A-405A-85F5-7077666D2DA0}"/>
    <cellStyle name="Normal 5 5 2 2 11 2" xfId="20315" xr:uid="{7BAFE316-3944-4915-8BE3-1A5642390C24}"/>
    <cellStyle name="Normal 5 5 2 2 12" xfId="24558" xr:uid="{DB9B9E18-2DAE-4360-A9FC-C823D4674C38}"/>
    <cellStyle name="Normal 5 5 2 2 13" xfId="12485" xr:uid="{C15E1874-5A7B-419B-A795-ECC2719E4B4E}"/>
    <cellStyle name="Normal 5 5 2 2 2" xfId="1193" xr:uid="{00000000-0005-0000-0000-00006F060000}"/>
    <cellStyle name="Normal 5 5 2 2 2 10" xfId="9936" xr:uid="{F46A6A26-8631-4AEC-8C24-F217A2A7B3F9}"/>
    <cellStyle name="Normal 5 5 2 2 2 10 2" xfId="20316" xr:uid="{0F1B2E8D-661B-421F-A428-2548615D2947}"/>
    <cellStyle name="Normal 5 5 2 2 2 11" xfId="22903" xr:uid="{0ACF97C6-F5AF-4F36-A2CC-B0340721807C}"/>
    <cellStyle name="Normal 5 5 2 2 2 12" xfId="12614" xr:uid="{1A299909-22DC-4007-AC4D-C1AE15C09573}"/>
    <cellStyle name="Normal 5 5 2 2 2 2" xfId="2806" xr:uid="{00000000-0005-0000-0000-000039070000}"/>
    <cellStyle name="Normal 5 5 2 2 2 2 2" xfId="3399" xr:uid="{00000000-0005-0000-0000-00003A070000}"/>
    <cellStyle name="Normal 5 5 2 2 2 2 2 2" xfId="6457" xr:uid="{B693116F-FEF4-432D-A5BF-701A0649DF30}"/>
    <cellStyle name="Normal 5 5 2 2 2 2 2 2 2" xfId="27808" xr:uid="{004B866A-C76F-45A8-808C-C75755EC1086}"/>
    <cellStyle name="Normal 5 5 2 2 2 2 2 2 3" xfId="26535" xr:uid="{5EEAA4AB-3C3E-4C53-A277-A707876DE5EC}"/>
    <cellStyle name="Normal 5 5 2 2 2 2 2 2 4" xfId="16026" xr:uid="{C3ACAFC0-D7C2-42C7-B4DB-7ED8EAC47E68}"/>
    <cellStyle name="Normal 5 5 2 2 2 2 2 3" xfId="8479" xr:uid="{17E6980B-06A1-43B6-BE43-611354CBBEB0}"/>
    <cellStyle name="Normal 5 5 2 2 2 2 2 3 2" xfId="28925" xr:uid="{2BA3EE89-B748-4827-8F21-A2E506D72BC1}"/>
    <cellStyle name="Normal 5 5 2 2 2 2 2 3 3" xfId="18859" xr:uid="{230430B1-9100-4B76-B9BD-F64508174F52}"/>
    <cellStyle name="Normal 5 5 2 2 2 2 2 4" xfId="11312" xr:uid="{ED3C4ACD-C51D-4BCF-A4E8-96036E058BC2}"/>
    <cellStyle name="Normal 5 5 2 2 2 2 2 4 2" xfId="21692" xr:uid="{C080D9CA-17F9-461C-BB69-7B4915B83AEE}"/>
    <cellStyle name="Normal 5 5 2 2 2 2 2 5" xfId="25284" xr:uid="{7EECCA54-9783-4BBF-8C42-BADB856D8B4F}"/>
    <cellStyle name="Normal 5 5 2 2 2 2 2 6" xfId="13969" xr:uid="{EACC5766-D3D6-44EE-B595-1F5883978ED0}"/>
    <cellStyle name="Normal 5 5 2 2 2 2 3" xfId="4356" xr:uid="{42FF46A1-3943-4358-A655-8294E62CEED5}"/>
    <cellStyle name="Normal 5 5 2 2 2 2 3 2" xfId="9128" xr:uid="{45B9D55E-2186-44A0-B273-E1A0BC1506FA}"/>
    <cellStyle name="Normal 5 5 2 2 2 2 3 2 2" xfId="29171" xr:uid="{1140FD3F-198E-4BE1-8F06-A8CC335DBE44}"/>
    <cellStyle name="Normal 5 5 2 2 2 2 3 2 3" xfId="19508" xr:uid="{D17F7F4F-1A46-4910-97EE-82CDCD2E107F}"/>
    <cellStyle name="Normal 5 5 2 2 2 2 3 3" xfId="11961" xr:uid="{EFE23553-F273-457E-8C06-1E2A03F6FE27}"/>
    <cellStyle name="Normal 5 5 2 2 2 2 3 3 2" xfId="22341" xr:uid="{6CADACF1-9D51-44A3-9B24-E581EC859066}"/>
    <cellStyle name="Normal 5 5 2 2 2 2 3 4" xfId="23124" xr:uid="{B72063E7-D175-445C-9430-BB26FE783578}"/>
    <cellStyle name="Normal 5 5 2 2 2 2 3 5" xfId="16675" xr:uid="{255421F1-8B49-49EF-B50C-7FEA55A0C4D7}"/>
    <cellStyle name="Normal 5 5 2 2 2 2 4" xfId="6024" xr:uid="{7E2B3A4D-18A7-41AE-9703-8F1DD1C41124}"/>
    <cellStyle name="Normal 5 5 2 2 2 2 4 2" xfId="26662" xr:uid="{F952BBFA-15EB-48C0-894C-CF0A26F279D2}"/>
    <cellStyle name="Normal 5 5 2 2 2 2 4 3" xfId="15477" xr:uid="{3DA3D78E-B3D0-4042-BBF9-EADB3DB9540E}"/>
    <cellStyle name="Normal 5 5 2 2 2 2 5" xfId="7930" xr:uid="{028A5E22-1E60-4C6D-B1A8-9DE76CBD3299}"/>
    <cellStyle name="Normal 5 5 2 2 2 2 5 2" xfId="18310" xr:uid="{5B658F29-19A3-4C8F-8C89-874C7FC593B0}"/>
    <cellStyle name="Normal 5 5 2 2 2 2 6" xfId="10763" xr:uid="{39021503-6D23-4026-AADD-CEECF31F2E18}"/>
    <cellStyle name="Normal 5 5 2 2 2 2 6 2" xfId="21143" xr:uid="{79DF7F93-3D36-4E82-B3C2-21FBC05247DD}"/>
    <cellStyle name="Normal 5 5 2 2 2 2 7" xfId="23801" xr:uid="{B54B0BB9-E6CF-4A46-9F3A-B3E751558D28}"/>
    <cellStyle name="Normal 5 5 2 2 2 2 8" xfId="13272" xr:uid="{C4529065-302D-4BBB-8DEA-0825232BFC5B}"/>
    <cellStyle name="Normal 5 5 2 2 2 3" xfId="3400" xr:uid="{00000000-0005-0000-0000-00003B070000}"/>
    <cellStyle name="Normal 5 5 2 2 2 3 2" xfId="4558" xr:uid="{5061FD9F-2244-4556-BA81-017209E54E57}"/>
    <cellStyle name="Normal 5 5 2 2 2 3 2 2" xfId="9330" xr:uid="{63D3143B-3A50-4839-B294-F3935BB8C913}"/>
    <cellStyle name="Normal 5 5 2 2 2 3 2 2 2" xfId="29305" xr:uid="{9C4F8361-A348-40D6-BDC8-184E1ED0AEEB}"/>
    <cellStyle name="Normal 5 5 2 2 2 3 2 2 3" xfId="19710" xr:uid="{2232B086-86C9-44E8-ACC9-F05AE9E85F48}"/>
    <cellStyle name="Normal 5 5 2 2 2 3 2 3" xfId="12163" xr:uid="{F278D5A6-BB19-4A71-909D-4B185E053A15}"/>
    <cellStyle name="Normal 5 5 2 2 2 3 2 3 2" xfId="22543" xr:uid="{FF77EDCE-32AF-4B79-86CC-5D0FC410DFDE}"/>
    <cellStyle name="Normal 5 5 2 2 2 3 2 4" xfId="28116" xr:uid="{21DB635F-914E-44BB-A5BA-96824586B764}"/>
    <cellStyle name="Normal 5 5 2 2 2 3 2 5" xfId="16877" xr:uid="{DA1DE3AE-D369-465E-B70F-9C5DCCD86772}"/>
    <cellStyle name="Normal 5 5 2 2 2 3 3" xfId="6458" xr:uid="{6C9958EC-64CD-4EFE-AD25-5341EAC58E19}"/>
    <cellStyle name="Normal 5 5 2 2 2 3 3 2" xfId="26307" xr:uid="{10785CCF-BC71-459D-8435-C52D33AD31DA}"/>
    <cellStyle name="Normal 5 5 2 2 2 3 3 3" xfId="16027" xr:uid="{2AC0485A-BBA8-4B3B-8289-888B36D3D1A8}"/>
    <cellStyle name="Normal 5 5 2 2 2 3 4" xfId="8480" xr:uid="{35104300-7B7B-4930-AA22-97CBEA0E597A}"/>
    <cellStyle name="Normal 5 5 2 2 2 3 4 2" xfId="18860" xr:uid="{BCD25388-0DE1-4453-B0E2-7C53AEE133CA}"/>
    <cellStyle name="Normal 5 5 2 2 2 3 5" xfId="11313" xr:uid="{7B72F5E2-F4A0-4DAF-A072-8BB8EE9CF698}"/>
    <cellStyle name="Normal 5 5 2 2 2 3 5 2" xfId="21693" xr:uid="{4A7BD036-C2BA-45A6-87CB-029FEA504C56}"/>
    <cellStyle name="Normal 5 5 2 2 2 3 6" xfId="25116" xr:uid="{82B60B71-A98F-4867-B481-3777DF42A92A}"/>
    <cellStyle name="Normal 5 5 2 2 2 3 7" xfId="13970" xr:uid="{CDB8CBB4-B877-4130-B85B-07A03F751A31}"/>
    <cellStyle name="Normal 5 5 2 2 2 4" xfId="3398" xr:uid="{00000000-0005-0000-0000-00003C070000}"/>
    <cellStyle name="Normal 5 5 2 2 2 4 2" xfId="6456" xr:uid="{65CAC8DB-A56D-46C3-87F9-F4F75AAA66E8}"/>
    <cellStyle name="Normal 5 5 2 2 2 4 2 2" xfId="26022" xr:uid="{17070FC0-3C6C-4245-8F38-027CA186084B}"/>
    <cellStyle name="Normal 5 5 2 2 2 4 2 3" xfId="16025" xr:uid="{ECC0695D-BED6-47AA-9185-A5C5234CEBF3}"/>
    <cellStyle name="Normal 5 5 2 2 2 4 3" xfId="8478" xr:uid="{14C93518-D0C9-4908-BAB1-9DCD1EEEA571}"/>
    <cellStyle name="Normal 5 5 2 2 2 4 3 2" xfId="18858" xr:uid="{ECDDFA73-36FF-49D5-82B7-03A53E73BDAB}"/>
    <cellStyle name="Normal 5 5 2 2 2 4 4" xfId="11311" xr:uid="{8B1E5D26-8A8D-4AC7-9715-3F1243DFF57E}"/>
    <cellStyle name="Normal 5 5 2 2 2 4 4 2" xfId="21691" xr:uid="{344B6013-3AA0-45E1-85B1-D40B03FD4C40}"/>
    <cellStyle name="Normal 5 5 2 2 2 4 5" xfId="24507" xr:uid="{5CB2466F-53D5-49FA-A5CA-E50A3B9646E6}"/>
    <cellStyle name="Normal 5 5 2 2 2 4 6" xfId="13968" xr:uid="{C763E544-01F0-4302-8299-E43E37CE24BA}"/>
    <cellStyle name="Normal 5 5 2 2 2 5" xfId="2650" xr:uid="{00000000-0005-0000-0000-00003D070000}"/>
    <cellStyle name="Normal 5 5 2 2 2 5 2" xfId="5912" xr:uid="{E9B39E86-C76E-4FBD-A137-EE230CDA99AC}"/>
    <cellStyle name="Normal 5 5 2 2 2 5 2 2" xfId="26218" xr:uid="{691A211D-DDC5-4CF4-9FFE-159D307D29B3}"/>
    <cellStyle name="Normal 5 5 2 2 2 5 2 3" xfId="15322" xr:uid="{855B6DC1-1534-436D-91E0-D2640689A3F2}"/>
    <cellStyle name="Normal 5 5 2 2 2 5 3" xfId="7775" xr:uid="{60B7B1BA-B192-4DB5-8FB7-5B1053A8F3F3}"/>
    <cellStyle name="Normal 5 5 2 2 2 5 3 2" xfId="18155" xr:uid="{EC3B7F3F-BCF3-470D-9D43-126F2EB40004}"/>
    <cellStyle name="Normal 5 5 2 2 2 5 4" xfId="10608" xr:uid="{531C608E-CD0C-4B40-BC39-F0CCB15B2BDB}"/>
    <cellStyle name="Normal 5 5 2 2 2 5 4 2" xfId="20988" xr:uid="{29A04457-3328-4866-8B61-39382E330D84}"/>
    <cellStyle name="Normal 5 5 2 2 2 5 5" xfId="25347" xr:uid="{FA1D4321-F923-4174-B5D0-070FD482717B}"/>
    <cellStyle name="Normal 5 5 2 2 2 5 6" xfId="13050" xr:uid="{414A8D75-BE7B-45D4-8C3A-A99EAB138365}"/>
    <cellStyle name="Normal 5 5 2 2 2 6" xfId="2380" xr:uid="{00000000-0005-0000-0000-000038070000}"/>
    <cellStyle name="Normal 5 5 2 2 2 6 2" xfId="7507" xr:uid="{A1858BD0-3E6E-4D42-83BF-145C6C4D43DF}"/>
    <cellStyle name="Normal 5 5 2 2 2 6 2 2" xfId="17887" xr:uid="{FACD421A-A9BB-4B7F-906E-07EE7C2EF2B8}"/>
    <cellStyle name="Normal 5 5 2 2 2 6 3" xfId="10340" xr:uid="{6D389701-D329-41F9-BFEA-4C1354AC4875}"/>
    <cellStyle name="Normal 5 5 2 2 2 6 3 2" xfId="20720" xr:uid="{F1A12A08-1164-4488-A8B4-F6266E11AB30}"/>
    <cellStyle name="Normal 5 5 2 2 2 6 4" xfId="24991" xr:uid="{67298546-BF93-45C6-AFAE-B9A60F49A89F}"/>
    <cellStyle name="Normal 5 5 2 2 2 6 5" xfId="15054" xr:uid="{23599E62-A5C5-4F45-A758-20E3649CEB60}"/>
    <cellStyle name="Normal 5 5 2 2 2 7" xfId="4052" xr:uid="{EC54DFC6-9A1E-4C42-8373-D8A0D006B582}"/>
    <cellStyle name="Normal 5 5 2 2 2 7 2" xfId="8838" xr:uid="{F198D4A2-3B39-49A2-8553-811CD5569DB0}"/>
    <cellStyle name="Normal 5 5 2 2 2 7 2 2" xfId="19218" xr:uid="{695B1472-84E2-4093-ABA0-2537DF9ADA20}"/>
    <cellStyle name="Normal 5 5 2 2 2 7 3" xfId="11671" xr:uid="{358B6E7B-0337-430F-9A6B-737BE1E2DA12}"/>
    <cellStyle name="Normal 5 5 2 2 2 7 3 2" xfId="22051" xr:uid="{B5C359F9-33D3-4677-911E-4FBEB3C90639}"/>
    <cellStyle name="Normal 5 5 2 2 2 7 4" xfId="16385" xr:uid="{2F36583D-13FE-480E-AFDA-6739E674159F}"/>
    <cellStyle name="Normal 5 5 2 2 2 8" xfId="5351" xr:uid="{7A875D4A-C397-4525-BE3A-8192E68F8551}"/>
    <cellStyle name="Normal 5 5 2 2 2 8 2" xfId="14650" xr:uid="{2F2081C4-AAE6-4920-8CA4-EBB5256087C6}"/>
    <cellStyle name="Normal 5 5 2 2 2 9" xfId="7103" xr:uid="{2B3871C3-57A8-4A8B-88EE-B3736054FB29}"/>
    <cellStyle name="Normal 5 5 2 2 2 9 2" xfId="17483" xr:uid="{070D8DBB-57B4-4D3B-B9B3-AC7655AB8F30}"/>
    <cellStyle name="Normal 5 5 2 2 3" xfId="1194" xr:uid="{00000000-0005-0000-0000-000070060000}"/>
    <cellStyle name="Normal 5 5 2 2 3 2" xfId="3401" xr:uid="{00000000-0005-0000-0000-00003F070000}"/>
    <cellStyle name="Normal 5 5 2 2 3 2 2" xfId="6459" xr:uid="{5F4BDF0C-AD38-489E-945C-592418F3D60F}"/>
    <cellStyle name="Normal 5 5 2 2 3 2 2 2" xfId="27907" xr:uid="{59078814-849A-48FA-838A-3AFDDFEFD8E7}"/>
    <cellStyle name="Normal 5 5 2 2 3 2 2 3" xfId="28004" xr:uid="{28FDFF76-16BE-4E21-9F52-18072D3E868F}"/>
    <cellStyle name="Normal 5 5 2 2 3 2 2 4" xfId="16028" xr:uid="{38177F33-B1C7-46B5-A5E4-6B6D90111A41}"/>
    <cellStyle name="Normal 5 5 2 2 3 2 3" xfId="8481" xr:uid="{0542C4C6-33F3-4561-ABF9-B301DE495CC8}"/>
    <cellStyle name="Normal 5 5 2 2 3 2 3 2" xfId="28926" xr:uid="{DF4CA095-1D0A-4D01-AE9E-CD634DC17B5F}"/>
    <cellStyle name="Normal 5 5 2 2 3 2 3 3" xfId="18861" xr:uid="{37AFCBB9-FBB2-4771-AE08-1F6302956FA8}"/>
    <cellStyle name="Normal 5 5 2 2 3 2 4" xfId="11314" xr:uid="{BF39D8A6-DE77-46ED-8E7C-2A59A59A9E7E}"/>
    <cellStyle name="Normal 5 5 2 2 3 2 4 2" xfId="21694" xr:uid="{0A1F768E-1922-4983-B1A0-87585BE81350}"/>
    <cellStyle name="Normal 5 5 2 2 3 2 5" xfId="24720" xr:uid="{82D4A560-5319-4D31-AF03-8AE6CFD5F1B4}"/>
    <cellStyle name="Normal 5 5 2 2 3 2 6" xfId="13971" xr:uid="{ADBDC445-9129-45A7-9B94-818CEE590A24}"/>
    <cellStyle name="Normal 5 5 2 2 3 3" xfId="2805" xr:uid="{00000000-0005-0000-0000-000040070000}"/>
    <cellStyle name="Normal 5 5 2 2 3 3 2" xfId="6023" xr:uid="{029B14EC-CF2B-481F-91F2-B0945A0C6EF0}"/>
    <cellStyle name="Normal 5 5 2 2 3 3 2 2" xfId="26998" xr:uid="{E5486205-ECBC-4852-924A-35CB4B00C793}"/>
    <cellStyle name="Normal 5 5 2 2 3 3 2 3" xfId="15476" xr:uid="{B4C09E91-DD80-4E71-92A6-C67FE0301C28}"/>
    <cellStyle name="Normal 5 5 2 2 3 3 3" xfId="7929" xr:uid="{C889EAB7-8D62-4D1F-9E5B-398749ABC41B}"/>
    <cellStyle name="Normal 5 5 2 2 3 3 3 2" xfId="18309" xr:uid="{824B5F40-8C47-4CBC-91EB-361E40A47A1B}"/>
    <cellStyle name="Normal 5 5 2 2 3 3 4" xfId="10762" xr:uid="{3DC114F8-6FC0-4D7E-A8C4-1B9E3BA197CA}"/>
    <cellStyle name="Normal 5 5 2 2 3 3 4 2" xfId="21142" xr:uid="{6C576C60-FC58-4C63-A93E-E194261DE55E}"/>
    <cellStyle name="Normal 5 5 2 2 3 3 5" xfId="23102" xr:uid="{AEBA479B-8B2B-4998-9E1E-9D0CC7F7AB55}"/>
    <cellStyle name="Normal 5 5 2 2 3 3 6" xfId="13271" xr:uid="{E80B7A3C-79FD-4DE7-AB06-D90D9C613D3B}"/>
    <cellStyle name="Normal 5 5 2 2 3 4" xfId="4205" xr:uid="{6834EE51-D997-4526-AFF7-7674E8CD52E1}"/>
    <cellStyle name="Normal 5 5 2 2 3 4 2" xfId="8977" xr:uid="{52CD7849-99F2-4A76-BEEC-7B45BE4C8AF9}"/>
    <cellStyle name="Normal 5 5 2 2 3 4 2 2" xfId="29059" xr:uid="{B9264E2E-ADFB-412E-B317-31A678C723CF}"/>
    <cellStyle name="Normal 5 5 2 2 3 4 2 3" xfId="19357" xr:uid="{179490EC-FDCB-402B-94EF-CA95ADD2D46F}"/>
    <cellStyle name="Normal 5 5 2 2 3 4 3" xfId="11810" xr:uid="{B5398A6F-9362-45CF-AD20-330DCF6A5113}"/>
    <cellStyle name="Normal 5 5 2 2 3 4 3 2" xfId="22190" xr:uid="{E683215B-69A9-4332-9ECA-A7146EBB9B6E}"/>
    <cellStyle name="Normal 5 5 2 2 3 4 4" xfId="24703" xr:uid="{1937E98F-1082-4654-912E-0E73F0FDECC6}"/>
    <cellStyle name="Normal 5 5 2 2 3 4 5" xfId="16524" xr:uid="{5FADDBF1-E6AD-4528-9DFD-7644B9EB274D}"/>
    <cellStyle name="Normal 5 5 2 2 3 5" xfId="5352" xr:uid="{D5B7A08C-93AF-4A8B-BAA3-33FC879FD868}"/>
    <cellStyle name="Normal 5 5 2 2 3 5 2" xfId="25877" xr:uid="{FFA69AF7-DCDD-478C-8045-146B1AA29976}"/>
    <cellStyle name="Normal 5 5 2 2 3 5 3" xfId="14651" xr:uid="{10343649-8127-45A8-BAD7-61F3D08369E2}"/>
    <cellStyle name="Normal 5 5 2 2 3 6" xfId="7104" xr:uid="{D97AF51E-6842-470A-A302-FB9E180CC5C0}"/>
    <cellStyle name="Normal 5 5 2 2 3 6 2" xfId="17484" xr:uid="{26D064AD-96E7-408C-B91A-A1976D6CC141}"/>
    <cellStyle name="Normal 5 5 2 2 3 7" xfId="9937" xr:uid="{9DD9D7F5-B940-4982-9CA5-B0B35070AC85}"/>
    <cellStyle name="Normal 5 5 2 2 3 7 2" xfId="20317" xr:uid="{007E509E-1ECD-466D-BDF6-DBFFD34B46D0}"/>
    <cellStyle name="Normal 5 5 2 2 3 8" xfId="25199" xr:uid="{D07689EE-8698-490A-8B28-CDB5E7DC64F0}"/>
    <cellStyle name="Normal 5 5 2 2 3 9" xfId="12772" xr:uid="{043A9170-707A-4857-BAA4-9D3A7C21999E}"/>
    <cellStyle name="Normal 5 5 2 2 4" xfId="3402" xr:uid="{00000000-0005-0000-0000-000041070000}"/>
    <cellStyle name="Normal 5 5 2 2 4 2" xfId="4559" xr:uid="{3CF4326C-D6BE-478D-A5AB-70D5107A7187}"/>
    <cellStyle name="Normal 5 5 2 2 4 2 2" xfId="9331" xr:uid="{E4D7FA6F-D905-4DC4-9BC7-4EA3BE03A3B3}"/>
    <cellStyle name="Normal 5 5 2 2 4 2 2 2" xfId="29306" xr:uid="{F28EC19A-FBD0-4F93-B03F-F0F80AE7A4BE}"/>
    <cellStyle name="Normal 5 5 2 2 4 2 2 3" xfId="19711" xr:uid="{76CB73A2-CD86-444B-A7AF-35AC7FBC6DB6}"/>
    <cellStyle name="Normal 5 5 2 2 4 2 3" xfId="12164" xr:uid="{96400753-8A15-46A2-9112-817415644141}"/>
    <cellStyle name="Normal 5 5 2 2 4 2 3 2" xfId="22544" xr:uid="{15C8712E-B6BD-43DB-93B4-B04017EF9B83}"/>
    <cellStyle name="Normal 5 5 2 2 4 2 4" xfId="25462" xr:uid="{A66370E2-A123-4049-9C50-5E66FB73A7CC}"/>
    <cellStyle name="Normal 5 5 2 2 4 2 5" xfId="16878" xr:uid="{D0372305-A075-40F8-B8D7-65EB360A5A6E}"/>
    <cellStyle name="Normal 5 5 2 2 4 3" xfId="6460" xr:uid="{1BDBD616-9D9B-470F-BE62-BB461EBDAC3C}"/>
    <cellStyle name="Normal 5 5 2 2 4 3 2" xfId="26233" xr:uid="{3437AC94-B370-44C3-8889-2FAC6B023C10}"/>
    <cellStyle name="Normal 5 5 2 2 4 3 3" xfId="16029" xr:uid="{A6F22AD9-7E49-48EB-A5FA-DD22D02FC106}"/>
    <cellStyle name="Normal 5 5 2 2 4 4" xfId="8482" xr:uid="{E508F1DE-AC46-406E-A968-8C7B9890A961}"/>
    <cellStyle name="Normal 5 5 2 2 4 4 2" xfId="18862" xr:uid="{DB266FA3-4845-4CA2-AE74-C3C8B71D49F3}"/>
    <cellStyle name="Normal 5 5 2 2 4 5" xfId="11315" xr:uid="{770BB5C3-0630-41B4-AC16-F438244C8242}"/>
    <cellStyle name="Normal 5 5 2 2 4 5 2" xfId="21695" xr:uid="{EC9D17BB-1761-454D-A2BA-8FF176B720FD}"/>
    <cellStyle name="Normal 5 5 2 2 4 6" xfId="25540" xr:uid="{898599E5-9CB3-47E9-8971-60A8327E7668}"/>
    <cellStyle name="Normal 5 5 2 2 4 7" xfId="13972" xr:uid="{0C57B530-4AC9-424F-BCEE-5551DD13B8FB}"/>
    <cellStyle name="Normal 5 5 2 2 5" xfId="2964" xr:uid="{00000000-0005-0000-0000-000042070000}"/>
    <cellStyle name="Normal 5 5 2 2 5 2" xfId="6129" xr:uid="{A2F16BF5-A93E-40B9-8DBC-6EECDD65DC6E}"/>
    <cellStyle name="Normal 5 5 2 2 5 2 2" xfId="27129" xr:uid="{0F1740B9-5506-4D8B-BF47-9E6F97236B49}"/>
    <cellStyle name="Normal 5 5 2 2 5 2 3" xfId="28394" xr:uid="{CAD045D7-C12F-4298-87A4-D0C3120DCD7B}"/>
    <cellStyle name="Normal 5 5 2 2 5 2 4" xfId="15607" xr:uid="{A8517938-CEC1-4531-88B4-43823CE6C60C}"/>
    <cellStyle name="Normal 5 5 2 2 5 3" xfId="8060" xr:uid="{94BC6C1E-C567-4FF0-AB86-7A65091721BD}"/>
    <cellStyle name="Normal 5 5 2 2 5 3 2" xfId="28376" xr:uid="{3A49D794-A173-4EFD-83E0-CE1E571F5A7B}"/>
    <cellStyle name="Normal 5 5 2 2 5 3 3" xfId="18440" xr:uid="{BCB46D85-B729-4F78-AEDD-ADF9162296B5}"/>
    <cellStyle name="Normal 5 5 2 2 5 4" xfId="10893" xr:uid="{A581CCAB-C95C-4C85-8035-5199D9553ABA}"/>
    <cellStyle name="Normal 5 5 2 2 5 4 2" xfId="21273" xr:uid="{6D12C64E-5F7B-47D3-AF52-9C6EE78B4D4F}"/>
    <cellStyle name="Normal 5 5 2 2 5 5" xfId="25571" xr:uid="{58D85909-3552-4170-B731-750D31FA0AB3}"/>
    <cellStyle name="Normal 5 5 2 2 5 6" xfId="13470" xr:uid="{E4338547-CC90-4D03-819C-605347135C7D}"/>
    <cellStyle name="Normal 5 5 2 2 6" xfId="2559" xr:uid="{00000000-0005-0000-0000-000043070000}"/>
    <cellStyle name="Normal 5 5 2 2 6 2" xfId="5829" xr:uid="{43281724-D4D4-4764-81AA-98673E3322C3}"/>
    <cellStyle name="Normal 5 5 2 2 6 2 2" xfId="26725" xr:uid="{037DAB8A-A842-4E5A-AC02-442EAB320EA5}"/>
    <cellStyle name="Normal 5 5 2 2 6 2 3" xfId="15231" xr:uid="{05099115-2671-4B30-83DA-8E993BD66C2A}"/>
    <cellStyle name="Normal 5 5 2 2 6 3" xfId="7684" xr:uid="{43F33238-6FFD-46D7-B783-DE99BEC24EC2}"/>
    <cellStyle name="Normal 5 5 2 2 6 3 2" xfId="18064" xr:uid="{376E7D56-6148-425B-B483-814B2A8D37CD}"/>
    <cellStyle name="Normal 5 5 2 2 6 4" xfId="10517" xr:uid="{DC3FE7B2-5804-462E-8778-5DF87623DF50}"/>
    <cellStyle name="Normal 5 5 2 2 6 4 2" xfId="20897" xr:uid="{CE690DC8-0FFC-4375-BF91-2DBCE44D3D30}"/>
    <cellStyle name="Normal 5 5 2 2 6 5" xfId="25474" xr:uid="{6E000032-F3D2-476D-804F-CBF5DEE81C48}"/>
    <cellStyle name="Normal 5 5 2 2 6 6" xfId="12947" xr:uid="{13182B47-0B63-49C6-BEF4-076BB4AB75D6}"/>
    <cellStyle name="Normal 5 5 2 2 7" xfId="2253" xr:uid="{00000000-0005-0000-0000-000037070000}"/>
    <cellStyle name="Normal 5 5 2 2 7 2" xfId="7380" xr:uid="{F8DEDDF5-4CEE-44B7-B924-98AEC26CB4E5}"/>
    <cellStyle name="Normal 5 5 2 2 7 2 2" xfId="17760" xr:uid="{337FD57F-5CE4-4D3C-B6A0-7F7572727214}"/>
    <cellStyle name="Normal 5 5 2 2 7 3" xfId="10213" xr:uid="{D8870ABD-E42D-45A4-82BD-D189C9EEA9FB}"/>
    <cellStyle name="Normal 5 5 2 2 7 3 2" xfId="20593" xr:uid="{11F17349-93D9-410C-9CDA-D0F712E1D062}"/>
    <cellStyle name="Normal 5 5 2 2 7 4" xfId="24675" xr:uid="{24398855-A23C-4216-A2AF-3DDF48A6DB9E}"/>
    <cellStyle name="Normal 5 5 2 2 7 5" xfId="14927" xr:uid="{ED22AC1C-E455-4E46-AC67-7F3F9C5E91CD}"/>
    <cellStyle name="Normal 5 5 2 2 8" xfId="4022" xr:uid="{B1921A58-8808-4F6C-B5BC-E2AC5A4EE5C5}"/>
    <cellStyle name="Normal 5 5 2 2 8 2" xfId="8825" xr:uid="{355ADFE8-D0B3-41F3-AA5B-6C8A7E98C54C}"/>
    <cellStyle name="Normal 5 5 2 2 8 2 2" xfId="19205" xr:uid="{0F339977-E116-46A0-B68E-677107876C12}"/>
    <cellStyle name="Normal 5 5 2 2 8 3" xfId="11658" xr:uid="{23C04812-C2E2-464A-B0E6-ABB95E3448B6}"/>
    <cellStyle name="Normal 5 5 2 2 8 3 2" xfId="22038" xr:uid="{10A5FB37-77EA-4271-8EA8-51E9FEFCE395}"/>
    <cellStyle name="Normal 5 5 2 2 8 4" xfId="16372" xr:uid="{9EE5A92E-77EA-4544-A2CD-1A6188350FBB}"/>
    <cellStyle name="Normal 5 5 2 2 9" xfId="5350" xr:uid="{141EAECA-CA83-4339-AB67-783AC0F0C1AB}"/>
    <cellStyle name="Normal 5 5 2 2 9 2" xfId="14649" xr:uid="{9FD627CF-5ACD-42F5-A83A-37F220194639}"/>
    <cellStyle name="Normal 5 5 2 3" xfId="1195" xr:uid="{00000000-0005-0000-0000-000071060000}"/>
    <cellStyle name="Normal 5 5 2 3 2" xfId="2808" xr:uid="{00000000-0005-0000-0000-000045070000}"/>
    <cellStyle name="Normal 5 5 2 3 2 2" xfId="3403" xr:uid="{00000000-0005-0000-0000-000046070000}"/>
    <cellStyle name="Normal 5 5 2 3 2 2 2" xfId="6461" xr:uid="{0E94E64F-DA8E-462B-A0AD-213059A35888}"/>
    <cellStyle name="Normal 5 5 2 3 2 2 2 2" xfId="27813" xr:uid="{53E02BFC-75AA-4874-A785-DB6306329D5B}"/>
    <cellStyle name="Normal 5 5 2 3 2 2 2 3" xfId="16030" xr:uid="{8DB3C3CA-6250-4251-8F5A-54DD04A575F8}"/>
    <cellStyle name="Normal 5 5 2 3 2 2 3" xfId="8483" xr:uid="{F60E9374-60EB-4CD0-BF3D-25BF61510848}"/>
    <cellStyle name="Normal 5 5 2 3 2 2 3 2" xfId="18863" xr:uid="{12B7C18D-4BB4-4A77-93A6-DB76E0496879}"/>
    <cellStyle name="Normal 5 5 2 3 2 2 4" xfId="11316" xr:uid="{F90D3A1A-CBE1-4691-BC16-C28722459F61}"/>
    <cellStyle name="Normal 5 5 2 3 2 2 4 2" xfId="21696" xr:uid="{CC58664D-2D50-455B-9893-3E24DFED6269}"/>
    <cellStyle name="Normal 5 5 2 3 2 2 5" xfId="23963" xr:uid="{6D2038FD-35E5-4C41-A8E3-88C4481B43AC}"/>
    <cellStyle name="Normal 5 5 2 3 2 2 6" xfId="13973" xr:uid="{F06C5421-9381-4EEA-BC1A-D91B49485E42}"/>
    <cellStyle name="Normal 5 5 2 3 2 3" xfId="4357" xr:uid="{DF391442-0F86-42A3-BB5A-C56DACB37174}"/>
    <cellStyle name="Normal 5 5 2 3 2 3 2" xfId="9129" xr:uid="{D6344311-8138-43CA-AF7B-5CBA192FF44C}"/>
    <cellStyle name="Normal 5 5 2 3 2 3 2 2" xfId="29172" xr:uid="{2A790C22-85A1-4413-87B7-1EF889C4D3DC}"/>
    <cellStyle name="Normal 5 5 2 3 2 3 2 3" xfId="19509" xr:uid="{67C25286-98AC-4787-826E-039D9F25AB1C}"/>
    <cellStyle name="Normal 5 5 2 3 2 3 3" xfId="11962" xr:uid="{DB176056-A70E-41F8-9C12-028E41C4528D}"/>
    <cellStyle name="Normal 5 5 2 3 2 3 3 2" xfId="22342" xr:uid="{D59AE9D9-970B-4E2C-87BC-E787ED0735CE}"/>
    <cellStyle name="Normal 5 5 2 3 2 3 4" xfId="24931" xr:uid="{4E06B9E5-64E3-4A8E-B09E-E067E712619F}"/>
    <cellStyle name="Normal 5 5 2 3 2 3 5" xfId="16676" xr:uid="{2B9A8F69-1ECA-41E3-BD61-796B23773C23}"/>
    <cellStyle name="Normal 5 5 2 3 2 4" xfId="6025" xr:uid="{FE446DA6-D06C-4DDB-A70B-A660F8B35E99}"/>
    <cellStyle name="Normal 5 5 2 3 2 4 2" xfId="28540" xr:uid="{4ADA7BED-3595-4230-9E32-77C96B340840}"/>
    <cellStyle name="Normal 5 5 2 3 2 4 3" xfId="15478" xr:uid="{922D9B3A-8BA9-4F2D-B188-27D4F991D461}"/>
    <cellStyle name="Normal 5 5 2 3 2 5" xfId="7931" xr:uid="{4A30BBEF-0CAE-4BE1-98FA-ED028CD2610C}"/>
    <cellStyle name="Normal 5 5 2 3 2 5 2" xfId="18311" xr:uid="{AD1F875A-F420-4F90-A14F-908D448EE071}"/>
    <cellStyle name="Normal 5 5 2 3 2 6" xfId="10764" xr:uid="{F29C2DCF-40EE-4411-B19B-1BF0F5270DDF}"/>
    <cellStyle name="Normal 5 5 2 3 2 6 2" xfId="21144" xr:uid="{E0EA8BB4-920A-485C-A97A-6971A878D407}"/>
    <cellStyle name="Normal 5 5 2 3 2 7" xfId="24711" xr:uid="{68A8C8ED-B556-4A33-8A4B-3798DE25C52A}"/>
    <cellStyle name="Normal 5 5 2 3 2 8" xfId="13273" xr:uid="{F2B9F6A5-3EFA-41E5-B301-1EBCC11EA36F}"/>
    <cellStyle name="Normal 5 5 2 3 3" xfId="2807" xr:uid="{00000000-0005-0000-0000-000047070000}"/>
    <cellStyle name="Normal 5 5 2 3 4" xfId="3404" xr:uid="{00000000-0005-0000-0000-000048070000}"/>
    <cellStyle name="Normal 5 5 2 3 4 2" xfId="4560" xr:uid="{0D7D5A7B-D219-43F7-814F-1DB6674AD56C}"/>
    <cellStyle name="Normal 5 5 2 3 4 2 2" xfId="9332" xr:uid="{532AA147-2732-466A-8BDC-3D39498BB9FC}"/>
    <cellStyle name="Normal 5 5 2 3 4 2 2 2" xfId="29307" xr:uid="{F2A23D7E-53B9-4A98-9A05-7D8C70CCEDE6}"/>
    <cellStyle name="Normal 5 5 2 3 4 2 2 3" xfId="19712" xr:uid="{7214BEDC-84AD-4F43-8C13-765C856447D5}"/>
    <cellStyle name="Normal 5 5 2 3 4 2 3" xfId="12165" xr:uid="{3C137FF7-E0D9-4A21-9156-761BE2A53BA8}"/>
    <cellStyle name="Normal 5 5 2 3 4 2 3 2" xfId="22545" xr:uid="{EAD0D8A6-6B3F-42CE-9BE8-939A31D1EF32}"/>
    <cellStyle name="Normal 5 5 2 3 4 2 4" xfId="24287" xr:uid="{3CFF6EAA-EDB0-499A-9796-7F66AB3210EC}"/>
    <cellStyle name="Normal 5 5 2 3 4 2 5" xfId="16879" xr:uid="{2D32F98B-B02E-4001-9DE0-3512A9204993}"/>
    <cellStyle name="Normal 5 5 2 3 4 3" xfId="6462" xr:uid="{2FB364DC-9F63-4378-A765-FFE26852EFA1}"/>
    <cellStyle name="Normal 5 5 2 3 4 3 2" xfId="28507" xr:uid="{E46FEC19-25A8-41D1-9E9E-F837B82D817F}"/>
    <cellStyle name="Normal 5 5 2 3 4 3 3" xfId="16031" xr:uid="{6B1741DC-DD47-4366-A77A-6C91FB96F7E8}"/>
    <cellStyle name="Normal 5 5 2 3 4 4" xfId="8484" xr:uid="{26F589C5-8AA2-46F8-8D30-0C3957415999}"/>
    <cellStyle name="Normal 5 5 2 3 4 4 2" xfId="18864" xr:uid="{C2F0E494-D165-447D-9C73-A07C3E213218}"/>
    <cellStyle name="Normal 5 5 2 3 4 5" xfId="11317" xr:uid="{F1100F0A-5524-485F-97EF-198837DD2B12}"/>
    <cellStyle name="Normal 5 5 2 3 4 5 2" xfId="21697" xr:uid="{C2512AFB-C13F-4200-BFD6-460666FE85D9}"/>
    <cellStyle name="Normal 5 5 2 3 4 6" xfId="25460" xr:uid="{39A89928-82E4-42AA-AACE-414D949F0D52}"/>
    <cellStyle name="Normal 5 5 2 3 4 7" xfId="13974" xr:uid="{B931D6F4-09D9-4878-AA4E-83C74FEEC357}"/>
    <cellStyle name="Normal 5 5 2 3 5" xfId="2602" xr:uid="{00000000-0005-0000-0000-000049070000}"/>
    <cellStyle name="Normal 5 5 2 3 5 2" xfId="5867" xr:uid="{8CA84A59-3D12-4140-B704-810F7F8BB9B5}"/>
    <cellStyle name="Normal 5 5 2 3 5 2 2" xfId="27678" xr:uid="{B34AA183-AF95-4421-BD12-6CA45FD1F7EC}"/>
    <cellStyle name="Normal 5 5 2 3 5 2 3" xfId="15274" xr:uid="{8D3D921D-3627-4DBB-8190-3285C2924F5C}"/>
    <cellStyle name="Normal 5 5 2 3 5 3" xfId="7727" xr:uid="{3683B3FC-E6CD-4740-9AA9-5A4F8BE774F9}"/>
    <cellStyle name="Normal 5 5 2 3 5 3 2" xfId="18107" xr:uid="{E734DFCF-DE69-49E3-B3CB-38185BB03C8F}"/>
    <cellStyle name="Normal 5 5 2 3 5 4" xfId="10560" xr:uid="{1C724209-78D5-484E-A28F-699333AF832B}"/>
    <cellStyle name="Normal 5 5 2 3 5 4 2" xfId="20940" xr:uid="{7E771965-5606-45B5-B080-F4AC3DA3A46B}"/>
    <cellStyle name="Normal 5 5 2 3 5 5" xfId="22951" xr:uid="{05A09500-D41E-4758-B579-BAC8258145FF}"/>
    <cellStyle name="Normal 5 5 2 3 5 6" xfId="12990" xr:uid="{2B788BB1-C6D6-4797-9F95-7985B9F54858}"/>
    <cellStyle name="Normal 5 5 2 3 6" xfId="29680" xr:uid="{97CDD6DB-E3BD-4C8B-B733-D86227385425}"/>
    <cellStyle name="Normal 5 5 2 4" xfId="1196" xr:uid="{00000000-0005-0000-0000-000072060000}"/>
    <cellStyle name="Normal 5 5 2 4 10" xfId="12615" xr:uid="{AED3A222-BE3F-43A8-A2CD-B3B6A7D3D31F}"/>
    <cellStyle name="Normal 5 5 2 4 2" xfId="2423" xr:uid="{00000000-0005-0000-0000-00004B070000}"/>
    <cellStyle name="Normal 5 5 2 4 2 2" xfId="2965" xr:uid="{00000000-0005-0000-0000-00004C070000}"/>
    <cellStyle name="Normal 5 5 2 4 2 2 2" xfId="6130" xr:uid="{B3F3E835-BA36-4B91-ACB6-07FE4F08BDFA}"/>
    <cellStyle name="Normal 5 5 2 4 2 2 2 2" xfId="28455" xr:uid="{9415BD04-6CBF-4AD5-925A-00197043B54D}"/>
    <cellStyle name="Normal 5 5 2 4 2 2 2 3" xfId="15608" xr:uid="{F82E2E44-F54D-4AE3-8704-A3D143665C0F}"/>
    <cellStyle name="Normal 5 5 2 4 2 2 3" xfId="8061" xr:uid="{D09C5622-EC48-4741-84A2-E66803103994}"/>
    <cellStyle name="Normal 5 5 2 4 2 2 3 2" xfId="18441" xr:uid="{376970FA-94EC-46ED-8FD2-69263C98A43F}"/>
    <cellStyle name="Normal 5 5 2 4 2 2 4" xfId="10894" xr:uid="{3E796100-E2F8-4174-82A4-99B0D96B7952}"/>
    <cellStyle name="Normal 5 5 2 4 2 2 4 2" xfId="21274" xr:uid="{0570EA1B-E07A-4F0D-A53F-E28CC566A038}"/>
    <cellStyle name="Normal 5 5 2 4 2 2 5" xfId="24658" xr:uid="{4DB03E19-2133-4F4A-8F72-10283576C025}"/>
    <cellStyle name="Normal 5 5 2 4 2 2 6" xfId="13471" xr:uid="{67250B66-8465-45F2-98BA-878749E54BD2}"/>
    <cellStyle name="Normal 5 5 2 4 2 3" xfId="5723" xr:uid="{44EF2934-2F80-47C0-9F33-1624D1649667}"/>
    <cellStyle name="Normal 5 5 2 4 2 3 2" xfId="27462" xr:uid="{7C929BAF-0485-40A0-AAFD-610B3F638FC8}"/>
    <cellStyle name="Normal 5 5 2 4 2 3 3" xfId="27183" xr:uid="{43ACC9D2-DA91-4B56-A4FB-F4488E58E4D4}"/>
    <cellStyle name="Normal 5 5 2 4 2 3 4" xfId="15097" xr:uid="{DA1AFAD7-ED03-45FD-82C0-FA804A0F63C8}"/>
    <cellStyle name="Normal 5 5 2 4 2 4" xfId="7550" xr:uid="{C5938237-BB39-457E-B136-B74CE64AC8EE}"/>
    <cellStyle name="Normal 5 5 2 4 2 4 2" xfId="28244" xr:uid="{C3A8557A-288D-40CB-8222-F57CCE20C34D}"/>
    <cellStyle name="Normal 5 5 2 4 2 4 3" xfId="17930" xr:uid="{065ED13D-6CFC-495C-AE7E-FE30859530A2}"/>
    <cellStyle name="Normal 5 5 2 4 2 5" xfId="10383" xr:uid="{9FC2122C-CA08-4247-8CD6-E1A221A8F818}"/>
    <cellStyle name="Normal 5 5 2 4 2 5 2" xfId="20763" xr:uid="{69806764-73CF-4D07-A782-39DD33E4AE43}"/>
    <cellStyle name="Normal 5 5 2 4 2 6" xfId="23772" xr:uid="{62729883-A282-4377-BD03-E0865EC4662F}"/>
    <cellStyle name="Normal 5 5 2 4 2 7" xfId="12773" xr:uid="{2A5C010A-51B8-4FC5-BC6F-64208D94E644}"/>
    <cellStyle name="Normal 5 5 2 4 3" xfId="2809" xr:uid="{00000000-0005-0000-0000-00004D070000}"/>
    <cellStyle name="Normal 5 5 2 4 3 2" xfId="6026" xr:uid="{FBE50FBE-3A2C-4A7D-88F9-5A6E0D77A724}"/>
    <cellStyle name="Normal 5 5 2 4 3 2 2" xfId="27871" xr:uid="{32C14809-69F7-4F3A-93CD-41800AE5CD54}"/>
    <cellStyle name="Normal 5 5 2 4 3 2 3" xfId="15479" xr:uid="{4C6DCDF4-F18D-4F3F-9976-324B24CBB7F6}"/>
    <cellStyle name="Normal 5 5 2 4 3 3" xfId="7932" xr:uid="{DB16F39B-ABC6-4E92-B34F-D70FA568089F}"/>
    <cellStyle name="Normal 5 5 2 4 3 3 2" xfId="18312" xr:uid="{BE68AA58-EBE5-4C97-936D-B092D26CD059}"/>
    <cellStyle name="Normal 5 5 2 4 3 4" xfId="10765" xr:uid="{FDB41842-2E59-4D59-99C5-80FBBF7FF983}"/>
    <cellStyle name="Normal 5 5 2 4 3 4 2" xfId="21145" xr:uid="{D18DB3D3-5D22-405E-93D5-0F4D155FF206}"/>
    <cellStyle name="Normal 5 5 2 4 3 5" xfId="25479" xr:uid="{83EE6245-E592-4831-9006-F21D196F58CC}"/>
    <cellStyle name="Normal 5 5 2 4 3 6" xfId="13274" xr:uid="{E5A40150-443A-4202-A762-0D460E5016B9}"/>
    <cellStyle name="Normal 5 5 2 4 4" xfId="2381" xr:uid="{00000000-0005-0000-0000-00004A070000}"/>
    <cellStyle name="Normal 5 5 2 4 4 2" xfId="7508" xr:uid="{FFDDCE91-1D08-43C2-934F-A882706053FB}"/>
    <cellStyle name="Normal 5 5 2 4 4 2 2" xfId="28635" xr:uid="{24930D2C-219D-4311-B392-9B6E8F098307}"/>
    <cellStyle name="Normal 5 5 2 4 4 2 3" xfId="17888" xr:uid="{8622FF66-B01B-4F1A-8F89-95BC46CC0386}"/>
    <cellStyle name="Normal 5 5 2 4 4 3" xfId="10341" xr:uid="{E90C3D35-6568-44B0-9985-3528F324CF10}"/>
    <cellStyle name="Normal 5 5 2 4 4 3 2" xfId="20721" xr:uid="{6F5A0F75-87B6-4F68-9D74-C2F4475F3C38}"/>
    <cellStyle name="Normal 5 5 2 4 4 4" xfId="23955" xr:uid="{B2D872B9-4242-48A8-8273-1F20FEDEB6E7}"/>
    <cellStyle name="Normal 5 5 2 4 4 5" xfId="15055" xr:uid="{138935BD-B8EE-4D60-B335-9F500E2C10C4}"/>
    <cellStyle name="Normal 5 5 2 4 5" xfId="4024" xr:uid="{671DDBE0-1E03-455F-BE11-51E48C0C8972}"/>
    <cellStyle name="Normal 5 5 2 4 5 2" xfId="8826" xr:uid="{B81C1E26-8004-4416-B432-D718C45A0979}"/>
    <cellStyle name="Normal 5 5 2 4 5 2 2" xfId="19206" xr:uid="{C70BC956-E42F-454D-B624-C6FCD21A8531}"/>
    <cellStyle name="Normal 5 5 2 4 5 3" xfId="11659" xr:uid="{2624B5EC-A761-408F-9526-438B9BA344BD}"/>
    <cellStyle name="Normal 5 5 2 4 5 3 2" xfId="22039" xr:uid="{BF0A99E9-F76A-41FC-8250-C321BA06386B}"/>
    <cellStyle name="Normal 5 5 2 4 5 4" xfId="25972" xr:uid="{7544DCCB-3EAA-45FC-BCB7-130CCA7CAECC}"/>
    <cellStyle name="Normal 5 5 2 4 5 5" xfId="16373" xr:uid="{8A667B9E-E4F8-443E-9D44-380166ACEB80}"/>
    <cellStyle name="Normal 5 5 2 4 6" xfId="5353" xr:uid="{A82351A2-39FF-417B-B3B0-9483C0F67AB8}"/>
    <cellStyle name="Normal 5 5 2 4 6 2" xfId="14652" xr:uid="{95FF415D-37D2-45D4-BF99-3FC362DD4F5C}"/>
    <cellStyle name="Normal 5 5 2 4 7" xfId="7105" xr:uid="{244CAE16-D26C-4590-AB54-46B9FAFCFA5B}"/>
    <cellStyle name="Normal 5 5 2 4 7 2" xfId="17485" xr:uid="{82989ACA-8AA6-404C-AD12-B4FA8B9BEFFF}"/>
    <cellStyle name="Normal 5 5 2 4 8" xfId="9938" xr:uid="{6EB0AB2B-3B8C-4C8A-B176-4EECBEBDD1DB}"/>
    <cellStyle name="Normal 5 5 2 4 8 2" xfId="20318" xr:uid="{FF0B0700-2C81-48D2-B3E7-97DDEB03F8F1}"/>
    <cellStyle name="Normal 5 5 2 4 9" xfId="22960" xr:uid="{C2B43556-5293-486B-81DB-B96B19651364}"/>
    <cellStyle name="Normal 5 5 2 5" xfId="1197" xr:uid="{00000000-0005-0000-0000-000073060000}"/>
    <cellStyle name="Normal 5 5 2 5 2" xfId="1198" xr:uid="{00000000-0005-0000-0000-000074060000}"/>
    <cellStyle name="Normal 5 5 2 5 2 2" xfId="7106" xr:uid="{97E7EDD7-21E0-4126-95E3-3D5BD3FF3425}"/>
    <cellStyle name="Normal 5 5 2 5 2 2 2" xfId="28450" xr:uid="{9C440D20-8335-4D3E-88FB-87C4C2F61B76}"/>
    <cellStyle name="Normal 5 5 2 5 2 2 3" xfId="28664" xr:uid="{5E38FB1F-1E9F-4190-8FC2-B039CB915A94}"/>
    <cellStyle name="Normal 5 5 2 5 2 2 4" xfId="17486" xr:uid="{937FDCC8-F30E-4761-A048-6556407477F4}"/>
    <cellStyle name="Normal 5 5 2 5 2 3" xfId="9939" xr:uid="{9CA1C17F-3392-45DB-B2DA-0490BDC17265}"/>
    <cellStyle name="Normal 5 5 2 5 2 3 2" xfId="29434" xr:uid="{E3E74FB9-EC5A-437C-8C55-0A8160E9C3AE}"/>
    <cellStyle name="Normal 5 5 2 5 2 3 3" xfId="20319" xr:uid="{B4EABE79-2C23-4200-92C3-772C5DD0F6FE}"/>
    <cellStyle name="Normal 5 5 2 5 2 4" xfId="23355" xr:uid="{EDD01117-1EC6-4A4C-8E8E-423BA0D6A18F}"/>
    <cellStyle name="Normal 5 5 2 5 2 5" xfId="14653" xr:uid="{4D88578B-E63F-48DA-ABF5-4353C5517A4B}"/>
    <cellStyle name="Normal 5 5 2 5 3" xfId="25918" xr:uid="{03506BAC-CF3B-4C18-AC04-9342DA125D85}"/>
    <cellStyle name="Normal 5 5 2 5 4" xfId="26441" xr:uid="{4E93CD67-1F3F-481C-A7B7-34C0833E5964}"/>
    <cellStyle name="Normal 5 5 2 6" xfId="1199" xr:uid="{00000000-0005-0000-0000-000075060000}"/>
    <cellStyle name="Normal 5 5 2 6 2" xfId="4561" xr:uid="{8276A7AA-FCB1-47CA-A2FC-9B2BCF877972}"/>
    <cellStyle name="Normal 5 5 2 6 2 2" xfId="9333" xr:uid="{26B080D8-BD5E-4EB4-B4AD-CA46C053269B}"/>
    <cellStyle name="Normal 5 5 2 6 2 2 2" xfId="29308" xr:uid="{89DA6ECB-CA1B-4528-A6EE-61F83A43E277}"/>
    <cellStyle name="Normal 5 5 2 6 2 2 3" xfId="19713" xr:uid="{E48EA0F4-AEE7-47B7-B745-03148457C410}"/>
    <cellStyle name="Normal 5 5 2 6 2 3" xfId="12166" xr:uid="{B02950FD-D99E-4032-8B6D-C1E52231EBBE}"/>
    <cellStyle name="Normal 5 5 2 6 2 3 2" xfId="22546" xr:uid="{D95FF548-C712-4EDA-87D3-4349A22F88AE}"/>
    <cellStyle name="Normal 5 5 2 6 2 4" xfId="25715" xr:uid="{84929477-A5FB-4928-8C8D-294C583229ED}"/>
    <cellStyle name="Normal 5 5 2 6 2 5" xfId="16880" xr:uid="{C6F78005-0801-42E2-8376-0D908C22C004}"/>
    <cellStyle name="Normal 5 5 2 6 3" xfId="5354" xr:uid="{48A05F60-D4F2-4B83-B613-2CBC6165E5E1}"/>
    <cellStyle name="Normal 5 5 2 6 3 2" xfId="24892" xr:uid="{0D175454-90D3-4CCA-9686-E97CDB9F5A71}"/>
    <cellStyle name="Normal 5 5 2 6 3 3" xfId="26260" xr:uid="{4269AF45-0528-4BA6-927E-86318ACA96EF}"/>
    <cellStyle name="Normal 5 5 2 6 3 4" xfId="14654" xr:uid="{156AF628-997C-400E-9E3F-57A7B7BF5540}"/>
    <cellStyle name="Normal 5 5 2 6 4" xfId="7107" xr:uid="{0E8AAE1D-A365-43C3-B203-FC032C2FE87E}"/>
    <cellStyle name="Normal 5 5 2 6 4 2" xfId="23400" xr:uid="{E108A015-D190-4F73-A0FD-23706EB998F0}"/>
    <cellStyle name="Normal 5 5 2 6 4 3" xfId="26896" xr:uid="{8EC1E2B5-2905-4409-94C2-CBDDCF0CA440}"/>
    <cellStyle name="Normal 5 5 2 6 4 4" xfId="17487" xr:uid="{3CE4B350-E43D-4D98-B40C-ECB2F93E90D8}"/>
    <cellStyle name="Normal 5 5 2 6 5" xfId="9940" xr:uid="{F113A67F-F1DD-404B-B548-F58CC9F81B59}"/>
    <cellStyle name="Normal 5 5 2 6 5 2" xfId="29435" xr:uid="{2FBE9848-5F1D-494C-84D3-0A9E19001BDA}"/>
    <cellStyle name="Normal 5 5 2 6 5 3" xfId="20320" xr:uid="{1CA482B6-D8C4-4700-A7A8-C4E1FC788323}"/>
    <cellStyle name="Normal 5 5 2 6 6" xfId="24376" xr:uid="{807D5AF4-B7E8-4DCD-8E55-EFD02053F92B}"/>
    <cellStyle name="Normal 5 5 2 6 7" xfId="13975" xr:uid="{F0460784-2F26-41EE-A4DE-BBD8C6CFE42B}"/>
    <cellStyle name="Normal 5 5 2 7" xfId="1200" xr:uid="{00000000-0005-0000-0000-000076060000}"/>
    <cellStyle name="Normal 5 5 2 7 2" xfId="2499" xr:uid="{00000000-0005-0000-0000-000050070000}"/>
    <cellStyle name="Normal 5 5 2 7 2 2" xfId="7624" xr:uid="{F6DD768C-D942-44DD-8091-01DABA0D6258}"/>
    <cellStyle name="Normal 5 5 2 7 2 2 2" xfId="18004" xr:uid="{90D7B603-8C02-4E3A-BF09-F12C3E8CF518}"/>
    <cellStyle name="Normal 5 5 2 7 2 3" xfId="10457" xr:uid="{5235CB24-28B3-40B9-ABD0-15133B835454}"/>
    <cellStyle name="Normal 5 5 2 7 2 3 2" xfId="20837" xr:uid="{5E4DF5BD-93A5-4C49-8A6F-7A526D59B968}"/>
    <cellStyle name="Normal 5 5 2 7 2 4" xfId="26901" xr:uid="{DD12FBF8-136E-4165-B3E5-887D9666185B}"/>
    <cellStyle name="Normal 5 5 2 7 2 5" xfId="15171" xr:uid="{DA4640D9-0BBA-4F23-83D5-D34CF3C3C93A}"/>
    <cellStyle name="Normal 5 5 2 7 3" xfId="2045" xr:uid="{00000000-0005-0000-0000-000076060000}"/>
    <cellStyle name="Normal 5 5 2 7 4" xfId="5355" xr:uid="{F5340E53-A44D-4D2F-8268-301B091803A6}"/>
    <cellStyle name="Normal 5 5 2 7 4 2" xfId="29746" xr:uid="{292C7506-2051-4783-9A25-16674A0F4704}"/>
    <cellStyle name="Normal 5 5 2 7 5" xfId="23655" xr:uid="{93B7D103-7087-4DB4-9D26-26B54F67F15C}"/>
    <cellStyle name="Normal 5 5 2 7 6" xfId="12887" xr:uid="{8BDE6A8E-2D51-4457-B797-A8744BEBBFE7}"/>
    <cellStyle name="Normal 5 5 2 8" xfId="2193" xr:uid="{00000000-0005-0000-0000-000036070000}"/>
    <cellStyle name="Normal 5 5 2 8 2" xfId="7320" xr:uid="{0B26B70C-4DCF-4138-82A2-9510C55056CD}"/>
    <cellStyle name="Normal 5 5 2 8 2 2" xfId="27815" xr:uid="{E268D4D9-8759-4BBE-813E-EC462AB9B798}"/>
    <cellStyle name="Normal 5 5 2 8 2 3" xfId="17700" xr:uid="{E00D0AF2-A52D-4FA2-B48A-62B32F6E3F31}"/>
    <cellStyle name="Normal 5 5 2 8 3" xfId="10153" xr:uid="{A8CF45FA-E702-4ABE-96E7-CB68EABB0CE0}"/>
    <cellStyle name="Normal 5 5 2 8 3 2" xfId="20533" xr:uid="{7CF810AE-1252-45AF-9684-D485DE33027F}"/>
    <cellStyle name="Normal 5 5 2 8 4" xfId="22659" xr:uid="{DE67F111-557B-4B89-AD5E-298F50D38034}"/>
    <cellStyle name="Normal 5 5 2 8 5" xfId="14867" xr:uid="{127FABBD-2796-4667-BEAC-DB9CE5AFA8A4}"/>
    <cellStyle name="Normal 5 5 2 9" xfId="23846" xr:uid="{40AEA223-EE62-4E81-96A5-CE8A1908C6D7}"/>
    <cellStyle name="Normal 5 5 2 9 2" xfId="27746" xr:uid="{33B68088-4913-4D7D-813C-D3BC979A5584}"/>
    <cellStyle name="Normal 5 5 20" xfId="12402" xr:uid="{920A1E59-9943-4B33-9F4E-A937B5EE0288}"/>
    <cellStyle name="Normal 5 5 21" xfId="29835" xr:uid="{B3E1E0EF-7306-41CF-9823-2647A17B861C}"/>
    <cellStyle name="Normal 5 5 21 2" xfId="31503" xr:uid="{4413B3F3-F116-425E-B3FC-2126AAE6FA06}"/>
    <cellStyle name="Normal 5 5 22" xfId="29980" xr:uid="{D67E6B79-0BB9-41EF-9496-F362FC77F6A8}"/>
    <cellStyle name="Normal 5 5 23" xfId="30143" xr:uid="{E141DD7A-B371-4E36-AC36-3D3BBD6F49D4}"/>
    <cellStyle name="Normal 5 5 3" xfId="1201" xr:uid="{00000000-0005-0000-0000-000077060000}"/>
    <cellStyle name="Normal 5 5 3 10" xfId="5356" xr:uid="{456F42B0-FDC7-4AC1-BF57-5FBB34825683}"/>
    <cellStyle name="Normal 5 5 3 10 2" xfId="14655" xr:uid="{441A91CA-3B39-4BA2-AA58-911CFE58C0A5}"/>
    <cellStyle name="Normal 5 5 3 11" xfId="7108" xr:uid="{EF7E2884-25DF-4A8A-A804-658FBB21938B}"/>
    <cellStyle name="Normal 5 5 3 11 2" xfId="17488" xr:uid="{F824BE7B-647E-4157-8A69-ED1C21686BC8}"/>
    <cellStyle name="Normal 5 5 3 12" xfId="9941" xr:uid="{B34500C8-B836-41E2-AD32-424C131619F8}"/>
    <cellStyle name="Normal 5 5 3 12 2" xfId="20321" xr:uid="{733F732C-4E98-48F5-B6C2-9689D3022AB3}"/>
    <cellStyle name="Normal 5 5 3 13" xfId="22726" xr:uid="{89692063-D300-45F6-B4DC-8E88388DEB01}"/>
    <cellStyle name="Normal 5 5 3 14" xfId="12462" xr:uid="{562B8F56-0E4A-4E6C-8539-89AD4E39A53D}"/>
    <cellStyle name="Normal 5 5 3 2" xfId="1202" xr:uid="{00000000-0005-0000-0000-000078060000}"/>
    <cellStyle name="Normal 5 5 3 2 10" xfId="9942" xr:uid="{DE90DB23-472F-4DC9-A5D2-E5919C07C289}"/>
    <cellStyle name="Normal 5 5 3 2 10 2" xfId="20322" xr:uid="{C4791485-6491-4A49-966F-A1C9A5D60886}"/>
    <cellStyle name="Normal 5 5 3 2 11" xfId="25058" xr:uid="{9A9F5825-F7A1-40C8-884A-0810AB39EC49}"/>
    <cellStyle name="Normal 5 5 3 2 12" xfId="12616" xr:uid="{7B3EAB81-9AA6-45ED-BF74-895E9A45F7DD}"/>
    <cellStyle name="Normal 5 5 3 2 2" xfId="1203" xr:uid="{00000000-0005-0000-0000-000079060000}"/>
    <cellStyle name="Normal 5 5 3 2 2 2" xfId="3406" xr:uid="{00000000-0005-0000-0000-000054070000}"/>
    <cellStyle name="Normal 5 5 3 2 2 2 2" xfId="6464" xr:uid="{E7480105-5EAA-4C05-A2ED-3E56FF7B07CA}"/>
    <cellStyle name="Normal 5 5 3 2 2 2 2 2" xfId="23389" xr:uid="{6579C5EA-03C2-4905-B2BA-7833C0650A2B}"/>
    <cellStyle name="Normal 5 5 3 2 2 2 2 3" xfId="26320" xr:uid="{37963100-8C4D-410D-B498-49A715F12F1D}"/>
    <cellStyle name="Normal 5 5 3 2 2 2 2 4" xfId="16033" xr:uid="{FC7CE297-E9C4-4E8A-B384-05A6F590E174}"/>
    <cellStyle name="Normal 5 5 3 2 2 2 3" xfId="8486" xr:uid="{9AF4C769-BD12-40D0-B2E5-0DC6FE7BE2AF}"/>
    <cellStyle name="Normal 5 5 3 2 2 2 3 2" xfId="28927" xr:uid="{ACC4B4DE-6F13-48E4-A7C2-ECE1897621B6}"/>
    <cellStyle name="Normal 5 5 3 2 2 2 3 3" xfId="18866" xr:uid="{84DAEF44-DD59-4291-8A39-7AFA1E1F2D1F}"/>
    <cellStyle name="Normal 5 5 3 2 2 2 4" xfId="11319" xr:uid="{567F539D-50B3-4A0A-B7FC-FF3B4D65DA84}"/>
    <cellStyle name="Normal 5 5 3 2 2 2 4 2" xfId="21699" xr:uid="{0EEA066B-8DEF-4345-9D16-51A79A369543}"/>
    <cellStyle name="Normal 5 5 3 2 2 2 5" xfId="24617" xr:uid="{1CE574AF-A5D1-4C5D-BB44-1EC9C5DC51BF}"/>
    <cellStyle name="Normal 5 5 3 2 2 2 6" xfId="13977" xr:uid="{3FFD0F32-1A53-44CA-AC5C-BAB75559B350}"/>
    <cellStyle name="Normal 5 5 3 2 2 3" xfId="4358" xr:uid="{FB5DED6F-4E9F-4956-9132-D1667660322F}"/>
    <cellStyle name="Normal 5 5 3 2 2 3 2" xfId="9130" xr:uid="{0336DB82-CC40-493F-BC7E-EE05B074DF04}"/>
    <cellStyle name="Normal 5 5 3 2 2 3 2 2" xfId="29173" xr:uid="{E0FFC622-6B59-4190-9CE5-A67BE75EC397}"/>
    <cellStyle name="Normal 5 5 3 2 2 3 2 3" xfId="19510" xr:uid="{1C958440-B193-46F0-A017-757FDC6D7615}"/>
    <cellStyle name="Normal 5 5 3 2 2 3 3" xfId="11963" xr:uid="{977EA646-38CD-4B57-97EF-3A5979880242}"/>
    <cellStyle name="Normal 5 5 3 2 2 3 3 2" xfId="22343" xr:uid="{25360484-7FFB-4510-BF26-7D34387ACCB5}"/>
    <cellStyle name="Normal 5 5 3 2 2 3 4" xfId="24250" xr:uid="{3C11B2F3-CF59-4548-92C9-65A7D46AECD7}"/>
    <cellStyle name="Normal 5 5 3 2 2 3 5" xfId="16677" xr:uid="{AAEE34BC-3EED-400E-9F06-1A306FDEEFE9}"/>
    <cellStyle name="Normal 5 5 3 2 2 4" xfId="5358" xr:uid="{E10F6EAE-CF96-47EC-B8B5-09B95CEA86F6}"/>
    <cellStyle name="Normal 5 5 3 2 2 4 2" xfId="26892" xr:uid="{FE0D6A30-EF25-4AEA-A92B-62AD33F5EAF6}"/>
    <cellStyle name="Normal 5 5 3 2 2 4 3" xfId="14657" xr:uid="{4E45BEFB-570F-4186-A416-D136D8E352AF}"/>
    <cellStyle name="Normal 5 5 3 2 2 5" xfId="7110" xr:uid="{C94BB74C-3A91-4292-AA77-C57413BB2FFE}"/>
    <cellStyle name="Normal 5 5 3 2 2 5 2" xfId="17490" xr:uid="{474CB33B-EC55-474B-9E3B-BFA82AE27779}"/>
    <cellStyle name="Normal 5 5 3 2 2 6" xfId="9943" xr:uid="{CFB9ED34-5A32-41DC-808D-9A6C8D0576CF}"/>
    <cellStyle name="Normal 5 5 3 2 2 6 2" xfId="20323" xr:uid="{7AFC8DCF-448E-4800-A6DD-E5A62B69C8AE}"/>
    <cellStyle name="Normal 5 5 3 2 2 7" xfId="24647" xr:uid="{2D341095-51DB-4549-888B-C2BF367FF458}"/>
    <cellStyle name="Normal 5 5 3 2 2 8" xfId="13276" xr:uid="{7C41A364-1F94-4A9A-8BC8-166C83688172}"/>
    <cellStyle name="Normal 5 5 3 2 3" xfId="3407" xr:uid="{00000000-0005-0000-0000-000055070000}"/>
    <cellStyle name="Normal 5 5 3 2 3 2" xfId="4562" xr:uid="{96C5086D-015E-4FAE-9905-A72298283C56}"/>
    <cellStyle name="Normal 5 5 3 2 3 2 2" xfId="9334" xr:uid="{67E26A36-11AE-4A29-8511-D1CF7B1017E6}"/>
    <cellStyle name="Normal 5 5 3 2 3 2 2 2" xfId="29309" xr:uid="{2301B72B-D34C-4C94-9787-19E5D499C880}"/>
    <cellStyle name="Normal 5 5 3 2 3 2 2 3" xfId="19714" xr:uid="{2513DD0D-2A90-4E3B-9FE3-97B1F64D3174}"/>
    <cellStyle name="Normal 5 5 3 2 3 2 3" xfId="12167" xr:uid="{C7F55786-F651-4090-BA9C-72238A0A79C0}"/>
    <cellStyle name="Normal 5 5 3 2 3 2 3 2" xfId="22547" xr:uid="{FA770A09-E417-4A45-86FE-82BDF0AA233D}"/>
    <cellStyle name="Normal 5 5 3 2 3 2 4" xfId="24811" xr:uid="{36D9B331-E89F-46A9-99B5-FF97382973F6}"/>
    <cellStyle name="Normal 5 5 3 2 3 2 5" xfId="16881" xr:uid="{66C7D573-8EE2-4B17-845F-1DABAE8BC7DD}"/>
    <cellStyle name="Normal 5 5 3 2 3 3" xfId="6465" xr:uid="{1FD35532-369E-4AB3-840A-ACBF909A72A5}"/>
    <cellStyle name="Normal 5 5 3 2 3 3 2" xfId="28194" xr:uid="{D30C6959-5345-430D-A752-898148BB14ED}"/>
    <cellStyle name="Normal 5 5 3 2 3 3 3" xfId="16034" xr:uid="{93C0DC4A-6DAE-4861-813F-86425C4D2025}"/>
    <cellStyle name="Normal 5 5 3 2 3 4" xfId="8487" xr:uid="{A5530E9A-0D96-4F24-9A3F-88C8525EC9AF}"/>
    <cellStyle name="Normal 5 5 3 2 3 4 2" xfId="18867" xr:uid="{279A18D5-39D6-414C-B5B5-55E7F5E3688E}"/>
    <cellStyle name="Normal 5 5 3 2 3 5" xfId="11320" xr:uid="{D37DD499-B0E1-442A-AD0D-311E6BF658C2}"/>
    <cellStyle name="Normal 5 5 3 2 3 5 2" xfId="21700" xr:uid="{6B4B354C-1C40-44F3-981F-BC84D7E29FDD}"/>
    <cellStyle name="Normal 5 5 3 2 3 6" xfId="24837" xr:uid="{B0830052-57BF-4E18-AD30-41EFB42E6411}"/>
    <cellStyle name="Normal 5 5 3 2 3 7" xfId="13978" xr:uid="{0FA613A5-4C8A-4372-A92D-3ADFD3F5309B}"/>
    <cellStyle name="Normal 5 5 3 2 4" xfId="3405" xr:uid="{00000000-0005-0000-0000-000056070000}"/>
    <cellStyle name="Normal 5 5 3 2 4 2" xfId="6463" xr:uid="{6AD0319A-2B02-4F43-A7CA-CF1F5D66F6C6}"/>
    <cellStyle name="Normal 5 5 3 2 4 2 2" xfId="26312" xr:uid="{64FC0928-0880-4F12-910D-F8409AED13C7}"/>
    <cellStyle name="Normal 5 5 3 2 4 2 3" xfId="16032" xr:uid="{B7FFE440-985B-4DDE-BE9D-5B472ED89F58}"/>
    <cellStyle name="Normal 5 5 3 2 4 3" xfId="8485" xr:uid="{A69A791C-AB5B-4926-A7BE-B01584419CC5}"/>
    <cellStyle name="Normal 5 5 3 2 4 3 2" xfId="18865" xr:uid="{5CAB69D4-3924-43E2-AAD0-4D6D537F719E}"/>
    <cellStyle name="Normal 5 5 3 2 4 4" xfId="11318" xr:uid="{A5E9B1CF-1A40-498B-86E6-A7DECA86D90F}"/>
    <cellStyle name="Normal 5 5 3 2 4 4 2" xfId="21698" xr:uid="{DA84A1A8-FF62-425D-8C74-9ED688C7B60E}"/>
    <cellStyle name="Normal 5 5 3 2 4 5" xfId="22943" xr:uid="{7551C835-94D9-4F61-A96C-043AFA60FC17}"/>
    <cellStyle name="Normal 5 5 3 2 4 6" xfId="13976" xr:uid="{03F6B80B-08D9-42D3-9DAB-61F864FAB0AE}"/>
    <cellStyle name="Normal 5 5 3 2 5" xfId="2536" xr:uid="{00000000-0005-0000-0000-000057070000}"/>
    <cellStyle name="Normal 5 5 3 2 5 2" xfId="5810" xr:uid="{500B84B4-4BD6-40EC-B25F-D91D2E1043D4}"/>
    <cellStyle name="Normal 5 5 3 2 5 2 2" xfId="26671" xr:uid="{E6D078C9-632B-43F1-A3AC-B26C6B25179A}"/>
    <cellStyle name="Normal 5 5 3 2 5 2 3" xfId="15208" xr:uid="{41FF0603-86C9-4377-B7A6-C58C594710EF}"/>
    <cellStyle name="Normal 5 5 3 2 5 3" xfId="7661" xr:uid="{80C12635-07E8-47F0-B942-36FDC8730632}"/>
    <cellStyle name="Normal 5 5 3 2 5 3 2" xfId="18041" xr:uid="{2C2326AA-B804-4D76-8EE4-123E77EB0105}"/>
    <cellStyle name="Normal 5 5 3 2 5 4" xfId="10494" xr:uid="{4FF09B1C-BF97-42E2-83B5-164182CBFD53}"/>
    <cellStyle name="Normal 5 5 3 2 5 4 2" xfId="20874" xr:uid="{EA39CCBD-998A-439C-AE02-AA411518653E}"/>
    <cellStyle name="Normal 5 5 3 2 5 5" xfId="25350" xr:uid="{59804BE7-6A98-4DB5-B089-960749C03A29}"/>
    <cellStyle name="Normal 5 5 3 2 5 6" xfId="12924" xr:uid="{868AAC3C-8BDE-441D-89CD-5C0006590111}"/>
    <cellStyle name="Normal 5 5 3 2 6" xfId="2382" xr:uid="{00000000-0005-0000-0000-000052070000}"/>
    <cellStyle name="Normal 5 5 3 2 6 2" xfId="7509" xr:uid="{3B6FD838-14E4-47AD-997E-3E4DFF3F2F0B}"/>
    <cellStyle name="Normal 5 5 3 2 6 2 2" xfId="17889" xr:uid="{FF39B6F9-D48C-47CA-9CE1-CD39F3ADAACE}"/>
    <cellStyle name="Normal 5 5 3 2 6 3" xfId="10342" xr:uid="{888701D3-A9B4-48AA-A63C-F78B98915BC4}"/>
    <cellStyle name="Normal 5 5 3 2 6 3 2" xfId="20722" xr:uid="{61EF9B68-5ECC-450A-8272-4F37A8E36E5B}"/>
    <cellStyle name="Normal 5 5 3 2 6 4" xfId="24281" xr:uid="{C27F0CDF-44CB-474F-A9F5-0AC3000892C5}"/>
    <cellStyle name="Normal 5 5 3 2 6 5" xfId="15056" xr:uid="{392F7F30-BB58-4266-A5F3-C322E9BBC5D2}"/>
    <cellStyle name="Normal 5 5 3 2 7" xfId="4026" xr:uid="{63312030-2A9C-4663-932E-5577FE4A2569}"/>
    <cellStyle name="Normal 5 5 3 2 7 2" xfId="8828" xr:uid="{0FF64E3B-7133-4B9C-B3AF-E9854E5E05A5}"/>
    <cellStyle name="Normal 5 5 3 2 7 2 2" xfId="19208" xr:uid="{2CD57BE4-4EAA-4E3F-8BA7-646E49DAF5E0}"/>
    <cellStyle name="Normal 5 5 3 2 7 3" xfId="11661" xr:uid="{0DC6D395-C61F-4D15-8A33-FA21F2E580ED}"/>
    <cellStyle name="Normal 5 5 3 2 7 3 2" xfId="22041" xr:uid="{681AE0DD-A4E1-4F91-A10A-910FADDFFA77}"/>
    <cellStyle name="Normal 5 5 3 2 7 4" xfId="16375" xr:uid="{F4204DCC-0442-4B9C-882A-849C449A92F8}"/>
    <cellStyle name="Normal 5 5 3 2 8" xfId="5357" xr:uid="{04CE837C-8658-4066-93F6-8BAC67C35461}"/>
    <cellStyle name="Normal 5 5 3 2 8 2" xfId="14656" xr:uid="{877BA591-1D54-445F-B6E7-C9D19D52FCAB}"/>
    <cellStyle name="Normal 5 5 3 2 9" xfId="7109" xr:uid="{3970AA2A-4BDF-44C1-951A-08748FE8E826}"/>
    <cellStyle name="Normal 5 5 3 2 9 2" xfId="17489" xr:uid="{FC64B509-F614-45BC-9717-832CCDFFAD55}"/>
    <cellStyle name="Normal 5 5 3 3" xfId="1204" xr:uid="{00000000-0005-0000-0000-00007A060000}"/>
    <cellStyle name="Normal 5 5 3 3 2" xfId="1205" xr:uid="{00000000-0005-0000-0000-00007B060000}"/>
    <cellStyle name="Normal 5 5 3 3 2 2" xfId="1206" xr:uid="{00000000-0005-0000-0000-00007C060000}"/>
    <cellStyle name="Normal 5 5 3 3 2 2 2" xfId="3410" xr:uid="{00000000-0005-0000-0000-00005A070000}"/>
    <cellStyle name="Normal 5 5 3 3 2 2 2 2" xfId="8489" xr:uid="{3F5165A9-AE88-4D28-AF3C-AED347BCFFE9}"/>
    <cellStyle name="Normal 5 5 3 3 2 2 2 2 2" xfId="28929" xr:uid="{6751F41C-4C44-4B0C-8678-7FF823FECD9C}"/>
    <cellStyle name="Normal 5 5 3 3 2 2 2 2 3" xfId="18869" xr:uid="{0C46DD60-AE4E-4BF0-AD41-59BAB98E9C0B}"/>
    <cellStyle name="Normal 5 5 3 3 2 2 2 3" xfId="11322" xr:uid="{BA7B3DAF-AF81-4F6F-9E4C-BDEDD61C0C31}"/>
    <cellStyle name="Normal 5 5 3 3 2 2 2 3 2" xfId="21702" xr:uid="{512EC35C-8D3B-4E53-995B-0B2E4FCBBB3A}"/>
    <cellStyle name="Normal 5 5 3 3 2 2 2 4" xfId="25100" xr:uid="{B2F1F5AD-ED06-46F0-8FF2-329BAD71BA85}"/>
    <cellStyle name="Normal 5 5 3 3 2 2 2 5" xfId="16036" xr:uid="{C290D445-434F-4158-A64A-B616690A1D18}"/>
    <cellStyle name="Normal 5 5 3 3 2 2 3" xfId="3654" xr:uid="{00000000-0005-0000-0000-00007C060000}"/>
    <cellStyle name="Normal 5 5 3 3 2 2 3 2" xfId="27560" xr:uid="{D7A76E9D-6CD1-4529-BB3E-38008977B488}"/>
    <cellStyle name="Normal 5 5 3 3 2 2 3 3" xfId="27324" xr:uid="{1B2B0B57-551B-4195-B3B1-1771B2582615}"/>
    <cellStyle name="Normal 5 5 3 3 2 2 4" xfId="5359" xr:uid="{0E1F81C9-C0B4-4BD4-BB16-0591CD67C286}"/>
    <cellStyle name="Normal 5 5 3 3 2 2 4 2" xfId="29785" xr:uid="{89E00D79-3211-4205-9817-0EE04526993D}"/>
    <cellStyle name="Normal 5 5 3 3 2 2 5" xfId="24695" xr:uid="{E22B5C30-2C6B-4970-B1C3-452F3FFF52A1}"/>
    <cellStyle name="Normal 5 5 3 3 2 2 6" xfId="13980" xr:uid="{C3649F74-66E1-4FD0-90AD-33DFA58BD1ED}"/>
    <cellStyle name="Normal 5 5 3 3 2 3" xfId="3409" xr:uid="{00000000-0005-0000-0000-00005B070000}"/>
    <cellStyle name="Normal 5 5 3 3 2 3 2" xfId="30087" xr:uid="{8D83AA04-EFB8-4DBE-9F2D-CA04908BDD15}"/>
    <cellStyle name="Normal 5 5 3 3 2 4" xfId="2811" xr:uid="{00000000-0005-0000-0000-000059070000}"/>
    <cellStyle name="Normal 5 5 3 3 2 4 2" xfId="7934" xr:uid="{A73E06E4-52C6-41C2-A9DE-1360A8EF2073}"/>
    <cellStyle name="Normal 5 5 3 3 2 4 2 2" xfId="25983" xr:uid="{9746B4BB-23E3-4AB4-8C1E-54E016B185AE}"/>
    <cellStyle name="Normal 5 5 3 3 2 4 2 3" xfId="18314" xr:uid="{F60611D6-D7F6-4476-BF99-83546C07164C}"/>
    <cellStyle name="Normal 5 5 3 3 2 4 3" xfId="10767" xr:uid="{5ECCC314-0298-4800-89E5-E4554EF43160}"/>
    <cellStyle name="Normal 5 5 3 3 2 4 3 2" xfId="21147" xr:uid="{F634E57E-2ACB-4738-9EA3-6F08060C9F6A}"/>
    <cellStyle name="Normal 5 5 3 3 2 4 4" xfId="23715" xr:uid="{422C99EC-FA0C-4883-8C15-FBAB8AB12BDA}"/>
    <cellStyle name="Normal 5 5 3 3 2 4 5" xfId="15481" xr:uid="{EDDED4B6-C1B4-4E35-A1C8-B2F304C8BD40}"/>
    <cellStyle name="Normal 5 5 3 3 2 5" xfId="3745" xr:uid="{00000000-0005-0000-0000-0000E2050000}"/>
    <cellStyle name="Normal 5 5 3 3 2 5 2" xfId="3789" xr:uid="{52779A0D-A5E8-4205-873C-EAFFBE836AE9}"/>
    <cellStyle name="Normal 5 5 3 3 2 5 2 2" xfId="29832" xr:uid="{269F8BD8-3951-442C-8C12-5034B99EF9C4}"/>
    <cellStyle name="Normal 5 5 3 3 2 5 3" xfId="22724" xr:uid="{5EC33E70-0B4D-40F0-A6E8-EF4A4475260D}"/>
    <cellStyle name="Normal 5 5 3 3 2 5 3 2" xfId="30093" xr:uid="{B5B6AB49-98AB-441B-87F7-DD685D6798A1}"/>
    <cellStyle name="Normal 5 5 3 3 2 5 4" xfId="23447" xr:uid="{8571319B-7759-4A87-B13E-0C7FEACCE3F9}"/>
    <cellStyle name="Normal 5 5 3 3 2 5 5" xfId="30270" xr:uid="{B88538FC-C621-4360-9D4C-DD3260457648}"/>
    <cellStyle name="Normal 5 5 3 3 2 5 5 2" xfId="31413" xr:uid="{7481AEF4-D030-4595-AF6D-9244C28EA76D}"/>
    <cellStyle name="Normal 5 5 3 3 2 5 6" xfId="31610" xr:uid="{2D73DF79-C0A1-492B-ABB8-D5521DD43C2A}"/>
    <cellStyle name="Normal 5 5 3 3 2 6" xfId="23174" xr:uid="{585B73B8-12BC-44A6-82F7-7D9C4E64E545}"/>
    <cellStyle name="Normal 5 5 3 3 2 6 2" xfId="31149" xr:uid="{D3D0E1A9-FBCA-47EC-9550-3A4C6C30E266}"/>
    <cellStyle name="Normal 5 5 3 3 2 6 3" xfId="30912" xr:uid="{B08B4DCA-5980-4F0C-A577-2BB26932546B}"/>
    <cellStyle name="Normal 5 5 3 3 2 7" xfId="13277" xr:uid="{60854C4E-F5E6-4B50-AA94-02CF9A79D755}"/>
    <cellStyle name="Normal 5 5 3 3 2 8" xfId="30925" xr:uid="{29076549-2AA4-4007-80EA-D67AC2CC5802}"/>
    <cellStyle name="Normal 5 5 3 3 3" xfId="1207" xr:uid="{00000000-0005-0000-0000-00007D060000}"/>
    <cellStyle name="Normal 5 5 3 3 3 2" xfId="3411" xr:uid="{00000000-0005-0000-0000-00005C070000}"/>
    <cellStyle name="Normal 5 5 3 3 3 2 2" xfId="8490" xr:uid="{8CE330F0-3265-4F2B-AB02-47DD44B05B5A}"/>
    <cellStyle name="Normal 5 5 3 3 3 2 2 2" xfId="28930" xr:uid="{F1B2B5CC-612B-46F9-9E9B-A15690CC029B}"/>
    <cellStyle name="Normal 5 5 3 3 3 2 2 3" xfId="18870" xr:uid="{BFD8F8CD-D589-4891-83F8-7C14D35219E3}"/>
    <cellStyle name="Normal 5 5 3 3 3 2 2 4" xfId="29823" xr:uid="{3881B992-1BB7-464F-91BE-BB29A3566EF8}"/>
    <cellStyle name="Normal 5 5 3 3 3 2 3" xfId="11323" xr:uid="{B2C88099-1FD6-45E4-9D6C-38A61BA53D1B}"/>
    <cellStyle name="Normal 5 5 3 3 3 2 3 2" xfId="21703" xr:uid="{4B2A4E7B-AAFC-485E-B963-ED9DE0293EF0}"/>
    <cellStyle name="Normal 5 5 3 3 3 2 4" xfId="25219" xr:uid="{B8090A63-5F28-4185-8095-4F4ECF2CF9D1}"/>
    <cellStyle name="Normal 5 5 3 3 3 2 5" xfId="25637" xr:uid="{EF68925E-02A3-4EB7-A1D7-ABFE95E794DA}"/>
    <cellStyle name="Normal 5 5 3 3 3 2 6" xfId="16037" xr:uid="{FA327224-DD3D-4B58-AF68-65DB995EA5E3}"/>
    <cellStyle name="Normal 5 5 3 3 3 3" xfId="3559" xr:uid="{00000000-0005-0000-0000-00007D060000}"/>
    <cellStyle name="Normal 5 5 3 3 3 3 2" xfId="25599" xr:uid="{2B2D0F06-3883-4FBB-9729-E6CA70224720}"/>
    <cellStyle name="Normal 5 5 3 3 3 3 2 2" xfId="29817" xr:uid="{02A86CA0-3F43-44CF-957F-95BA6D4BDC0E}"/>
    <cellStyle name="Normal 5 5 3 3 3 3 3" xfId="23156" xr:uid="{96AA7387-D407-4AAD-A008-F71F5F7B6C65}"/>
    <cellStyle name="Normal 5 5 3 3 3 4" xfId="4563" xr:uid="{1DD4ABF9-0AC6-4128-B006-684E9FE610C9}"/>
    <cellStyle name="Normal 5 5 3 3 3 4 2" xfId="9335" xr:uid="{0AF8BA8E-FDE7-4900-8F7D-B5B329270D40}"/>
    <cellStyle name="Normal 5 5 3 3 3 4 2 2" xfId="19715" xr:uid="{011B26BE-78F4-46EA-A2EE-F16F90DEAD00}"/>
    <cellStyle name="Normal 5 5 3 3 3 4 2 3" xfId="31105" xr:uid="{41CBFC74-9674-4514-AAE2-CB0510DF1FAF}"/>
    <cellStyle name="Normal 5 5 3 3 3 4 2 4" xfId="30913" xr:uid="{DE041240-1130-4FBE-A496-AF3E183AB993}"/>
    <cellStyle name="Normal 5 5 3 3 3 4 3" xfId="12168" xr:uid="{BA123514-4E82-4769-AFD3-99A79B6FC726}"/>
    <cellStyle name="Normal 5 5 3 3 3 4 3 2" xfId="22548" xr:uid="{487E197D-AF16-4F9E-8A92-1FE77D609998}"/>
    <cellStyle name="Normal 5 5 3 3 3 4 4" xfId="16882" xr:uid="{2FE929DC-E891-4CAA-9BE8-851030E063C4}"/>
    <cellStyle name="Normal 5 5 3 3 3 5" xfId="5360" xr:uid="{CC91ECF4-6A6D-4E86-9763-C1AB30578AAE}"/>
    <cellStyle name="Normal 5 5 3 3 3 5 2" xfId="29709" xr:uid="{C6AC9FE6-8F2F-4D98-B1CC-2EFCAC323B18}"/>
    <cellStyle name="Normal 5 5 3 3 3 5 2 2" xfId="30952" xr:uid="{5D2ADC69-5EDF-4AC9-8941-E830CD16909C}"/>
    <cellStyle name="Normal 5 5 3 3 3 6" xfId="23226" xr:uid="{07D2B74A-B30D-4BBA-A7E5-EB342AD9A434}"/>
    <cellStyle name="Normal 5 5 3 3 3 6 2" xfId="29673" xr:uid="{B112CBD1-63B3-4F58-B2F2-76F0EA1536DD}"/>
    <cellStyle name="Normal 5 5 3 3 3 7" xfId="23014" xr:uid="{EEAA545C-FB53-43F8-AC33-2C773C11FF67}"/>
    <cellStyle name="Normal 5 5 3 3 3 8" xfId="13981" xr:uid="{E4637211-795C-4AB7-BFE3-8BF1E9D332EA}"/>
    <cellStyle name="Normal 5 5 3 3 4" xfId="3408" xr:uid="{00000000-0005-0000-0000-00005D070000}"/>
    <cellStyle name="Normal 5 5 3 3 4 2" xfId="6466" xr:uid="{A25B5BAC-44F2-408C-BEC0-85D4D62418DA}"/>
    <cellStyle name="Normal 5 5 3 3 4 2 2" xfId="25789" xr:uid="{192D2398-F9FF-4441-984B-C4D2551A0186}"/>
    <cellStyle name="Normal 5 5 3 3 4 2 3" xfId="26035" xr:uid="{F5FB2520-4BA7-4F5D-9D7C-1AD371AA6455}"/>
    <cellStyle name="Normal 5 5 3 3 4 2 4" xfId="16035" xr:uid="{49A6886E-F465-4B47-B6D8-FA1B4D123904}"/>
    <cellStyle name="Normal 5 5 3 3 4 2 5" xfId="30569" xr:uid="{E8720E36-9B22-4DBC-BB87-8F396A474EBD}"/>
    <cellStyle name="Normal 5 5 3 3 4 3" xfId="8488" xr:uid="{6509FA01-A0EC-456E-A862-DAF49E6D20AA}"/>
    <cellStyle name="Normal 5 5 3 3 4 3 2" xfId="28928" xr:uid="{C4D81208-22B8-4018-90E0-7C9AF6EA32DF}"/>
    <cellStyle name="Normal 5 5 3 3 4 3 3" xfId="18868" xr:uid="{A8B22BD6-03F8-4DC4-A58F-AA0434136367}"/>
    <cellStyle name="Normal 5 5 3 3 4 4" xfId="11321" xr:uid="{6D331C84-8C36-4A27-AE3A-3F13C509601A}"/>
    <cellStyle name="Normal 5 5 3 3 4 4 2" xfId="21701" xr:uid="{7EE082D5-2FF2-414E-BAC4-A4CFC4A84400}"/>
    <cellStyle name="Normal 5 5 3 3 4 5" xfId="25081" xr:uid="{D6155E76-2395-4DDF-B9B2-493347F428B3}"/>
    <cellStyle name="Normal 5 5 3 3 4 6" xfId="26255" xr:uid="{7E1F3624-729A-4E27-B35B-DA8D4DBE72A3}"/>
    <cellStyle name="Normal 5 5 3 3 4 7" xfId="13979" xr:uid="{6DB07B96-4051-4092-A480-E23365CF7508}"/>
    <cellStyle name="Normal 5 5 3 3 5" xfId="2638" xr:uid="{00000000-0005-0000-0000-00005E070000}"/>
    <cellStyle name="Normal 5 5 3 3 5 2" xfId="5900" xr:uid="{186A16A8-69D8-4703-B34E-7A9DDBD16197}"/>
    <cellStyle name="Normal 5 5 3 3 5 2 2" xfId="15310" xr:uid="{B088E4D3-F857-46C0-8CFC-6124F53F86C1}"/>
    <cellStyle name="Normal 5 5 3 3 5 3" xfId="7763" xr:uid="{050DE08B-BA64-40DB-9D1D-AEF1C52A83B7}"/>
    <cellStyle name="Normal 5 5 3 3 5 3 2" xfId="18143" xr:uid="{8DF48DD9-C2EA-4C9A-8DF1-BAB4B426AF08}"/>
    <cellStyle name="Normal 5 5 3 3 5 4" xfId="10596" xr:uid="{9F692D93-A96D-468A-854F-99454616E6E8}"/>
    <cellStyle name="Normal 5 5 3 3 5 4 2" xfId="20976" xr:uid="{1DEB8ED8-0F2D-420E-96E7-28EEC59C295E}"/>
    <cellStyle name="Normal 5 5 3 3 5 5" xfId="23016" xr:uid="{5B4EE627-4904-4A06-88F3-0F60708F9BC4}"/>
    <cellStyle name="Normal 5 5 3 3 5 6" xfId="25980" xr:uid="{AD89A197-A5CB-450F-8245-D9DE37D4C38D}"/>
    <cellStyle name="Normal 5 5 3 3 5 7" xfId="13027" xr:uid="{7B6E7E67-601D-400B-BF29-11CFF4D4B6EA}"/>
    <cellStyle name="Normal 5 5 3 3 6" xfId="2125" xr:uid="{00000000-0005-0000-0000-0000AB020000}"/>
    <cellStyle name="Normal 5 5 3 3 6 2" xfId="4650" xr:uid="{39152408-330A-44B7-900D-FA6E2B529A91}"/>
    <cellStyle name="Normal 5 5 3 3 6 3" xfId="30206" xr:uid="{19E5DBC6-87B5-46F1-B5E0-B67573138C40}"/>
    <cellStyle name="Normal 5 5 3 3 6 3 2" xfId="31350" xr:uid="{C475E952-4287-47E3-B046-F9817D97F62D}"/>
    <cellStyle name="Normal 5 5 3 3 6 4" xfId="31546" xr:uid="{F0BED102-3B27-4E13-8163-0F2933607E19}"/>
    <cellStyle name="Normal 5 5 3 3 7" xfId="4027" xr:uid="{56D1BCD9-EAD7-442F-BEF3-F5DBF0F48EA4}"/>
    <cellStyle name="Normal 5 5 3 3 7 2" xfId="4756" xr:uid="{3B2AE6C9-CD41-44A4-85EB-03A4D5B5EDAD}"/>
    <cellStyle name="Normal 5 5 3 3 7 2 2" xfId="27785" xr:uid="{580A303F-6BB4-45D3-9C35-7FFFABBC7C95}"/>
    <cellStyle name="Normal 5 5 3 3 7 3" xfId="26288" xr:uid="{E0BDAE02-0061-4AD1-A851-0C0422048092}"/>
    <cellStyle name="Normal 5 5 3 3 7 3 2" xfId="31173" xr:uid="{E1CFC7F0-7C6D-40F3-9AAC-AEE06C15BE18}"/>
    <cellStyle name="Normal 5 5 3 3 7 4" xfId="26362" xr:uid="{2BB7C9BC-9F92-46B9-A4E8-54E7EDCFB1FE}"/>
    <cellStyle name="Normal 5 5 3 3 7 5" xfId="30324" xr:uid="{13091C6E-267B-42E9-9EC6-63A637EF4C77}"/>
    <cellStyle name="Normal 5 5 3 3 7 5 2" xfId="31467" xr:uid="{8241D67A-0B65-441D-B87C-12FCD55689C9}"/>
    <cellStyle name="Normal 5 5 3 3 7 6" xfId="31664" xr:uid="{6C15C19A-00AD-4054-8903-F5817FB38421}"/>
    <cellStyle name="Normal 5 5 3 3 8" xfId="29681" xr:uid="{0A86F2A0-5592-44C0-A478-BDA05FBB524E}"/>
    <cellStyle name="Normal 5 5 3 3 8 2" xfId="30540" xr:uid="{CD43F895-0D8D-40A6-9F78-B0640AD53663}"/>
    <cellStyle name="Normal 5 5 3 3 9" xfId="29669" xr:uid="{04524AD8-987D-44B0-8EAE-33D3F77F3D00}"/>
    <cellStyle name="Normal 5 5 3 4" xfId="1208" xr:uid="{00000000-0005-0000-0000-00007E060000}"/>
    <cellStyle name="Normal 5 5 3 4 2" xfId="3412" xr:uid="{00000000-0005-0000-0000-000060070000}"/>
    <cellStyle name="Normal 5 5 3 4 2 2" xfId="6467" xr:uid="{091CA45F-1415-4786-BD74-62F2691D01A0}"/>
    <cellStyle name="Normal 5 5 3 4 2 2 2" xfId="25689" xr:uid="{D369BE46-53A2-4165-A63E-6DCF57B1B6B5}"/>
    <cellStyle name="Normal 5 5 3 4 2 2 3" xfId="16038" xr:uid="{A22DF215-B07D-4574-ACFB-178005758E72}"/>
    <cellStyle name="Normal 5 5 3 4 2 3" xfId="8491" xr:uid="{7A3C8F66-00F3-4E69-8FCE-2A1F17232FEE}"/>
    <cellStyle name="Normal 5 5 3 4 2 3 2" xfId="18871" xr:uid="{C9D05A51-96C9-44ED-A367-714CCD54E03B}"/>
    <cellStyle name="Normal 5 5 3 4 2 4" xfId="11324" xr:uid="{0BEEC87B-62C8-49C3-A718-6F4DA063F65A}"/>
    <cellStyle name="Normal 5 5 3 4 2 4 2" xfId="21704" xr:uid="{68FC661A-8C76-42A0-813F-166B20BE874E}"/>
    <cellStyle name="Normal 5 5 3 4 2 5" xfId="23339" xr:uid="{5D6AA472-3A32-4EF8-A05D-4D0479AF9BA0}"/>
    <cellStyle name="Normal 5 5 3 4 2 6" xfId="13982" xr:uid="{B9E238CB-6508-4CA3-B03E-8A79E05F87E3}"/>
    <cellStyle name="Normal 5 5 3 4 3" xfId="2810" xr:uid="{00000000-0005-0000-0000-000061070000}"/>
    <cellStyle name="Normal 5 5 3 4 3 2" xfId="6027" xr:uid="{1A84E262-5C66-4876-8988-B9C64750BC56}"/>
    <cellStyle name="Normal 5 5 3 4 3 2 2" xfId="25834" xr:uid="{75B92EC5-AA87-49FE-8CB9-5908B1535483}"/>
    <cellStyle name="Normal 5 5 3 4 3 2 3" xfId="15480" xr:uid="{C6697673-7266-4EEF-92D7-303A24FB0548}"/>
    <cellStyle name="Normal 5 5 3 4 3 3" xfId="7933" xr:uid="{0A15193D-FDFF-4EC3-A906-BC56E5F6002D}"/>
    <cellStyle name="Normal 5 5 3 4 3 3 2" xfId="18313" xr:uid="{156F1083-34F8-4A57-BB95-66C45D08E8A1}"/>
    <cellStyle name="Normal 5 5 3 4 3 4" xfId="10766" xr:uid="{68489397-CF2F-45B8-A765-1909E9CA44D4}"/>
    <cellStyle name="Normal 5 5 3 4 3 4 2" xfId="21146" xr:uid="{BB5C1C8E-2064-4637-B49F-93C358380D67}"/>
    <cellStyle name="Normal 5 5 3 4 3 5" xfId="22774" xr:uid="{0A156C61-6A99-49A7-A4D6-58E67D3277ED}"/>
    <cellStyle name="Normal 5 5 3 4 3 6" xfId="13275" xr:uid="{1C9D7B34-B27F-4326-A60F-35EE8630D162}"/>
    <cellStyle name="Normal 5 5 3 4 4" xfId="4206" xr:uid="{EFB807DE-F504-4F73-8F65-B660665FEC0D}"/>
    <cellStyle name="Normal 5 5 3 4 4 2" xfId="8978" xr:uid="{1598C217-6F5B-428E-A1FB-07FEF1C8031C}"/>
    <cellStyle name="Normal 5 5 3 4 4 2 2" xfId="19358" xr:uid="{CD108EAB-65B3-40E1-A655-815E862C7618}"/>
    <cellStyle name="Normal 5 5 3 4 4 3" xfId="11811" xr:uid="{B3749756-E62E-45C4-8812-35F065F09F12}"/>
    <cellStyle name="Normal 5 5 3 4 4 3 2" xfId="22191" xr:uid="{3CEE6DF3-83F1-4AF7-B6BC-B0A801425AEC}"/>
    <cellStyle name="Normal 5 5 3 4 4 4" xfId="24101" xr:uid="{BEB9EC4F-9B65-4276-A9CD-9404B0C4922D}"/>
    <cellStyle name="Normal 5 5 3 4 4 5" xfId="16525" xr:uid="{4C658C52-180C-4C57-AD4A-70F3D616DAAF}"/>
    <cellStyle name="Normal 5 5 3 4 5" xfId="5361" xr:uid="{5AB1D085-E211-4002-9A68-A779FB65A4A7}"/>
    <cellStyle name="Normal 5 5 3 4 5 2" xfId="14658" xr:uid="{79F76784-48D1-494A-A462-8B146DB212BC}"/>
    <cellStyle name="Normal 5 5 3 4 6" xfId="7111" xr:uid="{F1C2CF29-7FED-44EA-A7B8-4D977008F5A1}"/>
    <cellStyle name="Normal 5 5 3 4 6 2" xfId="17491" xr:uid="{6FA4D063-4557-496A-B0E1-3528238FE0ED}"/>
    <cellStyle name="Normal 5 5 3 4 7" xfId="9944" xr:uid="{B348D9BA-F377-446F-A189-975FF517BE34}"/>
    <cellStyle name="Normal 5 5 3 4 7 2" xfId="20324" xr:uid="{D56EEEB7-862E-4E75-84EE-5354199E21C2}"/>
    <cellStyle name="Normal 5 5 3 4 8" xfId="25010" xr:uid="{1B5984A8-BDFF-436B-BDA1-C2D38884C3F2}"/>
    <cellStyle name="Normal 5 5 3 4 9" xfId="12774" xr:uid="{207A05E2-44FD-49D4-BB57-844DD163A47F}"/>
    <cellStyle name="Normal 5 5 3 5" xfId="1209" xr:uid="{00000000-0005-0000-0000-00007F060000}"/>
    <cellStyle name="Normal 5 5 3 5 2" xfId="4564" xr:uid="{1BCA9013-97FB-47C4-86AC-6325ACCED00E}"/>
    <cellStyle name="Normal 5 5 3 5 2 2" xfId="9336" xr:uid="{1B079D11-66EE-43CD-B4C1-5CF70D817D4E}"/>
    <cellStyle name="Normal 5 5 3 5 2 2 2" xfId="29310" xr:uid="{28677310-8D44-47B2-8A3B-AA3433DF51E8}"/>
    <cellStyle name="Normal 5 5 3 5 2 2 3" xfId="19716" xr:uid="{5C607BAB-2769-4ECF-BFFA-54B73665BD0B}"/>
    <cellStyle name="Normal 5 5 3 5 2 3" xfId="12169" xr:uid="{25BC621A-EE9D-4329-BB95-F36DE3E1A7D0}"/>
    <cellStyle name="Normal 5 5 3 5 2 3 2" xfId="22549" xr:uid="{8D004C08-7D11-4892-83BD-4F86601205B7}"/>
    <cellStyle name="Normal 5 5 3 5 2 4" xfId="25654" xr:uid="{702AAE8B-8E10-478F-A88A-D4C689F0EC6E}"/>
    <cellStyle name="Normal 5 5 3 5 2 5" xfId="16883" xr:uid="{BA22D103-A3F5-4026-881A-D17B5200DFF6}"/>
    <cellStyle name="Normal 5 5 3 5 3" xfId="5362" xr:uid="{6F1DB607-BB13-42A8-8622-597EC7CCA09E}"/>
    <cellStyle name="Normal 5 5 3 5 3 2" xfId="28575" xr:uid="{598316B3-EE8C-4832-89FF-6741A61A0620}"/>
    <cellStyle name="Normal 5 5 3 5 3 3" xfId="14659" xr:uid="{EE5464CF-BE4B-40D0-A089-A1091CE52773}"/>
    <cellStyle name="Normal 5 5 3 5 4" xfId="7112" xr:uid="{B8FC9F61-DCB1-434B-9165-2BF6972D01BF}"/>
    <cellStyle name="Normal 5 5 3 5 4 2" xfId="17492" xr:uid="{E69F58FD-2F5C-43CA-AD58-447F718E2EEA}"/>
    <cellStyle name="Normal 5 5 3 5 5" xfId="9945" xr:uid="{2068F8F9-21BD-4D3A-B3A3-758FC908E522}"/>
    <cellStyle name="Normal 5 5 3 5 5 2" xfId="20325" xr:uid="{791DC83C-7EEC-4BB2-95C3-33D2C0D6393F}"/>
    <cellStyle name="Normal 5 5 3 5 6" xfId="22706" xr:uid="{26E8B065-FA68-4C76-94AC-0F6A43DAD136}"/>
    <cellStyle name="Normal 5 5 3 5 7" xfId="13983" xr:uid="{3CF2D734-478E-42BA-BA56-5D9DB3FC7DD6}"/>
    <cellStyle name="Normal 5 5 3 6" xfId="2966" xr:uid="{00000000-0005-0000-0000-000063070000}"/>
    <cellStyle name="Normal 5 5 3 6 2" xfId="6131" xr:uid="{0E37E037-9851-4EB9-A3C2-64BD356B9540}"/>
    <cellStyle name="Normal 5 5 3 6 2 2" xfId="25425" xr:uid="{1148EB6E-F740-4167-874A-A1EF65DB568B}"/>
    <cellStyle name="Normal 5 5 3 6 2 3" xfId="15609" xr:uid="{E621157B-6D27-443E-9F26-16E7CBD38180}"/>
    <cellStyle name="Normal 5 5 3 6 3" xfId="8062" xr:uid="{F10D5E6D-B385-4559-A109-D58207B8982F}"/>
    <cellStyle name="Normal 5 5 3 6 3 2" xfId="18442" xr:uid="{C50D9187-302B-4068-A26B-8A8CB3E158FC}"/>
    <cellStyle name="Normal 5 5 3 6 4" xfId="10895" xr:uid="{C921355E-72F7-4125-BAB7-52A6FE548BBF}"/>
    <cellStyle name="Normal 5 5 3 6 4 2" xfId="21275" xr:uid="{9E3667AD-B115-4E65-8125-DC2EA7D4A56D}"/>
    <cellStyle name="Normal 5 5 3 6 5" xfId="24770" xr:uid="{B7E804C6-D9AD-4DE6-A2A9-10FF544E0EF0}"/>
    <cellStyle name="Normal 5 5 3 6 6" xfId="13472" xr:uid="{9A3195F6-BF57-4B18-8247-833348BDB7E5}"/>
    <cellStyle name="Normal 5 5 3 7" xfId="2476" xr:uid="{00000000-0005-0000-0000-000064070000}"/>
    <cellStyle name="Normal 5 5 3 7 2" xfId="5764" xr:uid="{E07183B6-D25C-4CC0-AE13-2A38EE114993}"/>
    <cellStyle name="Normal 5 5 3 7 2 2" xfId="28402" xr:uid="{507B183A-3DB4-4009-B4C0-4F1576EFF074}"/>
    <cellStyle name="Normal 5 5 3 7 2 3" xfId="15148" xr:uid="{652D18B1-F5FF-4845-BFD1-FF8917671EC2}"/>
    <cellStyle name="Normal 5 5 3 7 3" xfId="7601" xr:uid="{18DAE69B-A4F7-477F-8762-6CE1E368E732}"/>
    <cellStyle name="Normal 5 5 3 7 3 2" xfId="17981" xr:uid="{7D96E94B-8809-4955-8F45-38DBBA2CE966}"/>
    <cellStyle name="Normal 5 5 3 7 4" xfId="10434" xr:uid="{44B3FFAF-869E-44AB-B931-CDF9E98397FF}"/>
    <cellStyle name="Normal 5 5 3 7 4 2" xfId="20814" xr:uid="{209C42BD-D008-4B39-A856-564FE070366E}"/>
    <cellStyle name="Normal 5 5 3 7 5" xfId="22730" xr:uid="{6943EE8A-2B33-45B4-95F9-C2EDD1961D07}"/>
    <cellStyle name="Normal 5 5 3 7 6" xfId="12864" xr:uid="{2B0515C8-907A-485B-A591-F0A2A639DF21}"/>
    <cellStyle name="Normal 5 5 3 8" xfId="2230" xr:uid="{00000000-0005-0000-0000-000051070000}"/>
    <cellStyle name="Normal 5 5 3 8 2" xfId="7357" xr:uid="{1618AD18-7B7B-424F-9BEB-D299222C55F2}"/>
    <cellStyle name="Normal 5 5 3 8 2 2" xfId="17737" xr:uid="{83869EBC-213B-40D0-96E1-A1D651B52F92}"/>
    <cellStyle name="Normal 5 5 3 8 3" xfId="10190" xr:uid="{48FB3034-9292-4116-8449-599FDAB40BBA}"/>
    <cellStyle name="Normal 5 5 3 8 3 2" xfId="20570" xr:uid="{57755D7B-7216-4DBE-9B79-50915AF1F3AA}"/>
    <cellStyle name="Normal 5 5 3 8 4" xfId="23117" xr:uid="{D9EF2FC2-8CF3-4C7B-9CFB-936A7DC6878C}"/>
    <cellStyle name="Normal 5 5 3 8 5" xfId="14904" xr:uid="{B773A80F-07C8-4906-B155-A12AE8E35E9E}"/>
    <cellStyle name="Normal 5 5 3 9" xfId="4025" xr:uid="{04E98241-B413-4763-8D87-0C12090244E0}"/>
    <cellStyle name="Normal 5 5 3 9 2" xfId="8827" xr:uid="{2DD4E885-8CED-468B-A0EA-21DF2E8F00A5}"/>
    <cellStyle name="Normal 5 5 3 9 2 2" xfId="19207" xr:uid="{19E384D0-B5F7-4808-B416-14EE8B359BA2}"/>
    <cellStyle name="Normal 5 5 3 9 3" xfId="11660" xr:uid="{D509F8F9-2213-4B96-AEE4-7A6AAADF8F18}"/>
    <cellStyle name="Normal 5 5 3 9 3 2" xfId="22040" xr:uid="{A762BF18-54D9-4BB2-80CE-D7CF47DBE619}"/>
    <cellStyle name="Normal 5 5 3 9 4" xfId="16374" xr:uid="{93FEC0E4-2C60-4A83-9D0A-395AD443D74E}"/>
    <cellStyle name="Normal 5 5 4" xfId="1210" xr:uid="{00000000-0005-0000-0000-000080060000}"/>
    <cellStyle name="Normal 5 5 4 10" xfId="7113" xr:uid="{6E24754F-4139-496A-B256-B3A7608A1E70}"/>
    <cellStyle name="Normal 5 5 4 10 2" xfId="17493" xr:uid="{FEFC9BE0-9D2E-4273-901D-6405ADC29F6E}"/>
    <cellStyle name="Normal 5 5 4 11" xfId="9946" xr:uid="{4E506426-856D-48E1-9830-436B16A4402B}"/>
    <cellStyle name="Normal 5 5 4 11 2" xfId="20326" xr:uid="{56B19307-4070-41C7-97F4-984C9C4ACD71}"/>
    <cellStyle name="Normal 5 5 4 12" xfId="22669" xr:uid="{66F7D1B5-E539-4153-9F8D-61F382AE08F9}"/>
    <cellStyle name="Normal 5 5 4 13" xfId="12442" xr:uid="{1DD33C2E-3DF1-4199-9780-FE1826973C76}"/>
    <cellStyle name="Normal 5 5 4 2" xfId="1211" xr:uid="{00000000-0005-0000-0000-000081060000}"/>
    <cellStyle name="Normal 5 5 4 2 10" xfId="9947" xr:uid="{0AA280C8-05D0-4EDD-A0F0-25F6C4C0E2C2}"/>
    <cellStyle name="Normal 5 5 4 2 10 2" xfId="20327" xr:uid="{B38EED4E-B7E8-43A6-A452-0F3F6AC3A192}"/>
    <cellStyle name="Normal 5 5 4 2 11" xfId="25517" xr:uid="{1F8836FE-5842-48CD-9C27-7130A11C0DF8}"/>
    <cellStyle name="Normal 5 5 4 2 12" xfId="12617" xr:uid="{4ED1B215-A62B-4224-9B08-1DB86D03310D}"/>
    <cellStyle name="Normal 5 5 4 2 2" xfId="1212" xr:uid="{00000000-0005-0000-0000-000082060000}"/>
    <cellStyle name="Normal 5 5 4 2 2 2" xfId="3414" xr:uid="{00000000-0005-0000-0000-000068070000}"/>
    <cellStyle name="Normal 5 5 4 2 2 2 2" xfId="6469" xr:uid="{7CCB15D9-59C9-4526-9A31-724CBEB58938}"/>
    <cellStyle name="Normal 5 5 4 2 2 2 2 2" xfId="27148" xr:uid="{D8DD4CAC-C2B0-4A8C-AB8C-C0B64925EFE3}"/>
    <cellStyle name="Normal 5 5 4 2 2 2 2 3" xfId="27851" xr:uid="{183AD068-030C-4CFA-9598-24BADC3E24B2}"/>
    <cellStyle name="Normal 5 5 4 2 2 2 2 4" xfId="16040" xr:uid="{FBBC1EA9-0576-414A-A822-1E8A36E7878C}"/>
    <cellStyle name="Normal 5 5 4 2 2 2 3" xfId="8493" xr:uid="{7C67B0EB-6874-490A-AB6F-C0E9C43E16A5}"/>
    <cellStyle name="Normal 5 5 4 2 2 2 3 2" xfId="28931" xr:uid="{F9ABDF4E-3479-4731-9FBD-0A7A6F62AC8C}"/>
    <cellStyle name="Normal 5 5 4 2 2 2 3 3" xfId="18873" xr:uid="{1D7D140A-B2B0-4829-A203-C0CCB8E5AD57}"/>
    <cellStyle name="Normal 5 5 4 2 2 2 4" xfId="11326" xr:uid="{BDFB2532-6171-4425-AE58-C640DC6D5C99}"/>
    <cellStyle name="Normal 5 5 4 2 2 2 4 2" xfId="21706" xr:uid="{A6731636-272C-431C-A233-91D4C9F41C59}"/>
    <cellStyle name="Normal 5 5 4 2 2 2 5" xfId="24759" xr:uid="{5E5A21BD-C085-4EBD-8AF6-13C09DC8FD76}"/>
    <cellStyle name="Normal 5 5 4 2 2 2 6" xfId="13985" xr:uid="{25FFA09B-B9F9-4E37-8D5D-5125888B0D71}"/>
    <cellStyle name="Normal 5 5 4 2 2 3" xfId="4359" xr:uid="{88387237-01E0-4B25-8BE5-8B2376BBC437}"/>
    <cellStyle name="Normal 5 5 4 2 2 3 2" xfId="9131" xr:uid="{C2F40767-A121-40AD-A68A-26A92CB2DAB8}"/>
    <cellStyle name="Normal 5 5 4 2 2 3 2 2" xfId="29174" xr:uid="{0DBDF345-5003-44B1-81F2-DF78F3F02DB5}"/>
    <cellStyle name="Normal 5 5 4 2 2 3 2 3" xfId="19511" xr:uid="{98EF1CBC-575B-4F9E-AD57-B6D00E5F04A9}"/>
    <cellStyle name="Normal 5 5 4 2 2 3 3" xfId="11964" xr:uid="{D26025B7-29BB-40AF-AF33-59D08E610285}"/>
    <cellStyle name="Normal 5 5 4 2 2 3 3 2" xfId="22344" xr:uid="{A3B4DB2D-13D6-4FC1-84DB-0774CA906768}"/>
    <cellStyle name="Normal 5 5 4 2 2 3 4" xfId="25176" xr:uid="{61DBC9B9-1E71-4285-9860-27A3D1877045}"/>
    <cellStyle name="Normal 5 5 4 2 2 3 5" xfId="16678" xr:uid="{732B4A0F-9AA6-4BBD-9BA9-43C9B926872C}"/>
    <cellStyle name="Normal 5 5 4 2 2 4" xfId="5365" xr:uid="{0F610BEE-9DE4-4777-8999-E564D9E55943}"/>
    <cellStyle name="Normal 5 5 4 2 2 4 2" xfId="28589" xr:uid="{BE178C20-6377-4C6C-BDB1-3FD1588CEB5D}"/>
    <cellStyle name="Normal 5 5 4 2 2 4 3" xfId="14662" xr:uid="{9FFCFC9D-9C47-4ECB-81BE-AAC034414419}"/>
    <cellStyle name="Normal 5 5 4 2 2 5" xfId="7115" xr:uid="{A101A71D-F59C-4077-B1E0-6EC2FA54C6C6}"/>
    <cellStyle name="Normal 5 5 4 2 2 5 2" xfId="17495" xr:uid="{5700200F-39FB-42A2-B68A-B7B1A184B99E}"/>
    <cellStyle name="Normal 5 5 4 2 2 6" xfId="9948" xr:uid="{81343349-F28D-4BE8-B042-92BC99D6E794}"/>
    <cellStyle name="Normal 5 5 4 2 2 6 2" xfId="20328" xr:uid="{672AA7D8-40C0-41E9-A770-249F7667571C}"/>
    <cellStyle name="Normal 5 5 4 2 2 7" xfId="24135" xr:uid="{6FC67304-0A44-4136-96E5-88EF5A100FCF}"/>
    <cellStyle name="Normal 5 5 4 2 2 8" xfId="13279" xr:uid="{745892F2-0B91-467A-A005-39AED4451CCE}"/>
    <cellStyle name="Normal 5 5 4 2 3" xfId="3415" xr:uid="{00000000-0005-0000-0000-000069070000}"/>
    <cellStyle name="Normal 5 5 4 2 3 2" xfId="4565" xr:uid="{59E9896A-4AE0-410C-A3ED-3816DD832625}"/>
    <cellStyle name="Normal 5 5 4 2 3 2 2" xfId="9337" xr:uid="{D5B29995-C094-4271-9B4B-E6B4761B42CE}"/>
    <cellStyle name="Normal 5 5 4 2 3 2 2 2" xfId="29311" xr:uid="{9E676E7D-8273-4182-875D-83226C40ECF7}"/>
    <cellStyle name="Normal 5 5 4 2 3 2 2 3" xfId="19717" xr:uid="{754A0F1A-A96C-434B-BA8D-594D18240134}"/>
    <cellStyle name="Normal 5 5 4 2 3 2 3" xfId="12170" xr:uid="{A533C767-AE59-4618-8077-BC4435917938}"/>
    <cellStyle name="Normal 5 5 4 2 3 2 3 2" xfId="22550" xr:uid="{28EDD1D9-13C6-4097-A370-AC37D8CD4DB4}"/>
    <cellStyle name="Normal 5 5 4 2 3 2 4" xfId="24830" xr:uid="{07C40AB1-3864-423F-9D25-E01807021BC3}"/>
    <cellStyle name="Normal 5 5 4 2 3 2 5" xfId="16884" xr:uid="{8C01C22A-4D6C-482B-96D7-EE9F25C85FF6}"/>
    <cellStyle name="Normal 5 5 4 2 3 3" xfId="6470" xr:uid="{50345F73-2533-4705-B684-4F6C37935228}"/>
    <cellStyle name="Normal 5 5 4 2 3 3 2" xfId="28178" xr:uid="{B46D0BE0-1686-4D95-8913-518271E217B1}"/>
    <cellStyle name="Normal 5 5 4 2 3 3 3" xfId="16041" xr:uid="{27D10CD0-AA74-4768-95AF-34104D115929}"/>
    <cellStyle name="Normal 5 5 4 2 3 4" xfId="8494" xr:uid="{FC48BE13-1A01-48D6-B418-4542DED64E07}"/>
    <cellStyle name="Normal 5 5 4 2 3 4 2" xfId="18874" xr:uid="{34F15F65-921B-4CFE-A494-3BBF0EC21721}"/>
    <cellStyle name="Normal 5 5 4 2 3 5" xfId="11327" xr:uid="{4118BB6B-36ED-4676-9F40-AD7DB8EBCCE5}"/>
    <cellStyle name="Normal 5 5 4 2 3 5 2" xfId="21707" xr:uid="{C9271C97-0E97-44DE-8798-E7CA744D3D07}"/>
    <cellStyle name="Normal 5 5 4 2 3 6" xfId="24742" xr:uid="{D9047DF0-A0F0-4CB2-8500-ECE08094FFDF}"/>
    <cellStyle name="Normal 5 5 4 2 3 7" xfId="13986" xr:uid="{9857581E-720F-409C-BCF2-FA313C3412CB}"/>
    <cellStyle name="Normal 5 5 4 2 4" xfId="3413" xr:uid="{00000000-0005-0000-0000-00006A070000}"/>
    <cellStyle name="Normal 5 5 4 2 4 2" xfId="6468" xr:uid="{46726510-68DC-4E96-B0A0-9BE440840691}"/>
    <cellStyle name="Normal 5 5 4 2 4 2 2" xfId="28241" xr:uid="{E2FD7BA4-3D4A-4D80-BF4E-F4C3319F1363}"/>
    <cellStyle name="Normal 5 5 4 2 4 2 3" xfId="16039" xr:uid="{45DE6920-2544-41FE-B361-9B5DCE5E57BD}"/>
    <cellStyle name="Normal 5 5 4 2 4 3" xfId="8492" xr:uid="{99687D84-51A5-41C8-B083-20C6F10B23E2}"/>
    <cellStyle name="Normal 5 5 4 2 4 3 2" xfId="18872" xr:uid="{6F29B5F1-55CC-4EA7-8AFF-CD39617D1847}"/>
    <cellStyle name="Normal 5 5 4 2 4 4" xfId="11325" xr:uid="{0D6D5259-8272-43A1-BD9D-8464EE323750}"/>
    <cellStyle name="Normal 5 5 4 2 4 4 2" xfId="21705" xr:uid="{0B467AE6-D095-4E01-B1C6-9AD0529DB5E0}"/>
    <cellStyle name="Normal 5 5 4 2 4 5" xfId="25039" xr:uid="{09364949-5879-4291-B804-203D2A370A8A}"/>
    <cellStyle name="Normal 5 5 4 2 4 6" xfId="13984" xr:uid="{AFBEAF81-F45E-4B32-B12A-29043B6E9BDE}"/>
    <cellStyle name="Normal 5 5 4 2 5" xfId="2619" xr:uid="{00000000-0005-0000-0000-00006B070000}"/>
    <cellStyle name="Normal 5 5 4 2 5 2" xfId="5881" xr:uid="{BCB80E92-130F-4393-92A6-CF74E5E3FAA1}"/>
    <cellStyle name="Normal 5 5 4 2 5 2 2" xfId="26990" xr:uid="{462CA211-B977-4C0A-85C4-62A92E2ADAE2}"/>
    <cellStyle name="Normal 5 5 4 2 5 2 3" xfId="15291" xr:uid="{6F136D58-4914-4CCE-8629-4C8A37EE3A7D}"/>
    <cellStyle name="Normal 5 5 4 2 5 3" xfId="7744" xr:uid="{5AFD0B02-50B9-4405-8F1F-E60FB6DD50A1}"/>
    <cellStyle name="Normal 5 5 4 2 5 3 2" xfId="18124" xr:uid="{424688BD-541F-480A-8C28-374855ACE59E}"/>
    <cellStyle name="Normal 5 5 4 2 5 4" xfId="10577" xr:uid="{0DB40406-B413-4DFA-8FCF-2748CAAC8D77}"/>
    <cellStyle name="Normal 5 5 4 2 5 4 2" xfId="20957" xr:uid="{34B33404-AE11-4CD5-B582-902D4626A0B7}"/>
    <cellStyle name="Normal 5 5 4 2 5 5" xfId="23321" xr:uid="{D4A6F583-1A92-41C7-8A6A-0946187BA285}"/>
    <cellStyle name="Normal 5 5 4 2 5 6" xfId="13007" xr:uid="{09811C73-DF46-4F22-8131-516A2881FD25}"/>
    <cellStyle name="Normal 5 5 4 2 6" xfId="2383" xr:uid="{00000000-0005-0000-0000-000066070000}"/>
    <cellStyle name="Normal 5 5 4 2 6 2" xfId="7510" xr:uid="{3735F5DA-E6B9-4E9C-A838-7967AF9337B8}"/>
    <cellStyle name="Normal 5 5 4 2 6 2 2" xfId="17890" xr:uid="{9FB35E1E-9B73-411C-94E1-78DB4E436336}"/>
    <cellStyle name="Normal 5 5 4 2 6 3" xfId="10343" xr:uid="{3DA0AAF8-109E-4C8B-8BA6-D4435D8B82C2}"/>
    <cellStyle name="Normal 5 5 4 2 6 3 2" xfId="20723" xr:uid="{E0432CA7-9C2B-422E-BFF0-284E36699756}"/>
    <cellStyle name="Normal 5 5 4 2 6 4" xfId="25283" xr:uid="{20A84658-7D0F-47B3-B91D-580A981B7887}"/>
    <cellStyle name="Normal 5 5 4 2 6 5" xfId="15057" xr:uid="{62BA7A19-98C4-449D-83FE-814C97D9DA44}"/>
    <cellStyle name="Normal 5 5 4 2 7" xfId="4077" xr:uid="{FB088EE4-0F3D-4BC2-A99F-19D1BB2FE077}"/>
    <cellStyle name="Normal 5 5 4 2 7 2" xfId="8857" xr:uid="{EAC4AB74-A3D4-4B0B-A0D1-6477BB0F390F}"/>
    <cellStyle name="Normal 5 5 4 2 7 2 2" xfId="19237" xr:uid="{3A8FA0D7-2211-4A1A-BEE2-F224274F9E5A}"/>
    <cellStyle name="Normal 5 5 4 2 7 3" xfId="11690" xr:uid="{F3C263EC-B001-4BD2-A184-1C70DF0F70DB}"/>
    <cellStyle name="Normal 5 5 4 2 7 3 2" xfId="22070" xr:uid="{D6D005C5-B11A-4301-9522-39483B7DC464}"/>
    <cellStyle name="Normal 5 5 4 2 7 4" xfId="16404" xr:uid="{2A619328-B2AA-4A1D-97EC-816ACCA8C489}"/>
    <cellStyle name="Normal 5 5 4 2 8" xfId="5364" xr:uid="{0ACEBE73-E7F6-4F86-BDD3-BE2E01291193}"/>
    <cellStyle name="Normal 5 5 4 2 8 2" xfId="14661" xr:uid="{1E7A55A6-CF17-498E-8E3F-BF0AE06F160B}"/>
    <cellStyle name="Normal 5 5 4 2 9" xfId="7114" xr:uid="{C2462432-3E71-4100-9CAF-BAB609427C91}"/>
    <cellStyle name="Normal 5 5 4 2 9 2" xfId="17494" xr:uid="{1E95C8F2-0838-4E21-B878-576F8054A41A}"/>
    <cellStyle name="Normal 5 5 4 3" xfId="1213" xr:uid="{00000000-0005-0000-0000-000083060000}"/>
    <cellStyle name="Normal 5 5 4 3 2" xfId="3416" xr:uid="{00000000-0005-0000-0000-00006D070000}"/>
    <cellStyle name="Normal 5 5 4 3 2 2" xfId="6471" xr:uid="{AC59D8AD-A63F-4F69-B810-7DB7157D221D}"/>
    <cellStyle name="Normal 5 5 4 3 2 2 2" xfId="25159" xr:uid="{23B3473D-7E5E-4004-9F1D-A94AA09D630D}"/>
    <cellStyle name="Normal 5 5 4 3 2 2 3" xfId="27419" xr:uid="{0597AE7C-F5F3-4C32-B52A-3336B8870B89}"/>
    <cellStyle name="Normal 5 5 4 3 2 2 4" xfId="16042" xr:uid="{FA4C670E-7C0A-4498-BC35-5AB9EEC67189}"/>
    <cellStyle name="Normal 5 5 4 3 2 3" xfId="8495" xr:uid="{3C267D15-F83E-4CEC-A25A-8CEDB28B3AA4}"/>
    <cellStyle name="Normal 5 5 4 3 2 3 2" xfId="28932" xr:uid="{6984EE01-1911-4902-89ED-A1CA0D278011}"/>
    <cellStyle name="Normal 5 5 4 3 2 3 3" xfId="18875" xr:uid="{048FA31C-1C1E-4A45-B594-D1609CFBC415}"/>
    <cellStyle name="Normal 5 5 4 3 2 4" xfId="11328" xr:uid="{0912AB62-A87E-4AAE-A26B-28E10A450010}"/>
    <cellStyle name="Normal 5 5 4 3 2 4 2" xfId="21708" xr:uid="{58D0B03A-73FF-4073-9F18-12DC1856E031}"/>
    <cellStyle name="Normal 5 5 4 3 2 5" xfId="24604" xr:uid="{A194AE26-0E9A-4449-9DDB-EA21F77A41F7}"/>
    <cellStyle name="Normal 5 5 4 3 2 6" xfId="13987" xr:uid="{48E8543D-A77A-48F7-A5F5-EBCCAEFF3AFF}"/>
    <cellStyle name="Normal 5 5 4 3 3" xfId="2812" xr:uid="{00000000-0005-0000-0000-00006E070000}"/>
    <cellStyle name="Normal 5 5 4 3 3 2" xfId="6028" xr:uid="{217F6F0F-2140-46D5-8CE6-3D4C883F4C0F}"/>
    <cellStyle name="Normal 5 5 4 3 3 2 2" xfId="25989" xr:uid="{5EEFDEAC-E372-4922-9648-FDC3AFCC3270}"/>
    <cellStyle name="Normal 5 5 4 3 3 2 3" xfId="15482" xr:uid="{206BA647-D335-4636-B958-797D31966869}"/>
    <cellStyle name="Normal 5 5 4 3 3 3" xfId="7935" xr:uid="{F578BA06-A090-46B2-8A1B-DB179F472A2F}"/>
    <cellStyle name="Normal 5 5 4 3 3 3 2" xfId="18315" xr:uid="{5290133E-5A53-4E95-BD04-844675593609}"/>
    <cellStyle name="Normal 5 5 4 3 3 4" xfId="10768" xr:uid="{6C985679-09CE-4019-A3A6-1E2BB3D02311}"/>
    <cellStyle name="Normal 5 5 4 3 3 4 2" xfId="21148" xr:uid="{78EA3973-2134-4C51-AB0F-C5AE55D5FCAC}"/>
    <cellStyle name="Normal 5 5 4 3 3 5" xfId="24280" xr:uid="{07EAA85C-4968-4744-AADA-9BED06DCE515}"/>
    <cellStyle name="Normal 5 5 4 3 3 6" xfId="13278" xr:uid="{6CDF3F83-135F-4BC7-91CD-99B7AB23EB30}"/>
    <cellStyle name="Normal 5 5 4 3 4" xfId="4207" xr:uid="{15066793-57D5-4437-B28B-61C169F0E4AC}"/>
    <cellStyle name="Normal 5 5 4 3 4 2" xfId="8979" xr:uid="{D21FD296-27FE-4488-B8D5-388D122867AE}"/>
    <cellStyle name="Normal 5 5 4 3 4 2 2" xfId="29060" xr:uid="{DBC2EC50-7621-46E7-8386-942BC1FCAA5A}"/>
    <cellStyle name="Normal 5 5 4 3 4 2 3" xfId="19359" xr:uid="{3A4C442C-FAE9-4338-AD2A-B9825CE175E5}"/>
    <cellStyle name="Normal 5 5 4 3 4 3" xfId="11812" xr:uid="{B16D9B1C-6028-4C08-A4B6-129E5B23722D}"/>
    <cellStyle name="Normal 5 5 4 3 4 3 2" xfId="22192" xr:uid="{2A57EB7D-6C71-41AA-92D2-0E2A3A3CF7E6}"/>
    <cellStyle name="Normal 5 5 4 3 4 4" xfId="23748" xr:uid="{A05DAAD2-5842-4B6A-998C-12560685C46D}"/>
    <cellStyle name="Normal 5 5 4 3 4 5" xfId="16526" xr:uid="{C17561D3-2815-45DC-82A5-5F93F2A92885}"/>
    <cellStyle name="Normal 5 5 4 3 5" xfId="5366" xr:uid="{DB088A61-64E6-4201-89C4-69AFC83B9FBF}"/>
    <cellStyle name="Normal 5 5 4 3 5 2" xfId="26919" xr:uid="{CF76725B-BDE5-488F-91B8-D4676F444724}"/>
    <cellStyle name="Normal 5 5 4 3 5 3" xfId="14663" xr:uid="{CB004E3E-19BA-48AF-999F-6F920024FC64}"/>
    <cellStyle name="Normal 5 5 4 3 6" xfId="7116" xr:uid="{E6CB665E-F9E2-49C1-B7C9-8AEC90EC957D}"/>
    <cellStyle name="Normal 5 5 4 3 6 2" xfId="17496" xr:uid="{2AAF6171-5A59-4412-911B-F7C34FF102AA}"/>
    <cellStyle name="Normal 5 5 4 3 7" xfId="9949" xr:uid="{8BF43703-FE90-482D-96AB-785900DA65E7}"/>
    <cellStyle name="Normal 5 5 4 3 7 2" xfId="20329" xr:uid="{3432473F-743D-464A-AB4A-BCD453F869D1}"/>
    <cellStyle name="Normal 5 5 4 3 8" xfId="24185" xr:uid="{D0FD81B9-EF00-439C-9B33-886E72B50F44}"/>
    <cellStyle name="Normal 5 5 4 3 9" xfId="12775" xr:uid="{21028DE2-387F-4181-A218-A09739C44068}"/>
    <cellStyle name="Normal 5 5 4 4" xfId="1214" xr:uid="{00000000-0005-0000-0000-000084060000}"/>
    <cellStyle name="Normal 5 5 4 4 2" xfId="4566" xr:uid="{157EE7DE-ED78-41D4-BF89-854BCDBD8753}"/>
    <cellStyle name="Normal 5 5 4 4 2 2" xfId="9338" xr:uid="{46CC833B-5836-497C-83D8-337169783DE3}"/>
    <cellStyle name="Normal 5 5 4 4 2 2 2" xfId="29312" xr:uid="{EE5B18BB-9211-471B-A2C6-63FEF631B18B}"/>
    <cellStyle name="Normal 5 5 4 4 2 2 3" xfId="19718" xr:uid="{917607CE-4AD1-468A-985C-A4EDE998A94A}"/>
    <cellStyle name="Normal 5 5 4 4 2 3" xfId="12171" xr:uid="{E5A55687-2038-4D53-BEE7-F0BFB4FA39BC}"/>
    <cellStyle name="Normal 5 5 4 4 2 3 2" xfId="22551" xr:uid="{EF747E8A-3C16-4333-9232-201490E0262E}"/>
    <cellStyle name="Normal 5 5 4 4 2 4" xfId="22954" xr:uid="{3B708004-A7CE-48C6-9CB5-E218E391DB3A}"/>
    <cellStyle name="Normal 5 5 4 4 2 5" xfId="16885" xr:uid="{6E3E75C5-D46A-4737-B559-2AB79DD9B796}"/>
    <cellStyle name="Normal 5 5 4 4 3" xfId="5367" xr:uid="{0A9A3D45-D283-4CE8-8270-C55755043C6E}"/>
    <cellStyle name="Normal 5 5 4 4 3 2" xfId="28505" xr:uid="{3A7B5CAB-3EA8-4681-BCA7-A2B14946A26A}"/>
    <cellStyle name="Normal 5 5 4 4 3 3" xfId="14664" xr:uid="{D890EF97-0237-4E1A-B2DC-9FCBA898642D}"/>
    <cellStyle name="Normal 5 5 4 4 4" xfId="7117" xr:uid="{3391C957-E508-4404-BD54-4E0FA5C62B53}"/>
    <cellStyle name="Normal 5 5 4 4 4 2" xfId="17497" xr:uid="{2B55E696-D55C-430A-B8C5-2BB048403E81}"/>
    <cellStyle name="Normal 5 5 4 4 5" xfId="9950" xr:uid="{48B58101-0742-4EDF-8585-114A30975F5B}"/>
    <cellStyle name="Normal 5 5 4 4 5 2" xfId="20330" xr:uid="{2D4F3DC2-6C4A-4969-BA87-B12F912EE4CA}"/>
    <cellStyle name="Normal 5 5 4 4 6" xfId="24199" xr:uid="{CA5E9496-C789-442B-931B-6EDB9A10B695}"/>
    <cellStyle name="Normal 5 5 4 4 7" xfId="13988" xr:uid="{832AE13A-6AAB-454D-B5FE-1D62966B2F38}"/>
    <cellStyle name="Normal 5 5 4 5" xfId="2967" xr:uid="{00000000-0005-0000-0000-000070070000}"/>
    <cellStyle name="Normal 5 5 4 5 2" xfId="6132" xr:uid="{43560DDC-6333-48B3-B593-06D828932A1C}"/>
    <cellStyle name="Normal 5 5 4 5 2 2" xfId="25290" xr:uid="{F3FCD554-125C-4837-802F-EBDBE3EE0BCF}"/>
    <cellStyle name="Normal 5 5 4 5 2 3" xfId="26067" xr:uid="{52888AFD-CD49-40BE-A3A9-8284FB588678}"/>
    <cellStyle name="Normal 5 5 4 5 2 4" xfId="15610" xr:uid="{F29503EA-CD21-4E41-916C-8D818658A1A8}"/>
    <cellStyle name="Normal 5 5 4 5 3" xfId="8063" xr:uid="{CD0AC81D-4C30-43D7-AF42-06A7B31528FE}"/>
    <cellStyle name="Normal 5 5 4 5 3 2" xfId="28761" xr:uid="{AB7591CB-F89F-49C5-AB72-CB2DA27CBE9C}"/>
    <cellStyle name="Normal 5 5 4 5 3 3" xfId="18443" xr:uid="{8C7B239E-AC23-488E-8D2F-B82C80B465DF}"/>
    <cellStyle name="Normal 5 5 4 5 4" xfId="10896" xr:uid="{13236B69-3D00-425A-A559-B31B3E4CA88B}"/>
    <cellStyle name="Normal 5 5 4 5 4 2" xfId="21276" xr:uid="{05940147-B572-432E-A9BD-F2157B1FE877}"/>
    <cellStyle name="Normal 5 5 4 5 5" xfId="25212" xr:uid="{4572E5BC-DBA3-47FA-929E-B4453D0F36CB}"/>
    <cellStyle name="Normal 5 5 4 5 6" xfId="13473" xr:uid="{E4485919-9489-491C-B9CD-45FA9B034CB0}"/>
    <cellStyle name="Normal 5 5 4 6" xfId="2456" xr:uid="{00000000-0005-0000-0000-000071070000}"/>
    <cellStyle name="Normal 5 5 4 6 2" xfId="5748" xr:uid="{F06DB42E-D681-4B9D-9972-51B8D3A90435}"/>
    <cellStyle name="Normal 5 5 4 6 2 2" xfId="27461" xr:uid="{D8E3870C-88CA-47D4-9993-452C05AD3072}"/>
    <cellStyle name="Normal 5 5 4 6 2 3" xfId="15128" xr:uid="{0ED15E5C-A899-49F8-B6E9-C9F0F2908E55}"/>
    <cellStyle name="Normal 5 5 4 6 3" xfId="7581" xr:uid="{F6CADD64-4A82-439F-A05F-C9BEE3641BF0}"/>
    <cellStyle name="Normal 5 5 4 6 3 2" xfId="17961" xr:uid="{6E0C024C-1C37-4057-A849-854CC773B8AE}"/>
    <cellStyle name="Normal 5 5 4 6 4" xfId="10414" xr:uid="{4AB2F5E3-FF56-4D58-8DA2-EED3602FF820}"/>
    <cellStyle name="Normal 5 5 4 6 4 2" xfId="20794" xr:uid="{CDC85785-897D-419D-80D5-3646FAEB21C5}"/>
    <cellStyle name="Normal 5 5 4 6 5" xfId="25389" xr:uid="{716E7A91-B728-47C7-9BBA-D974E6B3B083}"/>
    <cellStyle name="Normal 5 5 4 6 6" xfId="12844" xr:uid="{FE024495-91C4-4E95-B64D-26D118050472}"/>
    <cellStyle name="Normal 5 5 4 7" xfId="2210" xr:uid="{00000000-0005-0000-0000-000065070000}"/>
    <cellStyle name="Normal 5 5 4 7 2" xfId="7337" xr:uid="{CDB152A3-FA48-46E4-B1B1-4A758871671D}"/>
    <cellStyle name="Normal 5 5 4 7 2 2" xfId="17717" xr:uid="{B3851944-EF81-43E6-BE8E-8E6902BB57FE}"/>
    <cellStyle name="Normal 5 5 4 7 3" xfId="10170" xr:uid="{83B1FE9F-3968-4327-8393-632D67E175E6}"/>
    <cellStyle name="Normal 5 5 4 7 3 2" xfId="20550" xr:uid="{73533A79-19BB-4534-9BA5-F72DCD3D4905}"/>
    <cellStyle name="Normal 5 5 4 7 4" xfId="24276" xr:uid="{442DB867-847A-43E3-AC7E-CB20FE8F471D}"/>
    <cellStyle name="Normal 5 5 4 7 5" xfId="14884" xr:uid="{E44802E5-DE8E-4138-91A8-056C6C3C5BAA}"/>
    <cellStyle name="Normal 5 5 4 8" xfId="4028" xr:uid="{0162DD0B-71A7-465E-A829-6251DA6707D0}"/>
    <cellStyle name="Normal 5 5 4 8 2" xfId="8829" xr:uid="{7F9E0C5D-5CAE-475E-BD0B-14C56A8166FF}"/>
    <cellStyle name="Normal 5 5 4 8 2 2" xfId="19209" xr:uid="{A9CDA95E-2FE3-41A7-A01E-7B7399FEDC86}"/>
    <cellStyle name="Normal 5 5 4 8 3" xfId="11662" xr:uid="{29FA82FF-BA26-47DA-BFAE-0624A1A744B2}"/>
    <cellStyle name="Normal 5 5 4 8 3 2" xfId="22042" xr:uid="{C3CC5B23-C230-495B-8130-722446E29811}"/>
    <cellStyle name="Normal 5 5 4 8 4" xfId="16376" xr:uid="{0AA7228F-51B6-4F80-9D5F-AE3D32298536}"/>
    <cellStyle name="Normal 5 5 4 9" xfId="5363" xr:uid="{83DDD56E-E7C5-4B28-97A7-4C900E28DF1F}"/>
    <cellStyle name="Normal 5 5 4 9 2" xfId="14660" xr:uid="{133DAB68-AE63-4F02-9468-2540A675DF06}"/>
    <cellStyle name="Normal 5 5 5" xfId="1215" xr:uid="{00000000-0005-0000-0000-000085060000}"/>
    <cellStyle name="Normal 5 5 5 10" xfId="9951" xr:uid="{6E19B45A-9719-4CF1-A76F-55590E64356A}"/>
    <cellStyle name="Normal 5 5 5 10 2" xfId="20331" xr:uid="{BB0444A7-C2EF-44E8-B04D-0768A6EB6435}"/>
    <cellStyle name="Normal 5 5 5 11" xfId="25573" xr:uid="{54157B82-19DE-4B4C-A0F4-6E81203A9811}"/>
    <cellStyle name="Normal 5 5 5 12" xfId="12618" xr:uid="{23E75295-F147-477E-96CA-EB5C86B5511E}"/>
    <cellStyle name="Normal 5 5 5 2" xfId="1216" xr:uid="{00000000-0005-0000-0000-000086060000}"/>
    <cellStyle name="Normal 5 5 5 2 2" xfId="1217" xr:uid="{00000000-0005-0000-0000-000087060000}"/>
    <cellStyle name="Normal 5 5 5 2 2 2" xfId="5370" xr:uid="{FCACC8EB-6DA7-4E83-87A7-9881E1E64148}"/>
    <cellStyle name="Normal 5 5 5 2 2 2 2" xfId="24367" xr:uid="{CBC1034A-6798-465D-AF7B-6C88ED5568FC}"/>
    <cellStyle name="Normal 5 5 5 2 2 2 3" xfId="27776" xr:uid="{C24177E6-CFA2-44F9-8258-23A36802CF58}"/>
    <cellStyle name="Normal 5 5 5 2 2 2 4" xfId="14667" xr:uid="{A35A8776-8A3B-43B0-A05C-B0D0FBEC4C53}"/>
    <cellStyle name="Normal 5 5 5 2 2 3" xfId="7120" xr:uid="{414C89D4-A323-4F0F-845B-5719799140A9}"/>
    <cellStyle name="Normal 5 5 5 2 2 3 2" xfId="27646" xr:uid="{F02604B8-A12F-4A96-A158-2EFDB4797422}"/>
    <cellStyle name="Normal 5 5 5 2 2 3 3" xfId="28035" xr:uid="{E9638A18-7FE1-4261-B179-82B687896246}"/>
    <cellStyle name="Normal 5 5 5 2 2 3 4" xfId="17500" xr:uid="{45ADF6DF-EFD3-4CAE-8E3A-10A16CEF4641}"/>
    <cellStyle name="Normal 5 5 5 2 2 4" xfId="9953" xr:uid="{20F04362-5A26-415D-881F-36416F5AC659}"/>
    <cellStyle name="Normal 5 5 5 2 2 4 2" xfId="29436" xr:uid="{BC9206DE-8D27-4114-9ABC-1420BD704A60}"/>
    <cellStyle name="Normal 5 5 5 2 2 4 3" xfId="20333" xr:uid="{581C1272-63CF-478C-BAB8-E4A5E61E4CC4}"/>
    <cellStyle name="Normal 5 5 5 2 2 5" xfId="24884" xr:uid="{2388C303-93F3-4749-93F1-93EA9E7ABBD1}"/>
    <cellStyle name="Normal 5 5 5 2 2 6" xfId="13989" xr:uid="{AD240362-FB4D-4B6A-AD0C-43D9833AD1A5}"/>
    <cellStyle name="Normal 5 5 5 2 3" xfId="2813" xr:uid="{00000000-0005-0000-0000-000075070000}"/>
    <cellStyle name="Normal 5 5 5 2 3 2" xfId="6029" xr:uid="{62AB6F15-9964-4C9E-8D14-8718ABD95DE2}"/>
    <cellStyle name="Normal 5 5 5 2 3 2 2" xfId="26214" xr:uid="{1136051C-9C4A-4462-A9BF-68ABF15D6279}"/>
    <cellStyle name="Normal 5 5 5 2 3 2 3" xfId="15483" xr:uid="{D594E1B4-51EF-45DC-84B1-AFC92B4B07DE}"/>
    <cellStyle name="Normal 5 5 5 2 3 3" xfId="7936" xr:uid="{3670061B-1390-40B0-872F-7C40126F21CC}"/>
    <cellStyle name="Normal 5 5 5 2 3 3 2" xfId="18316" xr:uid="{466103BF-283C-4D88-ADE1-4263E7B40722}"/>
    <cellStyle name="Normal 5 5 5 2 3 4" xfId="10769" xr:uid="{C7E2731C-C3AE-4945-9084-C93B6941B24D}"/>
    <cellStyle name="Normal 5 5 5 2 3 4 2" xfId="21149" xr:uid="{53F91B0C-7043-4FCD-B5A6-45F3B1B5AB73}"/>
    <cellStyle name="Normal 5 5 5 2 3 5" xfId="24666" xr:uid="{A19FD8AC-BF97-4D05-8A2E-76FB1CD2579B}"/>
    <cellStyle name="Normal 5 5 5 2 3 6" xfId="13280" xr:uid="{88098FBB-C014-48B5-86E3-0C17C71E0B41}"/>
    <cellStyle name="Normal 5 5 5 2 4" xfId="4208" xr:uid="{A6B1CA8D-96C0-43EB-ACA2-4F886A220171}"/>
    <cellStyle name="Normal 5 5 5 2 4 2" xfId="8980" xr:uid="{022BBE30-7EE2-4A6A-873A-8937F640EB70}"/>
    <cellStyle name="Normal 5 5 5 2 4 2 2" xfId="29061" xr:uid="{D1FEC174-600C-4F6F-8155-EF3F4025C125}"/>
    <cellStyle name="Normal 5 5 5 2 4 2 3" xfId="19360" xr:uid="{0B1C605A-9B58-44EB-B18B-979AFF7B8C7A}"/>
    <cellStyle name="Normal 5 5 5 2 4 3" xfId="11813" xr:uid="{B864424B-9BF5-48CD-939C-54F596142CE6}"/>
    <cellStyle name="Normal 5 5 5 2 4 3 2" xfId="22193" xr:uid="{7DCB35C7-FDFC-4C2B-B67C-65D7C429C395}"/>
    <cellStyle name="Normal 5 5 5 2 4 4" xfId="23836" xr:uid="{FA272100-6D47-4773-840A-2A6FF3EAD610}"/>
    <cellStyle name="Normal 5 5 5 2 4 5" xfId="16527" xr:uid="{760231F9-0ACB-4049-91C4-0D9B1B589B12}"/>
    <cellStyle name="Normal 5 5 5 2 5" xfId="5369" xr:uid="{9ADC1A57-D3CE-46B9-975F-97C8AF653527}"/>
    <cellStyle name="Normal 5 5 5 2 5 2" xfId="28333" xr:uid="{A0480643-3AB8-4E9F-957B-4AD6F55A69E3}"/>
    <cellStyle name="Normal 5 5 5 2 5 3" xfId="14666" xr:uid="{5C5310BE-E23B-4F80-B5C5-98B30FDD8638}"/>
    <cellStyle name="Normal 5 5 5 2 6" xfId="7119" xr:uid="{FB854092-8980-4F06-9F0B-ABC13970D201}"/>
    <cellStyle name="Normal 5 5 5 2 6 2" xfId="17499" xr:uid="{84D8938B-F204-458F-8BF9-653B09345A1A}"/>
    <cellStyle name="Normal 5 5 5 2 7" xfId="9952" xr:uid="{F0FA93FE-3BC4-4CD0-A9C4-D02C0CA4F127}"/>
    <cellStyle name="Normal 5 5 5 2 7 2" xfId="20332" xr:uid="{FD583938-D09D-4E9F-85A5-4844CCF11D57}"/>
    <cellStyle name="Normal 5 5 5 2 8" xfId="24529" xr:uid="{3327FE76-887A-4475-85C7-8D99DC9FB0F0}"/>
    <cellStyle name="Normal 5 5 5 2 9" xfId="12776" xr:uid="{048AB379-D15A-4E96-B231-408B758BB348}"/>
    <cellStyle name="Normal 5 5 5 3" xfId="1218" xr:uid="{00000000-0005-0000-0000-000088060000}"/>
    <cellStyle name="Normal 5 5 5 3 2" xfId="4567" xr:uid="{58A2EA87-66DA-47B7-8FBA-4DE4A6FE6248}"/>
    <cellStyle name="Normal 5 5 5 3 2 2" xfId="9339" xr:uid="{88BB48B0-B364-49DA-921C-3C2522E165C2}"/>
    <cellStyle name="Normal 5 5 5 3 2 2 2" xfId="29313" xr:uid="{24F200A2-58BC-4892-ACAF-F3D3F8E009F7}"/>
    <cellStyle name="Normal 5 5 5 3 2 2 3" xfId="19719" xr:uid="{7104412B-BF2D-4755-8E88-329C85F1FD50}"/>
    <cellStyle name="Normal 5 5 5 3 2 3" xfId="12172" xr:uid="{0728B936-A8BF-4F96-B837-FCEBB44189C4}"/>
    <cellStyle name="Normal 5 5 5 3 2 3 2" xfId="22552" xr:uid="{75A6FCC8-F9C8-4841-AC96-0C15A4CB500D}"/>
    <cellStyle name="Normal 5 5 5 3 2 4" xfId="23332" xr:uid="{1A4A6263-8FCF-4428-ABDA-A2A2FB506C08}"/>
    <cellStyle name="Normal 5 5 5 3 2 5" xfId="16886" xr:uid="{0B1D36EA-2ED6-42FF-9214-AF0150472DAC}"/>
    <cellStyle name="Normal 5 5 5 3 3" xfId="5371" xr:uid="{0845D4E4-1E27-41B8-8AF9-6D70676DD26E}"/>
    <cellStyle name="Normal 5 5 5 3 3 2" xfId="22957" xr:uid="{C14D9BED-EDDC-439B-AE86-9DDDC251009F}"/>
    <cellStyle name="Normal 5 5 5 3 3 3" xfId="28432" xr:uid="{538A9165-DE48-4606-9C13-497BC7CE77BD}"/>
    <cellStyle name="Normal 5 5 5 3 3 4" xfId="14668" xr:uid="{CE094B22-59C6-48AE-87DB-8FA20BB9D4E6}"/>
    <cellStyle name="Normal 5 5 5 3 4" xfId="7121" xr:uid="{2704CCF2-EAD6-4C0A-A2A5-7F41CC568D78}"/>
    <cellStyle name="Normal 5 5 5 3 4 2" xfId="25142" xr:uid="{B846FBE5-F26C-4FA9-B81B-065952EF2B0A}"/>
    <cellStyle name="Normal 5 5 5 3 4 3" xfId="26620" xr:uid="{54992FBD-1FAB-4252-B5DE-4A5EAF4658A6}"/>
    <cellStyle name="Normal 5 5 5 3 4 4" xfId="17501" xr:uid="{D48BAEFD-8345-4869-8553-2FE0C9785906}"/>
    <cellStyle name="Normal 5 5 5 3 5" xfId="9954" xr:uid="{F167411F-D152-45F9-B2DD-01FCC3793CFF}"/>
    <cellStyle name="Normal 5 5 5 3 5 2" xfId="29437" xr:uid="{D49AAC0F-874E-4750-AB42-62A8CF6C5BCD}"/>
    <cellStyle name="Normal 5 5 5 3 5 3" xfId="20334" xr:uid="{7B4FE8CE-6A41-4BD1-905D-607121CB3E83}"/>
    <cellStyle name="Normal 5 5 5 3 6" xfId="24557" xr:uid="{B95EE0B6-9746-411A-99C7-DF892575E63F}"/>
    <cellStyle name="Normal 5 5 5 3 7" xfId="13990" xr:uid="{14FE9674-D40A-4A33-95F0-018CC67879A2}"/>
    <cellStyle name="Normal 5 5 5 4" xfId="1219" xr:uid="{00000000-0005-0000-0000-000089060000}"/>
    <cellStyle name="Normal 5 5 5 4 2" xfId="5372" xr:uid="{45BFE719-90F2-4722-9228-23B15C1BA9EA}"/>
    <cellStyle name="Normal 5 5 5 4 2 2" xfId="23884" xr:uid="{FF7882AD-B650-43A2-8B90-299E6E6A590D}"/>
    <cellStyle name="Normal 5 5 5 4 2 3" xfId="26619" xr:uid="{DEF13D60-8810-43B8-93AA-8693590CDCE3}"/>
    <cellStyle name="Normal 5 5 5 4 2 4" xfId="14669" xr:uid="{1E14CE39-49B9-41C2-A7AC-88D35D6B40D2}"/>
    <cellStyle name="Normal 5 5 5 4 3" xfId="7122" xr:uid="{CA3ADE04-7C0F-424F-8FD7-40F3FE4BA389}"/>
    <cellStyle name="Normal 5 5 5 4 3 2" xfId="25905" xr:uid="{A236CB55-4C75-426A-BD30-1115C2901D0D}"/>
    <cellStyle name="Normal 5 5 5 4 3 3" xfId="17502" xr:uid="{589001E8-3100-4474-A7AA-0E71062318F1}"/>
    <cellStyle name="Normal 5 5 5 4 4" xfId="9955" xr:uid="{EACE63F4-D33C-4DF0-81B3-7CCD65BD08CC}"/>
    <cellStyle name="Normal 5 5 5 4 4 2" xfId="20335" xr:uid="{520863E5-B0D3-49CB-9F42-F263A001D051}"/>
    <cellStyle name="Normal 5 5 5 4 5" xfId="22838" xr:uid="{5676DE0F-F16D-4B9F-A080-9A84B89C72C9}"/>
    <cellStyle name="Normal 5 5 5 4 6" xfId="13474" xr:uid="{500602CF-302A-4AC8-A976-B86C5F74E744}"/>
    <cellStyle name="Normal 5 5 5 5" xfId="2516" xr:uid="{00000000-0005-0000-0000-000078070000}"/>
    <cellStyle name="Normal 5 5 5 5 2" xfId="5794" xr:uid="{7CCC2903-A2F6-46E1-87BE-4D0A179B818B}"/>
    <cellStyle name="Normal 5 5 5 5 2 2" xfId="27198" xr:uid="{F1F4D5FC-E796-47D2-8807-A40E26BFFB34}"/>
    <cellStyle name="Normal 5 5 5 5 2 3" xfId="15188" xr:uid="{4837B486-317E-4FC1-921D-4EEB4B46BD4C}"/>
    <cellStyle name="Normal 5 5 5 5 3" xfId="7641" xr:uid="{6220D5D8-EF26-4007-B166-3AF647AB9875}"/>
    <cellStyle name="Normal 5 5 5 5 3 2" xfId="18021" xr:uid="{0B1ABCED-48B9-497B-A66E-84D542B3E228}"/>
    <cellStyle name="Normal 5 5 5 5 4" xfId="10474" xr:uid="{1B8CCB87-F62F-4772-BFF4-2D938484667A}"/>
    <cellStyle name="Normal 5 5 5 5 4 2" xfId="20854" xr:uid="{3769DF5C-8962-4083-8F0A-7BC47C781775}"/>
    <cellStyle name="Normal 5 5 5 5 5" xfId="22740" xr:uid="{92A8D6B5-003A-480D-AD45-9AB1CA391AAC}"/>
    <cellStyle name="Normal 5 5 5 5 6" xfId="12904" xr:uid="{F1DF4D56-D263-4DC4-81BE-2663EC073DDF}"/>
    <cellStyle name="Normal 5 5 5 6" xfId="2384" xr:uid="{00000000-0005-0000-0000-000072070000}"/>
    <cellStyle name="Normal 5 5 5 6 2" xfId="7511" xr:uid="{8D3C0B12-98E6-4B26-918D-28448EBBA08C}"/>
    <cellStyle name="Normal 5 5 5 6 2 2" xfId="27823" xr:uid="{AC81FED6-16C4-48B8-8C17-E609DFC7659F}"/>
    <cellStyle name="Normal 5 5 5 6 2 3" xfId="17891" xr:uid="{4F234D36-F14F-455D-A28B-8DB25B608DFB}"/>
    <cellStyle name="Normal 5 5 5 6 3" xfId="10344" xr:uid="{97EF8C04-5C97-449B-AC86-6ADC8DA6D556}"/>
    <cellStyle name="Normal 5 5 5 6 3 2" xfId="20724" xr:uid="{655B5E20-0F29-4C2B-A74C-4EBEF19867B7}"/>
    <cellStyle name="Normal 5 5 5 6 4" xfId="23206" xr:uid="{C86AB3B4-A5CB-4767-95D9-6E3840BC1E29}"/>
    <cellStyle name="Normal 5 5 5 6 5" xfId="15058" xr:uid="{9E5CF3C3-0E9E-4E8F-98EB-96AE2671A85F}"/>
    <cellStyle name="Normal 5 5 5 7" xfId="4029" xr:uid="{C7AA4B3D-D9F4-4E25-AADC-168DD5111C03}"/>
    <cellStyle name="Normal 5 5 5 7 2" xfId="8830" xr:uid="{5AA0BE2A-161F-44BA-872C-DCA0D1F8191D}"/>
    <cellStyle name="Normal 5 5 5 7 2 2" xfId="19210" xr:uid="{C772A02D-D990-4CA4-83BE-A7C708D3901F}"/>
    <cellStyle name="Normal 5 5 5 7 3" xfId="11663" xr:uid="{097005BF-3A8B-44FF-8489-CD1E2FB75373}"/>
    <cellStyle name="Normal 5 5 5 7 3 2" xfId="22043" xr:uid="{F809DEF3-E1B4-4316-A22F-FC98C786A3FE}"/>
    <cellStyle name="Normal 5 5 5 7 4" xfId="28645" xr:uid="{1EF527F3-D27E-4D69-8538-0BE485A897A3}"/>
    <cellStyle name="Normal 5 5 5 7 5" xfId="16377" xr:uid="{39826876-4779-4AA2-A43B-1D60609EDC91}"/>
    <cellStyle name="Normal 5 5 5 8" xfId="5368" xr:uid="{9D5E061F-7615-4BE5-BAC0-217AB53DF3CC}"/>
    <cellStyle name="Normal 5 5 5 8 2" xfId="14665" xr:uid="{86C6D9B4-4739-4F80-87E4-24CA576FFBC5}"/>
    <cellStyle name="Normal 5 5 5 9" xfId="7118" xr:uid="{7A9C01FA-CD4F-4744-AA62-996255D40237}"/>
    <cellStyle name="Normal 5 5 5 9 2" xfId="17498" xr:uid="{3E75972A-A69E-45EB-93ED-EA4B0032F62E}"/>
    <cellStyle name="Normal 5 5 6" xfId="1220" xr:uid="{00000000-0005-0000-0000-00008A060000}"/>
    <cellStyle name="Normal 5 5 6 10" xfId="9956" xr:uid="{6EEB70CD-A015-4A9B-AC88-D035DFFCB62D}"/>
    <cellStyle name="Normal 5 5 6 10 2" xfId="20336" xr:uid="{B4A1A7B8-1FEE-4206-B280-9DCBD474C172}"/>
    <cellStyle name="Normal 5 5 6 11" xfId="24163" xr:uid="{B8349E58-0DEA-4C18-AF48-5526BB9C7BCA}"/>
    <cellStyle name="Normal 5 5 6 12" xfId="12619" xr:uid="{9C293F44-D44C-4663-86D2-00E27104FD4F}"/>
    <cellStyle name="Normal 5 5 6 2" xfId="1221" xr:uid="{00000000-0005-0000-0000-00008B060000}"/>
    <cellStyle name="Normal 5 5 6 2 2" xfId="1222" xr:uid="{00000000-0005-0000-0000-00008C060000}"/>
    <cellStyle name="Normal 5 5 6 2 2 2" xfId="5375" xr:uid="{CDE40F86-F9DF-4DC3-9980-578B96CB55D3}"/>
    <cellStyle name="Normal 5 5 6 2 2 2 2" xfId="25700" xr:uid="{F7D92C3C-FC85-4B0B-B152-E9B7EE05937F}"/>
    <cellStyle name="Normal 5 5 6 2 2 2 3" xfId="27312" xr:uid="{B1ED235E-B447-4C10-811A-E3A301235D32}"/>
    <cellStyle name="Normal 5 5 6 2 2 2 4" xfId="14672" xr:uid="{5C5616AD-2DAD-4D67-9C9F-5F6DCBA8E4A8}"/>
    <cellStyle name="Normal 5 5 6 2 2 3" xfId="7125" xr:uid="{FEF6CD90-16F7-4057-AEF9-17B409260224}"/>
    <cellStyle name="Normal 5 5 6 2 2 3 2" xfId="27647" xr:uid="{0B3B660A-7011-4368-8FB3-B27BE3F4CDE4}"/>
    <cellStyle name="Normal 5 5 6 2 2 3 3" xfId="26193" xr:uid="{E23577E3-8C64-48F2-82A9-5900E1494813}"/>
    <cellStyle name="Normal 5 5 6 2 2 3 4" xfId="17505" xr:uid="{B5D80408-07A1-4519-BF70-B6C1D147F2F8}"/>
    <cellStyle name="Normal 5 5 6 2 2 4" xfId="9958" xr:uid="{446F0DFD-8CE2-419E-88B7-B6DF48636C48}"/>
    <cellStyle name="Normal 5 5 6 2 2 4 2" xfId="29438" xr:uid="{65D94745-4EE7-4EB2-9A3F-41C69496D278}"/>
    <cellStyle name="Normal 5 5 6 2 2 4 3" xfId="20338" xr:uid="{05475EAF-E766-4F31-997A-B3C55DB3C61E}"/>
    <cellStyle name="Normal 5 5 6 2 2 5" xfId="23654" xr:uid="{29DC5747-4388-4069-9CD7-83318DBC9509}"/>
    <cellStyle name="Normal 5 5 6 2 2 6" xfId="13991" xr:uid="{92A932BF-932B-4A06-B455-BDBF41B6A85A}"/>
    <cellStyle name="Normal 5 5 6 2 3" xfId="2814" xr:uid="{00000000-0005-0000-0000-00007C070000}"/>
    <cellStyle name="Normal 5 5 6 2 3 2" xfId="6030" xr:uid="{13C3605F-2576-4686-B7A9-A2C135517A5B}"/>
    <cellStyle name="Normal 5 5 6 2 3 2 2" xfId="26714" xr:uid="{628696E7-D89A-4D16-BD64-6C184FC453C1}"/>
    <cellStyle name="Normal 5 5 6 2 3 2 3" xfId="15484" xr:uid="{615A8357-04D1-4671-B0EA-66FDB86B4534}"/>
    <cellStyle name="Normal 5 5 6 2 3 3" xfId="7937" xr:uid="{83E1C646-6BA7-460A-A3E9-39E698708535}"/>
    <cellStyle name="Normal 5 5 6 2 3 3 2" xfId="18317" xr:uid="{E1ECE0D1-EFD8-46AF-BB41-48C8D2A65BF4}"/>
    <cellStyle name="Normal 5 5 6 2 3 4" xfId="10770" xr:uid="{55F877D8-1DC6-420B-AD0F-8E9082ED7B79}"/>
    <cellStyle name="Normal 5 5 6 2 3 4 2" xfId="21150" xr:uid="{553701C5-EAAD-43E7-8CBB-1858BABCB8C5}"/>
    <cellStyle name="Normal 5 5 6 2 3 5" xfId="25378" xr:uid="{03934C22-396E-4729-8431-8374205DF924}"/>
    <cellStyle name="Normal 5 5 6 2 3 6" xfId="13281" xr:uid="{31BBC8F6-AE54-4AF1-9339-B1A8F606F659}"/>
    <cellStyle name="Normal 5 5 6 2 4" xfId="4209" xr:uid="{C5EBD5B1-84A3-4D3A-9865-BF68F20B2782}"/>
    <cellStyle name="Normal 5 5 6 2 4 2" xfId="8981" xr:uid="{13D76342-EC5E-4AF0-9E4B-6A88ED465A60}"/>
    <cellStyle name="Normal 5 5 6 2 4 2 2" xfId="29062" xr:uid="{8D2A4BD1-AF0A-4879-9B45-8AFB7EA9D996}"/>
    <cellStyle name="Normal 5 5 6 2 4 2 3" xfId="19361" xr:uid="{B1ECAA98-F080-4B67-AD68-E76C3E8B4857}"/>
    <cellStyle name="Normal 5 5 6 2 4 3" xfId="11814" xr:uid="{AC66E1A0-9AA7-4A47-823A-789B7595EA98}"/>
    <cellStyle name="Normal 5 5 6 2 4 3 2" xfId="22194" xr:uid="{84C60AFC-2716-41AA-B1CB-3A20BD141741}"/>
    <cellStyle name="Normal 5 5 6 2 4 4" xfId="24184" xr:uid="{44CEF633-C0DB-45B9-A242-DE29C09DA71C}"/>
    <cellStyle name="Normal 5 5 6 2 4 5" xfId="16528" xr:uid="{0D879ADC-3C70-485F-BCB0-9E626CE4AB60}"/>
    <cellStyle name="Normal 5 5 6 2 5" xfId="5374" xr:uid="{03C0E654-1E46-42BD-9DAE-F03D7614F235}"/>
    <cellStyle name="Normal 5 5 6 2 5 2" xfId="26365" xr:uid="{9A8328A8-C0E4-46B4-8068-4A4266341067}"/>
    <cellStyle name="Normal 5 5 6 2 5 3" xfId="14671" xr:uid="{51156F89-C961-4DBD-ADCD-864D8202C171}"/>
    <cellStyle name="Normal 5 5 6 2 6" xfId="7124" xr:uid="{2329B334-BD2C-4E7B-B94A-ABB4C00B17EF}"/>
    <cellStyle name="Normal 5 5 6 2 6 2" xfId="17504" xr:uid="{70018A48-9751-46A9-8AE3-14CAEEBD4F81}"/>
    <cellStyle name="Normal 5 5 6 2 7" xfId="9957" xr:uid="{6EA1EA1C-01B4-44C8-83BC-065584F05E93}"/>
    <cellStyle name="Normal 5 5 6 2 7 2" xfId="20337" xr:uid="{2EE71426-43B2-46BB-B971-3B2DDB9F3D48}"/>
    <cellStyle name="Normal 5 5 6 2 8" xfId="24476" xr:uid="{C6A8A916-DD63-4CA0-B32C-738BEA8EA594}"/>
    <cellStyle name="Normal 5 5 6 2 9" xfId="12777" xr:uid="{BC527640-3D79-4958-B1D2-C02A79A6E76C}"/>
    <cellStyle name="Normal 5 5 6 3" xfId="1223" xr:uid="{00000000-0005-0000-0000-00008D060000}"/>
    <cellStyle name="Normal 5 5 6 3 2" xfId="4568" xr:uid="{ACD83D57-3DE5-4558-BE38-8475C61839FE}"/>
    <cellStyle name="Normal 5 5 6 3 2 2" xfId="9340" xr:uid="{B2082EEB-65FE-4F3B-BFFB-5544B1414BDE}"/>
    <cellStyle name="Normal 5 5 6 3 2 2 2" xfId="29314" xr:uid="{8A92274D-027B-4A60-A6E7-C43392C0C43B}"/>
    <cellStyle name="Normal 5 5 6 3 2 2 3" xfId="19720" xr:uid="{D3513F62-205E-49C7-A0D8-7242F205123E}"/>
    <cellStyle name="Normal 5 5 6 3 2 3" xfId="12173" xr:uid="{00C44274-DA69-4A6C-9265-49E7873A84CD}"/>
    <cellStyle name="Normal 5 5 6 3 2 3 2" xfId="22553" xr:uid="{A81F6365-28D6-4CA6-8501-C6F296B31710}"/>
    <cellStyle name="Normal 5 5 6 3 2 4" xfId="24778" xr:uid="{4597C8CF-6853-4785-A153-F2D6BEB4A80D}"/>
    <cellStyle name="Normal 5 5 6 3 2 5" xfId="16887" xr:uid="{E26DD20E-0140-4D48-A1A4-B69222AF14F1}"/>
    <cellStyle name="Normal 5 5 6 3 3" xfId="5376" xr:uid="{F51C0721-BBA3-461C-9BB7-C687AFDC0ABB}"/>
    <cellStyle name="Normal 5 5 6 3 3 2" xfId="26854" xr:uid="{A495A101-35A8-4017-A3CA-76C27D562F57}"/>
    <cellStyle name="Normal 5 5 6 3 3 3" xfId="27733" xr:uid="{DDCBFF35-41AE-4524-85CD-0AF80E2A4BD4}"/>
    <cellStyle name="Normal 5 5 6 3 3 4" xfId="14673" xr:uid="{432695F9-6711-4AC9-88D9-FD85C71B1064}"/>
    <cellStyle name="Normal 5 5 6 3 4" xfId="7126" xr:uid="{C6515211-7A56-4FEF-A578-57C661268797}"/>
    <cellStyle name="Normal 5 5 6 3 4 2" xfId="26295" xr:uid="{CF22D48D-09C9-49FB-A2FF-C2F69C9C45F3}"/>
    <cellStyle name="Normal 5 5 6 3 4 3" xfId="28404" xr:uid="{9B985830-4FA7-4645-8568-0B9F49912AE0}"/>
    <cellStyle name="Normal 5 5 6 3 4 4" xfId="17506" xr:uid="{5C33A17E-3D29-43F0-BBDE-F347BE8C996D}"/>
    <cellStyle name="Normal 5 5 6 3 5" xfId="9959" xr:uid="{08FC8579-C9D5-4FC4-BD15-8576FF1397AC}"/>
    <cellStyle name="Normal 5 5 6 3 5 2" xfId="29439" xr:uid="{B27F0A07-3523-418C-B6BB-98F3D23D0A4E}"/>
    <cellStyle name="Normal 5 5 6 3 5 3" xfId="20339" xr:uid="{126EDBB3-8A5F-46EF-8E95-D4F13FED7E5E}"/>
    <cellStyle name="Normal 5 5 6 3 6" xfId="23083" xr:uid="{E237F0A5-6513-4735-A38F-86FB094DBCA1}"/>
    <cellStyle name="Normal 5 5 6 3 7" xfId="13992" xr:uid="{DF9C8095-BC55-4766-A742-79804A643804}"/>
    <cellStyle name="Normal 5 5 6 4" xfId="1224" xr:uid="{00000000-0005-0000-0000-00008E060000}"/>
    <cellStyle name="Normal 5 5 6 4 2" xfId="5377" xr:uid="{86FD4E8C-082F-4BEC-916B-07BFF450C7AF}"/>
    <cellStyle name="Normal 5 5 6 4 2 2" xfId="22950" xr:uid="{D66E9271-00C6-48E6-9854-C9FCA2482B6E}"/>
    <cellStyle name="Normal 5 5 6 4 2 3" xfId="26733" xr:uid="{81D18B65-E513-42F7-B581-A75F2EDB1D2F}"/>
    <cellStyle name="Normal 5 5 6 4 2 4" xfId="14674" xr:uid="{B4B4FF8D-0A85-4AA9-8DF9-379D4EB57653}"/>
    <cellStyle name="Normal 5 5 6 4 3" xfId="7127" xr:uid="{3B0E9406-A094-4E19-8AF5-BFE908960147}"/>
    <cellStyle name="Normal 5 5 6 4 3 2" xfId="28417" xr:uid="{BA43560F-41EA-43C1-AF4A-B43F7C22E59F}"/>
    <cellStyle name="Normal 5 5 6 4 3 3" xfId="17507" xr:uid="{3A34CD3A-4373-47F0-8B09-C815DBB85517}"/>
    <cellStyle name="Normal 5 5 6 4 4" xfId="9960" xr:uid="{00A68561-A889-4876-BD93-DCD4E076BA39}"/>
    <cellStyle name="Normal 5 5 6 4 4 2" xfId="20340" xr:uid="{3ABC0843-2C5F-46D9-B912-5C12BB77CA5B}"/>
    <cellStyle name="Normal 5 5 6 4 5" xfId="22945" xr:uid="{356FEBF9-1137-4BF0-8596-C71DB88BD296}"/>
    <cellStyle name="Normal 5 5 6 4 6" xfId="13475" xr:uid="{001E17DE-2D5E-489E-BFC4-4AEF2E917B35}"/>
    <cellStyle name="Normal 5 5 6 5" xfId="2579" xr:uid="{00000000-0005-0000-0000-00007F070000}"/>
    <cellStyle name="Normal 5 5 6 5 2" xfId="5844" xr:uid="{151CA46E-5812-4546-9888-067ACA00706C}"/>
    <cellStyle name="Normal 5 5 6 5 2 2" xfId="27896" xr:uid="{C8FDCBE8-1CFA-45A8-A557-2BAB27E8DB55}"/>
    <cellStyle name="Normal 5 5 6 5 2 3" xfId="15251" xr:uid="{0670CA33-C44B-4A1C-926B-D5A1F99BE1A2}"/>
    <cellStyle name="Normal 5 5 6 5 3" xfId="7704" xr:uid="{488B38C3-B909-489F-9E3E-C127E39FE0FC}"/>
    <cellStyle name="Normal 5 5 6 5 3 2" xfId="18084" xr:uid="{6CAB44CC-D3F5-4FAF-B02E-06875B7715CC}"/>
    <cellStyle name="Normal 5 5 6 5 4" xfId="10537" xr:uid="{F0BB4B85-C2FE-48C0-9035-F59F6B6AF553}"/>
    <cellStyle name="Normal 5 5 6 5 4 2" xfId="20917" xr:uid="{5D34E16D-65A8-4796-B423-B869C0EC33AE}"/>
    <cellStyle name="Normal 5 5 6 5 5" xfId="25042" xr:uid="{10CE3F26-A178-42B3-8CFB-B5EE0FBF41E0}"/>
    <cellStyle name="Normal 5 5 6 5 6" xfId="12967" xr:uid="{9F7E1AE8-61D7-43B4-84C3-BB6A2BC47D29}"/>
    <cellStyle name="Normal 5 5 6 6" xfId="2385" xr:uid="{00000000-0005-0000-0000-000079070000}"/>
    <cellStyle name="Normal 5 5 6 6 2" xfId="7512" xr:uid="{915E2F73-636F-47E4-9C3E-B5751BBAC000}"/>
    <cellStyle name="Normal 5 5 6 6 2 2" xfId="27525" xr:uid="{A9800C9F-CA9F-438C-8267-C35D597EC015}"/>
    <cellStyle name="Normal 5 5 6 6 2 3" xfId="17892" xr:uid="{AD156AFE-689A-4610-B8D3-86099B7264D1}"/>
    <cellStyle name="Normal 5 5 6 6 3" xfId="10345" xr:uid="{50B70286-31B7-4705-A652-EEA9BF7487C1}"/>
    <cellStyle name="Normal 5 5 6 6 3 2" xfId="20725" xr:uid="{10AB95FA-D702-4886-A63B-ABFA0AC50956}"/>
    <cellStyle name="Normal 5 5 6 6 4" xfId="25399" xr:uid="{6FF132A8-AC59-47F8-B313-57B497617DD7}"/>
    <cellStyle name="Normal 5 5 6 6 5" xfId="15059" xr:uid="{D9CF1F1B-CA38-45C6-BB21-400D5B7E3B6B}"/>
    <cellStyle name="Normal 5 5 6 7" xfId="4030" xr:uid="{4C08CD9B-604C-4ADB-A4AF-D05931C1CD7D}"/>
    <cellStyle name="Normal 5 5 6 7 2" xfId="8831" xr:uid="{A1F41227-AEFD-4126-8736-F2CFC05EA1AF}"/>
    <cellStyle name="Normal 5 5 6 7 2 2" xfId="19211" xr:uid="{B4E907F3-BE3A-4D0A-9835-3CE217D62A2B}"/>
    <cellStyle name="Normal 5 5 6 7 3" xfId="11664" xr:uid="{A62C39DD-9B42-4CF3-B6C6-0A1CFF9C6F99}"/>
    <cellStyle name="Normal 5 5 6 7 3 2" xfId="22044" xr:uid="{121163AC-B2D9-428B-BAEA-9FBE2FFE74DC}"/>
    <cellStyle name="Normal 5 5 6 7 4" xfId="26765" xr:uid="{CD398623-6C6C-4BC2-82A4-C832B8AB9E58}"/>
    <cellStyle name="Normal 5 5 6 7 5" xfId="16378" xr:uid="{AFFAC0D2-105D-4FD1-9A2C-08044472405C}"/>
    <cellStyle name="Normal 5 5 6 8" xfId="5373" xr:uid="{C8B8751A-F737-4FFF-B4AF-2ED804A41D50}"/>
    <cellStyle name="Normal 5 5 6 8 2" xfId="14670" xr:uid="{D4DB0CD4-5517-4CA3-927B-01EB62213EAC}"/>
    <cellStyle name="Normal 5 5 6 9" xfId="7123" xr:uid="{085E023A-E4FA-4ACC-B822-992E07188A31}"/>
    <cellStyle name="Normal 5 5 6 9 2" xfId="17503" xr:uid="{E75F1C48-21C4-4E40-8F71-C8D5459D0AFD}"/>
    <cellStyle name="Normal 5 5 7" xfId="1225" xr:uid="{00000000-0005-0000-0000-00008F060000}"/>
    <cellStyle name="Normal 5 5 7 10" xfId="12620" xr:uid="{2CE59225-D865-4685-BFE3-B2793300DD83}"/>
    <cellStyle name="Normal 5 5 7 2" xfId="1226" xr:uid="{00000000-0005-0000-0000-000090060000}"/>
    <cellStyle name="Normal 5 5 7 2 2" xfId="2968" xr:uid="{00000000-0005-0000-0000-000082070000}"/>
    <cellStyle name="Normal 5 5 7 2 2 2" xfId="6133" xr:uid="{DF12A09B-446A-4806-8AA7-52F18594D853}"/>
    <cellStyle name="Normal 5 5 7 2 2 2 2" xfId="28134" xr:uid="{287D7080-CAC1-48FB-BDC8-DBDEF7205421}"/>
    <cellStyle name="Normal 5 5 7 2 2 2 3" xfId="26680" xr:uid="{2D34B869-C594-4F32-BA84-C78E41629D48}"/>
    <cellStyle name="Normal 5 5 7 2 2 2 4" xfId="15611" xr:uid="{15546E4B-B6FC-4619-BDB9-9AF5F1C16235}"/>
    <cellStyle name="Normal 5 5 7 2 2 3" xfId="8064" xr:uid="{64AF773E-6ACD-420B-B8D2-4FB5849D8190}"/>
    <cellStyle name="Normal 5 5 7 2 2 3 2" xfId="28762" xr:uid="{BE449C1B-FF30-4ADA-8453-43358F611491}"/>
    <cellStyle name="Normal 5 5 7 2 2 3 3" xfId="18444" xr:uid="{0075D294-103E-41F3-8119-1E6847751D82}"/>
    <cellStyle name="Normal 5 5 7 2 2 4" xfId="10897" xr:uid="{C0E9075E-DA7D-4089-AFF1-44199F22AC36}"/>
    <cellStyle name="Normal 5 5 7 2 2 4 2" xfId="21277" xr:uid="{75EC0386-19EF-4DCD-8937-70975FCEA266}"/>
    <cellStyle name="Normal 5 5 7 2 2 5" xfId="22795" xr:uid="{C80C1820-97C4-4E5B-AB92-0FAE4E57DF58}"/>
    <cellStyle name="Normal 5 5 7 2 2 6" xfId="13476" xr:uid="{114C263B-841E-45C9-9B90-A4796F0A2D8B}"/>
    <cellStyle name="Normal 5 5 7 2 3" xfId="5379" xr:uid="{62B1FFD8-3506-4F23-A9D5-0A302EE5EC5B}"/>
    <cellStyle name="Normal 5 5 7 2 3 2" xfId="24710" xr:uid="{5E132235-FA12-4C6C-9BC5-1DF08708EBE7}"/>
    <cellStyle name="Normal 5 5 7 2 3 3" xfId="28237" xr:uid="{D45E94F4-FED9-4F57-9576-3BFCFDDB1983}"/>
    <cellStyle name="Normal 5 5 7 2 3 4" xfId="14676" xr:uid="{73BF6DC8-DC03-4F41-B6BA-BF9712DA6D16}"/>
    <cellStyle name="Normal 5 5 7 2 4" xfId="7129" xr:uid="{007A5B14-E276-4597-8BA7-3A1D9F27A771}"/>
    <cellStyle name="Normal 5 5 7 2 4 2" xfId="26709" xr:uid="{4204EA0E-2CD8-4B31-BF39-F255100557C7}"/>
    <cellStyle name="Normal 5 5 7 2 4 3" xfId="26604" xr:uid="{9587304A-298C-42C2-89FE-A8D871D8B372}"/>
    <cellStyle name="Normal 5 5 7 2 4 4" xfId="17509" xr:uid="{F4219942-775D-49A8-B231-ADDF3238F212}"/>
    <cellStyle name="Normal 5 5 7 2 5" xfId="9962" xr:uid="{AA89878B-9247-486A-AEA6-FA18B854A097}"/>
    <cellStyle name="Normal 5 5 7 2 5 2" xfId="29440" xr:uid="{725804D9-55D1-48E9-9120-665ED0F66786}"/>
    <cellStyle name="Normal 5 5 7 2 5 3" xfId="20342" xr:uid="{EAF87BE4-15A0-4052-B4EA-009CD7B85D1C}"/>
    <cellStyle name="Normal 5 5 7 2 6" xfId="24533" xr:uid="{0DE5A35A-2E97-4301-8B12-1416B692F726}"/>
    <cellStyle name="Normal 5 5 7 2 7" xfId="12778" xr:uid="{E65F1D4D-7A99-4C0B-BB48-AD4A31224019}"/>
    <cellStyle name="Normal 5 5 7 3" xfId="1227" xr:uid="{00000000-0005-0000-0000-000091060000}"/>
    <cellStyle name="Normal 5 5 7 3 2" xfId="5380" xr:uid="{5D1B5A8B-DFD3-4E3B-B7AE-8808F340FA31}"/>
    <cellStyle name="Normal 5 5 7 3 2 2" xfId="26716" xr:uid="{B71CB86C-65D1-407B-8217-2604C578C11A}"/>
    <cellStyle name="Normal 5 5 7 3 2 3" xfId="25848" xr:uid="{AE74042E-DD15-4649-9D09-647A425563FF}"/>
    <cellStyle name="Normal 5 5 7 3 2 4" xfId="14677" xr:uid="{E5A02E31-6126-4AF7-95E5-AAAABE9064F1}"/>
    <cellStyle name="Normal 5 5 7 3 3" xfId="7130" xr:uid="{4F3261E5-D6A6-43ED-95EF-0D3E97758D08}"/>
    <cellStyle name="Normal 5 5 7 3 3 2" xfId="27427" xr:uid="{FC15D81A-F1B1-45F9-A769-5A122F50485D}"/>
    <cellStyle name="Normal 5 5 7 3 3 3" xfId="26845" xr:uid="{CE0ED922-644C-4F58-ACED-9C99FFD88B89}"/>
    <cellStyle name="Normal 5 5 7 3 3 4" xfId="17510" xr:uid="{C5163A04-4DD4-4ABD-80FE-8EC5140B5C0C}"/>
    <cellStyle name="Normal 5 5 7 3 4" xfId="9963" xr:uid="{8CBBAEC9-B7D1-46C6-B886-F34EAF682803}"/>
    <cellStyle name="Normal 5 5 7 3 4 2" xfId="29441" xr:uid="{16DDF990-AB59-42FC-AE78-DBAD703881B7}"/>
    <cellStyle name="Normal 5 5 7 3 4 3" xfId="20343" xr:uid="{005259F5-E70A-4213-AF68-0E4641894199}"/>
    <cellStyle name="Normal 5 5 7 3 5" xfId="22856" xr:uid="{0348CF96-F6F3-4C6D-B4BA-A803C5FEC7A0}"/>
    <cellStyle name="Normal 5 5 7 3 6" xfId="13282" xr:uid="{31327C97-CA05-47DE-A323-66B96157E7E6}"/>
    <cellStyle name="Normal 5 5 7 4" xfId="2386" xr:uid="{00000000-0005-0000-0000-000080070000}"/>
    <cellStyle name="Normal 5 5 7 4 2" xfId="7513" xr:uid="{06620718-82D7-449D-BC8A-65A1FCA7CD1B}"/>
    <cellStyle name="Normal 5 5 7 4 2 2" xfId="28371" xr:uid="{77AAB7CD-CFEC-44E3-96B6-8B73E3271381}"/>
    <cellStyle name="Normal 5 5 7 4 2 3" xfId="17893" xr:uid="{203BDB86-0203-4140-B4EB-DAF2293C7CCB}"/>
    <cellStyle name="Normal 5 5 7 4 3" xfId="10346" xr:uid="{67C5DDFE-B833-4338-A4EC-91A2E34F312A}"/>
    <cellStyle name="Normal 5 5 7 4 3 2" xfId="20726" xr:uid="{EC4D44FF-D7FF-4402-B5A6-8BA33E08BAC5}"/>
    <cellStyle name="Normal 5 5 7 4 4" xfId="25463" xr:uid="{DA714827-6702-43DE-B389-0EDF388AE5EA}"/>
    <cellStyle name="Normal 5 5 7 4 5" xfId="15060" xr:uid="{A7F1EB7E-D4B4-4905-B109-EC7EF55C49F8}"/>
    <cellStyle name="Normal 5 5 7 5" xfId="4031" xr:uid="{ED947DAA-371E-4C03-B6A7-8372C0C37EB6}"/>
    <cellStyle name="Normal 5 5 7 5 2" xfId="8832" xr:uid="{F9271682-9920-47AF-A906-7F969C6C0BCB}"/>
    <cellStyle name="Normal 5 5 7 5 2 2" xfId="28991" xr:uid="{9A639588-9BB2-45D2-9A6E-0F165BF35CC5}"/>
    <cellStyle name="Normal 5 5 7 5 2 3" xfId="19212" xr:uid="{6D987478-876F-4959-B431-5670F63D80AC}"/>
    <cellStyle name="Normal 5 5 7 5 3" xfId="11665" xr:uid="{0B668A09-0B6A-4A72-B2A7-B046302FC851}"/>
    <cellStyle name="Normal 5 5 7 5 3 2" xfId="22045" xr:uid="{E8ADD2EE-4298-424F-AAA2-20A7F2FE34F5}"/>
    <cellStyle name="Normal 5 5 7 5 4" xfId="23977" xr:uid="{362AAFC4-B91E-4DEC-B618-C89A9892DD4E}"/>
    <cellStyle name="Normal 5 5 7 5 5" xfId="16379" xr:uid="{086519B5-B122-460C-B5FC-1E50E222F34D}"/>
    <cellStyle name="Normal 5 5 7 6" xfId="5378" xr:uid="{26300556-557E-4082-8B60-B8830D25A460}"/>
    <cellStyle name="Normal 5 5 7 6 2" xfId="27758" xr:uid="{885ED2A7-0EDC-48D2-97DD-F55865D06BC9}"/>
    <cellStyle name="Normal 5 5 7 6 3" xfId="28212" xr:uid="{EC5D5EA3-7881-46A6-B0A6-BF5F976471EA}"/>
    <cellStyle name="Normal 5 5 7 6 4" xfId="14675" xr:uid="{50C9F68A-C3C5-4C1D-9F17-A272EAD10A97}"/>
    <cellStyle name="Normal 5 5 7 7" xfId="7128" xr:uid="{17F7932A-0BB0-42C5-9388-A4903D0A5069}"/>
    <cellStyle name="Normal 5 5 7 7 2" xfId="27294" xr:uid="{0EA9BA65-7403-4833-8623-2657BE8EA453}"/>
    <cellStyle name="Normal 5 5 7 7 3" xfId="17508" xr:uid="{9A2206DC-59DF-4A72-9FFC-5E36168D1C10}"/>
    <cellStyle name="Normal 5 5 7 8" xfId="9961" xr:uid="{6935D2E1-57D5-41C9-8D13-32764C290B24}"/>
    <cellStyle name="Normal 5 5 7 8 2" xfId="20341" xr:uid="{C53E5CD7-732F-4FFC-95AD-8B0C6F9D5534}"/>
    <cellStyle name="Normal 5 5 7 9" xfId="23854" xr:uid="{EA45A73B-8161-459B-8D64-E0A17181CCBC}"/>
    <cellStyle name="Normal 5 5 8" xfId="1228" xr:uid="{00000000-0005-0000-0000-000092060000}"/>
    <cellStyle name="Normal 5 5 8 10" xfId="12621" xr:uid="{4692576D-8AE3-450E-8272-9E48C4FD90CD}"/>
    <cellStyle name="Normal 5 5 8 2" xfId="1229" xr:uid="{00000000-0005-0000-0000-000093060000}"/>
    <cellStyle name="Normal 5 5 8 2 2" xfId="2969" xr:uid="{00000000-0005-0000-0000-000086070000}"/>
    <cellStyle name="Normal 5 5 8 2 2 2" xfId="6134" xr:uid="{23583555-56F1-4626-A3D2-93F8AD74FC7C}"/>
    <cellStyle name="Normal 5 5 8 2 2 2 2" xfId="26061" xr:uid="{17BB1EC5-47B5-42DC-A7F1-62E1932F379A}"/>
    <cellStyle name="Normal 5 5 8 2 2 2 3" xfId="28205" xr:uid="{1CD5DF35-3813-48B7-9249-D550A8FBFBC1}"/>
    <cellStyle name="Normal 5 5 8 2 2 2 4" xfId="15612" xr:uid="{C98894EB-883D-493A-B53D-A6A32DB37AF4}"/>
    <cellStyle name="Normal 5 5 8 2 2 3" xfId="8065" xr:uid="{D241DEDD-FF0C-4A85-9445-1C80D1D9D2BB}"/>
    <cellStyle name="Normal 5 5 8 2 2 3 2" xfId="28763" xr:uid="{AEF191AE-C1DB-4F24-8595-4374070D62A5}"/>
    <cellStyle name="Normal 5 5 8 2 2 3 3" xfId="18445" xr:uid="{8971FB0E-A446-4AE9-88ED-CCF7E3AB18B5}"/>
    <cellStyle name="Normal 5 5 8 2 2 4" xfId="10898" xr:uid="{4A64BE24-DD55-4796-BF60-CCC45FC14999}"/>
    <cellStyle name="Normal 5 5 8 2 2 4 2" xfId="21278" xr:uid="{A0448FD8-514E-4B38-97B0-5C920562CCE6}"/>
    <cellStyle name="Normal 5 5 8 2 2 5" xfId="25390" xr:uid="{304FCE7B-DBF4-4A85-A0EB-2D09E9A4E16C}"/>
    <cellStyle name="Normal 5 5 8 2 2 6" xfId="13477" xr:uid="{0FDF7A1A-7DE7-4386-8B1E-0081216BA5B1}"/>
    <cellStyle name="Normal 5 5 8 2 3" xfId="5382" xr:uid="{28E26E73-B0EA-480D-A7FA-647939548711}"/>
    <cellStyle name="Normal 5 5 8 2 3 2" xfId="22789" xr:uid="{05A1BB14-5CC5-4969-9205-57AA7EABDBFC}"/>
    <cellStyle name="Normal 5 5 8 2 3 3" xfId="25863" xr:uid="{E4A49593-FE91-4477-A730-9BCC4AB579B5}"/>
    <cellStyle name="Normal 5 5 8 2 3 4" xfId="14679" xr:uid="{8632A19C-0EAA-43DC-A8E8-F2F97D8C4A28}"/>
    <cellStyle name="Normal 5 5 8 2 4" xfId="7132" xr:uid="{29DA3E0B-4167-4F0C-939E-5866351703BB}"/>
    <cellStyle name="Normal 5 5 8 2 4 2" xfId="25938" xr:uid="{FD958FAC-B768-4688-B47A-D42A14956D24}"/>
    <cellStyle name="Normal 5 5 8 2 4 3" xfId="28641" xr:uid="{A8B49F71-4CD3-4161-923F-BFE38AB9D0E6}"/>
    <cellStyle name="Normal 5 5 8 2 4 4" xfId="17512" xr:uid="{AAFE3A54-9E83-4D75-A862-B7A2AC257A8B}"/>
    <cellStyle name="Normal 5 5 8 2 5" xfId="9965" xr:uid="{86CA0C47-DEE8-4923-BBA0-B6917FB44FD3}"/>
    <cellStyle name="Normal 5 5 8 2 5 2" xfId="29442" xr:uid="{9109907C-4C0F-4B69-85D7-F8D1191FD9E8}"/>
    <cellStyle name="Normal 5 5 8 2 5 3" xfId="20345" xr:uid="{CDE8E9AF-4DAE-4662-AC89-5032923A5175}"/>
    <cellStyle name="Normal 5 5 8 2 6" xfId="24403" xr:uid="{A31D9859-204A-484B-807F-2F0083417206}"/>
    <cellStyle name="Normal 5 5 8 2 7" xfId="12779" xr:uid="{0E95C321-2520-4C9A-88AD-5D434E3F727B}"/>
    <cellStyle name="Normal 5 5 8 3" xfId="1230" xr:uid="{00000000-0005-0000-0000-000094060000}"/>
    <cellStyle name="Normal 5 5 8 3 2" xfId="5383" xr:uid="{88FD3DDF-4C7F-4F5B-8FAD-3A109E913FFF}"/>
    <cellStyle name="Normal 5 5 8 3 2 2" xfId="27118" xr:uid="{CF8DD38A-CD75-4DA5-BFFA-82DC0BA5D007}"/>
    <cellStyle name="Normal 5 5 8 3 2 3" xfId="27182" xr:uid="{2B08D43A-53B8-448B-84A9-E9102893CD8A}"/>
    <cellStyle name="Normal 5 5 8 3 2 4" xfId="14680" xr:uid="{46ED660E-0474-4C37-9A58-989BEE2A2F67}"/>
    <cellStyle name="Normal 5 5 8 3 3" xfId="7133" xr:uid="{3AF719DC-EEBB-4037-8A07-3409B0B4026D}"/>
    <cellStyle name="Normal 5 5 8 3 3 2" xfId="28002" xr:uid="{6DCBEFDC-1A2D-4C78-A7C8-925F50C1DAF4}"/>
    <cellStyle name="Normal 5 5 8 3 3 3" xfId="28135" xr:uid="{4F50F1CA-3439-4758-92E8-1C92B121C9C4}"/>
    <cellStyle name="Normal 5 5 8 3 3 4" xfId="17513" xr:uid="{B9102EEC-5509-405C-ACCD-30FDFAD1F030}"/>
    <cellStyle name="Normal 5 5 8 3 4" xfId="9966" xr:uid="{B9D2C06B-972E-488D-9A65-F3FE21FE0D8D}"/>
    <cellStyle name="Normal 5 5 8 3 4 2" xfId="29443" xr:uid="{1A6A0D2B-9F47-4568-9BBC-A727B9EBBBB1}"/>
    <cellStyle name="Normal 5 5 8 3 4 3" xfId="20346" xr:uid="{EA313959-F7BC-4595-B38D-D6B2039B8207}"/>
    <cellStyle name="Normal 5 5 8 3 5" xfId="24718" xr:uid="{1D4D5F3A-B42C-4E6D-9BB2-594F2E456AC4}"/>
    <cellStyle name="Normal 5 5 8 3 6" xfId="13283" xr:uid="{CC60B2D0-00F3-4C65-A4FF-8CFC5973BC19}"/>
    <cellStyle name="Normal 5 5 8 4" xfId="2387" xr:uid="{00000000-0005-0000-0000-000084070000}"/>
    <cellStyle name="Normal 5 5 8 4 2" xfId="7514" xr:uid="{0E501E06-021C-4E16-9171-904D17CD0F51}"/>
    <cellStyle name="Normal 5 5 8 4 2 2" xfId="27617" xr:uid="{0129CB36-5BB4-4EFF-8AF5-876BDBFD24B9}"/>
    <cellStyle name="Normal 5 5 8 4 2 3" xfId="17894" xr:uid="{B310EC6F-2212-4190-A4B1-F70EA5F45D76}"/>
    <cellStyle name="Normal 5 5 8 4 3" xfId="10347" xr:uid="{C09EB9F6-35D9-4AA0-AC49-F8222A3DD781}"/>
    <cellStyle name="Normal 5 5 8 4 3 2" xfId="20727" xr:uid="{248D407E-3C7C-4679-B9BB-E19D64B0AD1E}"/>
    <cellStyle name="Normal 5 5 8 4 4" xfId="25177" xr:uid="{DBD86CAA-906A-40DC-8A27-C3BD988E3D0F}"/>
    <cellStyle name="Normal 5 5 8 4 5" xfId="15061" xr:uid="{6655A872-F6DC-41B0-B026-D6C078598353}"/>
    <cellStyle name="Normal 5 5 8 5" xfId="4032" xr:uid="{6FD30347-E184-4327-B45F-7226DDACB066}"/>
    <cellStyle name="Normal 5 5 8 5 2" xfId="8833" xr:uid="{3E3659E3-7EDE-43BE-9B86-26156D6890FE}"/>
    <cellStyle name="Normal 5 5 8 5 2 2" xfId="28992" xr:uid="{0145E712-EAAD-4297-AB0F-A1705372752A}"/>
    <cellStyle name="Normal 5 5 8 5 2 3" xfId="19213" xr:uid="{C8D2A082-A26C-40D6-8777-E977FE91F652}"/>
    <cellStyle name="Normal 5 5 8 5 3" xfId="11666" xr:uid="{BBA9C86D-8B7E-4068-BD7C-64971C5CF0BE}"/>
    <cellStyle name="Normal 5 5 8 5 3 2" xfId="22046" xr:uid="{0283CA92-74AB-4338-BCA3-D9BA32AE6180}"/>
    <cellStyle name="Normal 5 5 8 5 4" xfId="23018" xr:uid="{86435221-29A9-419C-AD4D-C63D913CAE0A}"/>
    <cellStyle name="Normal 5 5 8 5 5" xfId="16380" xr:uid="{4201ABC3-F5F7-4C3D-9C5E-44EA5E11C04E}"/>
    <cellStyle name="Normal 5 5 8 6" xfId="5381" xr:uid="{2B6F67D7-2E1F-4B28-9F6E-F54B4F89B037}"/>
    <cellStyle name="Normal 5 5 8 6 2" xfId="28735" xr:uid="{967795E7-74C9-42ED-93AB-D7521134F9D6}"/>
    <cellStyle name="Normal 5 5 8 6 3" xfId="26228" xr:uid="{BED9E503-CAC9-4497-85A1-2B2915EBB4A8}"/>
    <cellStyle name="Normal 5 5 8 6 4" xfId="14678" xr:uid="{829F3A83-B132-403D-AE92-711F3C17F0D4}"/>
    <cellStyle name="Normal 5 5 8 7" xfId="7131" xr:uid="{0FACAD69-D070-49F9-8403-38F7B1AABAD7}"/>
    <cellStyle name="Normal 5 5 8 7 2" xfId="26191" xr:uid="{F4F9371D-5CE0-4F5A-9451-65D4C3851AE0}"/>
    <cellStyle name="Normal 5 5 8 7 3" xfId="17511" xr:uid="{B7A14410-470A-4573-941F-E325DB05E722}"/>
    <cellStyle name="Normal 5 5 8 8" xfId="9964" xr:uid="{69CBE24C-AEDE-4A2B-9DE0-1E446FF6810F}"/>
    <cellStyle name="Normal 5 5 8 8 2" xfId="20344" xr:uid="{B7D3E168-ACD8-4D0A-A031-27A7A05810D9}"/>
    <cellStyle name="Normal 5 5 8 9" xfId="23705" xr:uid="{1729AE0D-7A00-4AF8-BF30-513A235A7D6C}"/>
    <cellStyle name="Normal 5 5 9" xfId="1231" xr:uid="{00000000-0005-0000-0000-000095060000}"/>
    <cellStyle name="Normal 5 5 9 2" xfId="1232" xr:uid="{00000000-0005-0000-0000-000096060000}"/>
    <cellStyle name="Normal 5 5 9 3" xfId="1233" xr:uid="{00000000-0005-0000-0000-000097060000}"/>
    <cellStyle name="Normal 5 6" xfId="29606" xr:uid="{F083B5EB-43B9-4590-83CA-856969DC4BF4}"/>
    <cellStyle name="Normal 5 6 2" xfId="29638" xr:uid="{B75DEE0B-F534-46AF-9926-93D48AEAA1C2}"/>
    <cellStyle name="Normal 5 6 3" xfId="30362" xr:uid="{94F71B0E-9972-43D2-A698-4F5F8EC6B35B}"/>
    <cellStyle name="Normal 5 6 3 2" xfId="30511" xr:uid="{9F3E153B-B09B-471D-A946-A10EBA1534EE}"/>
    <cellStyle name="Normal 5 6 4" xfId="31702" xr:uid="{41B7F247-B74F-4329-A0A1-682D6C24C354}"/>
    <cellStyle name="Normal 5 7" xfId="30110" xr:uid="{B86EA2F7-3D8C-4453-9463-4535C564224A}"/>
    <cellStyle name="Normal 5 7 2" xfId="31496" xr:uid="{388D835E-8A46-47C8-B36E-97EC381E07D9}"/>
    <cellStyle name="Normal 6" xfId="1234" xr:uid="{00000000-0005-0000-0000-000098060000}"/>
    <cellStyle name="Normal 6 2" xfId="1235" xr:uid="{00000000-0005-0000-0000-000099060000}"/>
    <cellStyle name="Normal 6 2 2" xfId="1236" xr:uid="{00000000-0005-0000-0000-00009A060000}"/>
    <cellStyle name="Normal 6 2 2 2" xfId="29576" xr:uid="{7FAF1950-26DD-4D90-AF3F-344C88B26A6D}"/>
    <cellStyle name="Normal 6 2 3" xfId="1237" xr:uid="{00000000-0005-0000-0000-00009B060000}"/>
    <cellStyle name="Normal 6 2 4" xfId="1238" xr:uid="{00000000-0005-0000-0000-00009C060000}"/>
    <cellStyle name="Normal 6 2 4 2" xfId="1239" xr:uid="{00000000-0005-0000-0000-00009D060000}"/>
    <cellStyle name="Normal 6 2 4 2 2" xfId="1240" xr:uid="{00000000-0005-0000-0000-00009E060000}"/>
    <cellStyle name="Normal 6 2 4 2 3" xfId="3746" xr:uid="{00000000-0005-0000-0000-000003060000}"/>
    <cellStyle name="Normal 6 2 4 2 3 2" xfId="4729" xr:uid="{36DF93BC-14C0-4C8D-9939-43490568E73B}"/>
    <cellStyle name="Normal 6 2 4 2 3 3" xfId="30271" xr:uid="{64E7B98A-5618-4F94-BBB0-CE729F04F1ED}"/>
    <cellStyle name="Normal 6 2 4 2 3 3 2" xfId="31414" xr:uid="{F1A26C63-AE42-4F04-8891-03B490C2D338}"/>
    <cellStyle name="Normal 6 2 4 2 3 4" xfId="31611" xr:uid="{E337A21F-9B74-4399-88F3-B6426EE26747}"/>
    <cellStyle name="Normal 6 2 4 3" xfId="1241" xr:uid="{00000000-0005-0000-0000-00009F060000}"/>
    <cellStyle name="Normal 6 2 4 3 2" xfId="31305" xr:uid="{928413FA-20ED-46F2-9E40-B8E246A45F39}"/>
    <cellStyle name="Normal 6 2 4 4" xfId="29855" xr:uid="{AA4C1F12-DEA9-457E-AEF5-0DB4A6E59CD3}"/>
    <cellStyle name="Normal 6 2 5" xfId="1242" xr:uid="{00000000-0005-0000-0000-0000A0060000}"/>
    <cellStyle name="Normal 6 2 6" xfId="31265" xr:uid="{C7864499-C7D0-4F15-868C-ECC295E72CB1}"/>
    <cellStyle name="Normal 6 3" xfId="1243" xr:uid="{00000000-0005-0000-0000-0000A1060000}"/>
    <cellStyle name="Normal 6 3 2" xfId="1244" xr:uid="{00000000-0005-0000-0000-0000A2060000}"/>
    <cellStyle name="Normal 6 3 3" xfId="1245" xr:uid="{00000000-0005-0000-0000-0000A3060000}"/>
    <cellStyle name="Normal 6 3 3 2" xfId="1246" xr:uid="{00000000-0005-0000-0000-0000A4060000}"/>
    <cellStyle name="Normal 6 3 3 3" xfId="1247" xr:uid="{00000000-0005-0000-0000-0000A5060000}"/>
    <cellStyle name="Normal 6 3 3 3 2" xfId="1248" xr:uid="{00000000-0005-0000-0000-0000A6060000}"/>
    <cellStyle name="Normal 6 3 3 3 2 2" xfId="1249" xr:uid="{00000000-0005-0000-0000-0000A7060000}"/>
    <cellStyle name="Normal 6 3 3 3 2 3" xfId="1250" xr:uid="{00000000-0005-0000-0000-0000A8060000}"/>
    <cellStyle name="Normal 6 3 3 3 2 3 2" xfId="1251" xr:uid="{00000000-0005-0000-0000-0000A9060000}"/>
    <cellStyle name="Normal 6 3 3 3 2 3 2 2" xfId="1252" xr:uid="{00000000-0005-0000-0000-0000AA060000}"/>
    <cellStyle name="Normal 6 3 3 3 2 3 2 2 2" xfId="22684" xr:uid="{BCEE65C1-493F-43A2-8225-D8AF26E4B811}"/>
    <cellStyle name="Normal 6 3 3 3 2 3 2 2 3" xfId="23065" xr:uid="{9BB534F7-3CF8-47D9-BE50-7E51BEA965FB}"/>
    <cellStyle name="Normal 6 3 3 3 2 3 2 3" xfId="1253" xr:uid="{00000000-0005-0000-0000-0000AB060000}"/>
    <cellStyle name="Normal 6 3 3 3 2 3 2 3 2" xfId="2014" xr:uid="{00000000-0005-0000-0000-0000AC060000}"/>
    <cellStyle name="Normal 6 3 3 3 2 3 2 3 3" xfId="3747" xr:uid="{00000000-0005-0000-0000-00000F060000}"/>
    <cellStyle name="Normal 6 3 3 3 2 3 2 3 3 2" xfId="4744" xr:uid="{52032595-B136-4D2C-B500-82ADF7DF1B2A}"/>
    <cellStyle name="Normal 6 3 3 3 2 3 2 3 3 3" xfId="30272" xr:uid="{D89606A7-7F62-4BEF-BBAC-371DD44B78A1}"/>
    <cellStyle name="Normal 6 3 3 3 2 3 2 3 3 3 2" xfId="31415" xr:uid="{0B73902A-7494-489D-AE53-A905FA779E9C}"/>
    <cellStyle name="Normal 6 3 3 3 2 3 2 3 3 4" xfId="31612" xr:uid="{F3422B09-C712-4715-9E74-E2360D1499BA}"/>
    <cellStyle name="Normal 6 3 3 3 2 3 2 4" xfId="23723" xr:uid="{CF6E8B82-0990-4BE4-9413-7C6041332850}"/>
    <cellStyle name="Normal 6 3 3 3 2 3 3" xfId="1254" xr:uid="{00000000-0005-0000-0000-0000AD060000}"/>
    <cellStyle name="Normal 6 3 3 3 2 3 4" xfId="2971" xr:uid="{00000000-0005-0000-0000-000096070000}"/>
    <cellStyle name="Normal 6 3 3 3 2 3 4 2" xfId="31282" xr:uid="{8609F323-400D-4035-9BBF-4A50ABE08EC3}"/>
    <cellStyle name="Normal 6 3 3 3 2 3 5" xfId="2127" xr:uid="{00000000-0005-0000-0000-0000BE020000}"/>
    <cellStyle name="Normal 6 3 3 3 2 3 5 2" xfId="4680" xr:uid="{D6398DC9-E5C9-496E-A2A7-CD5014D2DFA6}"/>
    <cellStyle name="Normal 6 3 3 3 2 3 5 3" xfId="30208" xr:uid="{356E9707-CCEF-4F7C-BF32-0303F4791FE4}"/>
    <cellStyle name="Normal 6 3 3 3 2 3 5 3 2" xfId="31352" xr:uid="{CC12E4D3-F8EB-4CF6-AB97-4D8B2B3693C7}"/>
    <cellStyle name="Normal 6 3 3 3 2 3 5 4" xfId="31548" xr:uid="{87A857A3-2AA9-43F2-8657-50394276CAF6}"/>
    <cellStyle name="Normal 6 3 3 3 2 3 6" xfId="4034" xr:uid="{C3B2AF05-98DC-463A-BA12-C74208D497DD}"/>
    <cellStyle name="Normal 6 3 3 3 2 3 6 2" xfId="4812" xr:uid="{F613BC84-EDE5-4885-8459-F27AF0BB6E85}"/>
    <cellStyle name="Normal 6 3 3 3 2 3 6 3" xfId="30326" xr:uid="{FE425496-F8E2-4D8D-BACC-24E101135861}"/>
    <cellStyle name="Normal 6 3 3 3 2 3 6 3 2" xfId="31469" xr:uid="{E634AE3F-E674-4AA0-825F-3A0FBFBCA056}"/>
    <cellStyle name="Normal 6 3 3 3 2 3 6 4" xfId="31666" xr:uid="{C88B7139-BB51-44C6-81F9-0169CA295B19}"/>
    <cellStyle name="Normal 6 3 3 3 2 3 7" xfId="30146" xr:uid="{DC11676B-B130-4A24-B13D-A1AF24211213}"/>
    <cellStyle name="Normal 6 3 3 3 2 3 7 2" xfId="30513" xr:uid="{2A90FA8B-F176-40AB-B942-C645A0B2AC10}"/>
    <cellStyle name="Normal 6 3 3 3 2 4" xfId="1255" xr:uid="{00000000-0005-0000-0000-0000AE060000}"/>
    <cellStyle name="Normal 6 3 3 3 2 4 2" xfId="2970" xr:uid="{00000000-0005-0000-0000-000097070000}"/>
    <cellStyle name="Normal 6 3 3 3 2 4 3" xfId="24637" xr:uid="{0B99EDD5-5B90-41B3-B148-FF54C30227C9}"/>
    <cellStyle name="Normal 6 3 3 3 2 4 3 2" xfId="29621" xr:uid="{5AD4FC9D-CD04-4CDE-9532-33EB4917BF7B}"/>
    <cellStyle name="Normal 6 3 3 3 2 4 3 3" xfId="29607" xr:uid="{F36EC8D3-C075-4FCC-BB6E-6F17B0D09736}"/>
    <cellStyle name="Normal 6 3 3 3 2 4 3 3 2" xfId="29648" xr:uid="{826F20A1-EE0D-443B-B788-37E26F103C4E}"/>
    <cellStyle name="Normal 6 3 3 3 2 4 3 3 3" xfId="30390" xr:uid="{68412F80-5B7F-4324-AB06-AB62463D18A8}"/>
    <cellStyle name="Normal 6 3 3 3 2 4 3 3 4" xfId="30377" xr:uid="{F1CFB043-722D-4FF7-8349-A408EBFE1248}"/>
    <cellStyle name="Normal 6 3 3 3 2 4 3 3 4 2" xfId="31716" xr:uid="{E1047207-F524-459C-9D5A-B00766BB0693}"/>
    <cellStyle name="Normal 6 3 3 3 2 4 3 4" xfId="30363" xr:uid="{3A82768C-6B5D-4D32-86C4-08DE35B49E64}"/>
    <cellStyle name="Normal 6 3 3 3 2 4 3 4 2" xfId="31703" xr:uid="{7FCFC7B6-2244-4C07-99E2-5744C78CE1C6}"/>
    <cellStyle name="Normal 6 3 3 3 2 5" xfId="2126" xr:uid="{00000000-0005-0000-0000-0000BC020000}"/>
    <cellStyle name="Normal 6 3 3 3 2 5 2" xfId="4637" xr:uid="{6DCD8049-BC85-477D-8DF4-71B624F9476D}"/>
    <cellStyle name="Normal 6 3 3 3 2 5 3" xfId="30207" xr:uid="{37F318ED-ADB1-4A63-94B9-7AD18DADE9C4}"/>
    <cellStyle name="Normal 6 3 3 3 2 5 3 2" xfId="31351" xr:uid="{63937397-5761-4327-97C3-F1A1F4AC80AD}"/>
    <cellStyle name="Normal 6 3 3 3 2 5 4" xfId="31547" xr:uid="{CD9790C9-4E7C-4C12-8572-B6779880FCFF}"/>
    <cellStyle name="Normal 6 3 3 3 2 6" xfId="4033" xr:uid="{2F86E8C3-CFCF-4CC5-896B-92C102F9D7BD}"/>
    <cellStyle name="Normal 6 3 3 3 2 6 2" xfId="4725" xr:uid="{3DE8FA29-3805-45F1-AFC0-AABB851E3B0A}"/>
    <cellStyle name="Normal 6 3 3 3 2 6 3" xfId="30325" xr:uid="{0ECF71C3-B132-42F9-91D6-FA49DFB6CC23}"/>
    <cellStyle name="Normal 6 3 3 3 2 6 3 2" xfId="31468" xr:uid="{64226B14-8E2D-4A6B-B1EA-CFD0A01681C0}"/>
    <cellStyle name="Normal 6 3 3 3 2 6 4" xfId="31665" xr:uid="{DBA5C1A5-A154-4B8F-A90E-5CFDC92DCCDC}"/>
    <cellStyle name="Normal 6 3 3 3 2 7" xfId="30145" xr:uid="{80BE168A-ACEA-40EE-BC12-1FF256FF1F93}"/>
    <cellStyle name="Normal 6 3 3 3 2 7 2" xfId="30512" xr:uid="{1E65CB5E-5F31-4857-9CD1-EB4B121E79A0}"/>
    <cellStyle name="Normal 6 3 3 3 3" xfId="1256" xr:uid="{00000000-0005-0000-0000-0000AF060000}"/>
    <cellStyle name="Normal 6 3 3 3 4" xfId="1257" xr:uid="{00000000-0005-0000-0000-0000B0060000}"/>
    <cellStyle name="Normal 6 3 3 3 4 2" xfId="1258" xr:uid="{00000000-0005-0000-0000-0000B1060000}"/>
    <cellStyle name="Normal 6 3 3 3 4 2 2" xfId="1259" xr:uid="{00000000-0005-0000-0000-0000B2060000}"/>
    <cellStyle name="Normal 6 3 3 3 4 2 2 2" xfId="1260" xr:uid="{00000000-0005-0000-0000-0000B3060000}"/>
    <cellStyle name="Normal 6 3 3 3 4 2 2 2 2" xfId="2015" xr:uid="{00000000-0005-0000-0000-0000B4060000}"/>
    <cellStyle name="Normal 6 3 3 3 4 2 2 2 2 2" xfId="30085" xr:uid="{AC20A973-25C7-4EEA-B8FC-5F924C46B0FC}"/>
    <cellStyle name="Normal 6 3 3 3 4 2 2 2 3" xfId="3748" xr:uid="{00000000-0005-0000-0000-000016060000}"/>
    <cellStyle name="Normal 6 3 3 3 4 2 2 2 3 2" xfId="4777" xr:uid="{AAE7B9DD-D69F-4E10-BB8B-20D4AC9962F5}"/>
    <cellStyle name="Normal 6 3 3 3 4 2 2 2 3 3" xfId="30273" xr:uid="{C37F18FF-54D7-4AE5-9692-111929E55625}"/>
    <cellStyle name="Normal 6 3 3 3 4 2 2 2 3 3 2" xfId="31416" xr:uid="{249FE48C-C7E7-4065-967D-49544C157FBD}"/>
    <cellStyle name="Normal 6 3 3 3 4 2 2 2 3 4" xfId="31613" xr:uid="{189EC8A1-D2C2-42E5-A270-697BF07C7A33}"/>
    <cellStyle name="Normal 6 3 3 3 4 2 2 2 4" xfId="22661" xr:uid="{CBF90421-D5AC-4CAD-9FD2-36B22A63D893}"/>
    <cellStyle name="Normal 6 3 3 3 4 2 2 3" xfId="2016" xr:uid="{00000000-0005-0000-0000-0000B5060000}"/>
    <cellStyle name="Normal 6 3 3 3 4 2 2 4" xfId="25706" xr:uid="{C5F7ECBA-4F92-4F46-BA83-52E1E22E980F}"/>
    <cellStyle name="Normal 6 3 3 3 4 2 3" xfId="1261" xr:uid="{00000000-0005-0000-0000-0000B6060000}"/>
    <cellStyle name="Normal 6 3 3 3 4 2 3 2" xfId="1262" xr:uid="{00000000-0005-0000-0000-0000B7060000}"/>
    <cellStyle name="Normal 6 3 3 3 4 2 3 2 2" xfId="25668" xr:uid="{E957DF7A-A3D2-43E6-AE06-9A9BCADFE3C5}"/>
    <cellStyle name="Normal 6 3 3 3 4 2 3 2 3" xfId="23564" xr:uid="{82449096-A430-4189-883B-B78564EA965D}"/>
    <cellStyle name="Normal 6 3 3 3 4 2 3 3" xfId="1263" xr:uid="{00000000-0005-0000-0000-0000B8060000}"/>
    <cellStyle name="Normal 6 3 3 3 4 2 3 3 2" xfId="25804" xr:uid="{7B562051-5010-423F-A5F3-DA3469A63612}"/>
    <cellStyle name="Normal 6 3 3 3 4 2 3 3 3" xfId="24256" xr:uid="{D37E907C-74A2-4123-B6C7-51638602FEE9}"/>
    <cellStyle name="Normal 6 3 3 3 4 2 3 4" xfId="2129" xr:uid="{00000000-0005-0000-0000-0000C4020000}"/>
    <cellStyle name="Normal 6 3 3 3 4 2 3 4 2" xfId="4782" xr:uid="{59B8D440-8137-4B7F-A656-CF0510303CA0}"/>
    <cellStyle name="Normal 6 3 3 3 4 2 3 4 3" xfId="30210" xr:uid="{A160096C-0CB9-4F26-AE17-C47BB86B37E8}"/>
    <cellStyle name="Normal 6 3 3 3 4 2 3 4 3 2" xfId="31354" xr:uid="{C3EE6054-A4E1-4094-825A-1C1BF8659EA8}"/>
    <cellStyle name="Normal 6 3 3 3 4 2 3 4 4" xfId="31550" xr:uid="{9102B438-FA41-4457-A61B-AE31F663F9E7}"/>
    <cellStyle name="Normal 6 3 3 3 4 2 3 5" xfId="25802" xr:uid="{593CE574-319A-4AC6-9B5C-702D762FB4CA}"/>
    <cellStyle name="Normal 6 3 3 3 4 2 3 6" xfId="30541" xr:uid="{5EBC0163-4363-4F13-A5DD-AE3FCBD0410B}"/>
    <cellStyle name="Normal 6 3 3 3 4 2 4" xfId="25640" xr:uid="{EABC3D6A-712F-4FB3-BEB7-DF746EAFE1AE}"/>
    <cellStyle name="Normal 6 3 3 3 4 3" xfId="1264" xr:uid="{00000000-0005-0000-0000-0000B9060000}"/>
    <cellStyle name="Normal 6 3 3 3 4 4" xfId="2972" xr:uid="{00000000-0005-0000-0000-00009F070000}"/>
    <cellStyle name="Normal 6 3 3 3 4 4 2" xfId="31294" xr:uid="{186211C7-282C-42A3-AABA-91AA76594D8B}"/>
    <cellStyle name="Normal 6 3 3 3 4 5" xfId="2128" xr:uid="{00000000-0005-0000-0000-0000C1020000}"/>
    <cellStyle name="Normal 6 3 3 3 4 5 2" xfId="4672" xr:uid="{3CF7EC19-F0E2-4711-B08D-946163A456F8}"/>
    <cellStyle name="Normal 6 3 3 3 4 5 3" xfId="30209" xr:uid="{04383268-857B-47C7-9699-654DD5736F7C}"/>
    <cellStyle name="Normal 6 3 3 3 4 5 3 2" xfId="31353" xr:uid="{8F87091D-845B-4E2D-9607-3B2C3F78CB20}"/>
    <cellStyle name="Normal 6 3 3 3 4 5 4" xfId="31549" xr:uid="{F438C024-05C0-4B0E-BC65-1729E3C29826}"/>
    <cellStyle name="Normal 6 3 3 3 4 6" xfId="4035" xr:uid="{4F2918E3-7CCF-44F2-8B12-399DCD69E664}"/>
    <cellStyle name="Normal 6 3 3 3 4 6 2" xfId="4704" xr:uid="{66B78E9E-F4AB-4BA4-9562-EF211951A15F}"/>
    <cellStyle name="Normal 6 3 3 3 4 6 3" xfId="30327" xr:uid="{95C354DC-76FB-4CBE-9FB3-F1E8EDAD6C87}"/>
    <cellStyle name="Normal 6 3 3 3 4 6 3 2" xfId="31470" xr:uid="{B4430622-35CF-4C2E-B9B8-E001BD4035B7}"/>
    <cellStyle name="Normal 6 3 3 3 4 6 4" xfId="31667" xr:uid="{76813517-A76E-44EB-B0B6-46D7F2837E3A}"/>
    <cellStyle name="Normal 6 3 3 3 4 7" xfId="30147" xr:uid="{C2411ACB-20F6-4EE0-8B84-B62097023916}"/>
    <cellStyle name="Normal 6 3 3 3 4 7 2" xfId="30514" xr:uid="{BAFE7101-FEEB-42B9-BA1E-81777797EAA5}"/>
    <cellStyle name="Normal 6 3 3 3 5" xfId="1265" xr:uid="{00000000-0005-0000-0000-0000BA060000}"/>
    <cellStyle name="Normal 6 3 3 3 5 2" xfId="1266" xr:uid="{00000000-0005-0000-0000-0000BB060000}"/>
    <cellStyle name="Normal 6 3 3 3 5 3" xfId="3749" xr:uid="{00000000-0005-0000-0000-00001D060000}"/>
    <cellStyle name="Normal 6 3 3 3 5 3 2" xfId="4728" xr:uid="{86D2124D-0952-4EE0-8EFD-833837240DB9}"/>
    <cellStyle name="Normal 6 3 3 3 5 3 2 2" xfId="27330" xr:uid="{4A976EB1-446E-435E-9AE3-41D706587218}"/>
    <cellStyle name="Normal 6 3 3 3 5 3 3" xfId="24911" xr:uid="{1B73AC05-9E14-42B7-981E-924978277EB1}"/>
    <cellStyle name="Normal 6 3 3 3 5 3 4" xfId="30274" xr:uid="{B96C46A8-B0B0-4A78-8D66-296041A1E571}"/>
    <cellStyle name="Normal 6 3 3 3 5 3 4 2" xfId="31417" xr:uid="{4EF581FF-DB98-4273-BAC1-15F20033B499}"/>
    <cellStyle name="Normal 6 3 3 3 5 3 5" xfId="31614" xr:uid="{304492C9-34A5-491B-90A2-9FC308872402}"/>
    <cellStyle name="Normal 6 3 3 3 5 4" xfId="24243" xr:uid="{30885B66-180D-465C-9004-4FD2801ED13D}"/>
    <cellStyle name="Normal 6 3 3 4" xfId="1267" xr:uid="{00000000-0005-0000-0000-0000BC060000}"/>
    <cellStyle name="Normal 6 3 3 4 2" xfId="1268" xr:uid="{00000000-0005-0000-0000-0000BD060000}"/>
    <cellStyle name="Normal 6 3 3 4 3" xfId="1269" xr:uid="{00000000-0005-0000-0000-0000BE060000}"/>
    <cellStyle name="Normal 6 3 3 4 3 2" xfId="1270" xr:uid="{00000000-0005-0000-0000-0000BF060000}"/>
    <cellStyle name="Normal 6 3 3 4 3 2 2" xfId="1271" xr:uid="{00000000-0005-0000-0000-0000C0060000}"/>
    <cellStyle name="Normal 6 3 3 4 3 2 2 2" xfId="23833" xr:uid="{7F0C0093-2374-413B-A5E9-43C55EFC788B}"/>
    <cellStyle name="Normal 6 3 3 4 3 2 2 3" xfId="22913" xr:uid="{10740882-16AF-4F93-9A88-A7076635685B}"/>
    <cellStyle name="Normal 6 3 3 4 3 2 3" xfId="1272" xr:uid="{00000000-0005-0000-0000-0000C1060000}"/>
    <cellStyle name="Normal 6 3 3 4 3 2 3 2" xfId="2017" xr:uid="{00000000-0005-0000-0000-0000C2060000}"/>
    <cellStyle name="Normal 6 3 3 4 3 2 3 3" xfId="3750" xr:uid="{00000000-0005-0000-0000-000024060000}"/>
    <cellStyle name="Normal 6 3 3 4 3 2 3 3 2" xfId="4763" xr:uid="{DBCCADD4-FC4E-4BFC-A7C2-891AFFCEA356}"/>
    <cellStyle name="Normal 6 3 3 4 3 2 3 3 3" xfId="30275" xr:uid="{91ACDD3A-0E04-489A-B8EF-6EF1F1AE6AAE}"/>
    <cellStyle name="Normal 6 3 3 4 3 2 3 3 3 2" xfId="31418" xr:uid="{9ED99E49-38F8-4258-8C5C-4E6CCF898051}"/>
    <cellStyle name="Normal 6 3 3 4 3 2 3 3 4" xfId="31615" xr:uid="{86DC850B-5ABA-4168-A12B-52BB2D92300C}"/>
    <cellStyle name="Normal 6 3 3 4 3 2 4" xfId="25725" xr:uid="{458F7302-1896-4444-8A91-7EEE77D9B42E}"/>
    <cellStyle name="Normal 6 3 3 4 3 3" xfId="1273" xr:uid="{00000000-0005-0000-0000-0000C3060000}"/>
    <cellStyle name="Normal 6 3 3 4 3 4" xfId="2973" xr:uid="{00000000-0005-0000-0000-0000A5070000}"/>
    <cellStyle name="Normal 6 3 3 4 3 4 2" xfId="31301" xr:uid="{9A618AA1-F692-4092-9D65-77B750975D70}"/>
    <cellStyle name="Normal 6 3 3 4 3 5" xfId="2131" xr:uid="{00000000-0005-0000-0000-0000C8020000}"/>
    <cellStyle name="Normal 6 3 3 4 3 5 2" xfId="3855" xr:uid="{14ADEC9D-23D5-4755-9DD0-8765D24571A4}"/>
    <cellStyle name="Normal 6 3 3 4 3 5 3" xfId="30212" xr:uid="{8435FB26-6920-4CAD-AA91-3600F415560A}"/>
    <cellStyle name="Normal 6 3 3 4 3 5 3 2" xfId="31356" xr:uid="{35DA6502-A4A2-4046-B3CE-4037C2DBBE69}"/>
    <cellStyle name="Normal 6 3 3 4 3 5 4" xfId="31552" xr:uid="{072920CB-D524-41F0-B9ED-C02DFA5CF3AC}"/>
    <cellStyle name="Normal 6 3 3 4 3 6" xfId="4037" xr:uid="{C66D090D-F948-4628-9A4B-3556EC8A8993}"/>
    <cellStyle name="Normal 6 3 3 4 3 6 2" xfId="4740" xr:uid="{6CDE8700-2BC6-4C40-AD11-A661C27D6699}"/>
    <cellStyle name="Normal 6 3 3 4 3 6 3" xfId="30329" xr:uid="{A9169C37-2F33-4AC5-9D16-6468DBFE55C7}"/>
    <cellStyle name="Normal 6 3 3 4 3 6 3 2" xfId="31472" xr:uid="{C08347BC-2FE4-4A4C-88AE-047B4F1111EB}"/>
    <cellStyle name="Normal 6 3 3 4 3 6 4" xfId="31669" xr:uid="{25C9AC63-04F8-44DF-BE45-828C1A0EFA15}"/>
    <cellStyle name="Normal 6 3 3 4 3 7" xfId="30149" xr:uid="{5DD134DE-7771-4AC1-A6C7-CAB182204804}"/>
    <cellStyle name="Normal 6 3 3 4 3 7 2" xfId="30516" xr:uid="{F5396644-8DAF-4937-A4F1-2401EBC3517A}"/>
    <cellStyle name="Normal 6 3 3 4 4" xfId="1274" xr:uid="{00000000-0005-0000-0000-0000C4060000}"/>
    <cellStyle name="Normal 6 3 3 4 4 2" xfId="2018" xr:uid="{00000000-0005-0000-0000-0000C5060000}"/>
    <cellStyle name="Normal 6 3 3 4 4 3" xfId="3751" xr:uid="{00000000-0005-0000-0000-000027060000}"/>
    <cellStyle name="Normal 6 3 3 4 4 3 2" xfId="4734" xr:uid="{8C9E0BAB-6342-4926-AFDE-1D1CEAEB8D50}"/>
    <cellStyle name="Normal 6 3 3 4 4 3 3" xfId="30276" xr:uid="{7F3E6705-4643-4EF6-886B-EF89E8C009A2}"/>
    <cellStyle name="Normal 6 3 3 4 4 3 3 2" xfId="31419" xr:uid="{519FAA7A-C692-4C62-A964-CCC9D5705A0C}"/>
    <cellStyle name="Normal 6 3 3 4 4 3 4" xfId="31616" xr:uid="{C2001405-3A9E-407C-A41F-4E4E1ECCA430}"/>
    <cellStyle name="Normal 6 3 3 4 5" xfId="2130" xr:uid="{00000000-0005-0000-0000-0000C6020000}"/>
    <cellStyle name="Normal 6 3 3 4 5 2" xfId="3776" xr:uid="{E7CE2CBA-ABE9-40BC-B051-DB9C5FB798E6}"/>
    <cellStyle name="Normal 6 3 3 4 5 3" xfId="30211" xr:uid="{89A8051D-31C3-40B3-9711-90934B61F108}"/>
    <cellStyle name="Normal 6 3 3 4 5 3 2" xfId="31355" xr:uid="{85BF3F84-4BD4-4F22-BAF8-1486D86B8D5C}"/>
    <cellStyle name="Normal 6 3 3 4 5 4" xfId="31551" xr:uid="{A28A8BEB-C65E-4662-A83C-828FBC0BB7C6}"/>
    <cellStyle name="Normal 6 3 3 4 6" xfId="4036" xr:uid="{45BFAD04-BCD7-4CAC-953D-0DBD444CB6D4}"/>
    <cellStyle name="Normal 6 3 3 4 6 2" xfId="4726" xr:uid="{E376E65A-2E16-478D-B2B0-FCA698161DA4}"/>
    <cellStyle name="Normal 6 3 3 4 6 3" xfId="30328" xr:uid="{7B491ED7-6C6A-4219-B6F7-978B126F66AF}"/>
    <cellStyle name="Normal 6 3 3 4 6 3 2" xfId="31471" xr:uid="{7C5376D0-737F-432C-B2D8-A4762CC89502}"/>
    <cellStyle name="Normal 6 3 3 4 6 4" xfId="31668" xr:uid="{5D3A6406-FADF-46CF-957E-3CA6899F60ED}"/>
    <cellStyle name="Normal 6 3 3 4 7" xfId="30148" xr:uid="{838F89EF-1D7F-4065-8D4C-3A4DAF9BF3DA}"/>
    <cellStyle name="Normal 6 3 3 4 7 2" xfId="30515" xr:uid="{05F24ADF-AA50-4531-B604-5CFE29E6FEC6}"/>
    <cellStyle name="Normal 6 3 3 5" xfId="2070" xr:uid="{00000000-0005-0000-0000-0000B9020000}"/>
    <cellStyle name="Normal 6 3 3 5 2" xfId="4799" xr:uid="{907E5E47-F6B2-4DC4-A325-33901AAEA066}"/>
    <cellStyle name="Normal 6 3 3 5 3" xfId="30170" xr:uid="{35A6137A-9A79-4FA9-A0E4-BC9B9671A559}"/>
    <cellStyle name="Normal 6 3 3 5 3 2" xfId="30517" xr:uid="{DABD6C2B-49F9-41EE-B9EE-279CE22049EF}"/>
    <cellStyle name="Normal 6 3 3 5 4" xfId="31510" xr:uid="{FE5EE180-0A6C-4451-850A-0F128D00BDF6}"/>
    <cellStyle name="Normal 6 3 3 6" xfId="30102" xr:uid="{39D311B1-3F99-4637-B6B6-3945F5B433CC}"/>
    <cellStyle name="Normal 6 3 3 6 2" xfId="30475" xr:uid="{F1B2B02C-F2EA-473E-AE49-8B217EFDE528}"/>
    <cellStyle name="Normal 6 3 3 7" xfId="31723" xr:uid="{E604F0D1-D22E-44C1-96D7-4CA8EF6DAC1C}"/>
    <cellStyle name="Normal 6 3 4" xfId="1275" xr:uid="{00000000-0005-0000-0000-0000C6060000}"/>
    <cellStyle name="Normal 6 3 4 2" xfId="1276" xr:uid="{00000000-0005-0000-0000-0000C7060000}"/>
    <cellStyle name="Normal 6 3 4 3" xfId="1277" xr:uid="{00000000-0005-0000-0000-0000C8060000}"/>
    <cellStyle name="Normal 6 3 4 3 2" xfId="1278" xr:uid="{00000000-0005-0000-0000-0000C9060000}"/>
    <cellStyle name="Normal 6 3 4 3 2 2" xfId="1279" xr:uid="{00000000-0005-0000-0000-0000CA060000}"/>
    <cellStyle name="Normal 6 3 4 3 2 2 2" xfId="23857" xr:uid="{914EF0C8-D56B-478B-810B-7CA84A865AFB}"/>
    <cellStyle name="Normal 6 3 4 3 2 2 3" xfId="24995" xr:uid="{BF9404F4-9345-4E46-8DFA-77F5AB74D18D}"/>
    <cellStyle name="Normal 6 3 4 3 2 3" xfId="1280" xr:uid="{00000000-0005-0000-0000-0000CB060000}"/>
    <cellStyle name="Normal 6 3 4 3 2 3 2" xfId="2019" xr:uid="{00000000-0005-0000-0000-0000CC060000}"/>
    <cellStyle name="Normal 6 3 4 3 2 3 3" xfId="3752" xr:uid="{00000000-0005-0000-0000-00002E060000}"/>
    <cellStyle name="Normal 6 3 4 3 2 3 3 2" xfId="4723" xr:uid="{FB4D8310-7AEF-4531-9242-402D4EE4CBCA}"/>
    <cellStyle name="Normal 6 3 4 3 2 3 3 3" xfId="30277" xr:uid="{E5F840FE-5104-4857-8DCE-96279A827F92}"/>
    <cellStyle name="Normal 6 3 4 3 2 3 3 3 2" xfId="31420" xr:uid="{4198C9AA-B1FD-49F4-9439-E7F43D107413}"/>
    <cellStyle name="Normal 6 3 4 3 2 3 3 4" xfId="31617" xr:uid="{909DD0D0-1364-42A4-A034-3430836BB697}"/>
    <cellStyle name="Normal 6 3 4 3 2 4" xfId="24959" xr:uid="{0DA149DA-ADAC-4AFA-94DC-BF3AC20BD344}"/>
    <cellStyle name="Normal 6 3 4 3 3" xfId="1281" xr:uid="{00000000-0005-0000-0000-0000CD060000}"/>
    <cellStyle name="Normal 6 3 4 3 4" xfId="2975" xr:uid="{00000000-0005-0000-0000-0000AC070000}"/>
    <cellStyle name="Normal 6 3 4 3 4 2" xfId="31289" xr:uid="{BE8648E5-FB61-43AA-BB56-FE67109396AA}"/>
    <cellStyle name="Normal 6 3 4 3 5" xfId="2133" xr:uid="{00000000-0005-0000-0000-0000CC020000}"/>
    <cellStyle name="Normal 6 3 4 3 5 2" xfId="4641" xr:uid="{B14B5BE6-0AD9-4024-B6A3-83DB74FA6323}"/>
    <cellStyle name="Normal 6 3 4 3 5 3" xfId="30214" xr:uid="{E0D683BA-EFB6-4E11-8ABF-098065B0A36F}"/>
    <cellStyle name="Normal 6 3 4 3 5 3 2" xfId="31358" xr:uid="{9C8FE98E-1D8F-4973-8A1E-AB187A709B52}"/>
    <cellStyle name="Normal 6 3 4 3 5 4" xfId="31554" xr:uid="{83DF3942-78DD-4E7E-8FC5-59A81BE0190A}"/>
    <cellStyle name="Normal 6 3 4 3 6" xfId="4039" xr:uid="{85017E11-7866-4279-9063-BD1F44AA9952}"/>
    <cellStyle name="Normal 6 3 4 3 6 2" xfId="4785" xr:uid="{121F7278-5066-479E-804E-839EF523D6AF}"/>
    <cellStyle name="Normal 6 3 4 3 6 3" xfId="30331" xr:uid="{10D4AA31-3BD6-458F-BF46-08A025222983}"/>
    <cellStyle name="Normal 6 3 4 3 6 3 2" xfId="31474" xr:uid="{45E35B95-8A5B-4E1D-9384-E5D7227BFA78}"/>
    <cellStyle name="Normal 6 3 4 3 6 4" xfId="31671" xr:uid="{5ABCB488-C596-4F4D-A1BD-D5E366D7C9F2}"/>
    <cellStyle name="Normal 6 3 4 3 7" xfId="30151" xr:uid="{7EB70341-ADA0-4143-B80B-2417C60D5EFB}"/>
    <cellStyle name="Normal 6 3 4 3 7 2" xfId="30519" xr:uid="{35C90F93-35F2-4DF2-AF1A-E04B1075095B}"/>
    <cellStyle name="Normal 6 3 4 4" xfId="2974" xr:uid="{00000000-0005-0000-0000-0000AD070000}"/>
    <cellStyle name="Normal 6 3 4 4 2" xfId="24839" xr:uid="{A731FBC4-F028-41EF-AC44-B734738D1241}"/>
    <cellStyle name="Normal 6 3 4 4 2 2" xfId="29623" xr:uid="{7D19FE9A-8DE5-4212-8041-0E8E01477532}"/>
    <cellStyle name="Normal 6 3 4 4 2 3" xfId="29608" xr:uid="{6844FE66-0350-45B6-8749-E96EC837CDEA}"/>
    <cellStyle name="Normal 6 3 4 4 2 3 2" xfId="29649" xr:uid="{306B9646-B3CB-4206-96D3-173A2C19F6A4}"/>
    <cellStyle name="Normal 6 3 4 4 2 3 3" xfId="30391" xr:uid="{5C1B9AE5-B079-4BE9-940F-38DB98168A0F}"/>
    <cellStyle name="Normal 6 3 4 4 2 3 4" xfId="30378" xr:uid="{0C630832-C427-48AC-B7B7-CDBA068EF46E}"/>
    <cellStyle name="Normal 6 3 4 4 2 3 4 2" xfId="31717" xr:uid="{59210765-A088-4B60-B438-476422DF6627}"/>
    <cellStyle name="Normal 6 3 4 4 2 4" xfId="30364" xr:uid="{ED8C1BC9-242E-4E34-A350-F2FCEF2ABD52}"/>
    <cellStyle name="Normal 6 3 4 4 2 4 2" xfId="31704" xr:uid="{1508FF5D-6EE9-4924-B426-3723E8CF7E8F}"/>
    <cellStyle name="Normal 6 3 4 4 3" xfId="24976" xr:uid="{B81CA4B1-D0EC-4903-82C2-3729418C66EC}"/>
    <cellStyle name="Normal 6 3 4 5" xfId="2132" xr:uid="{00000000-0005-0000-0000-0000CA020000}"/>
    <cellStyle name="Normal 6 3 4 5 2" xfId="4626" xr:uid="{385DF0D6-58F0-450D-88C9-C3CEB76D1408}"/>
    <cellStyle name="Normal 6 3 4 5 3" xfId="30213" xr:uid="{90312F7B-2D6D-405C-8052-43F9AAADE25C}"/>
    <cellStyle name="Normal 6 3 4 5 3 2" xfId="31357" xr:uid="{E7349462-429D-4D08-82F3-1A2EB2E58B37}"/>
    <cellStyle name="Normal 6 3 4 5 4" xfId="31553" xr:uid="{1042ECBD-2BB7-4E90-905B-07F8507D3AB7}"/>
    <cellStyle name="Normal 6 3 4 6" xfId="4038" xr:uid="{8D1101F3-0C22-4BE8-AF14-06E549D8B1C0}"/>
    <cellStyle name="Normal 6 3 4 6 2" xfId="4708" xr:uid="{309113B5-9206-44C4-9B50-F0859B4F4AC0}"/>
    <cellStyle name="Normal 6 3 4 6 3" xfId="30330" xr:uid="{75C41231-A56E-451C-A0E6-06EE355C936A}"/>
    <cellStyle name="Normal 6 3 4 6 3 2" xfId="31473" xr:uid="{E83C45BE-E56B-493C-B749-8DBB698D4281}"/>
    <cellStyle name="Normal 6 3 4 6 4" xfId="31670" xr:uid="{BED4E2F1-8BFE-49E7-94A6-F6C20E56EE89}"/>
    <cellStyle name="Normal 6 3 4 7" xfId="30150" xr:uid="{230E3327-1DCE-4021-B3F8-983D1A5A137A}"/>
    <cellStyle name="Normal 6 3 4 7 2" xfId="30518" xr:uid="{E88A4B4D-5E2F-4EF4-8F91-154A61DEACCE}"/>
    <cellStyle name="Normal 6 3 5" xfId="29609" xr:uid="{631E655F-7844-43BA-9955-2AD29CB8158C}"/>
    <cellStyle name="Normal 6 3 5 2" xfId="29637" xr:uid="{B4AFCDD8-862C-4144-A948-C80FD9D9C627}"/>
    <cellStyle name="Normal 6 3 5 3" xfId="30365" xr:uid="{BB71A935-D937-468C-AA47-D9536B9840FB}"/>
    <cellStyle name="Normal 6 3 5 3 2" xfId="30520" xr:uid="{EB168DF3-E7E9-4582-9E18-6217A4D688DD}"/>
    <cellStyle name="Normal 6 3 6" xfId="31500" xr:uid="{DD156CEF-7EAB-43B9-BB83-25E20C183EA0}"/>
    <cellStyle name="Normal 6 4" xfId="1282" xr:uid="{00000000-0005-0000-0000-0000CE060000}"/>
    <cellStyle name="Normal 6 4 2" xfId="29577" xr:uid="{257231DA-9F9C-41EE-9D90-E4F717ADD25B}"/>
    <cellStyle name="Normal 6 5" xfId="1283" xr:uid="{00000000-0005-0000-0000-0000CF060000}"/>
    <cellStyle name="Normal 6 5 2" xfId="1284" xr:uid="{00000000-0005-0000-0000-0000D0060000}"/>
    <cellStyle name="Normal 6 5 3" xfId="1285" xr:uid="{00000000-0005-0000-0000-0000D1060000}"/>
    <cellStyle name="Normal 6 5 3 2" xfId="1286" xr:uid="{00000000-0005-0000-0000-0000D2060000}"/>
    <cellStyle name="Normal 6 5 3 2 2" xfId="1287" xr:uid="{00000000-0005-0000-0000-0000D3060000}"/>
    <cellStyle name="Normal 6 5 3 2 3" xfId="1288" xr:uid="{00000000-0005-0000-0000-0000D4060000}"/>
    <cellStyle name="Normal 6 5 3 2 3 2" xfId="1289" xr:uid="{00000000-0005-0000-0000-0000D5060000}"/>
    <cellStyle name="Normal 6 5 3 2 3 2 2" xfId="1290" xr:uid="{00000000-0005-0000-0000-0000D6060000}"/>
    <cellStyle name="Normal 6 5 3 2 3 2 2 2" xfId="23546" xr:uid="{6CE7B02B-D1CE-4710-96B7-8A6DF2DAC870}"/>
    <cellStyle name="Normal 6 5 3 2 3 2 2 3" xfId="23025" xr:uid="{4E9BE13E-A5E0-47E2-AFF3-48DE17D58116}"/>
    <cellStyle name="Normal 6 5 3 2 3 2 3" xfId="1291" xr:uid="{00000000-0005-0000-0000-0000D7060000}"/>
    <cellStyle name="Normal 6 5 3 2 3 2 3 2" xfId="2020" xr:uid="{00000000-0005-0000-0000-0000D8060000}"/>
    <cellStyle name="Normal 6 5 3 2 3 2 3 3" xfId="3753" xr:uid="{00000000-0005-0000-0000-00003A060000}"/>
    <cellStyle name="Normal 6 5 3 2 3 2 3 3 2" xfId="4750" xr:uid="{5673C234-99C3-4A51-9CB0-6C6BF3ACCAF4}"/>
    <cellStyle name="Normal 6 5 3 2 3 2 3 3 3" xfId="30278" xr:uid="{E39C729E-3986-412E-9582-DDBDB6F5B372}"/>
    <cellStyle name="Normal 6 5 3 2 3 2 3 3 3 2" xfId="31421" xr:uid="{3CA02C8E-1377-438F-8ACF-277F8C8DB7A0}"/>
    <cellStyle name="Normal 6 5 3 2 3 2 3 3 4" xfId="31618" xr:uid="{0A1895AA-EE88-42AC-B89A-BCDB4B9319D4}"/>
    <cellStyle name="Normal 6 5 3 2 3 2 4" xfId="22682" xr:uid="{9FD8EF5C-1DF1-4ABC-86B0-BC0A24BC7DB0}"/>
    <cellStyle name="Normal 6 5 3 2 3 3" xfId="1292" xr:uid="{00000000-0005-0000-0000-0000D9060000}"/>
    <cellStyle name="Normal 6 5 3 2 3 4" xfId="2977" xr:uid="{00000000-0005-0000-0000-0000B7070000}"/>
    <cellStyle name="Normal 6 5 3 2 3 4 2" xfId="31277" xr:uid="{AC78F16B-C398-421C-B6DA-60754B2F6068}"/>
    <cellStyle name="Normal 6 5 3 2 3 5" xfId="2136" xr:uid="{00000000-0005-0000-0000-0000D4020000}"/>
    <cellStyle name="Normal 6 5 3 2 3 5 2" xfId="4648" xr:uid="{6EE5CD5D-2630-46DB-98C1-E0A91C088B26}"/>
    <cellStyle name="Normal 6 5 3 2 3 5 3" xfId="30217" xr:uid="{ADF6D548-1F3A-459F-A750-74CD99FDEE9A}"/>
    <cellStyle name="Normal 6 5 3 2 3 5 3 2" xfId="31361" xr:uid="{B71D2F94-18B1-4748-AC7B-9E99EEE3BBE2}"/>
    <cellStyle name="Normal 6 5 3 2 3 5 4" xfId="31557" xr:uid="{F49B284C-4158-45C7-A289-51B9D8DE13A3}"/>
    <cellStyle name="Normal 6 5 3 2 3 6" xfId="4042" xr:uid="{8B315A9F-8391-474D-B4C0-405EE4404F8E}"/>
    <cellStyle name="Normal 6 5 3 2 3 6 2" xfId="4713" xr:uid="{B2D6BDD1-5721-402C-A1EB-DE58BA876C84}"/>
    <cellStyle name="Normal 6 5 3 2 3 6 3" xfId="30334" xr:uid="{BB68FD68-7256-47F7-953D-2BBE26864CDA}"/>
    <cellStyle name="Normal 6 5 3 2 3 6 3 2" xfId="31476" xr:uid="{8C01FEE2-79B9-4A0F-A784-4FD92A5B6B0B}"/>
    <cellStyle name="Normal 6 5 3 2 3 6 4" xfId="31674" xr:uid="{EBE5DAA1-C59B-46EC-A8F2-1CE773456805}"/>
    <cellStyle name="Normal 6 5 3 2 3 7" xfId="30153" xr:uid="{49112585-27FD-43F2-BF44-AC831E47158C}"/>
    <cellStyle name="Normal 6 5 3 2 3 7 2" xfId="30522" xr:uid="{97E9803D-6432-444E-A890-68A0602A16F1}"/>
    <cellStyle name="Normal 6 5 3 2 4" xfId="1293" xr:uid="{00000000-0005-0000-0000-0000DA060000}"/>
    <cellStyle name="Normal 6 5 3 2 4 2" xfId="2976" xr:uid="{00000000-0005-0000-0000-0000B8070000}"/>
    <cellStyle name="Normal 6 5 3 2 4 3" xfId="22772" xr:uid="{CD57B1BC-3F34-42E2-9CEF-B7D110F41FF7}"/>
    <cellStyle name="Normal 6 5 3 2 4 3 2" xfId="29618" xr:uid="{9DAA4DA3-BA88-49B7-AE77-A0A630F355B2}"/>
    <cellStyle name="Normal 6 5 3 2 4 3 3" xfId="29610" xr:uid="{8CF9AABB-3F53-411E-BD53-F0F5DD0A33EC}"/>
    <cellStyle name="Normal 6 5 3 2 4 3 3 2" xfId="29650" xr:uid="{40128613-59DC-4F9E-A541-DEA5B2B014E4}"/>
    <cellStyle name="Normal 6 5 3 2 4 3 3 3" xfId="30392" xr:uid="{3896CCD4-4803-40CF-8441-650569527929}"/>
    <cellStyle name="Normal 6 5 3 2 4 3 3 4" xfId="30379" xr:uid="{CBA19119-5BB4-4E00-A950-1BDA2D9F3805}"/>
    <cellStyle name="Normal 6 5 3 2 4 3 3 4 2" xfId="31718" xr:uid="{8630AAF4-9A72-44FF-B5C2-D15011E2D118}"/>
    <cellStyle name="Normal 6 5 3 2 4 3 4" xfId="30366" xr:uid="{ECE487CF-3F45-4A59-B530-7A43F95E48BF}"/>
    <cellStyle name="Normal 6 5 3 2 4 3 4 2" xfId="31705" xr:uid="{08509A36-70E6-4EBD-A46D-BFCD7652D951}"/>
    <cellStyle name="Normal 6 5 3 2 5" xfId="2135" xr:uid="{00000000-0005-0000-0000-0000D2020000}"/>
    <cellStyle name="Normal 6 5 3 2 5 2" xfId="4684" xr:uid="{985E2EB5-9E1E-43AC-B0AB-0DDE28EC2B5C}"/>
    <cellStyle name="Normal 6 5 3 2 5 3" xfId="30216" xr:uid="{D46CE359-6D20-457D-B96B-F51C055BD562}"/>
    <cellStyle name="Normal 6 5 3 2 5 3 2" xfId="31360" xr:uid="{988CB04C-674F-41D1-A07E-95491E04BE7D}"/>
    <cellStyle name="Normal 6 5 3 2 5 4" xfId="31556" xr:uid="{D1D84B56-D950-4446-AE9F-C32773F7F07D}"/>
    <cellStyle name="Normal 6 5 3 2 6" xfId="4041" xr:uid="{8635F82C-04F7-4EC6-B923-CFC4350C7830}"/>
    <cellStyle name="Normal 6 5 3 2 6 2" xfId="4721" xr:uid="{5D5E7BFF-9D34-4E6B-9329-AD7DE75B6822}"/>
    <cellStyle name="Normal 6 5 3 2 6 3" xfId="30333" xr:uid="{32DCCDDE-5942-4CE1-9E1F-32A881D5BAD7}"/>
    <cellStyle name="Normal 6 5 3 2 6 3 2" xfId="31475" xr:uid="{5FA83714-5914-4708-8333-1CC83A3DDB0D}"/>
    <cellStyle name="Normal 6 5 3 2 6 4" xfId="31673" xr:uid="{E9FE8281-905A-4173-80C7-82183386EABC}"/>
    <cellStyle name="Normal 6 5 3 2 7" xfId="30152" xr:uid="{940D94C0-6359-4490-BCCE-8FEBED747550}"/>
    <cellStyle name="Normal 6 5 3 2 7 2" xfId="30521" xr:uid="{AC08ED16-3FFE-4CEE-BEF0-0022C74CD6F4}"/>
    <cellStyle name="Normal 6 5 3 3" xfId="1294" xr:uid="{00000000-0005-0000-0000-0000DB060000}"/>
    <cellStyle name="Normal 6 5 3 4" xfId="1295" xr:uid="{00000000-0005-0000-0000-0000DC060000}"/>
    <cellStyle name="Normal 6 5 3 4 2" xfId="1296" xr:uid="{00000000-0005-0000-0000-0000DD060000}"/>
    <cellStyle name="Normal 6 5 3 4 2 2" xfId="1297" xr:uid="{00000000-0005-0000-0000-0000DE060000}"/>
    <cellStyle name="Normal 6 5 3 4 2 2 2" xfId="1298" xr:uid="{00000000-0005-0000-0000-0000DF060000}"/>
    <cellStyle name="Normal 6 5 3 4 2 2 2 2" xfId="2021" xr:uid="{00000000-0005-0000-0000-0000E0060000}"/>
    <cellStyle name="Normal 6 5 3 4 2 2 2 2 2" xfId="30071" xr:uid="{CE4D3F89-E104-4E7C-94DC-8DEA8C31FCE9}"/>
    <cellStyle name="Normal 6 5 3 4 2 2 2 3" xfId="3754" xr:uid="{00000000-0005-0000-0000-000041060000}"/>
    <cellStyle name="Normal 6 5 3 4 2 2 2 3 2" xfId="4751" xr:uid="{26BAC224-8031-4231-90D3-310CC68CB6C0}"/>
    <cellStyle name="Normal 6 5 3 4 2 2 2 3 3" xfId="30279" xr:uid="{D5CEC65A-2ADC-4D45-B3B7-ADDDF3F54B9C}"/>
    <cellStyle name="Normal 6 5 3 4 2 2 2 3 3 2" xfId="31422" xr:uid="{F627CE79-B180-42C5-A491-6351F4C67CBE}"/>
    <cellStyle name="Normal 6 5 3 4 2 2 2 3 4" xfId="31619" xr:uid="{BB2108BE-1192-4E13-B6B9-9D2AB265B6C3}"/>
    <cellStyle name="Normal 6 5 3 4 2 2 2 4" xfId="25650" xr:uid="{027883EB-AA0E-41FF-81FB-F1BBC81CE7B2}"/>
    <cellStyle name="Normal 6 5 3 4 2 2 3" xfId="2022" xr:uid="{00000000-0005-0000-0000-0000E1060000}"/>
    <cellStyle name="Normal 6 5 3 4 2 2 4" xfId="23689" xr:uid="{CA3DAEF0-6343-4558-A238-4D98377C6D1B}"/>
    <cellStyle name="Normal 6 5 3 4 2 3" xfId="1299" xr:uid="{00000000-0005-0000-0000-0000E2060000}"/>
    <cellStyle name="Normal 6 5 3 4 2 3 2" xfId="1300" xr:uid="{00000000-0005-0000-0000-0000E3060000}"/>
    <cellStyle name="Normal 6 5 3 4 2 3 2 2" xfId="24930" xr:uid="{E909B7A4-5CBD-4AAC-BDAA-0C01073A2252}"/>
    <cellStyle name="Normal 6 5 3 4 2 3 2 3" xfId="24547" xr:uid="{FAAE128B-02E0-4F7E-969B-D2ECFB9E58C6}"/>
    <cellStyle name="Normal 6 5 3 4 2 3 3" xfId="1301" xr:uid="{00000000-0005-0000-0000-0000E4060000}"/>
    <cellStyle name="Normal 6 5 3 4 2 3 3 2" xfId="23111" xr:uid="{5C06B36C-8B41-47F4-8669-E1A3D37189EF}"/>
    <cellStyle name="Normal 6 5 3 4 2 3 3 3" xfId="24193" xr:uid="{E0A3CB2B-323E-45C9-B368-4BFDAA379657}"/>
    <cellStyle name="Normal 6 5 3 4 2 3 4" xfId="2138" xr:uid="{00000000-0005-0000-0000-0000DA020000}"/>
    <cellStyle name="Normal 6 5 3 4 2 3 4 2" xfId="4792" xr:uid="{654C328A-1FF9-4AC4-BD39-89BAD01AAAF1}"/>
    <cellStyle name="Normal 6 5 3 4 2 3 4 3" xfId="30219" xr:uid="{315EE6F0-4A4B-4614-90D5-5242C6E49BBC}"/>
    <cellStyle name="Normal 6 5 3 4 2 3 4 3 2" xfId="31363" xr:uid="{946949EA-0176-4BCD-B99E-F7D135D21458}"/>
    <cellStyle name="Normal 6 5 3 4 2 3 4 4" xfId="31559" xr:uid="{F5FB7FA9-7FF9-4592-9A76-78A07223589D}"/>
    <cellStyle name="Normal 6 5 3 4 2 3 5" xfId="25819" xr:uid="{146A0A89-FA15-4673-83D1-1BD48BA23B4F}"/>
    <cellStyle name="Normal 6 5 3 4 2 3 6" xfId="30542" xr:uid="{1E4E56E2-FCF3-4C9E-A5C1-C675C3F1A005}"/>
    <cellStyle name="Normal 6 5 3 4 2 4" xfId="24939" xr:uid="{FD27707B-D4A4-422F-BC64-0031AA3E4D05}"/>
    <cellStyle name="Normal 6 5 3 4 3" xfId="1302" xr:uid="{00000000-0005-0000-0000-0000E5060000}"/>
    <cellStyle name="Normal 6 5 3 4 4" xfId="2978" xr:uid="{00000000-0005-0000-0000-0000C0070000}"/>
    <cellStyle name="Normal 6 5 3 4 4 2" xfId="31295" xr:uid="{AB74C274-9F21-4F33-97DC-03C78C47142A}"/>
    <cellStyle name="Normal 6 5 3 4 5" xfId="2137" xr:uid="{00000000-0005-0000-0000-0000D7020000}"/>
    <cellStyle name="Normal 6 5 3 4 5 2" xfId="4668" xr:uid="{D2333BB9-76BA-48B1-B619-1F9C6401FD25}"/>
    <cellStyle name="Normal 6 5 3 4 5 3" xfId="30218" xr:uid="{62554BF8-65F6-4FEE-9102-1517F5320031}"/>
    <cellStyle name="Normal 6 5 3 4 5 3 2" xfId="31362" xr:uid="{8411E2B0-CE72-4FAF-B1B5-E2FDF3AB6116}"/>
    <cellStyle name="Normal 6 5 3 4 5 4" xfId="31558" xr:uid="{613255CF-C246-4231-95AD-15A9EA1A28E1}"/>
    <cellStyle name="Normal 6 5 3 4 6" xfId="4043" xr:uid="{13FADCA8-36DC-469D-8F55-211BB24FA64B}"/>
    <cellStyle name="Normal 6 5 3 4 6 2" xfId="4755" xr:uid="{ABAADEE5-6BDD-4DDF-988F-045E065F16C3}"/>
    <cellStyle name="Normal 6 5 3 4 6 3" xfId="30335" xr:uid="{C370706B-D050-44A6-8DBC-4B79D80786ED}"/>
    <cellStyle name="Normal 6 5 3 4 6 3 2" xfId="31477" xr:uid="{A2072E34-E841-4339-9FD5-C6D6C717F7C6}"/>
    <cellStyle name="Normal 6 5 3 4 6 4" xfId="31675" xr:uid="{A7B8BC6B-0D84-401C-BCE1-1C3CE034DBAA}"/>
    <cellStyle name="Normal 6 5 3 4 7" xfId="30154" xr:uid="{B6B1B1A2-B731-440F-A283-79585C0A73B2}"/>
    <cellStyle name="Normal 6 5 3 4 7 2" xfId="30523" xr:uid="{8E1F6B5E-F917-4E06-A35E-B3F4B762C63D}"/>
    <cellStyle name="Normal 6 5 3 5" xfId="1303" xr:uid="{00000000-0005-0000-0000-0000E6060000}"/>
    <cellStyle name="Normal 6 5 3 5 2" xfId="1304" xr:uid="{00000000-0005-0000-0000-0000E7060000}"/>
    <cellStyle name="Normal 6 5 3 5 3" xfId="3755" xr:uid="{00000000-0005-0000-0000-000048060000}"/>
    <cellStyle name="Normal 6 5 3 5 3 2" xfId="4730" xr:uid="{AA82DB5A-447D-4511-8EB9-24556BA2CB0E}"/>
    <cellStyle name="Normal 6 5 3 5 3 2 2" xfId="27331" xr:uid="{B4F852AE-EC89-4A98-8D9A-9E80570804CD}"/>
    <cellStyle name="Normal 6 5 3 5 3 3" xfId="23853" xr:uid="{67DDA71D-7964-413D-BDC5-5EE7AA0D2113}"/>
    <cellStyle name="Normal 6 5 3 5 3 4" xfId="30280" xr:uid="{0F482ABE-F9DD-4AE1-B958-7F9AACCE1E1C}"/>
    <cellStyle name="Normal 6 5 3 5 3 4 2" xfId="31423" xr:uid="{8090AB6F-2CAE-48D4-BCB0-D8D0AD244004}"/>
    <cellStyle name="Normal 6 5 3 5 3 5" xfId="31620" xr:uid="{F37F9835-CED0-41DF-BE2E-CCAD9E7DE39B}"/>
    <cellStyle name="Normal 6 5 3 5 4" xfId="23274" xr:uid="{58D8A3A5-BF02-4FA5-950C-8BF39731C4DC}"/>
    <cellStyle name="Normal 6 5 4" xfId="1305" xr:uid="{00000000-0005-0000-0000-0000E8060000}"/>
    <cellStyle name="Normal 6 5 4 2" xfId="1306" xr:uid="{00000000-0005-0000-0000-0000E9060000}"/>
    <cellStyle name="Normal 6 5 4 3" xfId="1307" xr:uid="{00000000-0005-0000-0000-0000EA060000}"/>
    <cellStyle name="Normal 6 5 4 3 2" xfId="1308" xr:uid="{00000000-0005-0000-0000-0000EB060000}"/>
    <cellStyle name="Normal 6 5 4 3 2 2" xfId="1309" xr:uid="{00000000-0005-0000-0000-0000EC060000}"/>
    <cellStyle name="Normal 6 5 4 3 2 2 2" xfId="25743" xr:uid="{42C34BA9-5B93-4F83-838A-E71B19AEACFC}"/>
    <cellStyle name="Normal 6 5 4 3 2 2 3" xfId="24338" xr:uid="{1384C54E-DAFE-4C52-84EF-49846655DA71}"/>
    <cellStyle name="Normal 6 5 4 3 2 3" xfId="1310" xr:uid="{00000000-0005-0000-0000-0000ED060000}"/>
    <cellStyle name="Normal 6 5 4 3 2 3 2" xfId="2023" xr:uid="{00000000-0005-0000-0000-0000EE060000}"/>
    <cellStyle name="Normal 6 5 4 3 2 3 3" xfId="3756" xr:uid="{00000000-0005-0000-0000-00004F060000}"/>
    <cellStyle name="Normal 6 5 4 3 2 3 3 2" xfId="4793" xr:uid="{156ECD42-9B10-42E7-81DB-911B21DCE73A}"/>
    <cellStyle name="Normal 6 5 4 3 2 3 3 3" xfId="30281" xr:uid="{44E45A56-0938-496E-848A-9D883B75B8E6}"/>
    <cellStyle name="Normal 6 5 4 3 2 3 3 3 2" xfId="31424" xr:uid="{104720AE-072D-43E6-A876-8E12BB329AC9}"/>
    <cellStyle name="Normal 6 5 4 3 2 3 3 4" xfId="31621" xr:uid="{C63255E8-1A1C-4DD5-BCD8-566984E31045}"/>
    <cellStyle name="Normal 6 5 4 3 2 4" xfId="24664" xr:uid="{C8FD317F-C620-40B3-9E84-C86134062E28}"/>
    <cellStyle name="Normal 6 5 4 3 3" xfId="1311" xr:uid="{00000000-0005-0000-0000-0000EF060000}"/>
    <cellStyle name="Normal 6 5 4 3 4" xfId="2979" xr:uid="{00000000-0005-0000-0000-0000C6070000}"/>
    <cellStyle name="Normal 6 5 4 3 4 2" xfId="31300" xr:uid="{1D63F91C-4880-4AD8-ACE6-3490B3C191AF}"/>
    <cellStyle name="Normal 6 5 4 3 5" xfId="2140" xr:uid="{00000000-0005-0000-0000-0000DE020000}"/>
    <cellStyle name="Normal 6 5 4 3 5 2" xfId="3772" xr:uid="{0DAEABF9-E059-45BB-9EA3-DB8CCF44184B}"/>
    <cellStyle name="Normal 6 5 4 3 5 3" xfId="30221" xr:uid="{45838C83-4A43-4932-BDCE-C8F337A6FF93}"/>
    <cellStyle name="Normal 6 5 4 3 5 3 2" xfId="31365" xr:uid="{1681B1FF-BD73-48EA-B617-B273CD937AF6}"/>
    <cellStyle name="Normal 6 5 4 3 5 4" xfId="31561" xr:uid="{D408C2DC-B73E-44AF-B237-D74B8744DB20}"/>
    <cellStyle name="Normal 6 5 4 3 6" xfId="4045" xr:uid="{3B6C1D61-E8B0-4D32-BD74-479DABBA050E}"/>
    <cellStyle name="Normal 6 5 4 3 6 2" xfId="4743" xr:uid="{AB0FA666-59CA-452D-8185-BFDD339259A5}"/>
    <cellStyle name="Normal 6 5 4 3 6 3" xfId="30337" xr:uid="{A0F6DACF-5765-4B5B-B0D5-474B058864BF}"/>
    <cellStyle name="Normal 6 5 4 3 6 3 2" xfId="31479" xr:uid="{399043F7-6F4A-4A3E-9634-085F7EF1332F}"/>
    <cellStyle name="Normal 6 5 4 3 6 4" xfId="31677" xr:uid="{0C618089-00EB-4E10-B4F7-F237E3E30D1F}"/>
    <cellStyle name="Normal 6 5 4 3 7" xfId="30156" xr:uid="{E689BF94-8089-4EDB-8A90-EC9DD05FAEB6}"/>
    <cellStyle name="Normal 6 5 4 3 7 2" xfId="30525" xr:uid="{EFBA4820-C840-4148-BF88-6BDF2F0347D9}"/>
    <cellStyle name="Normal 6 5 4 4" xfId="1312" xr:uid="{00000000-0005-0000-0000-0000F0060000}"/>
    <cellStyle name="Normal 6 5 4 4 2" xfId="2024" xr:uid="{00000000-0005-0000-0000-0000F1060000}"/>
    <cellStyle name="Normal 6 5 4 4 3" xfId="3757" xr:uid="{00000000-0005-0000-0000-000052060000}"/>
    <cellStyle name="Normal 6 5 4 4 3 2" xfId="4803" xr:uid="{7A47A254-C6AA-423D-9FA2-08282F4CE5E0}"/>
    <cellStyle name="Normal 6 5 4 4 3 3" xfId="30282" xr:uid="{0B00FD0E-6729-4916-9762-F885F79C9AA2}"/>
    <cellStyle name="Normal 6 5 4 4 3 3 2" xfId="31425" xr:uid="{06166BF6-49AB-4FD9-B6C9-466EFABFB73C}"/>
    <cellStyle name="Normal 6 5 4 4 3 4" xfId="31622" xr:uid="{F51A84E7-859C-4016-A24B-CC6BB58A5781}"/>
    <cellStyle name="Normal 6 5 4 5" xfId="2139" xr:uid="{00000000-0005-0000-0000-0000DC020000}"/>
    <cellStyle name="Normal 6 5 4 5 2" xfId="4628" xr:uid="{F656D414-B9FB-4E57-A874-02EABF4164A9}"/>
    <cellStyle name="Normal 6 5 4 5 3" xfId="30220" xr:uid="{CC65D777-7FA0-471D-A07E-954A4411B4C7}"/>
    <cellStyle name="Normal 6 5 4 5 3 2" xfId="31364" xr:uid="{73E9ABE8-24A6-412C-9014-B32C406F5254}"/>
    <cellStyle name="Normal 6 5 4 5 4" xfId="31560" xr:uid="{6EB7D5EF-0E62-4B3E-BC7A-4EBD9D7356D9}"/>
    <cellStyle name="Normal 6 5 4 6" xfId="4044" xr:uid="{275714B7-5104-4FAB-9E0E-B1CADB04BD20}"/>
    <cellStyle name="Normal 6 5 4 6 2" xfId="4758" xr:uid="{66B4AC42-B19A-46C7-BB60-AA3BF5A56B35}"/>
    <cellStyle name="Normal 6 5 4 6 3" xfId="30336" xr:uid="{0B89003E-3F94-4F85-8781-8734CDF2F216}"/>
    <cellStyle name="Normal 6 5 4 6 3 2" xfId="31478" xr:uid="{28AE4F89-814E-43D6-B004-239043802B5A}"/>
    <cellStyle name="Normal 6 5 4 6 4" xfId="31676" xr:uid="{C9E8D383-49F9-4B00-9D73-DB9D2C0D47B7}"/>
    <cellStyle name="Normal 6 5 4 7" xfId="30155" xr:uid="{2552D7E3-E9B3-4241-AB50-FAF890DD8E42}"/>
    <cellStyle name="Normal 6 5 4 7 2" xfId="30524" xr:uid="{4C0D5AE6-EFC9-4BFA-B323-123CB782B2A7}"/>
    <cellStyle name="Normal 6 5 5" xfId="2071" xr:uid="{00000000-0005-0000-0000-0000CF020000}"/>
    <cellStyle name="Normal 6 5 5 2" xfId="4762" xr:uid="{58B42343-3889-4193-AB92-064DC779A64F}"/>
    <cellStyle name="Normal 6 5 5 3" xfId="30171" xr:uid="{1B9038EE-4F4C-4744-8861-25102551DC54}"/>
    <cellStyle name="Normal 6 5 5 3 2" xfId="30526" xr:uid="{438B0090-C4E0-4040-B6B8-2ED195399BE5}"/>
    <cellStyle name="Normal 6 5 5 4" xfId="31511" xr:uid="{22A88986-2C4B-4B97-B1CE-8329EB5EAAF9}"/>
    <cellStyle name="Normal 6 5 6" xfId="30115" xr:uid="{8D7A58C9-2680-41F9-B10A-5FB6EB00FD95}"/>
    <cellStyle name="Normal 6 5 6 2" xfId="30476" xr:uid="{6AC3E222-93E2-4ED5-A04F-8AD2183A95F8}"/>
    <cellStyle name="Normal 6 6" xfId="1313" xr:uid="{00000000-0005-0000-0000-0000F2060000}"/>
    <cellStyle name="Normal 6 6 10" xfId="30157" xr:uid="{52A1F13F-0078-432B-BBAA-5F6768E9F38E}"/>
    <cellStyle name="Normal 6 6 10 2" xfId="31504" xr:uid="{05AC218F-FBCD-4605-9DE7-01587C8CA6CF}"/>
    <cellStyle name="Normal 6 6 2" xfId="1314" xr:uid="{00000000-0005-0000-0000-0000F3060000}"/>
    <cellStyle name="Normal 6 6 3" xfId="1315" xr:uid="{00000000-0005-0000-0000-0000F4060000}"/>
    <cellStyle name="Normal 6 6 3 2" xfId="1316" xr:uid="{00000000-0005-0000-0000-0000F5060000}"/>
    <cellStyle name="Normal 6 6 3 3" xfId="1317" xr:uid="{00000000-0005-0000-0000-0000F6060000}"/>
    <cellStyle name="Normal 6 6 3 3 2" xfId="1318" xr:uid="{00000000-0005-0000-0000-0000F7060000}"/>
    <cellStyle name="Normal 6 6 3 3 2 2" xfId="24450" xr:uid="{FF7B7CA6-5BAD-4B3B-BFA9-B67F9521BFD9}"/>
    <cellStyle name="Normal 6 6 3 3 2 3" xfId="23762" xr:uid="{C401F704-A611-42D7-8DE8-0593ABE99CAF}"/>
    <cellStyle name="Normal 6 6 3 3 3" xfId="1319" xr:uid="{00000000-0005-0000-0000-0000F8060000}"/>
    <cellStyle name="Normal 6 6 3 3 4" xfId="2142" xr:uid="{00000000-0005-0000-0000-0000E4020000}"/>
    <cellStyle name="Normal 6 6 3 3 4 2" xfId="4747" xr:uid="{DCE992B0-96C0-4517-B80E-99DBA26EC200}"/>
    <cellStyle name="Normal 6 6 3 3 4 3" xfId="25601" xr:uid="{C235D33F-C474-40C8-AD55-EC553E1D42A9}"/>
    <cellStyle name="Normal 6 6 3 3 4 4" xfId="30223" xr:uid="{1E0F7A3C-2BD1-4F71-A059-2E52E4FFE1B1}"/>
    <cellStyle name="Normal 6 6 3 3 4 4 2" xfId="31367" xr:uid="{0CD2B232-A623-46D5-BE56-9B0330ABDEE6}"/>
    <cellStyle name="Normal 6 6 3 3 4 5" xfId="31563" xr:uid="{644EB2C4-45E6-4172-BD45-78B17057F6A4}"/>
    <cellStyle name="Normal 6 6 3 3 5" xfId="30463" xr:uid="{904D57A7-5920-484C-BF65-E06F982671D6}"/>
    <cellStyle name="Normal 6 6 3 3 6" xfId="30543" xr:uid="{45581F97-261A-4B5F-B6BF-52BB811941F9}"/>
    <cellStyle name="Normal 6 6 3 4" xfId="1320" xr:uid="{00000000-0005-0000-0000-0000F9060000}"/>
    <cellStyle name="Normal 6 6 3 4 2" xfId="1321" xr:uid="{00000000-0005-0000-0000-0000FA060000}"/>
    <cellStyle name="Normal 6 6 3 4 3" xfId="3758" xr:uid="{00000000-0005-0000-0000-00005A060000}"/>
    <cellStyle name="Normal 6 6 3 4 3 2" xfId="4741" xr:uid="{CCE72AF1-1693-42F5-A9FF-B4A64FA2FDC4}"/>
    <cellStyle name="Normal 6 6 3 4 3 3" xfId="30283" xr:uid="{43EAA275-4ABE-462B-9447-B627D0C084F1}"/>
    <cellStyle name="Normal 6 6 3 4 3 3 2" xfId="31426" xr:uid="{93AAD6B1-80BF-4EEF-8D5D-CD727227AB72}"/>
    <cellStyle name="Normal 6 6 3 4 3 4" xfId="31623" xr:uid="{DD574392-F768-47A5-8B02-6EED73AC3250}"/>
    <cellStyle name="Normal 6 6 4" xfId="1322" xr:uid="{00000000-0005-0000-0000-0000FB060000}"/>
    <cellStyle name="Normal 6 6 4 2" xfId="1323" xr:uid="{00000000-0005-0000-0000-0000FC060000}"/>
    <cellStyle name="Normal 6 6 4 2 2" xfId="1324" xr:uid="{00000000-0005-0000-0000-0000FD060000}"/>
    <cellStyle name="Normal 6 6 4 2 2 2" xfId="24414" xr:uid="{7F9A15D0-EF01-4699-9491-9EC3553B5AF8}"/>
    <cellStyle name="Normal 6 6 4 2 2 3" xfId="25241" xr:uid="{0B833901-0D74-483C-8682-00DEB559717D}"/>
    <cellStyle name="Normal 6 6 4 2 3" xfId="1325" xr:uid="{00000000-0005-0000-0000-0000FE060000}"/>
    <cellStyle name="Normal 6 6 4 2 3 2" xfId="2025" xr:uid="{00000000-0005-0000-0000-0000FF060000}"/>
    <cellStyle name="Normal 6 6 4 2 3 3" xfId="3759" xr:uid="{00000000-0005-0000-0000-00005F060000}"/>
    <cellStyle name="Normal 6 6 4 2 3 3 2" xfId="4810" xr:uid="{D4480518-64CC-4BAE-AD63-DB0C87A603E7}"/>
    <cellStyle name="Normal 6 6 4 2 3 3 3" xfId="30284" xr:uid="{A757C1CC-289F-47DA-B927-DF3F89752397}"/>
    <cellStyle name="Normal 6 6 4 2 3 3 3 2" xfId="31427" xr:uid="{E50733EF-7DA7-4CC6-8EE1-0A08A8F17A48}"/>
    <cellStyle name="Normal 6 6 4 2 3 3 4" xfId="31624" xr:uid="{116C31C3-ADCC-4EDA-827C-4B657CD536F0}"/>
    <cellStyle name="Normal 6 6 4 2 4" xfId="24612" xr:uid="{0E019910-37DE-43E1-BDD5-941731A48A83}"/>
    <cellStyle name="Normal 6 6 4 3" xfId="1326" xr:uid="{00000000-0005-0000-0000-000000070000}"/>
    <cellStyle name="Normal 6 6 4 4" xfId="2980" xr:uid="{00000000-0005-0000-0000-0000D1070000}"/>
    <cellStyle name="Normal 6 6 4 4 2" xfId="31286" xr:uid="{19635C23-0322-4BD8-97B1-5DC1FA748C5B}"/>
    <cellStyle name="Normal 6 6 4 5" xfId="2143" xr:uid="{00000000-0005-0000-0000-0000E6020000}"/>
    <cellStyle name="Normal 6 6 4 5 2" xfId="4636" xr:uid="{BD1045AF-7E49-48EA-AF41-B1E7071CB221}"/>
    <cellStyle name="Normal 6 6 4 5 3" xfId="30224" xr:uid="{6D024BB1-BCE9-45B1-B4E9-3324C92FA7CE}"/>
    <cellStyle name="Normal 6 6 4 5 3 2" xfId="31368" xr:uid="{A3F6340C-D451-475A-A982-207B891A2261}"/>
    <cellStyle name="Normal 6 6 4 5 4" xfId="31564" xr:uid="{E815B1D5-FDA4-48C8-A684-C03B7EE3E407}"/>
    <cellStyle name="Normal 6 6 4 6" xfId="4047" xr:uid="{7E3C1600-D01B-4C17-A3C8-5A48EC2345CF}"/>
    <cellStyle name="Normal 6 6 4 6 2" xfId="4715" xr:uid="{68449821-113B-44E2-90F0-E71E4937E5CF}"/>
    <cellStyle name="Normal 6 6 4 6 3" xfId="30339" xr:uid="{4FEA25DB-3C81-4F82-B8DE-5FCA09BE2E0B}"/>
    <cellStyle name="Normal 6 6 4 6 3 2" xfId="31481" xr:uid="{1305EA02-9F5C-4ACE-9E7C-1E5681505D17}"/>
    <cellStyle name="Normal 6 6 4 6 4" xfId="31679" xr:uid="{6C3874CC-609C-48F8-B7E4-A3BC65EC6DA6}"/>
    <cellStyle name="Normal 6 6 4 7" xfId="30158" xr:uid="{5E7B4808-922D-4165-8936-0598A0A6DAFF}"/>
    <cellStyle name="Normal 6 6 4 7 2" xfId="30527" xr:uid="{D1390093-1061-4654-B29D-280509906CE5}"/>
    <cellStyle name="Normal 6 6 5" xfId="1327" xr:uid="{00000000-0005-0000-0000-000001070000}"/>
    <cellStyle name="Normal 6 6 6" xfId="1328" xr:uid="{00000000-0005-0000-0000-000002070000}"/>
    <cellStyle name="Normal 6 6 6 2" xfId="1329" xr:uid="{00000000-0005-0000-0000-000003070000}"/>
    <cellStyle name="Normal 6 6 6 3" xfId="1330" xr:uid="{00000000-0005-0000-0000-000004070000}"/>
    <cellStyle name="Normal 6 6 6 3 2" xfId="4627" xr:uid="{E7DC806F-0CF2-49E3-9BF1-8EFF6AC3C9C6}"/>
    <cellStyle name="Normal 6 6 6 3 2 2" xfId="4786" xr:uid="{7B28557E-58D5-4C46-AD75-D9193304C79B}"/>
    <cellStyle name="Normal 6 6 6 3 2 3" xfId="30350" xr:uid="{3218E97D-CD8C-4646-865A-D9FE354D3366}"/>
    <cellStyle name="Normal 6 6 6 3 2 3 2" xfId="31490" xr:uid="{3CAE3964-BC01-4657-A282-A605E568255D}"/>
    <cellStyle name="Normal 6 6 6 3 2 4" xfId="31690" xr:uid="{678B2E18-3999-4540-B1B8-C66D5ECF9D30}"/>
    <cellStyle name="Normal 6 6 6 3 3" xfId="25364" xr:uid="{25F2D5BA-2D6F-4E91-8FBB-4B9D252657D9}"/>
    <cellStyle name="Normal 6 6 6 4" xfId="2153" xr:uid="{00000000-0005-0000-0000-0000E9020000}"/>
    <cellStyle name="Normal 6 6 6 4 2" xfId="4691" xr:uid="{114F1330-7415-461B-B792-61BE07D55AC7}"/>
    <cellStyle name="Normal 6 6 6 4 3" xfId="30234" xr:uid="{F58AE918-38CD-4E0E-A2D9-09149BED6B00}"/>
    <cellStyle name="Normal 6 6 6 4 3 2" xfId="31378" xr:uid="{4B856CE8-FBE5-40B9-9BC7-A62E57FFCD5D}"/>
    <cellStyle name="Normal 6 6 6 4 4" xfId="31574" xr:uid="{4C1B4E78-3692-4AD9-812B-F104F8C9273E}"/>
    <cellStyle name="Normal 6 6 6 5" xfId="4096" xr:uid="{E42903F7-CF43-4BB8-AC03-F1EB46C1FC19}"/>
    <cellStyle name="Normal 6 6 6 5 2" xfId="4767" xr:uid="{2CC1BF88-5B5D-4701-8916-7B15CC9D2D01}"/>
    <cellStyle name="Normal 6 6 6 5 3" xfId="30348" xr:uid="{98CCC825-4A1A-42E6-B1AA-0E2C69D86523}"/>
    <cellStyle name="Normal 6 6 6 5 3 2" xfId="30469" xr:uid="{4FBD431D-8DEA-4803-A24A-7EA12E3C3A28}"/>
    <cellStyle name="Normal 6 6 6 5 4" xfId="31688" xr:uid="{C49B3C7B-D919-4712-AAA7-9D97D397881B}"/>
    <cellStyle name="Normal 6 6 6 6" xfId="25714" xr:uid="{CE44424C-FDE2-4274-9AAC-2B2782EEB566}"/>
    <cellStyle name="Normal 6 6 6 6 2" xfId="26403" xr:uid="{DEBDC983-AB32-4C69-A2AF-B29A4C97979C}"/>
    <cellStyle name="Normal 6 6 6 6 3" xfId="31163" xr:uid="{BD47C53A-D048-4DE0-B9CB-CDDE1C18DABC}"/>
    <cellStyle name="Normal 6 6 7" xfId="1331" xr:uid="{00000000-0005-0000-0000-000005070000}"/>
    <cellStyle name="Normal 6 6 7 2" xfId="1332" xr:uid="{00000000-0005-0000-0000-000006070000}"/>
    <cellStyle name="Normal 6 6 7 3" xfId="3760" xr:uid="{00000000-0005-0000-0000-000066060000}"/>
    <cellStyle name="Normal 6 6 7 3 2" xfId="4798" xr:uid="{7A2B7AA4-4D8E-47BA-B48E-48FE92EFB13B}"/>
    <cellStyle name="Normal 6 6 7 3 3" xfId="30285" xr:uid="{2C0FF210-3F32-4667-BC76-A197BDA7207F}"/>
    <cellStyle name="Normal 6 6 7 3 3 2" xfId="31428" xr:uid="{AD38E9A4-55DA-497D-9BB3-C9C7088878B7}"/>
    <cellStyle name="Normal 6 6 7 3 4" xfId="31625" xr:uid="{42646DD9-025F-4705-9E62-4F3B5975772E}"/>
    <cellStyle name="Normal 6 6 8" xfId="2141" xr:uid="{00000000-0005-0000-0000-0000E0020000}"/>
    <cellStyle name="Normal 6 6 8 2" xfId="4774" xr:uid="{C961BEA7-4CED-4BA6-BDFD-A714A0F418E5}"/>
    <cellStyle name="Normal 6 6 8 3" xfId="30222" xr:uid="{37158C93-C128-47BC-9E38-D6AD1178AECA}"/>
    <cellStyle name="Normal 6 6 8 3 2" xfId="31366" xr:uid="{872114F9-D194-46EE-A5D9-EE1B0BAD18D4}"/>
    <cellStyle name="Normal 6 6 8 4" xfId="31562" xr:uid="{3F39477A-ED45-441A-A75D-B419A820AC75}"/>
    <cellStyle name="Normal 6 6 9" xfId="4046" xr:uid="{A50BAD3F-B140-4A20-83B4-791B93C5BDD0}"/>
    <cellStyle name="Normal 6 6 9 2" xfId="4823" xr:uid="{7CDE7D59-F383-4AF9-8CAA-D8B18AFC360A}"/>
    <cellStyle name="Normal 6 6 9 3" xfId="30338" xr:uid="{3A6A9E50-0BA5-4941-9213-B78E13DA814B}"/>
    <cellStyle name="Normal 6 6 9 3 2" xfId="31480" xr:uid="{6013DB08-71B5-4C90-970E-D19F82C70232}"/>
    <cellStyle name="Normal 6 6 9 4" xfId="31678" xr:uid="{53DDC73E-BA27-4E23-88D4-7A4DBD3D816F}"/>
    <cellStyle name="Normal 6 7" xfId="29575" xr:uid="{949E648E-1627-4304-B1D4-9DF911CA9729}"/>
    <cellStyle name="Normal 6 7 2" xfId="29632" xr:uid="{0E90CD01-BDD5-4813-BF65-92255AD7581D}"/>
    <cellStyle name="Normal 6 7 2 2" xfId="31251" xr:uid="{93E5B342-B8B5-4605-BBB7-D65BB0DA361E}"/>
    <cellStyle name="Normal 6 7 2 3" xfId="30419" xr:uid="{12179D78-6B54-4E06-83B0-9939D6079D0B}"/>
    <cellStyle name="Normal 6 7 3" xfId="29611" xr:uid="{7AF28517-C91E-49FA-99C2-5F623D4C0532}"/>
    <cellStyle name="Normal 6 7 3 2" xfId="29651" xr:uid="{53DFD4C6-C645-4A38-ACB5-6A77D465B439}"/>
    <cellStyle name="Normal 6 7 3 3" xfId="30393" xr:uid="{A5E5D95B-DDD1-4A2C-BD44-CABFE47ABDB3}"/>
    <cellStyle name="Normal 6 7 3 4" xfId="30380" xr:uid="{5155BC23-F086-4F1A-906F-131E56510975}"/>
    <cellStyle name="Normal 6 7 3 4 2" xfId="31719" xr:uid="{2BC8B870-CC42-4F6F-B727-0ADF1FB26729}"/>
    <cellStyle name="Normal 6 7 4" xfId="29640" xr:uid="{BF5B92AD-058E-4424-9669-B083BD07B8A2}"/>
    <cellStyle name="Normal 6 7 5" xfId="30367" xr:uid="{F68FEA24-123A-403F-96BE-EBB35A98CD3A}"/>
    <cellStyle name="Normal 6 7 5 2" xfId="31245" xr:uid="{E6CAD0FF-2279-4F48-A47B-5AABE6331490}"/>
    <cellStyle name="Normal 6 7 5 3" xfId="31706" xr:uid="{5A1A3DA2-D180-456E-AB85-E966B8A9EF63}"/>
    <cellStyle name="Normal 6 8" xfId="31497" xr:uid="{87BFBF72-39C8-449B-BCD7-58E40C532503}"/>
    <cellStyle name="Normal 7" xfId="1333" xr:uid="{00000000-0005-0000-0000-000007070000}"/>
    <cellStyle name="Normal 7 10" xfId="1334" xr:uid="{00000000-0005-0000-0000-000008070000}"/>
    <cellStyle name="Normal 7 10 10" xfId="9967" xr:uid="{359EDB8F-CE3F-4AAB-BA56-64B93A8BE2F6}"/>
    <cellStyle name="Normal 7 10 10 2" xfId="20347" xr:uid="{A0EBA2BB-938B-403C-AE99-D606E1476D6E}"/>
    <cellStyle name="Normal 7 10 11" xfId="24757" xr:uid="{DCAAA4C2-9861-49AD-92EC-882F2EE993BF}"/>
    <cellStyle name="Normal 7 10 12" xfId="12622" xr:uid="{9C120931-6A9C-4D9E-867D-D45C3FFA9BE0}"/>
    <cellStyle name="Normal 7 10 2" xfId="1335" xr:uid="{00000000-0005-0000-0000-000009070000}"/>
    <cellStyle name="Normal 7 10 2 2" xfId="1336" xr:uid="{00000000-0005-0000-0000-00000A070000}"/>
    <cellStyle name="Normal 7 10 2 2 2" xfId="5386" xr:uid="{A4B9A53A-3A43-4F3E-97AF-AF5E34941C4F}"/>
    <cellStyle name="Normal 7 10 2 2 2 2" xfId="23998" xr:uid="{5EF00CC8-C1B7-452B-B020-E7942E28CFBA}"/>
    <cellStyle name="Normal 7 10 2 2 2 3" xfId="26136" xr:uid="{DA00C987-569E-4341-827D-79B457BCFD94}"/>
    <cellStyle name="Normal 7 10 2 2 2 4" xfId="14683" xr:uid="{AF8FDFBD-6E65-4DA8-8B0E-B3F6654E15C5}"/>
    <cellStyle name="Normal 7 10 2 2 3" xfId="7136" xr:uid="{1F695DB0-07BF-463B-8722-C8FD9DE9EB6F}"/>
    <cellStyle name="Normal 7 10 2 2 3 2" xfId="27651" xr:uid="{8920B3EA-FA12-4A67-8439-E48C80F70C78}"/>
    <cellStyle name="Normal 7 10 2 2 3 3" xfId="26464" xr:uid="{E77B95E4-620B-4F7D-AC90-1902E601BB1F}"/>
    <cellStyle name="Normal 7 10 2 2 3 4" xfId="17516" xr:uid="{F420B961-5D2F-4632-BE6A-9C566417EBFD}"/>
    <cellStyle name="Normal 7 10 2 2 4" xfId="9969" xr:uid="{5F7FA390-95AA-49B3-AFEE-72F4C6921564}"/>
    <cellStyle name="Normal 7 10 2 2 4 2" xfId="29444" xr:uid="{9F168CC0-FBA2-4457-95B5-94D8723EC7E6}"/>
    <cellStyle name="Normal 7 10 2 2 4 3" xfId="20349" xr:uid="{20AEA8B9-C71C-492C-B138-253E81DD2236}"/>
    <cellStyle name="Normal 7 10 2 2 5" xfId="23413" xr:uid="{8A0A8ABF-D98B-4B79-A80A-A3B39774D71E}"/>
    <cellStyle name="Normal 7 10 2 2 6" xfId="13993" xr:uid="{6D8B82FA-0E6C-4705-9C7C-2244EF70DF8B}"/>
    <cellStyle name="Normal 7 10 2 3" xfId="2815" xr:uid="{00000000-0005-0000-0000-0000DA070000}"/>
    <cellStyle name="Normal 7 10 2 3 2" xfId="6031" xr:uid="{E04C8CEC-3F9D-4245-AA24-EF8271A18E37}"/>
    <cellStyle name="Normal 7 10 2 3 2 2" xfId="27611" xr:uid="{47AA8E0E-5398-489F-9C7E-069702AF5635}"/>
    <cellStyle name="Normal 7 10 2 3 2 3" xfId="15485" xr:uid="{7ED1D0C9-1B01-46B9-9DAD-C57BBC4FCD35}"/>
    <cellStyle name="Normal 7 10 2 3 3" xfId="7938" xr:uid="{1FEF77F3-0BD1-4C29-8FBA-6684FC4B16E9}"/>
    <cellStyle name="Normal 7 10 2 3 3 2" xfId="18318" xr:uid="{55CD75F5-A303-475B-ADFC-8BC97820FAA9}"/>
    <cellStyle name="Normal 7 10 2 3 4" xfId="10771" xr:uid="{AF006C00-1996-4209-87E4-9E26DBCAE9E4}"/>
    <cellStyle name="Normal 7 10 2 3 4 2" xfId="21151" xr:uid="{A4287C7A-E3EA-47F2-9467-86089E66D99F}"/>
    <cellStyle name="Normal 7 10 2 3 5" xfId="25408" xr:uid="{F96F5F49-5B26-4FCC-A7A2-514258545DFA}"/>
    <cellStyle name="Normal 7 10 2 3 6" xfId="13284" xr:uid="{A7A63833-42D2-46E1-964C-4D829DD7806C}"/>
    <cellStyle name="Normal 7 10 2 4" xfId="4210" xr:uid="{0F502A3E-63E3-4E2E-8374-0554430612A7}"/>
    <cellStyle name="Normal 7 10 2 4 2" xfId="8982" xr:uid="{AB6A1B5F-780F-4A02-8EBF-59D98E232FA1}"/>
    <cellStyle name="Normal 7 10 2 4 2 2" xfId="29063" xr:uid="{BE39E1FE-354A-41F3-A150-7076FFA64329}"/>
    <cellStyle name="Normal 7 10 2 4 2 3" xfId="19362" xr:uid="{76DF4956-5777-4EED-9D8B-AF88C6B58339}"/>
    <cellStyle name="Normal 7 10 2 4 3" xfId="11815" xr:uid="{11388FA3-A7FB-4627-B1A8-85D14666261B}"/>
    <cellStyle name="Normal 7 10 2 4 3 2" xfId="22195" xr:uid="{18DDC2C6-0556-401C-AEC8-9E605AC46C13}"/>
    <cellStyle name="Normal 7 10 2 4 4" xfId="24512" xr:uid="{1D9F726A-6BCE-4942-A09A-7B22BDAD81ED}"/>
    <cellStyle name="Normal 7 10 2 4 5" xfId="16529" xr:uid="{76A4361B-AE12-42E6-9D40-C4A92532D484}"/>
    <cellStyle name="Normal 7 10 2 5" xfId="5385" xr:uid="{E5553ABE-3B56-49CC-AFEC-C7BD663E3D93}"/>
    <cellStyle name="Normal 7 10 2 5 2" xfId="27741" xr:uid="{6FB7CD1E-BB98-47A7-866A-C32DB96261CF}"/>
    <cellStyle name="Normal 7 10 2 5 3" xfId="14682" xr:uid="{BFF043C1-DCF2-4466-9280-99DB4D43F2AE}"/>
    <cellStyle name="Normal 7 10 2 6" xfId="7135" xr:uid="{6361ED63-A707-4DFE-9CD2-D4B3AAB26F1C}"/>
    <cellStyle name="Normal 7 10 2 6 2" xfId="17515" xr:uid="{3F86AD79-75C2-4043-9D87-7D65193261D4}"/>
    <cellStyle name="Normal 7 10 2 7" xfId="9968" xr:uid="{E54C6F80-500C-4B60-A673-1AE452898B48}"/>
    <cellStyle name="Normal 7 10 2 7 2" xfId="20348" xr:uid="{51356147-A5F8-47C0-A2EC-BB586B96B995}"/>
    <cellStyle name="Normal 7 10 2 8" xfId="23328" xr:uid="{04908B98-1AF4-44E0-98BC-2FDD3A60EB33}"/>
    <cellStyle name="Normal 7 10 2 9" xfId="12780" xr:uid="{D1BE6283-3FDA-49AA-8341-13787A20BF3F}"/>
    <cellStyle name="Normal 7 10 3" xfId="1337" xr:uid="{00000000-0005-0000-0000-00000B070000}"/>
    <cellStyle name="Normal 7 10 3 2" xfId="4569" xr:uid="{11FCBC09-A35D-4151-A26B-9C6373D21978}"/>
    <cellStyle name="Normal 7 10 3 2 2" xfId="9341" xr:uid="{D9CF7BA1-92E5-4591-9602-33ECCA660599}"/>
    <cellStyle name="Normal 7 10 3 2 2 2" xfId="29315" xr:uid="{9145F611-582B-4B1F-BCE6-D7A1BCD64F24}"/>
    <cellStyle name="Normal 7 10 3 2 2 3" xfId="19721" xr:uid="{BE77D7EB-6259-4ACB-8F57-D12C7AB8F4A3}"/>
    <cellStyle name="Normal 7 10 3 2 3" xfId="12174" xr:uid="{A8FF997D-3A24-4D21-91AF-B7051C583D89}"/>
    <cellStyle name="Normal 7 10 3 2 3 2" xfId="22554" xr:uid="{3C37EBCB-BCA8-4433-9BA6-1FFA34A34C78}"/>
    <cellStyle name="Normal 7 10 3 2 4" xfId="24776" xr:uid="{DA082615-1FF6-43D0-849D-F4B31354C96A}"/>
    <cellStyle name="Normal 7 10 3 2 5" xfId="16888" xr:uid="{B9FDA2A6-F21D-4474-8FE5-A5A79B469669}"/>
    <cellStyle name="Normal 7 10 3 3" xfId="5387" xr:uid="{6608DE53-BD66-4FE6-A7ED-DEEE29BF5B7A}"/>
    <cellStyle name="Normal 7 10 3 3 2" xfId="23458" xr:uid="{AD02EF29-A0BC-4C69-9C51-E0CCE8F7985D}"/>
    <cellStyle name="Normal 7 10 3 3 3" xfId="28177" xr:uid="{5786EC6E-BC84-46CD-9DCF-C5BF731604E8}"/>
    <cellStyle name="Normal 7 10 3 3 4" xfId="14684" xr:uid="{DC83B160-367D-4B98-BCE1-0DC66EBC19B5}"/>
    <cellStyle name="Normal 7 10 3 4" xfId="7137" xr:uid="{37226F6C-8048-4F92-BE47-4D8E2236DF60}"/>
    <cellStyle name="Normal 7 10 3 4 2" xfId="23395" xr:uid="{41637022-843A-442E-8875-D6C6DF8B744A}"/>
    <cellStyle name="Normal 7 10 3 4 3" xfId="26428" xr:uid="{25EC9742-984F-4EBF-B238-BFA9D1E97032}"/>
    <cellStyle name="Normal 7 10 3 4 4" xfId="17517" xr:uid="{190C4A24-CB20-40C2-93A7-61356E2833BD}"/>
    <cellStyle name="Normal 7 10 3 5" xfId="9970" xr:uid="{4210E821-E696-44AC-A9C0-8619178DC8C7}"/>
    <cellStyle name="Normal 7 10 3 5 2" xfId="29445" xr:uid="{80A92848-3D34-423A-8117-F7F695E07DDF}"/>
    <cellStyle name="Normal 7 10 3 5 3" xfId="20350" xr:uid="{40C46509-62EF-4080-9C0C-473775E255EA}"/>
    <cellStyle name="Normal 7 10 3 6" xfId="24567" xr:uid="{2CAF589F-8D02-41D7-B31B-B14902BAD6B1}"/>
    <cellStyle name="Normal 7 10 3 7" xfId="13994" xr:uid="{4BA0991D-B842-41FD-A4E6-6706B5AC3923}"/>
    <cellStyle name="Normal 7 10 4" xfId="1338" xr:uid="{00000000-0005-0000-0000-00000C070000}"/>
    <cellStyle name="Normal 7 10 4 2" xfId="5388" xr:uid="{7F2299F0-9DB4-4D9A-9001-239F73A775C7}"/>
    <cellStyle name="Normal 7 10 4 2 2" xfId="25556" xr:uid="{E5CEE4C4-4715-4AF9-9AA9-3AB12C7D7BF8}"/>
    <cellStyle name="Normal 7 10 4 2 3" xfId="26719" xr:uid="{0518671A-3004-4D51-92EB-14748FE8D4D0}"/>
    <cellStyle name="Normal 7 10 4 2 4" xfId="14685" xr:uid="{55D487BB-2CE0-4823-9C2E-173D990CFA5F}"/>
    <cellStyle name="Normal 7 10 4 3" xfId="7138" xr:uid="{C8001552-B498-40A9-A99C-CEE758884F72}"/>
    <cellStyle name="Normal 7 10 4 3 2" xfId="28479" xr:uid="{E5EEF2C8-A902-4BCF-96B2-5CC315E52353}"/>
    <cellStyle name="Normal 7 10 4 3 3" xfId="17518" xr:uid="{6358BC15-32A6-4BE3-B493-53E3BDD20DAE}"/>
    <cellStyle name="Normal 7 10 4 4" xfId="9971" xr:uid="{323580FE-EEE3-4E8D-80EE-29C6171B7494}"/>
    <cellStyle name="Normal 7 10 4 4 2" xfId="20351" xr:uid="{543851B6-A0ED-47F7-B76F-4F54F2EE5AB8}"/>
    <cellStyle name="Normal 7 10 4 5" xfId="22747" xr:uid="{3749016E-AA7A-4454-A1DA-C500517CF5AF}"/>
    <cellStyle name="Normal 7 10 4 6" xfId="13478" xr:uid="{502BFF64-2BE5-4EE4-B1CD-8F3328BE0C78}"/>
    <cellStyle name="Normal 7 10 5" xfId="2508" xr:uid="{00000000-0005-0000-0000-0000DD070000}"/>
    <cellStyle name="Normal 7 10 5 2" xfId="5788" xr:uid="{F0CC4165-7ADF-41DD-9346-8605F4BE5F3F}"/>
    <cellStyle name="Normal 7 10 5 2 2" xfId="25867" xr:uid="{B61FC58C-C78F-4942-ACE6-ACDE5712BCEF}"/>
    <cellStyle name="Normal 7 10 5 2 3" xfId="15180" xr:uid="{06A66D68-83F9-4B41-B43E-B0BCDBDFA79B}"/>
    <cellStyle name="Normal 7 10 5 3" xfId="7633" xr:uid="{DC12FF0F-A626-4A05-B5C9-CD8DE60BA160}"/>
    <cellStyle name="Normal 7 10 5 3 2" xfId="18013" xr:uid="{5787543C-7E1F-4E36-B71B-5D68C378B636}"/>
    <cellStyle name="Normal 7 10 5 4" xfId="10466" xr:uid="{46DB715C-7B80-44DC-9221-E9A221CBC736}"/>
    <cellStyle name="Normal 7 10 5 4 2" xfId="20846" xr:uid="{EECD5737-11A0-43FC-9A91-FF0D15B9D4B4}"/>
    <cellStyle name="Normal 7 10 5 5" xfId="25103" xr:uid="{4597B0DB-FED5-4E2B-B408-D8ED4E270D5D}"/>
    <cellStyle name="Normal 7 10 5 6" xfId="12896" xr:uid="{CEC3B7B2-46A5-4240-8249-298F51D0FDF8}"/>
    <cellStyle name="Normal 7 10 6" xfId="2388" xr:uid="{00000000-0005-0000-0000-0000D7070000}"/>
    <cellStyle name="Normal 7 10 6 2" xfId="7515" xr:uid="{33EEEEBC-3999-4154-AF49-1DDEC298D42F}"/>
    <cellStyle name="Normal 7 10 6 2 2" xfId="27729" xr:uid="{6E27EFFE-3410-442F-AB71-2298894BF39B}"/>
    <cellStyle name="Normal 7 10 6 2 3" xfId="17895" xr:uid="{166C65E8-4599-47E7-9E14-4A04EC4114C6}"/>
    <cellStyle name="Normal 7 10 6 3" xfId="10348" xr:uid="{7A5E4030-AFE3-4F5F-8ABC-172E1EB362CC}"/>
    <cellStyle name="Normal 7 10 6 3 2" xfId="20728" xr:uid="{84B406C7-CBEC-47CD-9FE7-F652727532BA}"/>
    <cellStyle name="Normal 7 10 6 4" xfId="23003" xr:uid="{451DD849-E7A2-416E-9306-9DD9DD1584EB}"/>
    <cellStyle name="Normal 7 10 6 5" xfId="15062" xr:uid="{5AF3D516-CBE8-4A12-8927-868403AD4680}"/>
    <cellStyle name="Normal 7 10 7" xfId="4048" xr:uid="{6E59AE2C-8E82-494C-B3FD-012447F7B53B}"/>
    <cellStyle name="Normal 7 10 7 2" xfId="8834" xr:uid="{22EDCD99-8D6E-4D4F-A745-3609BA3D8FCE}"/>
    <cellStyle name="Normal 7 10 7 2 2" xfId="19214" xr:uid="{F6B184DA-BF4F-4E31-877F-25BC400D3FB4}"/>
    <cellStyle name="Normal 7 10 7 3" xfId="11667" xr:uid="{40CECD75-8C86-4DBF-85D4-8E4C5D42882A}"/>
    <cellStyle name="Normal 7 10 7 3 2" xfId="22047" xr:uid="{AEEFDBF3-74B8-4DDB-8B03-B040D14A0ADF}"/>
    <cellStyle name="Normal 7 10 7 4" xfId="27429" xr:uid="{2103D2B5-8BCE-41ED-8FCE-241BE7C0470A}"/>
    <cellStyle name="Normal 7 10 7 5" xfId="16381" xr:uid="{1A0EA109-9C61-4286-AECE-80E16F59AB5F}"/>
    <cellStyle name="Normal 7 10 8" xfId="5384" xr:uid="{91C3F893-9AC0-43F1-A489-DF9A5D70CB6F}"/>
    <cellStyle name="Normal 7 10 8 2" xfId="14681" xr:uid="{8DCBDF70-C312-4F7B-9F46-EE95B2AB0865}"/>
    <cellStyle name="Normal 7 10 9" xfId="7134" xr:uid="{15515014-6102-4EEC-8091-16EDB1B419C8}"/>
    <cellStyle name="Normal 7 10 9 2" xfId="17514" xr:uid="{E0F45A6C-1380-40AF-953D-8F8EC9A6BF5E}"/>
    <cellStyle name="Normal 7 11" xfId="1339" xr:uid="{00000000-0005-0000-0000-00000D070000}"/>
    <cellStyle name="Normal 7 11 10" xfId="9972" xr:uid="{22363347-2364-4785-9EB3-D6EE67D8D6F9}"/>
    <cellStyle name="Normal 7 11 10 2" xfId="20352" xr:uid="{D482AEAA-D25E-4AFC-B026-BD68ADA08397}"/>
    <cellStyle name="Normal 7 11 11" xfId="24780" xr:uid="{0D03B689-F3C3-414F-A68D-8351DA2E048C}"/>
    <cellStyle name="Normal 7 11 12" xfId="12623" xr:uid="{EC8688B2-80C3-4313-A060-3151A0DA0DE4}"/>
    <cellStyle name="Normal 7 11 2" xfId="1340" xr:uid="{00000000-0005-0000-0000-00000E070000}"/>
    <cellStyle name="Normal 7 11 2 2" xfId="1341" xr:uid="{00000000-0005-0000-0000-00000F070000}"/>
    <cellStyle name="Normal 7 11 2 2 2" xfId="5391" xr:uid="{8988D664-B5A8-496D-9580-6A16654365BE}"/>
    <cellStyle name="Normal 7 11 2 2 2 2" xfId="23084" xr:uid="{2975A7BF-990C-4EB9-9FE8-09F902CEE05D}"/>
    <cellStyle name="Normal 7 11 2 2 2 3" xfId="28020" xr:uid="{30920CE1-C917-4DEE-BD2A-0A0ADF2E79A0}"/>
    <cellStyle name="Normal 7 11 2 2 2 4" xfId="14688" xr:uid="{671B26F3-3577-4616-B5B5-55038CCCEF22}"/>
    <cellStyle name="Normal 7 11 2 2 3" xfId="7141" xr:uid="{65E79FC5-F13B-483E-A18B-B523871FF8EA}"/>
    <cellStyle name="Normal 7 11 2 2 3 2" xfId="27653" xr:uid="{1F447489-C760-4008-BF9A-963663F4F494}"/>
    <cellStyle name="Normal 7 11 2 2 3 3" xfId="26150" xr:uid="{BBD97FE4-4EEF-4535-B758-1DBF9848DBAF}"/>
    <cellStyle name="Normal 7 11 2 2 3 4" xfId="17521" xr:uid="{1E6750DA-7494-4FFF-8E5E-106522FD205C}"/>
    <cellStyle name="Normal 7 11 2 2 4" xfId="9974" xr:uid="{713C0F8E-83B0-4BFC-954C-AA99327C3BB6}"/>
    <cellStyle name="Normal 7 11 2 2 4 2" xfId="29446" xr:uid="{E593ECA3-1A30-446D-A231-9434060115B5}"/>
    <cellStyle name="Normal 7 11 2 2 4 3" xfId="20354" xr:uid="{033D2FB3-A140-4952-81E1-D1EBA10C7073}"/>
    <cellStyle name="Normal 7 11 2 2 5" xfId="24791" xr:uid="{19BD2E79-0BDF-4C70-BAE1-D84ECE040918}"/>
    <cellStyle name="Normal 7 11 2 2 6" xfId="13995" xr:uid="{39CD0ED1-E0DF-4B7C-9F24-EA6975AF709F}"/>
    <cellStyle name="Normal 7 11 2 3" xfId="2816" xr:uid="{00000000-0005-0000-0000-0000E1070000}"/>
    <cellStyle name="Normal 7 11 2 3 2" xfId="6032" xr:uid="{B3499556-E0C0-40C1-A3F5-6D139E58775D}"/>
    <cellStyle name="Normal 7 11 2 3 2 2" xfId="28471" xr:uid="{6446AA42-626D-4812-BD9C-9BA3A2B1A16F}"/>
    <cellStyle name="Normal 7 11 2 3 2 3" xfId="15486" xr:uid="{6D2591B6-AD6D-458F-BE31-B961D271A5D8}"/>
    <cellStyle name="Normal 7 11 2 3 3" xfId="7939" xr:uid="{B11481E7-C52A-430F-A6A9-79845D0D0905}"/>
    <cellStyle name="Normal 7 11 2 3 3 2" xfId="18319" xr:uid="{EC7DB7D9-279D-47C5-B892-78AB28936435}"/>
    <cellStyle name="Normal 7 11 2 3 4" xfId="10772" xr:uid="{A294334B-7AB2-4BE7-8BBC-EDE42B16F733}"/>
    <cellStyle name="Normal 7 11 2 3 4 2" xfId="21152" xr:uid="{59BD4C94-5818-4225-8EE9-0676871EE40A}"/>
    <cellStyle name="Normal 7 11 2 3 5" xfId="22985" xr:uid="{982E7633-AB26-42ED-821A-58EF5A73554B}"/>
    <cellStyle name="Normal 7 11 2 3 6" xfId="13285" xr:uid="{7C6C56FD-6166-47FA-A994-CF7328094250}"/>
    <cellStyle name="Normal 7 11 2 4" xfId="4211" xr:uid="{03FEBAA3-ABD2-4159-8032-1B1639440376}"/>
    <cellStyle name="Normal 7 11 2 4 2" xfId="8983" xr:uid="{E244D5CC-479E-4B54-8335-EEEB4922CB6B}"/>
    <cellStyle name="Normal 7 11 2 4 2 2" xfId="29064" xr:uid="{5ACFA86F-47FB-4AD9-AC48-971BBD014052}"/>
    <cellStyle name="Normal 7 11 2 4 2 3" xfId="19363" xr:uid="{0C284C7A-9173-47A4-8674-4E00B9C49257}"/>
    <cellStyle name="Normal 7 11 2 4 3" xfId="11816" xr:uid="{C1073F48-C366-435F-ADD9-85E76175FD1E}"/>
    <cellStyle name="Normal 7 11 2 4 3 2" xfId="22196" xr:uid="{C0671745-4072-450D-B085-3F3BDA1631C1}"/>
    <cellStyle name="Normal 7 11 2 4 4" xfId="23463" xr:uid="{F4430A89-939B-403D-95E7-821BB245F15C}"/>
    <cellStyle name="Normal 7 11 2 4 5" xfId="16530" xr:uid="{6CB6507E-4EB5-4336-A00B-89561EB712C1}"/>
    <cellStyle name="Normal 7 11 2 5" xfId="5390" xr:uid="{33BC3003-5F75-4A00-B41C-1C326665A7E7}"/>
    <cellStyle name="Normal 7 11 2 5 2" xfId="26691" xr:uid="{1D5FE240-5B8C-4BE8-A775-60BCA533EF2D}"/>
    <cellStyle name="Normal 7 11 2 5 3" xfId="14687" xr:uid="{6B135D0D-D75E-4BCF-A439-F8F6D830949D}"/>
    <cellStyle name="Normal 7 11 2 6" xfId="7140" xr:uid="{4C754E41-B74C-4AF5-8DBE-1D20CADFDF17}"/>
    <cellStyle name="Normal 7 11 2 6 2" xfId="17520" xr:uid="{9709B54F-A3FB-4619-B026-9EEEA158A0B2}"/>
    <cellStyle name="Normal 7 11 2 7" xfId="9973" xr:uid="{E9E114BA-5E97-43B4-B002-1EC42D644C46}"/>
    <cellStyle name="Normal 7 11 2 7 2" xfId="20353" xr:uid="{FF924DB4-FE08-47AD-BDD5-07FE49CE2E17}"/>
    <cellStyle name="Normal 7 11 2 8" xfId="23104" xr:uid="{8E9B7949-C2D4-4A5C-945B-49928DDC6DB0}"/>
    <cellStyle name="Normal 7 11 2 9" xfId="12781" xr:uid="{36C38E79-D0A4-447D-808C-55992FED73C8}"/>
    <cellStyle name="Normal 7 11 3" xfId="1342" xr:uid="{00000000-0005-0000-0000-000010070000}"/>
    <cellStyle name="Normal 7 11 3 2" xfId="4570" xr:uid="{F08FB077-443F-4C3C-896B-7515BA92433E}"/>
    <cellStyle name="Normal 7 11 3 2 2" xfId="9342" xr:uid="{D27B75A4-C000-467A-888F-1365130BA248}"/>
    <cellStyle name="Normal 7 11 3 2 2 2" xfId="29316" xr:uid="{A2FADAEA-ACA2-4144-8B05-40848E622347}"/>
    <cellStyle name="Normal 7 11 3 2 2 3" xfId="19722" xr:uid="{83BA6AA1-CCA4-45A7-820C-0465F5FEB0CA}"/>
    <cellStyle name="Normal 7 11 3 2 3" xfId="12175" xr:uid="{C82CB428-B76D-467F-988A-CA6D9E9E7A19}"/>
    <cellStyle name="Normal 7 11 3 2 3 2" xfId="22555" xr:uid="{9377B91C-26C4-41C9-BEE6-00E76C7B3FD7}"/>
    <cellStyle name="Normal 7 11 3 2 4" xfId="24896" xr:uid="{F31113B0-56C7-4E4C-93A6-8AF8E5789575}"/>
    <cellStyle name="Normal 7 11 3 2 5" xfId="16889" xr:uid="{8A63E600-65C8-4046-87F2-D20EF988AEDB}"/>
    <cellStyle name="Normal 7 11 3 3" xfId="5392" xr:uid="{E83D9A71-3DF9-43C8-B99C-E8E7B5C91885}"/>
    <cellStyle name="Normal 7 11 3 3 2" xfId="26858" xr:uid="{4BF5156C-88F7-4E45-9120-659344145EE1}"/>
    <cellStyle name="Normal 7 11 3 3 3" xfId="26387" xr:uid="{E7B2315B-E9DD-45FD-ADB1-13B5781B4026}"/>
    <cellStyle name="Normal 7 11 3 3 4" xfId="14689" xr:uid="{BF1817F3-3BA0-46A5-A4BF-75EE8ECFE377}"/>
    <cellStyle name="Normal 7 11 3 4" xfId="7142" xr:uid="{5280A6C7-2B48-4649-87D3-ADCC9DE95D0D}"/>
    <cellStyle name="Normal 7 11 3 4 2" xfId="28202" xr:uid="{812E5A52-87B2-4B40-843F-2D4080B355B3}"/>
    <cellStyle name="Normal 7 11 3 4 3" xfId="26739" xr:uid="{F071AE18-5C98-42D9-8191-89BC464A6E09}"/>
    <cellStyle name="Normal 7 11 3 4 4" xfId="17522" xr:uid="{14CFB8E9-AF26-41C8-AD18-296C9923FCBD}"/>
    <cellStyle name="Normal 7 11 3 5" xfId="9975" xr:uid="{896AB2E8-DD97-4B33-8F61-8C857134410C}"/>
    <cellStyle name="Normal 7 11 3 5 2" xfId="29447" xr:uid="{D5BA7E4F-8041-4F50-9F60-E57D00D4F08C}"/>
    <cellStyle name="Normal 7 11 3 5 3" xfId="20355" xr:uid="{2405E0A6-8308-436C-8A8A-D9C945072D28}"/>
    <cellStyle name="Normal 7 11 3 6" xfId="23989" xr:uid="{E4BF764F-3EA3-4134-BB4F-58F274E37C53}"/>
    <cellStyle name="Normal 7 11 3 7" xfId="13996" xr:uid="{BC402E3E-614B-4EC0-9F88-BC7D83AF55C6}"/>
    <cellStyle name="Normal 7 11 4" xfId="1343" xr:uid="{00000000-0005-0000-0000-000011070000}"/>
    <cellStyle name="Normal 7 11 4 2" xfId="5393" xr:uid="{2B1EB956-87F5-405E-84BF-C14AABB8AC93}"/>
    <cellStyle name="Normal 7 11 4 2 2" xfId="25701" xr:uid="{03F5981A-72C0-49A1-80CE-EF63FB9D190A}"/>
    <cellStyle name="Normal 7 11 4 2 3" xfId="28017" xr:uid="{FE2C575B-A880-4548-A54F-F6561E8BAF53}"/>
    <cellStyle name="Normal 7 11 4 2 4" xfId="14690" xr:uid="{4733B9B7-2481-42CE-A00E-680030EFEDC2}"/>
    <cellStyle name="Normal 7 11 4 3" xfId="7143" xr:uid="{9315D5C9-5A1E-4CB2-A88B-BF8C964D2BEF}"/>
    <cellStyle name="Normal 7 11 4 3 2" xfId="26140" xr:uid="{1CC7326F-494D-4DD0-B298-1CEA679D0896}"/>
    <cellStyle name="Normal 7 11 4 3 3" xfId="17523" xr:uid="{75DE99CE-A15C-4A73-8BDB-D8AF3D881DC3}"/>
    <cellStyle name="Normal 7 11 4 4" xfId="9976" xr:uid="{F9946A74-E173-43E3-B0BA-96C2ABB2266E}"/>
    <cellStyle name="Normal 7 11 4 4 2" xfId="20356" xr:uid="{39529DF1-034E-45DC-AA26-E9CB938FD2F2}"/>
    <cellStyle name="Normal 7 11 4 5" xfId="22827" xr:uid="{AB87E6D9-E620-421D-A83A-875ADE506B2E}"/>
    <cellStyle name="Normal 7 11 4 6" xfId="13479" xr:uid="{B9F47F6D-4538-4CFF-A2B7-BC413BFB317D}"/>
    <cellStyle name="Normal 7 11 5" xfId="2568" xr:uid="{00000000-0005-0000-0000-0000E4070000}"/>
    <cellStyle name="Normal 7 11 5 2" xfId="5837" xr:uid="{26C688D1-BC0D-4F50-A5C7-7657C905B376}"/>
    <cellStyle name="Normal 7 11 5 2 2" xfId="28565" xr:uid="{7D9370AA-0A8E-41EC-B483-4BE5D92A6336}"/>
    <cellStyle name="Normal 7 11 5 2 3" xfId="15240" xr:uid="{7C6C7EA9-C124-4B2D-A0B6-3002D630344F}"/>
    <cellStyle name="Normal 7 11 5 3" xfId="7693" xr:uid="{BEDCB853-65FC-4481-831B-524757D3FCAC}"/>
    <cellStyle name="Normal 7 11 5 3 2" xfId="18073" xr:uid="{664C40D8-033B-4F6E-8A3F-20052D54B7FA}"/>
    <cellStyle name="Normal 7 11 5 4" xfId="10526" xr:uid="{6BEFBC81-C896-460A-AF49-67FB03DBD65D}"/>
    <cellStyle name="Normal 7 11 5 4 2" xfId="20906" xr:uid="{9784D248-BDC7-4DAD-8326-3937CEAA7CBF}"/>
    <cellStyle name="Normal 7 11 5 5" xfId="22962" xr:uid="{A3774CC2-50E6-45FC-A5EF-F71506B10216}"/>
    <cellStyle name="Normal 7 11 5 6" xfId="12956" xr:uid="{03371C5D-BDEC-46D2-B5BA-E5D0E54B2A6D}"/>
    <cellStyle name="Normal 7 11 6" xfId="2389" xr:uid="{00000000-0005-0000-0000-0000DE070000}"/>
    <cellStyle name="Normal 7 11 6 2" xfId="7516" xr:uid="{71D714A7-6425-4457-A44E-C0871A29E4D1}"/>
    <cellStyle name="Normal 7 11 6 2 2" xfId="26746" xr:uid="{45F2AD07-E73E-4F52-B3D4-7FA7DADA198E}"/>
    <cellStyle name="Normal 7 11 6 2 3" xfId="17896" xr:uid="{1D76FDE9-70BF-4C37-BEA9-A8F50FBE07C0}"/>
    <cellStyle name="Normal 7 11 6 3" xfId="10349" xr:uid="{03A8D8C7-3A30-41C0-8D5F-EA494CA6BF65}"/>
    <cellStyle name="Normal 7 11 6 3 2" xfId="20729" xr:uid="{D5C21043-BB2A-4BE9-A353-E036D0635D5F}"/>
    <cellStyle name="Normal 7 11 6 4" xfId="25229" xr:uid="{2258CC28-F1D6-4E1D-8E91-0B27D3C48212}"/>
    <cellStyle name="Normal 7 11 6 5" xfId="15063" xr:uid="{52ADF66A-EB29-4A19-9CFB-5C7149705B6B}"/>
    <cellStyle name="Normal 7 11 7" xfId="4049" xr:uid="{EE667E84-03EA-4DAE-9CA5-DE6E77CCCF57}"/>
    <cellStyle name="Normal 7 11 7 2" xfId="8835" xr:uid="{EC9C2E3F-2204-4C36-8420-00000D705654}"/>
    <cellStyle name="Normal 7 11 7 2 2" xfId="19215" xr:uid="{4C367804-265D-474F-8198-FD538DAF5C9C}"/>
    <cellStyle name="Normal 7 11 7 3" xfId="11668" xr:uid="{56C55BEB-45EC-47E1-9373-A82619D5626C}"/>
    <cellStyle name="Normal 7 11 7 3 2" xfId="22048" xr:uid="{40342CC9-EA1D-41D4-B8B6-DCF058DCDC7A}"/>
    <cellStyle name="Normal 7 11 7 4" xfId="26607" xr:uid="{FC4E2446-8912-4D18-A47F-03FE12A54429}"/>
    <cellStyle name="Normal 7 11 7 5" xfId="16382" xr:uid="{39A3BD08-EAD5-4B60-B444-33BF85C21607}"/>
    <cellStyle name="Normal 7 11 8" xfId="5389" xr:uid="{AE210D88-C35F-41A1-892C-EC73F777EA89}"/>
    <cellStyle name="Normal 7 11 8 2" xfId="14686" xr:uid="{697C4BEC-E756-4A56-BB90-A414E65CC7E7}"/>
    <cellStyle name="Normal 7 11 9" xfId="7139" xr:uid="{566D06A8-060B-4D4C-BF61-F11ACD1F1823}"/>
    <cellStyle name="Normal 7 11 9 2" xfId="17519" xr:uid="{8C424DED-38E2-4C61-9583-22F0578D51C4}"/>
    <cellStyle name="Normal 7 12" xfId="1344" xr:uid="{00000000-0005-0000-0000-000012070000}"/>
    <cellStyle name="Normal 7 12 10" xfId="23319" xr:uid="{520EC44C-78C8-4AC2-929A-A416E99E52C9}"/>
    <cellStyle name="Normal 7 12 11" xfId="12624" xr:uid="{A97707B5-E08C-48E6-9EE8-4A9B22071A35}"/>
    <cellStyle name="Normal 7 12 2" xfId="1345" xr:uid="{00000000-0005-0000-0000-000013070000}"/>
    <cellStyle name="Normal 7 12 2 2" xfId="3417" xr:uid="{00000000-0005-0000-0000-0000E7070000}"/>
    <cellStyle name="Normal 7 12 2 2 2" xfId="6472" xr:uid="{39A9088A-FC78-4479-9DC7-ADCB235A6669}"/>
    <cellStyle name="Normal 7 12 2 2 2 2" xfId="28743" xr:uid="{A27641FD-E14A-4138-B691-D10FAFFA8D97}"/>
    <cellStyle name="Normal 7 12 2 2 2 3" xfId="27112" xr:uid="{4FD4AE5D-EC8D-49D8-B84F-943CA7D5760D}"/>
    <cellStyle name="Normal 7 12 2 2 2 4" xfId="16043" xr:uid="{C6D30117-175F-40B3-B79A-8E6B2759B86F}"/>
    <cellStyle name="Normal 7 12 2 2 3" xfId="8496" xr:uid="{09FAAEA6-2902-43B4-9CD5-58F656E01952}"/>
    <cellStyle name="Normal 7 12 2 2 3 2" xfId="28933" xr:uid="{4A32288B-9108-4ED3-B56C-46CD030CE8B9}"/>
    <cellStyle name="Normal 7 12 2 2 3 3" xfId="18876" xr:uid="{4A4AC680-1106-44EC-AB55-AA9572950355}"/>
    <cellStyle name="Normal 7 12 2 2 4" xfId="11329" xr:uid="{5D538C14-F16A-4F0B-9C06-428974AD32AD}"/>
    <cellStyle name="Normal 7 12 2 2 4 2" xfId="21709" xr:uid="{5E4EDEA6-1091-4DD7-A00A-CE92F8725E34}"/>
    <cellStyle name="Normal 7 12 2 2 5" xfId="24415" xr:uid="{7901D2B0-000F-4F6C-86FD-56A29FAF769F}"/>
    <cellStyle name="Normal 7 12 2 2 6" xfId="13997" xr:uid="{C5FE40AD-E36F-4CCB-BEFB-5E5A72A83FC6}"/>
    <cellStyle name="Normal 7 12 2 3" xfId="4212" xr:uid="{A9517A6B-EEC9-445A-9525-80D1579B21DF}"/>
    <cellStyle name="Normal 7 12 2 3 2" xfId="8984" xr:uid="{363605A0-3161-4FD3-A341-C6B64A6FB591}"/>
    <cellStyle name="Normal 7 12 2 3 2 2" xfId="29065" xr:uid="{AE9A9A4D-7143-464C-B961-1A5B50B8556C}"/>
    <cellStyle name="Normal 7 12 2 3 2 3" xfId="19364" xr:uid="{DFB227FE-7EFF-4B28-BEEC-F9530618E177}"/>
    <cellStyle name="Normal 7 12 2 3 3" xfId="11817" xr:uid="{D9F5E44E-8BC3-4854-B5FC-FF8E49C7FD99}"/>
    <cellStyle name="Normal 7 12 2 3 3 2" xfId="22197" xr:uid="{24610BF3-40D6-4CEA-A2DD-EE28C0F58DAE}"/>
    <cellStyle name="Normal 7 12 2 3 4" xfId="23165" xr:uid="{A120F433-790D-4C3E-B9C5-19B3E2843367}"/>
    <cellStyle name="Normal 7 12 2 3 5" xfId="16531" xr:uid="{247C4DF2-A610-4F4C-8B2F-72E87FA7ACBB}"/>
    <cellStyle name="Normal 7 12 2 4" xfId="5395" xr:uid="{DAF4E148-D4C3-47A6-8253-21AE8D606AFB}"/>
    <cellStyle name="Normal 7 12 2 4 2" xfId="28071" xr:uid="{15DB74D0-3538-414A-B215-1041392378D9}"/>
    <cellStyle name="Normal 7 12 2 4 3" xfId="26883" xr:uid="{E5DE6082-145C-469C-BD01-97F0936D8F74}"/>
    <cellStyle name="Normal 7 12 2 4 4" xfId="14692" xr:uid="{0FE1914F-D6AB-48FB-A6F7-19C438EA792D}"/>
    <cellStyle name="Normal 7 12 2 5" xfId="7145" xr:uid="{CEEAC735-1F80-42A3-8321-BEBDBBA0EDAD}"/>
    <cellStyle name="Normal 7 12 2 5 2" xfId="26863" xr:uid="{7FC277FB-F359-49BC-944E-08714D7C8310}"/>
    <cellStyle name="Normal 7 12 2 5 3" xfId="17525" xr:uid="{A21AEE0E-7E2E-4844-9A39-7F70268A3FAA}"/>
    <cellStyle name="Normal 7 12 2 6" xfId="9978" xr:uid="{5D104CE3-2005-4D2C-91BA-62CD2764C2A5}"/>
    <cellStyle name="Normal 7 12 2 6 2" xfId="20358" xr:uid="{9DD75C04-C32C-41B7-8B04-005C3689DFA0}"/>
    <cellStyle name="Normal 7 12 2 7" xfId="23336" xr:uid="{8C58B10D-58D2-47E9-A3E4-FC944654C601}"/>
    <cellStyle name="Normal 7 12 2 8" xfId="12782" xr:uid="{E649DBA6-EF38-4C42-A68A-E78C329FCC2E}"/>
    <cellStyle name="Normal 7 12 3" xfId="1346" xr:uid="{00000000-0005-0000-0000-000014070000}"/>
    <cellStyle name="Normal 7 12 3 2" xfId="5396" xr:uid="{443EB7AA-966A-4D81-A596-F8B71D54BD25}"/>
    <cellStyle name="Normal 7 12 3 2 2" xfId="25613" xr:uid="{5D5DB393-479B-466F-B4E5-4C66F774489E}"/>
    <cellStyle name="Normal 7 12 3 2 3" xfId="28420" xr:uid="{C6B812D9-43A0-45C7-A9CF-806826CD411E}"/>
    <cellStyle name="Normal 7 12 3 2 4" xfId="14693" xr:uid="{04FFAD5B-49AD-4C32-AFAF-8DA40DBBAA22}"/>
    <cellStyle name="Normal 7 12 3 3" xfId="7146" xr:uid="{31D08A08-FD56-40CA-BFA7-63A6747620DA}"/>
    <cellStyle name="Normal 7 12 3 3 2" xfId="26763" xr:uid="{20E146AB-C481-46EA-834B-687A32370159}"/>
    <cellStyle name="Normal 7 12 3 3 3" xfId="27373" xr:uid="{126CBA36-0DF7-45A9-8ED3-446F54B25D2D}"/>
    <cellStyle name="Normal 7 12 3 3 4" xfId="17526" xr:uid="{C685EBA9-8168-4E70-83F3-57D4600FB1AD}"/>
    <cellStyle name="Normal 7 12 3 4" xfId="9979" xr:uid="{A4249746-35AA-4BE6-8243-638427CB4973}"/>
    <cellStyle name="Normal 7 12 3 4 2" xfId="27577" xr:uid="{A2246321-1797-4EEC-A361-427FBB7A3C71}"/>
    <cellStyle name="Normal 7 12 3 4 3" xfId="29448" xr:uid="{FC474E0F-94E7-4478-AED2-F6A01BFD2FDA}"/>
    <cellStyle name="Normal 7 12 3 4 4" xfId="20359" xr:uid="{51FAB024-1226-42E8-AAF6-A5FB5429E163}"/>
    <cellStyle name="Normal 7 12 3 5" xfId="25256" xr:uid="{1421110F-A50F-449B-AB95-D639693CB953}"/>
    <cellStyle name="Normal 7 12 3 6" xfId="28277" xr:uid="{FF454D42-2019-4230-B53B-246989797AB1}"/>
    <cellStyle name="Normal 7 12 3 7" xfId="13480" xr:uid="{2801D4D9-EDE0-43F3-B730-EE8A7669444F}"/>
    <cellStyle name="Normal 7 12 4" xfId="2817" xr:uid="{00000000-0005-0000-0000-0000E9070000}"/>
    <cellStyle name="Normal 7 12 4 2" xfId="6033" xr:uid="{32FBEA4A-82E4-4966-A90C-DE535393E8C0}"/>
    <cellStyle name="Normal 7 12 4 2 2" xfId="26918" xr:uid="{D83921AD-51A7-496B-9F3B-A4793FF82044}"/>
    <cellStyle name="Normal 7 12 4 2 3" xfId="15487" xr:uid="{2D53276B-54CA-41C8-BE80-BF030D7DCF54}"/>
    <cellStyle name="Normal 7 12 4 3" xfId="7940" xr:uid="{0B88E007-E916-454D-BD47-675A750BAA0F}"/>
    <cellStyle name="Normal 7 12 4 3 2" xfId="18320" xr:uid="{248BA8B1-C989-48FC-B454-D0156789335F}"/>
    <cellStyle name="Normal 7 12 4 4" xfId="10773" xr:uid="{86F5B672-2CD3-4166-969E-FCF60CE9557C}"/>
    <cellStyle name="Normal 7 12 4 4 2" xfId="21153" xr:uid="{A8B38EA7-380D-48A1-8AAE-42F90DAC3DEA}"/>
    <cellStyle name="Normal 7 12 4 5" xfId="23353" xr:uid="{2EE5C875-92FB-4244-85F1-A7B5269EC329}"/>
    <cellStyle name="Normal 7 12 4 6" xfId="13286" xr:uid="{BD1FAE01-0A6B-405B-AB96-B89554939E0D}"/>
    <cellStyle name="Normal 7 12 5" xfId="2390" xr:uid="{00000000-0005-0000-0000-0000E5070000}"/>
    <cellStyle name="Normal 7 12 5 2" xfId="7517" xr:uid="{2881FDC1-79F9-44C7-AA11-057B3B302194}"/>
    <cellStyle name="Normal 7 12 5 2 2" xfId="25855" xr:uid="{A46F6F50-8C06-4C42-9B61-6C5CC67905B2}"/>
    <cellStyle name="Normal 7 12 5 2 3" xfId="17897" xr:uid="{F32CDA9C-1E49-45A3-B185-E476210ABDD6}"/>
    <cellStyle name="Normal 7 12 5 3" xfId="10350" xr:uid="{D381B5B9-B7F2-4A87-978F-37E3CDBA402E}"/>
    <cellStyle name="Normal 7 12 5 3 2" xfId="20730" xr:uid="{20523882-9569-42C4-B086-CBD4A3E82B11}"/>
    <cellStyle name="Normal 7 12 5 4" xfId="23057" xr:uid="{A6F9EEEE-E8DC-402C-A9B2-22B84D550CD6}"/>
    <cellStyle name="Normal 7 12 5 5" xfId="15064" xr:uid="{85D507C5-997B-4EAA-87BA-0875FAA4D589}"/>
    <cellStyle name="Normal 7 12 6" xfId="4050" xr:uid="{3596E1EC-2AB1-4D44-B20A-1ED70535BDF9}"/>
    <cellStyle name="Normal 7 12 6 2" xfId="8836" xr:uid="{3890EE2A-C302-4021-B00A-634E4D23842F}"/>
    <cellStyle name="Normal 7 12 6 2 2" xfId="28993" xr:uid="{955CD499-595D-414F-AAE0-F71BB9C01778}"/>
    <cellStyle name="Normal 7 12 6 2 3" xfId="19216" xr:uid="{913F2D5D-8627-4B2A-9E1A-D7DD3106EAED}"/>
    <cellStyle name="Normal 7 12 6 3" xfId="11669" xr:uid="{8D6AD15C-FE8F-413E-BF2C-CC63FCCFFCB8}"/>
    <cellStyle name="Normal 7 12 6 3 2" xfId="22049" xr:uid="{471792B2-66A8-4D60-B43F-BA638C8B7E91}"/>
    <cellStyle name="Normal 7 12 6 4" xfId="27819" xr:uid="{0DE08D80-981E-47DC-87CF-4F862B724AE2}"/>
    <cellStyle name="Normal 7 12 6 5" xfId="16383" xr:uid="{0BAED52F-AFEE-4DA3-8A28-08092205E7E4}"/>
    <cellStyle name="Normal 7 12 7" xfId="5394" xr:uid="{E8A85330-10A0-460A-939F-343ADD733E52}"/>
    <cellStyle name="Normal 7 12 7 2" xfId="26836" xr:uid="{43749EB2-AA72-4AF7-BF22-85B893F561AE}"/>
    <cellStyle name="Normal 7 12 7 3" xfId="14691" xr:uid="{C0F1CF48-03EC-48B2-B752-F79DF60FEEC7}"/>
    <cellStyle name="Normal 7 12 8" xfId="7144" xr:uid="{19AAED7C-FA0E-4E9F-B250-A2B26DF88045}"/>
    <cellStyle name="Normal 7 12 8 2" xfId="17524" xr:uid="{F44AA86D-E803-46B6-AFD8-5D043216ECE4}"/>
    <cellStyle name="Normal 7 12 9" xfId="9977" xr:uid="{4B10B018-C750-4555-B579-BF05472304FB}"/>
    <cellStyle name="Normal 7 12 9 2" xfId="20357" xr:uid="{D19C51ED-E470-46EA-B869-F4DFDED11AAE}"/>
    <cellStyle name="Normal 7 13" xfId="1347" xr:uid="{00000000-0005-0000-0000-000015070000}"/>
    <cellStyle name="Normal 7 13 10" xfId="12625" xr:uid="{2D384B92-5D75-46D6-9018-93A54C225D1C}"/>
    <cellStyle name="Normal 7 13 2" xfId="1348" xr:uid="{00000000-0005-0000-0000-000016070000}"/>
    <cellStyle name="Normal 7 13 2 2" xfId="2981" xr:uid="{00000000-0005-0000-0000-0000EC070000}"/>
    <cellStyle name="Normal 7 13 2 2 2" xfId="6135" xr:uid="{FE8D53A9-6625-4430-99D9-D9C3115D7D7F}"/>
    <cellStyle name="Normal 7 13 2 2 2 2" xfId="26923" xr:uid="{D35E8CFE-4AE8-4C13-B4F2-8CD714D39F81}"/>
    <cellStyle name="Normal 7 13 2 2 2 3" xfId="27615" xr:uid="{CF0D11E8-5A7A-4820-A722-7C16EC81CB42}"/>
    <cellStyle name="Normal 7 13 2 2 2 4" xfId="15613" xr:uid="{3C8BF89B-DCC0-4D53-9917-6FCA126DD74B}"/>
    <cellStyle name="Normal 7 13 2 2 3" xfId="8066" xr:uid="{68DDBB74-D7DA-4A47-B658-51081B2BF2CE}"/>
    <cellStyle name="Normal 7 13 2 2 3 2" xfId="28764" xr:uid="{4173E0ED-2598-4D03-AEB0-DE0A25AF7D91}"/>
    <cellStyle name="Normal 7 13 2 2 3 3" xfId="18446" xr:uid="{D59CC203-F6EF-4720-BC0E-DB4824764562}"/>
    <cellStyle name="Normal 7 13 2 2 4" xfId="10899" xr:uid="{C5659DA6-8FD7-405B-AD77-8FD632A8F8C0}"/>
    <cellStyle name="Normal 7 13 2 2 4 2" xfId="21279" xr:uid="{5EAC393A-E25D-4040-AA99-C5645CB40D94}"/>
    <cellStyle name="Normal 7 13 2 2 5" xfId="24436" xr:uid="{3994F3C3-412E-48B0-ADFB-64C6C0CABA60}"/>
    <cellStyle name="Normal 7 13 2 2 6" xfId="13481" xr:uid="{90E73610-F862-45F8-8E78-35B01AF3730E}"/>
    <cellStyle name="Normal 7 13 2 3" xfId="5398" xr:uid="{C2511337-16C9-45A8-9333-468C081E9C80}"/>
    <cellStyle name="Normal 7 13 2 3 2" xfId="23416" xr:uid="{C3B71349-DC77-4278-B639-76402E9E57BC}"/>
    <cellStyle name="Normal 7 13 2 3 3" xfId="28181" xr:uid="{F8A5584B-9B09-4954-8A17-C135DB60EF34}"/>
    <cellStyle name="Normal 7 13 2 3 4" xfId="14695" xr:uid="{D31934AC-F6BB-4307-A8AF-7E5977253F78}"/>
    <cellStyle name="Normal 7 13 2 4" xfId="7148" xr:uid="{20B6FFD0-323F-4558-8FF5-79FB207F6696}"/>
    <cellStyle name="Normal 7 13 2 4 2" xfId="26148" xr:uid="{FF4FF221-A08B-4504-947A-0343A1DB8537}"/>
    <cellStyle name="Normal 7 13 2 4 3" xfId="27175" xr:uid="{20F8625E-931C-4469-924A-DE4AB335F6EB}"/>
    <cellStyle name="Normal 7 13 2 4 4" xfId="17528" xr:uid="{1FF3CC5F-0612-4F2F-B13F-5712F1F3C11E}"/>
    <cellStyle name="Normal 7 13 2 5" xfId="9981" xr:uid="{4AE7471D-0114-489F-8CA8-726EC8830133}"/>
    <cellStyle name="Normal 7 13 2 5 2" xfId="29449" xr:uid="{D7AD06FC-802D-43E1-8C8B-0A71DC954DBA}"/>
    <cellStyle name="Normal 7 13 2 5 3" xfId="20361" xr:uid="{102748FF-B588-497E-B490-1D8C4B75F89E}"/>
    <cellStyle name="Normal 7 13 2 6" xfId="23103" xr:uid="{B4881FC2-88B5-4AF5-8CCF-37B88EFA183D}"/>
    <cellStyle name="Normal 7 13 2 7" xfId="12783" xr:uid="{FC89DDCE-20E0-4D06-9AE1-904260F698CB}"/>
    <cellStyle name="Normal 7 13 3" xfId="1349" xr:uid="{00000000-0005-0000-0000-000017070000}"/>
    <cellStyle name="Normal 7 13 3 2" xfId="5399" xr:uid="{DCB20980-7643-4535-88F9-578CE8FBFBCD}"/>
    <cellStyle name="Normal 7 13 3 2 2" xfId="27766" xr:uid="{23C00D56-7A99-4A54-90B1-0B147FC68906}"/>
    <cellStyle name="Normal 7 13 3 2 3" xfId="26817" xr:uid="{20460F01-06EE-4D47-A0BE-B0A32B9D05B2}"/>
    <cellStyle name="Normal 7 13 3 2 4" xfId="14696" xr:uid="{B0B13E8D-91B0-4667-8658-1ADDDDEE0915}"/>
    <cellStyle name="Normal 7 13 3 3" xfId="7149" xr:uid="{64CD0462-F6AC-497F-9989-CBA317968155}"/>
    <cellStyle name="Normal 7 13 3 3 2" xfId="27380" xr:uid="{11DC4761-E4F6-4690-AE9A-B56E67E30089}"/>
    <cellStyle name="Normal 7 13 3 3 3" xfId="27444" xr:uid="{E9AA02BF-9AB4-42F7-A16C-CE009BAA2A77}"/>
    <cellStyle name="Normal 7 13 3 3 4" xfId="17529" xr:uid="{2A80C9F8-14FC-4F30-8B24-C2E6DEE33964}"/>
    <cellStyle name="Normal 7 13 3 4" xfId="9982" xr:uid="{98DBFA60-2698-46F4-BF5C-075BAC410C90}"/>
    <cellStyle name="Normal 7 13 3 4 2" xfId="29450" xr:uid="{84CEC67C-FAC1-4B94-A702-87E75276E1F3}"/>
    <cellStyle name="Normal 7 13 3 4 3" xfId="20362" xr:uid="{59F6F00D-9A4D-4140-B6DF-F155B26FD33D}"/>
    <cellStyle name="Normal 7 13 3 5" xfId="24275" xr:uid="{9ECC0C4F-35AC-4BF6-A677-6556CB126B7C}"/>
    <cellStyle name="Normal 7 13 3 6" xfId="13287" xr:uid="{9A463FB0-23D4-4E20-BE85-7FEB1D78479A}"/>
    <cellStyle name="Normal 7 13 4" xfId="2391" xr:uid="{00000000-0005-0000-0000-0000EA070000}"/>
    <cellStyle name="Normal 7 13 4 2" xfId="7518" xr:uid="{AB47B31C-1842-46B8-BFC4-5DFFF4EFD572}"/>
    <cellStyle name="Normal 7 13 4 2 2" xfId="28064" xr:uid="{DB5496FD-3ECA-4527-9C12-ED22E11A1F40}"/>
    <cellStyle name="Normal 7 13 4 2 3" xfId="17898" xr:uid="{9D218ECA-F844-4997-8237-106A1F8729BE}"/>
    <cellStyle name="Normal 7 13 4 3" xfId="10351" xr:uid="{FC2FC417-DB07-4826-87D7-5B2446E9E3D4}"/>
    <cellStyle name="Normal 7 13 4 3 2" xfId="20731" xr:uid="{CC12FB36-B1F2-4EC9-B42F-50595556BD13}"/>
    <cellStyle name="Normal 7 13 4 4" xfId="22854" xr:uid="{BF373A71-7832-4175-8084-02F7704F61C2}"/>
    <cellStyle name="Normal 7 13 4 5" xfId="15065" xr:uid="{E13BC127-0E7F-4E10-BA34-579DB90C1102}"/>
    <cellStyle name="Normal 7 13 5" xfId="4051" xr:uid="{C48EAA1B-737A-4259-88AF-A88E11F7D0B2}"/>
    <cellStyle name="Normal 7 13 5 2" xfId="8837" xr:uid="{77A6E992-268E-475C-A367-69EAF4F88609}"/>
    <cellStyle name="Normal 7 13 5 2 2" xfId="28994" xr:uid="{4C50D351-F50B-4D38-ADF8-BDC32A258787}"/>
    <cellStyle name="Normal 7 13 5 2 3" xfId="19217" xr:uid="{E91DCA4A-113A-4BF8-98F5-3433F4BDA44E}"/>
    <cellStyle name="Normal 7 13 5 3" xfId="11670" xr:uid="{6424C1A2-E0FA-46CB-865D-D2637C8733E4}"/>
    <cellStyle name="Normal 7 13 5 3 2" xfId="22050" xr:uid="{A8877C6E-3F80-4ECE-BBAC-9E25EE1C5063}"/>
    <cellStyle name="Normal 7 13 5 4" xfId="24053" xr:uid="{4CD85591-419B-4589-8A19-007BB58E4ABA}"/>
    <cellStyle name="Normal 7 13 5 5" xfId="16384" xr:uid="{E002FDFB-78F4-48F0-B689-BCA90642B069}"/>
    <cellStyle name="Normal 7 13 6" xfId="5397" xr:uid="{9FC5ABBE-5778-416A-8388-E134B2F82B4D}"/>
    <cellStyle name="Normal 7 13 6 2" xfId="26082" xr:uid="{9042DCD2-8FD3-4FED-BC94-87E103CDB104}"/>
    <cellStyle name="Normal 7 13 6 3" xfId="28138" xr:uid="{47920828-9C9D-495D-BB4B-107B93789533}"/>
    <cellStyle name="Normal 7 13 6 4" xfId="14694" xr:uid="{3A164B11-B58D-49F7-BAE4-EAB2B732401E}"/>
    <cellStyle name="Normal 7 13 7" xfId="7147" xr:uid="{3F7AF10C-BBF5-44CB-AE49-D899F1B58A2A}"/>
    <cellStyle name="Normal 7 13 7 2" xfId="27501" xr:uid="{CD4C4EB5-DBD3-48EC-8F2A-53F58EEB111E}"/>
    <cellStyle name="Normal 7 13 7 3" xfId="17527" xr:uid="{80DCB9DD-116E-4C3F-89E8-0FC8E6A33AFF}"/>
    <cellStyle name="Normal 7 13 8" xfId="9980" xr:uid="{9FE94840-706F-4124-B963-1EAF1B222905}"/>
    <cellStyle name="Normal 7 13 8 2" xfId="20360" xr:uid="{BDFD353B-89F6-463A-BA27-9F07C438FE06}"/>
    <cellStyle name="Normal 7 13 9" xfId="23991" xr:uid="{1DBB7AE5-BB86-489A-8864-C46BF4D7E5AD}"/>
    <cellStyle name="Normal 7 14" xfId="1350" xr:uid="{00000000-0005-0000-0000-000018070000}"/>
    <cellStyle name="Normal 7 14 2" xfId="4571" xr:uid="{4072DF07-EF14-43D3-B167-C35CAF4234D0}"/>
    <cellStyle name="Normal 7 14 2 2" xfId="9343" xr:uid="{B8A9AD22-3410-4FF4-83C7-E2DC3D14ED22}"/>
    <cellStyle name="Normal 7 14 2 2 2" xfId="29317" xr:uid="{A5799844-DFFA-455D-A86E-8427EBCB3714}"/>
    <cellStyle name="Normal 7 14 2 2 3" xfId="19723" xr:uid="{7C974998-D80F-4756-8AA6-8EBE02DE6977}"/>
    <cellStyle name="Normal 7 14 2 2 4" xfId="31106" xr:uid="{30963E68-DF7F-441E-B851-E7A8DAB34A08}"/>
    <cellStyle name="Normal 7 14 2 2 5" xfId="30421" xr:uid="{B8C63CF5-2E3D-473B-81DF-62C1DAE53521}"/>
    <cellStyle name="Normal 7 14 2 3" xfId="12176" xr:uid="{14EEB91B-D8F9-4F06-B344-22845EF1E6AA}"/>
    <cellStyle name="Normal 7 14 2 3 2" xfId="22556" xr:uid="{3B072E4D-49A0-409B-9BD9-9B2AAEACA31C}"/>
    <cellStyle name="Normal 7 14 2 4" xfId="24584" xr:uid="{5942702B-591C-4132-A5C1-66F61F49F937}"/>
    <cellStyle name="Normal 7 14 2 4 2" xfId="31154" xr:uid="{DFD19340-27A1-4EB4-9771-AFF3F37C5F8F}"/>
    <cellStyle name="Normal 7 14 2 4 3" xfId="30528" xr:uid="{097927A9-822F-4CE1-ABAF-BC40902279A8}"/>
    <cellStyle name="Normal 7 14 2 5" xfId="16890" xr:uid="{683ACCB9-7C62-4B63-B4F1-090AB6DAC786}"/>
    <cellStyle name="Normal 7 14 2 6" xfId="30416" xr:uid="{CAAFDBF3-936A-463B-A3A3-49A746E7DF3C}"/>
    <cellStyle name="Normal 7 14 3" xfId="5400" xr:uid="{FAC9975F-8F2F-4E63-A9C3-9F3C1010A589}"/>
    <cellStyle name="Normal 7 14 3 2" xfId="25774" xr:uid="{8D397C2B-E913-4504-B12F-1B0EE6347D16}"/>
    <cellStyle name="Normal 7 14 3 2 2" xfId="30609" xr:uid="{8CB35ADA-85AD-456B-A4A2-9E7935D7A153}"/>
    <cellStyle name="Normal 7 14 3 2 3" xfId="30628" xr:uid="{844DF4E4-5553-4C45-8863-EB680F88D5AA}"/>
    <cellStyle name="Normal 7 14 3 2 4" xfId="30934" xr:uid="{01A695C0-06D1-4038-BF9D-2C5EAC4E3B89}"/>
    <cellStyle name="Normal 7 14 3 3" xfId="27633" xr:uid="{07857877-B5B2-4CEB-A569-43A78CB1FF4C}"/>
    <cellStyle name="Normal 7 14 3 3 2" xfId="30637" xr:uid="{B264691C-E730-4EB5-8788-D14FC0F420C6}"/>
    <cellStyle name="Normal 7 14 3 3 3" xfId="30947" xr:uid="{6CD0E69B-2973-47A6-BAED-35F716DDA0C5}"/>
    <cellStyle name="Normal 7 14 3 4" xfId="14697" xr:uid="{15E50FBB-3C72-4F94-9257-EF48A0129430}"/>
    <cellStyle name="Normal 7 14 3 5" xfId="29616" xr:uid="{02CF52A5-91C5-41D2-A0F8-38F4DC89323C}"/>
    <cellStyle name="Normal 7 14 3 6" xfId="29612" xr:uid="{26C82F45-E903-4829-958C-65A95733CA82}"/>
    <cellStyle name="Normal 7 14 3 6 2" xfId="29652" xr:uid="{FAD90F05-E5B6-4B3C-A1D0-A7981FC7DD94}"/>
    <cellStyle name="Normal 7 14 3 6 3" xfId="30394" xr:uid="{FA523EAF-70B8-4AB1-B244-F2E2D64AD147}"/>
    <cellStyle name="Normal 7 14 3 6 4" xfId="30381" xr:uid="{D9D852A3-6220-47B4-992C-3A8987A5120D}"/>
    <cellStyle name="Normal 7 14 3 6 4 2" xfId="31720" xr:uid="{E0D828CE-13E3-40E8-9A67-00BAC0712D97}"/>
    <cellStyle name="Normal 7 14 3 7" xfId="29635" xr:uid="{34C97F94-45C7-4B15-9ED5-2C3B425DF668}"/>
    <cellStyle name="Normal 7 14 3 8" xfId="30368" xr:uid="{41672123-6C8D-4359-9C8E-48BF387564A2}"/>
    <cellStyle name="Normal 7 14 3 8 2" xfId="31707" xr:uid="{E814CD8D-8D5B-49AD-88A8-8E69D7486D14}"/>
    <cellStyle name="Normal 7 14 4" xfId="7150" xr:uid="{BDE5B7F9-0BFE-44EC-A692-1FD60098272B}"/>
    <cellStyle name="Normal 7 14 4 2" xfId="23785" xr:uid="{C36A6A98-8F2F-4C86-9EEE-E1C5209BFEB8}"/>
    <cellStyle name="Normal 7 14 4 3" xfId="25875" xr:uid="{A4AA3AA3-09A8-434A-A46E-2D81674CCE1A}"/>
    <cellStyle name="Normal 7 14 4 4" xfId="17530" xr:uid="{0CE44A9C-B3B6-4F7D-8D17-9610CFE16AA4}"/>
    <cellStyle name="Normal 7 14 4 5" xfId="30999" xr:uid="{2F8BC7AC-73B7-4F15-821E-FB071EE57409}"/>
    <cellStyle name="Normal 7 14 4 6" xfId="30420" xr:uid="{385EB25C-5F27-41F3-A609-38B7663A6BFD}"/>
    <cellStyle name="Normal 7 14 5" xfId="9983" xr:uid="{8235CE7C-372C-4318-A599-8E62C285DA7B}"/>
    <cellStyle name="Normal 7 14 5 2" xfId="29451" xr:uid="{AEDE9949-7169-4514-AE0E-4A891C24561E}"/>
    <cellStyle name="Normal 7 14 5 3" xfId="20363" xr:uid="{9449C78C-D33B-459C-BBF9-694343407FAB}"/>
    <cellStyle name="Normal 7 14 5 4" xfId="30939" xr:uid="{E0BCDBFB-8F60-42E5-B625-B2599670E8F5}"/>
    <cellStyle name="Normal 7 14 6" xfId="24136" xr:uid="{9092CC78-A25F-48A6-83D4-F44869564DEA}"/>
    <cellStyle name="Normal 7 14 7" xfId="13998" xr:uid="{0FCA37D2-3715-410D-9450-DBE88E718CBE}"/>
    <cellStyle name="Normal 7 15" xfId="2432" xr:uid="{00000000-0005-0000-0000-0000EF070000}"/>
    <cellStyle name="Normal 7 15 2" xfId="5729" xr:uid="{C5D7E416-4228-41E8-ABDC-EE69883A12CC}"/>
    <cellStyle name="Normal 7 15 2 2" xfId="23596" xr:uid="{65C6AC73-A0E6-4BCE-92BE-B668B8D5257A}"/>
    <cellStyle name="Normal 7 15 2 3" xfId="15104" xr:uid="{17D943AA-C222-4B4C-A18F-6CCE6BA583AE}"/>
    <cellStyle name="Normal 7 15 2 4" xfId="30935" xr:uid="{33745800-52FB-4055-8019-A260A36BC408}"/>
    <cellStyle name="Normal 7 15 3" xfId="7557" xr:uid="{F1E98D2C-5E23-44D7-A17A-E7E508629C08}"/>
    <cellStyle name="Normal 7 15 3 2" xfId="17937" xr:uid="{AE558860-C380-4D33-B8F4-BAFABF7E14FC}"/>
    <cellStyle name="Normal 7 15 3 3" xfId="30948" xr:uid="{0DCC9790-3146-4601-AB3F-28C8BDFFB878}"/>
    <cellStyle name="Normal 7 15 4" xfId="10390" xr:uid="{0365E554-FA94-4190-A1D6-9E0EE659857C}"/>
    <cellStyle name="Normal 7 15 4 2" xfId="20770" xr:uid="{2A88BA57-D2E1-463D-AEDB-D1CD92CC2019}"/>
    <cellStyle name="Normal 7 15 5" xfId="23728" xr:uid="{7232D1CA-690F-4D52-9D19-42CE68785447}"/>
    <cellStyle name="Normal 7 15 6" xfId="12819" xr:uid="{F5044BB9-43F3-49F3-B21A-9AD06E1D6815}"/>
    <cellStyle name="Normal 7 16" xfId="2159" xr:uid="{00000000-0005-0000-0000-0000D6070000}"/>
    <cellStyle name="Normal 7 16 2" xfId="7286" xr:uid="{487A9249-76DA-44C0-9FB7-C1ECCC926A3F}"/>
    <cellStyle name="Normal 7 16 2 2" xfId="17666" xr:uid="{E8531131-82DE-4A9C-9E7C-B57E41F8A0D7}"/>
    <cellStyle name="Normal 7 16 2 3" xfId="30950" xr:uid="{A45B824F-5108-4980-B469-78E9818C36B4}"/>
    <cellStyle name="Normal 7 16 3" xfId="10119" xr:uid="{55FE5E11-08C7-4A4A-B6B1-9A55D8442D61}"/>
    <cellStyle name="Normal 7 16 3 2" xfId="20499" xr:uid="{5B263FD6-644E-4205-BA6A-B5FA3C82A433}"/>
    <cellStyle name="Normal 7 16 4" xfId="24615" xr:uid="{3531CAC4-9557-447A-A968-11C6FD1FBF49}"/>
    <cellStyle name="Normal 7 16 5" xfId="14833" xr:uid="{EA3CD99F-CEAA-4377-8E06-36E914726435}"/>
    <cellStyle name="Normal 7 17" xfId="3784" xr:uid="{341F80F6-8699-4561-8A3C-2CE4C55CAADA}"/>
    <cellStyle name="Normal 7 17 2" xfId="8623" xr:uid="{1FC80999-4DDE-48CF-962D-7BAF4D6653EE}"/>
    <cellStyle name="Normal 7 17 2 2" xfId="19003" xr:uid="{ED9F5490-6BEC-49DB-B407-08529B63281F}"/>
    <cellStyle name="Normal 7 17 3" xfId="11456" xr:uid="{85BFA86A-976C-4244-B91D-A4A316DF7FAA}"/>
    <cellStyle name="Normal 7 17 3 2" xfId="21836" xr:uid="{EBB9E23C-1929-404A-8369-AB114746F9B3}"/>
    <cellStyle name="Normal 7 17 4" xfId="16170" xr:uid="{19ED6957-761A-498A-9DB7-0D4BB90DEA23}"/>
    <cellStyle name="Normal 7 18" xfId="23716" xr:uid="{275285CC-AC04-46B2-8894-D88E3A4793D8}"/>
    <cellStyle name="Normal 7 19" xfId="12391" xr:uid="{409BED8C-AD22-4BB5-AC49-DFFDB915DE9E}"/>
    <cellStyle name="Normal 7 2" xfId="1351" xr:uid="{00000000-0005-0000-0000-000019070000}"/>
    <cellStyle name="Normal 7 2 2" xfId="1352" xr:uid="{00000000-0005-0000-0000-00001A070000}"/>
    <cellStyle name="Normal 7 2 3" xfId="29579" xr:uid="{C9FAE160-566D-4193-A935-2D0DA2B23E4F}"/>
    <cellStyle name="Normal 7 20" xfId="29578" xr:uid="{642B267D-0DF7-40DE-B31F-199C69FB4D2F}"/>
    <cellStyle name="Normal 7 20 2" xfId="29834" xr:uid="{06A9DF73-34B1-440D-84B3-8A48C8702549}"/>
    <cellStyle name="Normal 7 20 2 2" xfId="31246" xr:uid="{209E63D4-6E49-46E2-AC41-4E8AA5C77F37}"/>
    <cellStyle name="Normal 7 21" xfId="29979" xr:uid="{9CE9C7A0-056C-44AD-A33D-E7968E3C6153}"/>
    <cellStyle name="Normal 7 21 2" xfId="31501" xr:uid="{FFA9F5D8-7DC6-4F24-B4CD-E82A02F1D2A8}"/>
    <cellStyle name="Normal 7 22" xfId="30111" xr:uid="{758F768F-0264-4A45-A815-34609497E100}"/>
    <cellStyle name="Normal 7 3" xfId="1353" xr:uid="{00000000-0005-0000-0000-00001B070000}"/>
    <cellStyle name="Normal 7 3 2" xfId="1354" xr:uid="{00000000-0005-0000-0000-00001C070000}"/>
    <cellStyle name="Normal 7 3 3" xfId="1355" xr:uid="{00000000-0005-0000-0000-00001D070000}"/>
    <cellStyle name="Normal 7 3 3 2" xfId="1356" xr:uid="{00000000-0005-0000-0000-00001E070000}"/>
    <cellStyle name="Normal 7 3 3 2 2" xfId="1357" xr:uid="{00000000-0005-0000-0000-00001F070000}"/>
    <cellStyle name="Normal 7 3 3 2 3" xfId="1358" xr:uid="{00000000-0005-0000-0000-000020070000}"/>
    <cellStyle name="Normal 7 3 3 2 3 2" xfId="1359" xr:uid="{00000000-0005-0000-0000-000021070000}"/>
    <cellStyle name="Normal 7 3 3 2 3 2 2" xfId="1360" xr:uid="{00000000-0005-0000-0000-000022070000}"/>
    <cellStyle name="Normal 7 3 3 2 3 2 2 2" xfId="25809" xr:uid="{3A610EB4-A016-4959-9696-204DE0AAB876}"/>
    <cellStyle name="Normal 7 3 3 2 3 2 2 3" xfId="25207" xr:uid="{8ED66FBA-2D40-4643-9B61-F1E32A491FDE}"/>
    <cellStyle name="Normal 7 3 3 2 3 2 3" xfId="1361" xr:uid="{00000000-0005-0000-0000-000023070000}"/>
    <cellStyle name="Normal 7 3 3 2 3 2 3 2" xfId="2026" xr:uid="{00000000-0005-0000-0000-000024070000}"/>
    <cellStyle name="Normal 7 3 3 2 3 2 3 3" xfId="3761" xr:uid="{00000000-0005-0000-0000-000084060000}"/>
    <cellStyle name="Normal 7 3 3 2 3 2 3 3 2" xfId="4739" xr:uid="{14F8C66C-3AFD-4960-8379-ECACDC0C00A0}"/>
    <cellStyle name="Normal 7 3 3 2 3 2 3 3 3" xfId="30286" xr:uid="{CC748A5D-0BEB-4944-8F3D-97F8CF0BB353}"/>
    <cellStyle name="Normal 7 3 3 2 3 2 3 3 3 2" xfId="31429" xr:uid="{6DA37E3D-007F-49C2-A12C-7354CDCD0FDC}"/>
    <cellStyle name="Normal 7 3 3 2 3 2 3 3 4" xfId="31626" xr:uid="{A591BBBB-0D4A-46D3-A04A-7C0B2D602A7C}"/>
    <cellStyle name="Normal 7 3 3 2 3 2 4" xfId="24308" xr:uid="{4F4781A6-ECE1-4C9E-AC58-6E5C10C0A2BA}"/>
    <cellStyle name="Normal 7 3 3 2 3 3" xfId="1362" xr:uid="{00000000-0005-0000-0000-000025070000}"/>
    <cellStyle name="Normal 7 3 3 2 3 4" xfId="2983" xr:uid="{00000000-0005-0000-0000-0000FA070000}"/>
    <cellStyle name="Normal 7 3 3 2 3 4 2" xfId="31276" xr:uid="{FE80F6DF-4597-4CFB-BBD3-5BE6A13FC5D1}"/>
    <cellStyle name="Normal 7 3 3 2 3 5" xfId="2145" xr:uid="{00000000-0005-0000-0000-0000F7020000}"/>
    <cellStyle name="Normal 7 3 3 2 3 5 2" xfId="4635" xr:uid="{4276D1A2-DC93-4587-8A35-0E2B48A1053D}"/>
    <cellStyle name="Normal 7 3 3 2 3 5 3" xfId="30226" xr:uid="{26797C4E-8D1E-4032-A1BF-A4CEED6C0C3E}"/>
    <cellStyle name="Normal 7 3 3 2 3 5 3 2" xfId="31370" xr:uid="{AE22E742-9D01-4013-99C2-F097DBB0C902}"/>
    <cellStyle name="Normal 7 3 3 2 3 5 4" xfId="31566" xr:uid="{44215A84-68FA-41D8-95CF-672B06952FBE}"/>
    <cellStyle name="Normal 7 3 3 2 3 6" xfId="4055" xr:uid="{B827FBD5-2E2E-4EC7-8D41-DDFF87CC148D}"/>
    <cellStyle name="Normal 7 3 3 2 3 6 2" xfId="4800" xr:uid="{41E9EAB1-F610-481E-9DBF-172EE15DBDDE}"/>
    <cellStyle name="Normal 7 3 3 2 3 6 3" xfId="30341" xr:uid="{1870D514-1782-4A72-924A-46F157C54A64}"/>
    <cellStyle name="Normal 7 3 3 2 3 6 3 2" xfId="31483" xr:uid="{10473CFF-088B-46C0-9F1B-6A43DFDE6F83}"/>
    <cellStyle name="Normal 7 3 3 2 3 6 4" xfId="31681" xr:uid="{A0C69ABB-68AB-49B8-8AA7-23CBE1147DF3}"/>
    <cellStyle name="Normal 7 3 3 2 3 7" xfId="30160" xr:uid="{780A71C4-DEF8-4E6E-ACC0-3655804A98B1}"/>
    <cellStyle name="Normal 7 3 3 2 3 7 2" xfId="30530" xr:uid="{0EEE45BB-0632-4849-9B3D-03E60AC02070}"/>
    <cellStyle name="Normal 7 3 3 2 4" xfId="1363" xr:uid="{00000000-0005-0000-0000-000026070000}"/>
    <cellStyle name="Normal 7 3 3 2 4 2" xfId="2982" xr:uid="{00000000-0005-0000-0000-0000FB070000}"/>
    <cellStyle name="Normal 7 3 3 2 4 3" xfId="25208" xr:uid="{B0C3B96C-3DDC-4AE2-9FBF-450A9524DC4A}"/>
    <cellStyle name="Normal 7 3 3 2 4 3 2" xfId="29624" xr:uid="{D5A67649-7538-431D-8D7A-5AD8C95F5258}"/>
    <cellStyle name="Normal 7 3 3 2 4 3 3" xfId="29613" xr:uid="{66300240-9CE0-4062-9E28-4F6B04AC2CFD}"/>
    <cellStyle name="Normal 7 3 3 2 4 3 3 2" xfId="29653" xr:uid="{6CAF7E09-E7DB-45FE-975B-5EBB75C74D81}"/>
    <cellStyle name="Normal 7 3 3 2 4 3 3 3" xfId="30395" xr:uid="{298B7D3F-FBD5-4460-93A9-F54645816E7E}"/>
    <cellStyle name="Normal 7 3 3 2 4 3 3 4" xfId="30382" xr:uid="{EB6E69B1-D944-4719-98E3-285669324B35}"/>
    <cellStyle name="Normal 7 3 3 2 4 3 3 4 2" xfId="31721" xr:uid="{C95F887A-0DE3-4885-9933-DFDC3C26B10C}"/>
    <cellStyle name="Normal 7 3 3 2 4 3 4" xfId="30369" xr:uid="{51F68BB7-1CBC-471B-8C45-133EBC2770D2}"/>
    <cellStyle name="Normal 7 3 3 2 4 3 4 2" xfId="31708" xr:uid="{9A461396-9683-439E-A844-9F185B081F12}"/>
    <cellStyle name="Normal 7 3 3 2 5" xfId="2144" xr:uid="{00000000-0005-0000-0000-0000F5020000}"/>
    <cellStyle name="Normal 7 3 3 2 5 2" xfId="4663" xr:uid="{8519FF03-5F6D-4EB4-B933-25C9AA886D70}"/>
    <cellStyle name="Normal 7 3 3 2 5 3" xfId="30225" xr:uid="{3961AF33-EFDD-4226-A841-E3976186FFD4}"/>
    <cellStyle name="Normal 7 3 3 2 5 3 2" xfId="31369" xr:uid="{16EBF1E3-7968-444B-8C3D-D7DC786844C8}"/>
    <cellStyle name="Normal 7 3 3 2 5 4" xfId="31565" xr:uid="{214AA77A-3A32-4BAE-847A-D697B49E96EA}"/>
    <cellStyle name="Normal 7 3 3 2 6" xfId="4054" xr:uid="{0F69AA1D-AABD-4773-8E71-6D7F88104E7D}"/>
    <cellStyle name="Normal 7 3 3 2 6 2" xfId="4706" xr:uid="{FBE10302-99A6-4D2B-BB8D-B20AC5081845}"/>
    <cellStyle name="Normal 7 3 3 2 6 3" xfId="30340" xr:uid="{A37C4874-8220-4154-9C48-359C73DA2E56}"/>
    <cellStyle name="Normal 7 3 3 2 6 3 2" xfId="31482" xr:uid="{1468B4C2-4CC6-4853-886D-572963C37F80}"/>
    <cellStyle name="Normal 7 3 3 2 6 4" xfId="31680" xr:uid="{70321CC2-308C-492B-9C17-C00F1D0D05E8}"/>
    <cellStyle name="Normal 7 3 3 2 7" xfId="30159" xr:uid="{FA8D9B86-1118-4618-BB6D-43B775B037D2}"/>
    <cellStyle name="Normal 7 3 3 2 7 2" xfId="30529" xr:uid="{5EDFF2C5-0B36-4BC0-9185-4FF885E1700E}"/>
    <cellStyle name="Normal 7 3 3 3" xfId="1364" xr:uid="{00000000-0005-0000-0000-000027070000}"/>
    <cellStyle name="Normal 7 3 3 4" xfId="1365" xr:uid="{00000000-0005-0000-0000-000028070000}"/>
    <cellStyle name="Normal 7 3 3 4 2" xfId="1366" xr:uid="{00000000-0005-0000-0000-000029070000}"/>
    <cellStyle name="Normal 7 3 3 4 2 2" xfId="1367" xr:uid="{00000000-0005-0000-0000-00002A070000}"/>
    <cellStyle name="Normal 7 3 3 4 2 2 2" xfId="1368" xr:uid="{00000000-0005-0000-0000-00002B070000}"/>
    <cellStyle name="Normal 7 3 3 4 2 2 2 2" xfId="2027" xr:uid="{00000000-0005-0000-0000-00002C070000}"/>
    <cellStyle name="Normal 7 3 3 4 2 2 2 2 2" xfId="30080" xr:uid="{3537F8E7-8F63-4952-A614-60ED7C47A13A}"/>
    <cellStyle name="Normal 7 3 3 4 2 2 2 3" xfId="3762" xr:uid="{00000000-0005-0000-0000-00008B060000}"/>
    <cellStyle name="Normal 7 3 3 4 2 2 2 3 2" xfId="4690" xr:uid="{FFDAA0C2-4A8B-4197-B6CC-922603129983}"/>
    <cellStyle name="Normal 7 3 3 4 2 2 2 3 3" xfId="30287" xr:uid="{A5F56370-D827-4B99-ABC8-6275F53DD26A}"/>
    <cellStyle name="Normal 7 3 3 4 2 2 2 3 3 2" xfId="31430" xr:uid="{1B7941D8-E613-4CAB-A60E-F55CDB998239}"/>
    <cellStyle name="Normal 7 3 3 4 2 2 2 3 4" xfId="31627" xr:uid="{07B95D85-B905-48E7-BD19-0355BFAB2114}"/>
    <cellStyle name="Normal 7 3 3 4 2 2 2 4" xfId="23538" xr:uid="{5DC698DF-1EB8-4352-991D-5DF81557D20A}"/>
    <cellStyle name="Normal 7 3 3 4 2 2 3" xfId="2028" xr:uid="{00000000-0005-0000-0000-00002D070000}"/>
    <cellStyle name="Normal 7 3 3 4 2 2 4" xfId="24128" xr:uid="{6B4D953D-C7AF-48CD-AB50-65538F78D7AC}"/>
    <cellStyle name="Normal 7 3 3 4 2 3" xfId="1369" xr:uid="{00000000-0005-0000-0000-00002E070000}"/>
    <cellStyle name="Normal 7 3 3 4 2 3 2" xfId="1370" xr:uid="{00000000-0005-0000-0000-00002F070000}"/>
    <cellStyle name="Normal 7 3 3 4 2 3 2 2" xfId="25760" xr:uid="{9FC1AC3D-9F28-4DA0-9380-BC7E4A0369FC}"/>
    <cellStyle name="Normal 7 3 3 4 2 3 2 3" xfId="23622" xr:uid="{84AE4A6D-2B0B-43BB-8CE5-1E2B5F205C09}"/>
    <cellStyle name="Normal 7 3 3 4 2 3 3" xfId="1371" xr:uid="{00000000-0005-0000-0000-000030070000}"/>
    <cellStyle name="Normal 7 3 3 4 2 3 3 2" xfId="23825" xr:uid="{CCE458EA-8A72-49FE-A77A-634330E76522}"/>
    <cellStyle name="Normal 7 3 3 4 2 3 3 3" xfId="22773" xr:uid="{D5AB1874-6DDC-44B8-AD25-F7B2D8D3E562}"/>
    <cellStyle name="Normal 7 3 3 4 2 3 4" xfId="2147" xr:uid="{00000000-0005-0000-0000-0000FD020000}"/>
    <cellStyle name="Normal 7 3 3 4 2 3 4 2" xfId="4813" xr:uid="{85B8BA1F-331D-494F-A0E7-481902D278F4}"/>
    <cellStyle name="Normal 7 3 3 4 2 3 4 3" xfId="30228" xr:uid="{F67EB70F-E06D-4EBB-9414-4F6A0ABDCA9A}"/>
    <cellStyle name="Normal 7 3 3 4 2 3 4 3 2" xfId="31372" xr:uid="{150FAA65-DC89-4157-9322-130B051ADE2F}"/>
    <cellStyle name="Normal 7 3 3 4 2 3 4 4" xfId="31568" xr:uid="{BC1256C2-D523-4DD4-AA26-053BFC807901}"/>
    <cellStyle name="Normal 7 3 3 4 2 3 5" xfId="24402" xr:uid="{AE0E1D6A-38CA-406E-AE73-788945631526}"/>
    <cellStyle name="Normal 7 3 3 4 2 3 6" xfId="30544" xr:uid="{AC01CEC4-5B95-4E42-8FF7-121F69B77E99}"/>
    <cellStyle name="Normal 7 3 3 4 2 4" xfId="23708" xr:uid="{E6762BC0-4988-4223-B09E-CC35F0BD73AE}"/>
    <cellStyle name="Normal 7 3 3 4 3" xfId="1372" xr:uid="{00000000-0005-0000-0000-000031070000}"/>
    <cellStyle name="Normal 7 3 3 4 4" xfId="2984" xr:uid="{00000000-0005-0000-0000-000003080000}"/>
    <cellStyle name="Normal 7 3 3 4 4 2" xfId="31290" xr:uid="{9F4A7FD4-2CC3-4D75-A163-54E002A5B431}"/>
    <cellStyle name="Normal 7 3 3 4 5" xfId="2146" xr:uid="{00000000-0005-0000-0000-0000FA020000}"/>
    <cellStyle name="Normal 7 3 3 4 5 2" xfId="4023" xr:uid="{6D2F6D47-4728-4B49-AE2E-D503982C4500}"/>
    <cellStyle name="Normal 7 3 3 4 5 3" xfId="30227" xr:uid="{B4C65A3C-9A2A-47E6-ACA6-EABEB7F3EC73}"/>
    <cellStyle name="Normal 7 3 3 4 5 3 2" xfId="31371" xr:uid="{16A1F998-BDD9-48F0-A1CA-3C3865A23834}"/>
    <cellStyle name="Normal 7 3 3 4 5 4" xfId="31567" xr:uid="{C81BDD7A-E442-49FA-9146-5D12360A9450}"/>
    <cellStyle name="Normal 7 3 3 4 6" xfId="4056" xr:uid="{3D663429-9E72-4EFF-8B04-88C376DF2815}"/>
    <cellStyle name="Normal 7 3 3 4 6 2" xfId="4796" xr:uid="{AEA4314F-DE64-4934-8CDE-F04585260C3B}"/>
    <cellStyle name="Normal 7 3 3 4 6 3" xfId="30342" xr:uid="{6116923A-F62C-4F9F-A326-D07A8FD4381A}"/>
    <cellStyle name="Normal 7 3 3 4 6 3 2" xfId="31484" xr:uid="{CDC4F293-C87D-4A0F-B788-8B9E787F9DF4}"/>
    <cellStyle name="Normal 7 3 3 4 6 4" xfId="31682" xr:uid="{85689CFE-9FF2-4DE3-9BD0-535F40259C97}"/>
    <cellStyle name="Normal 7 3 3 4 7" xfId="30161" xr:uid="{52394549-E29E-4278-9C6A-6C4AFCC85D43}"/>
    <cellStyle name="Normal 7 3 3 4 7 2" xfId="30531" xr:uid="{79991904-AF5C-4236-8DCF-6C2BEDC43AA3}"/>
    <cellStyle name="Normal 7 3 3 5" xfId="1373" xr:uid="{00000000-0005-0000-0000-000032070000}"/>
    <cellStyle name="Normal 7 3 3 5 2" xfId="1374" xr:uid="{00000000-0005-0000-0000-000033070000}"/>
    <cellStyle name="Normal 7 3 3 5 3" xfId="3763" xr:uid="{00000000-0005-0000-0000-000092060000}"/>
    <cellStyle name="Normal 7 3 3 5 3 2" xfId="4797" xr:uid="{E8168558-99C5-46A5-A612-2FC93BC3CDFD}"/>
    <cellStyle name="Normal 7 3 3 5 3 2 2" xfId="27332" xr:uid="{602079EF-2278-456C-B1D0-880B1CB11283}"/>
    <cellStyle name="Normal 7 3 3 5 3 3" xfId="25223" xr:uid="{B55B4F7C-6E21-48BE-9E2E-2D34FC86B976}"/>
    <cellStyle name="Normal 7 3 3 5 3 4" xfId="30288" xr:uid="{7DB1975E-D21E-4CBF-9637-4AE3E6D74C12}"/>
    <cellStyle name="Normal 7 3 3 5 3 4 2" xfId="31431" xr:uid="{99ECBF59-1354-4783-BEAE-B7E19B25B945}"/>
    <cellStyle name="Normal 7 3 3 5 3 5" xfId="31628" xr:uid="{7D588285-A419-4667-B536-46B1B8B1ACDD}"/>
    <cellStyle name="Normal 7 3 3 5 4" xfId="24261" xr:uid="{83907BAB-0BFF-4471-B445-39A5F57DBBD9}"/>
    <cellStyle name="Normal 7 3 4" xfId="1375" xr:uid="{00000000-0005-0000-0000-000034070000}"/>
    <cellStyle name="Normal 7 3 4 2" xfId="1376" xr:uid="{00000000-0005-0000-0000-000035070000}"/>
    <cellStyle name="Normal 7 3 4 3" xfId="1377" xr:uid="{00000000-0005-0000-0000-000036070000}"/>
    <cellStyle name="Normal 7 3 4 3 2" xfId="1378" xr:uid="{00000000-0005-0000-0000-000037070000}"/>
    <cellStyle name="Normal 7 3 4 3 2 2" xfId="1379" xr:uid="{00000000-0005-0000-0000-000038070000}"/>
    <cellStyle name="Normal 7 3 4 3 2 2 2" xfId="25627" xr:uid="{D88E8471-D92D-49F6-980C-BD36AA4D314B}"/>
    <cellStyle name="Normal 7 3 4 3 2 2 3" xfId="25735" xr:uid="{126A297B-7ADB-4933-9CCB-2FD3B77C74DF}"/>
    <cellStyle name="Normal 7 3 4 3 2 3" xfId="1380" xr:uid="{00000000-0005-0000-0000-000039070000}"/>
    <cellStyle name="Normal 7 3 4 3 2 3 2" xfId="2029" xr:uid="{00000000-0005-0000-0000-00003A070000}"/>
    <cellStyle name="Normal 7 3 4 3 2 3 3" xfId="3764" xr:uid="{00000000-0005-0000-0000-000099060000}"/>
    <cellStyle name="Normal 7 3 4 3 2 3 3 2" xfId="4821" xr:uid="{AF1FEBE8-E3EC-4326-BAB1-44332DCC67E2}"/>
    <cellStyle name="Normal 7 3 4 3 2 3 3 3" xfId="30289" xr:uid="{30109096-014C-4DA2-92E3-E5015E0ECB5D}"/>
    <cellStyle name="Normal 7 3 4 3 2 3 3 3 2" xfId="31432" xr:uid="{EAB0C2EA-DC67-4172-92E3-7F9D56EB00AD}"/>
    <cellStyle name="Normal 7 3 4 3 2 3 3 4" xfId="31629" xr:uid="{9BD9345E-9D68-4A3B-B175-A464CEC94D75}"/>
    <cellStyle name="Normal 7 3 4 3 2 4" xfId="25414" xr:uid="{F055F10B-64A1-40D8-B460-1A174561E6AE}"/>
    <cellStyle name="Normal 7 3 4 3 3" xfId="1381" xr:uid="{00000000-0005-0000-0000-00003B070000}"/>
    <cellStyle name="Normal 7 3 4 3 4" xfId="2985" xr:uid="{00000000-0005-0000-0000-000009080000}"/>
    <cellStyle name="Normal 7 3 4 3 4 2" xfId="31299" xr:uid="{51B7DBEA-ED31-4954-9F86-83029453074D}"/>
    <cellStyle name="Normal 7 3 4 3 5" xfId="2149" xr:uid="{00000000-0005-0000-0000-000001030000}"/>
    <cellStyle name="Normal 7 3 4 3 5 2" xfId="4669" xr:uid="{E82F8251-A2EF-493C-99EC-798453FDB072}"/>
    <cellStyle name="Normal 7 3 4 3 5 3" xfId="30230" xr:uid="{A6924A06-14A6-48AE-A85A-4DABC1CC13E5}"/>
    <cellStyle name="Normal 7 3 4 3 5 3 2" xfId="31374" xr:uid="{C8D4E907-8DE5-4032-99CD-497732C57A8C}"/>
    <cellStyle name="Normal 7 3 4 3 5 4" xfId="31570" xr:uid="{2AED3941-1FFB-4F03-B67E-AF20682A3540}"/>
    <cellStyle name="Normal 7 3 4 3 6" xfId="4058" xr:uid="{19AF6C94-1102-41EB-A615-06CFDA2F78F6}"/>
    <cellStyle name="Normal 7 3 4 3 6 2" xfId="4819" xr:uid="{0CC34133-4C51-4581-8706-421D8E52AF25}"/>
    <cellStyle name="Normal 7 3 4 3 6 3" xfId="30344" xr:uid="{F2BB3124-6AE4-40BC-B519-5A61E185E003}"/>
    <cellStyle name="Normal 7 3 4 3 6 3 2" xfId="31486" xr:uid="{6FDB91E1-41FC-4670-9B2F-D9DC69D295B1}"/>
    <cellStyle name="Normal 7 3 4 3 6 4" xfId="31684" xr:uid="{94F26B9A-DF18-4DFF-9BB3-356E8653AEE6}"/>
    <cellStyle name="Normal 7 3 4 3 7" xfId="30163" xr:uid="{8FB8729F-E256-4613-98CA-4EC4024F1636}"/>
    <cellStyle name="Normal 7 3 4 3 7 2" xfId="30533" xr:uid="{D8F8BCBD-9FA9-4694-BE0E-FA68B6A82F77}"/>
    <cellStyle name="Normal 7 3 4 4" xfId="1382" xr:uid="{00000000-0005-0000-0000-00003C070000}"/>
    <cellStyle name="Normal 7 3 4 4 2" xfId="2030" xr:uid="{00000000-0005-0000-0000-00003D070000}"/>
    <cellStyle name="Normal 7 3 4 4 3" xfId="3765" xr:uid="{00000000-0005-0000-0000-00009C060000}"/>
    <cellStyle name="Normal 7 3 4 4 3 2" xfId="4748" xr:uid="{0576D2F5-5022-46BF-A95D-FDE144D163B9}"/>
    <cellStyle name="Normal 7 3 4 4 3 3" xfId="30290" xr:uid="{33067305-5030-4C44-A096-EB1A04AB9E17}"/>
    <cellStyle name="Normal 7 3 4 4 3 3 2" xfId="31433" xr:uid="{5464B581-FC1F-4F05-88EE-62C6E6E88CAA}"/>
    <cellStyle name="Normal 7 3 4 4 3 4" xfId="31630" xr:uid="{0A8F1EDA-FA33-459B-B2F0-524CCFD0733E}"/>
    <cellStyle name="Normal 7 3 4 5" xfId="2148" xr:uid="{00000000-0005-0000-0000-0000FF020000}"/>
    <cellStyle name="Normal 7 3 4 5 2" xfId="4676" xr:uid="{62B191F5-1F42-4E10-9F64-94BCDEA70967}"/>
    <cellStyle name="Normal 7 3 4 5 3" xfId="30229" xr:uid="{754916DA-38F4-4DB4-AC60-276D3B784FE8}"/>
    <cellStyle name="Normal 7 3 4 5 3 2" xfId="31373" xr:uid="{044A87F7-8EA1-490E-9C8D-11D6D6BAE37E}"/>
    <cellStyle name="Normal 7 3 4 5 4" xfId="31569" xr:uid="{5DA86EC8-8286-4878-8542-77217A13FFA4}"/>
    <cellStyle name="Normal 7 3 4 6" xfId="4057" xr:uid="{FA0FC87F-FC4E-4E3F-98FE-B3C6B8313692}"/>
    <cellStyle name="Normal 7 3 4 6 2" xfId="4766" xr:uid="{56DF81AD-9939-4BBA-9856-A8B717C867ED}"/>
    <cellStyle name="Normal 7 3 4 6 3" xfId="30343" xr:uid="{B20B5A7A-FDC4-4249-8466-A745C0238C84}"/>
    <cellStyle name="Normal 7 3 4 6 3 2" xfId="31485" xr:uid="{A0200AC4-E0FC-4EF7-BE2C-B088557646B3}"/>
    <cellStyle name="Normal 7 3 4 6 4" xfId="31683" xr:uid="{3694F6B6-85D0-4B9D-A3E8-21FFBEDC8837}"/>
    <cellStyle name="Normal 7 3 4 7" xfId="30162" xr:uid="{547D83AB-00BA-499B-81A0-779EECACE4D6}"/>
    <cellStyle name="Normal 7 3 4 7 2" xfId="30532" xr:uid="{C34CEC2F-9910-42A5-A6D6-E9823FE39A10}"/>
    <cellStyle name="Normal 7 3 5" xfId="2072" xr:uid="{00000000-0005-0000-0000-0000F2020000}"/>
    <cellStyle name="Normal 7 3 5 2" xfId="4780" xr:uid="{2BC8EFBC-06F5-4C7E-B0DC-F1B8E24A78E5}"/>
    <cellStyle name="Normal 7 3 5 3" xfId="30172" xr:uid="{DECA1B29-BBE5-4B43-B1E4-970DDF40EAFE}"/>
    <cellStyle name="Normal 7 3 5 3 2" xfId="30534" xr:uid="{1E65DB43-42EC-4ED4-993E-326E053D0E1B}"/>
    <cellStyle name="Normal 7 3 5 4" xfId="31512" xr:uid="{62585BCE-F536-46B9-8EFD-7DDBD82F7D6A}"/>
    <cellStyle name="Normal 7 3 6" xfId="29580" xr:uid="{F508C06F-0760-4DB3-8A82-A860AE1FCD26}"/>
    <cellStyle name="Normal 7 3 6 2" xfId="31247" xr:uid="{35461E4B-121A-4F8F-8CB4-021E38307A97}"/>
    <cellStyle name="Normal 7 3 6 3" xfId="30477" xr:uid="{EA0BC44F-1276-48AD-906F-6873BECD3DA1}"/>
    <cellStyle name="Normal 7 3 7" xfId="30116" xr:uid="{AA681422-51CE-46B6-A8B2-24AE11AA003A}"/>
    <cellStyle name="Normal 7 3 7 2" xfId="31502" xr:uid="{57282A1B-C9B2-4738-A048-DE5BEE2B6052}"/>
    <cellStyle name="Normal 7 4" xfId="1383" xr:uid="{00000000-0005-0000-0000-00003E070000}"/>
    <cellStyle name="Normal 7 4 10" xfId="1384" xr:uid="{00000000-0005-0000-0000-00003F070000}"/>
    <cellStyle name="Normal 7 4 10 10" xfId="12626" xr:uid="{E39E0DB2-1C99-4921-9289-604FC440D3A7}"/>
    <cellStyle name="Normal 7 4 10 2" xfId="1385" xr:uid="{00000000-0005-0000-0000-000040070000}"/>
    <cellStyle name="Normal 7 4 10 2 2" xfId="2986" xr:uid="{00000000-0005-0000-0000-00000E080000}"/>
    <cellStyle name="Normal 7 4 10 2 2 2" xfId="6136" xr:uid="{58BC0567-405B-4413-914D-5689FA1AE9E6}"/>
    <cellStyle name="Normal 7 4 10 2 2 2 2" xfId="25975" xr:uid="{F32906AA-0510-44F9-AFF5-3E96B250F34E}"/>
    <cellStyle name="Normal 7 4 10 2 2 2 3" xfId="27351" xr:uid="{D1FF3C20-ECA0-445F-B991-2445EF58CA2F}"/>
    <cellStyle name="Normal 7 4 10 2 2 2 4" xfId="15614" xr:uid="{A53AFE9F-0E8E-4969-A9A4-79BCBB14F77E}"/>
    <cellStyle name="Normal 7 4 10 2 2 3" xfId="8067" xr:uid="{7212056B-159D-48BF-83C8-1347DB78FEC6}"/>
    <cellStyle name="Normal 7 4 10 2 2 3 2" xfId="28765" xr:uid="{0667C046-2EFC-4FAD-A0D1-FF6576649D79}"/>
    <cellStyle name="Normal 7 4 10 2 2 3 3" xfId="18447" xr:uid="{6262987E-DA53-4006-977A-3849AD0E8858}"/>
    <cellStyle name="Normal 7 4 10 2 2 4" xfId="10900" xr:uid="{F637C2E1-7753-4B4C-8F16-9AA66DDDAEF0}"/>
    <cellStyle name="Normal 7 4 10 2 2 4 2" xfId="21280" xr:uid="{6613C23C-B3E5-4227-8591-EB121E6D78E9}"/>
    <cellStyle name="Normal 7 4 10 2 2 5" xfId="22714" xr:uid="{3706A199-799F-4D6F-83FD-41BDE783AE20}"/>
    <cellStyle name="Normal 7 4 10 2 2 6" xfId="13482" xr:uid="{F64751DD-61FF-49E7-BFF5-F0A719CB7884}"/>
    <cellStyle name="Normal 7 4 10 2 3" xfId="5403" xr:uid="{5983E34B-CA1D-45DA-8353-366D5E3A0CB4}"/>
    <cellStyle name="Normal 7 4 10 2 3 2" xfId="23455" xr:uid="{225ACEA7-5C66-4905-85C6-E09D28963687}"/>
    <cellStyle name="Normal 7 4 10 2 3 3" xfId="26502" xr:uid="{EC4744C8-04D9-4EC6-8C7D-BD8F9EF2515F}"/>
    <cellStyle name="Normal 7 4 10 2 3 4" xfId="14700" xr:uid="{3D4EA00A-6101-40BC-B90B-10E6FC343E5C}"/>
    <cellStyle name="Normal 7 4 10 2 4" xfId="7153" xr:uid="{A7ECD047-1A9C-410E-881F-47F5A66CACB4}"/>
    <cellStyle name="Normal 7 4 10 2 4 2" xfId="28101" xr:uid="{ABDA0BE5-DD38-480E-92B7-0A0E036EF30E}"/>
    <cellStyle name="Normal 7 4 10 2 4 3" xfId="26538" xr:uid="{B3F0F765-866B-42F2-8B79-EDCEE9283A31}"/>
    <cellStyle name="Normal 7 4 10 2 4 4" xfId="17533" xr:uid="{A6A9B4F8-16F6-490E-AB24-06E45B887DEE}"/>
    <cellStyle name="Normal 7 4 10 2 5" xfId="9986" xr:uid="{B0E34A6C-8106-4A35-BE87-8A751D666FA6}"/>
    <cellStyle name="Normal 7 4 10 2 5 2" xfId="29452" xr:uid="{6D64EC46-F50E-44F4-860D-875C63C9FF2B}"/>
    <cellStyle name="Normal 7 4 10 2 5 3" xfId="20366" xr:uid="{B05791DD-FB82-4608-A729-E2967A40F98A}"/>
    <cellStyle name="Normal 7 4 10 2 6" xfId="23358" xr:uid="{BB82E11A-01DC-407C-BA19-8383DF702642}"/>
    <cellStyle name="Normal 7 4 10 2 7" xfId="12784" xr:uid="{2A40A123-DB6D-4CAD-B3EF-8D16581D2066}"/>
    <cellStyle name="Normal 7 4 10 3" xfId="1386" xr:uid="{00000000-0005-0000-0000-000041070000}"/>
    <cellStyle name="Normal 7 4 10 3 2" xfId="5404" xr:uid="{90229E99-CEEA-4005-976E-676561CE60D7}"/>
    <cellStyle name="Normal 7 4 10 3 2 2" xfId="27219" xr:uid="{68BD47C5-D462-4D85-B923-6CEFB2F05EF6}"/>
    <cellStyle name="Normal 7 4 10 3 2 3" xfId="28099" xr:uid="{DE055B0B-A8BE-45C7-ABC5-2C84D52B9FE3}"/>
    <cellStyle name="Normal 7 4 10 3 2 4" xfId="14701" xr:uid="{2D77293D-C59F-4086-931B-813966E04C5A}"/>
    <cellStyle name="Normal 7 4 10 3 3" xfId="7154" xr:uid="{F1967FBE-A3A8-4F88-8621-8D068AA57768}"/>
    <cellStyle name="Normal 7 4 10 3 3 2" xfId="28574" xr:uid="{2CE122AC-64CC-4038-8FB4-F43AAC17B16B}"/>
    <cellStyle name="Normal 7 4 10 3 3 3" xfId="26356" xr:uid="{B1A30EA3-D358-431D-A7CF-EDDD9E8E93B9}"/>
    <cellStyle name="Normal 7 4 10 3 3 4" xfId="17534" xr:uid="{50931B32-2847-4DB6-8D45-6F68A911D218}"/>
    <cellStyle name="Normal 7 4 10 3 4" xfId="9987" xr:uid="{D28DB7C0-0AF3-46D3-AC36-B9786005EE04}"/>
    <cellStyle name="Normal 7 4 10 3 4 2" xfId="29453" xr:uid="{D7534AF6-ADC2-493F-A75A-91233F6F7645}"/>
    <cellStyle name="Normal 7 4 10 3 4 3" xfId="20367" xr:uid="{E7C29FA1-E4CF-43C0-832F-7E082E95E71A}"/>
    <cellStyle name="Normal 7 4 10 3 5" xfId="23167" xr:uid="{BC4588E6-59EB-42D4-8C1A-C396DA859E20}"/>
    <cellStyle name="Normal 7 4 10 3 6" xfId="13289" xr:uid="{5FAD2BCB-9C26-4C51-BDB6-E0584DEC405D}"/>
    <cellStyle name="Normal 7 4 10 4" xfId="2392" xr:uid="{00000000-0005-0000-0000-00000C080000}"/>
    <cellStyle name="Normal 7 4 10 4 2" xfId="7519" xr:uid="{6071AF00-0683-4207-8FFF-1FA95E4222DF}"/>
    <cellStyle name="Normal 7 4 10 4 2 2" xfId="28091" xr:uid="{E8F543B3-88BC-48D6-AD29-96E64116D095}"/>
    <cellStyle name="Normal 7 4 10 4 2 3" xfId="17899" xr:uid="{3F714F41-FAB1-45A4-AEC1-FFFF63D53736}"/>
    <cellStyle name="Normal 7 4 10 4 3" xfId="10352" xr:uid="{AC62CA15-CE9F-470F-BF7F-19EFF0654FFD}"/>
    <cellStyle name="Normal 7 4 10 4 3 2" xfId="20732" xr:uid="{2B5476F8-1542-4A45-9B8B-CA77C4C773B9}"/>
    <cellStyle name="Normal 7 4 10 4 4" xfId="22887" xr:uid="{CEE392DA-D99F-41B2-9AB5-1684E1A933D9}"/>
    <cellStyle name="Normal 7 4 10 4 5" xfId="15066" xr:uid="{ECCB2C17-EA3D-4753-B88E-D1A79FC6BB59}"/>
    <cellStyle name="Normal 7 4 10 5" xfId="4060" xr:uid="{A47C9DAF-18CB-48BA-8AD7-5149BEA6F166}"/>
    <cellStyle name="Normal 7 4 10 5 2" xfId="8840" xr:uid="{93A520FB-BDD6-4069-BCED-3F1BC303313B}"/>
    <cellStyle name="Normal 7 4 10 5 2 2" xfId="28995" xr:uid="{0C8C64D4-78B4-42B4-8837-FAD504081FC6}"/>
    <cellStyle name="Normal 7 4 10 5 2 3" xfId="19220" xr:uid="{E0313ABF-E8D0-4EF3-B070-B58464E5B21E}"/>
    <cellStyle name="Normal 7 4 10 5 3" xfId="11673" xr:uid="{8B166987-21CC-4FE9-90CF-4B5C0D0BF008}"/>
    <cellStyle name="Normal 7 4 10 5 3 2" xfId="22053" xr:uid="{26496B1F-C615-4E80-8037-4D4E0929AD27}"/>
    <cellStyle name="Normal 7 4 10 5 4" xfId="24474" xr:uid="{BFEDEBE2-F864-495A-899E-53D5D1B5AB36}"/>
    <cellStyle name="Normal 7 4 10 5 5" xfId="16387" xr:uid="{36CBD321-650A-4674-8A2E-13B231E90F45}"/>
    <cellStyle name="Normal 7 4 10 6" xfId="5402" xr:uid="{15474A07-3C10-49DE-874C-C083673A395B}"/>
    <cellStyle name="Normal 7 4 10 6 2" xfId="27164" xr:uid="{D4D8E402-8606-4174-9130-005E070C7A57}"/>
    <cellStyle name="Normal 7 4 10 6 3" xfId="28701" xr:uid="{AAD42802-2F27-424F-890C-4FD7599FF5B0}"/>
    <cellStyle name="Normal 7 4 10 6 4" xfId="14699" xr:uid="{61584101-1BC3-499F-B444-1B5DC1EE4865}"/>
    <cellStyle name="Normal 7 4 10 7" xfId="7152" xr:uid="{04AB0BB5-814C-4F52-A8CA-8C1F0AE8867C}"/>
    <cellStyle name="Normal 7 4 10 7 2" xfId="27948" xr:uid="{C558BB38-0E73-4659-A8A0-91FE0F16FF06}"/>
    <cellStyle name="Normal 7 4 10 7 3" xfId="17532" xr:uid="{571B3FC1-21A8-45C8-93F5-0BA17E336227}"/>
    <cellStyle name="Normal 7 4 10 8" xfId="9985" xr:uid="{03793677-D02C-48A4-AB20-AB22B8E884A6}"/>
    <cellStyle name="Normal 7 4 10 8 2" xfId="20365" xr:uid="{81B37CF5-A956-49DE-BA6A-F3A156E5D91D}"/>
    <cellStyle name="Normal 7 4 10 9" xfId="23487" xr:uid="{70C65870-8499-4097-83B5-10365053E891}"/>
    <cellStyle name="Normal 7 4 11" xfId="1387" xr:uid="{00000000-0005-0000-0000-000042070000}"/>
    <cellStyle name="Normal 7 4 11 10" xfId="12502" xr:uid="{9BEF4524-4829-4979-8370-839308CFC792}"/>
    <cellStyle name="Normal 7 4 11 2" xfId="3418" xr:uid="{00000000-0005-0000-0000-000011080000}"/>
    <cellStyle name="Normal 7 4 11 2 2" xfId="6473" xr:uid="{56A464E2-F958-41E9-88E6-4F5E11A858F6}"/>
    <cellStyle name="Normal 7 4 11 2 2 2" xfId="23039" xr:uid="{5F7D9BE0-8BD6-482E-A322-C8983DFBAE09}"/>
    <cellStyle name="Normal 7 4 11 2 2 3" xfId="28009" xr:uid="{E9DC5484-2CC7-452C-8017-5982DB62A54E}"/>
    <cellStyle name="Normal 7 4 11 2 2 4" xfId="16044" xr:uid="{D4C3B72B-1C5A-4D24-A675-DFFD132575F8}"/>
    <cellStyle name="Normal 7 4 11 2 3" xfId="8497" xr:uid="{94706112-406A-44CD-B0C2-467DC57FC4CB}"/>
    <cellStyle name="Normal 7 4 11 2 3 2" xfId="28616" xr:uid="{F10440D7-0FA7-43DA-8767-2FC1B0B01ED3}"/>
    <cellStyle name="Normal 7 4 11 2 3 3" xfId="28934" xr:uid="{DF0F9BB2-3AE3-43A8-89B5-647D76FA9FF3}"/>
    <cellStyle name="Normal 7 4 11 2 3 4" xfId="18877" xr:uid="{3A6FFCC7-DE6A-4B74-8ACA-2BBC545E5CAD}"/>
    <cellStyle name="Normal 7 4 11 2 4" xfId="11330" xr:uid="{0CE2380F-264F-420E-8716-A243A9787FB4}"/>
    <cellStyle name="Normal 7 4 11 2 4 2" xfId="29483" xr:uid="{C6EF1CE8-29B6-4241-9DD1-64ED89631239}"/>
    <cellStyle name="Normal 7 4 11 2 4 3" xfId="21710" xr:uid="{41EB82DA-43E0-441F-92C5-EC986F91CB76}"/>
    <cellStyle name="Normal 7 4 11 2 5" xfId="23272" xr:uid="{E66039F7-CF61-4055-93B1-FB74E638F62E}"/>
    <cellStyle name="Normal 7 4 11 2 6" xfId="13999" xr:uid="{DCDACEC0-61C6-4FE1-A6AE-D95E55FECA20}"/>
    <cellStyle name="Normal 7 4 11 3" xfId="2818" xr:uid="{00000000-0005-0000-0000-000012080000}"/>
    <cellStyle name="Normal 7 4 11 3 2" xfId="6034" xr:uid="{015F607C-C5BA-47F0-9077-B6A5367B7857}"/>
    <cellStyle name="Normal 7 4 11 3 2 2" xfId="26514" xr:uid="{1DB3F147-0DF4-4A67-89A2-0EE7A9ECB8EA}"/>
    <cellStyle name="Normal 7 4 11 3 2 3" xfId="15488" xr:uid="{EF31F597-F30B-4827-BB92-323198C7688A}"/>
    <cellStyle name="Normal 7 4 11 3 3" xfId="7941" xr:uid="{1B610E9B-1938-4DEB-99B5-75A8D02A9270}"/>
    <cellStyle name="Normal 7 4 11 3 3 2" xfId="18321" xr:uid="{B31BC9A6-5186-46A9-96DD-538B165E66A0}"/>
    <cellStyle name="Normal 7 4 11 3 4" xfId="10774" xr:uid="{795713ED-7E30-4ABB-B50C-E0BE9BC9BFFC}"/>
    <cellStyle name="Normal 7 4 11 3 4 2" xfId="21154" xr:uid="{215CED11-D531-4524-B3EA-9CAD4873CAC5}"/>
    <cellStyle name="Normal 7 4 11 3 5" xfId="24598" xr:uid="{972C80E3-438F-4583-93A7-502503F64D0D}"/>
    <cellStyle name="Normal 7 4 11 3 6" xfId="13288" xr:uid="{FE607638-FDCE-4126-B7F9-101AC49FE9D4}"/>
    <cellStyle name="Normal 7 4 11 4" xfId="2270" xr:uid="{00000000-0005-0000-0000-000010080000}"/>
    <cellStyle name="Normal 7 4 11 4 2" xfId="7397" xr:uid="{7BB7EF9D-4851-44A7-9510-1CB0FFF6EF85}"/>
    <cellStyle name="Normal 7 4 11 4 2 2" xfId="28275" xr:uid="{DA11D543-0EE4-47D6-94AF-349B46E85CAC}"/>
    <cellStyle name="Normal 7 4 11 4 2 3" xfId="17777" xr:uid="{623B9985-75AE-4679-9B67-34BF13072187}"/>
    <cellStyle name="Normal 7 4 11 4 3" xfId="10230" xr:uid="{9ECD19C3-FFB6-4740-B8CB-9CFA90730B94}"/>
    <cellStyle name="Normal 7 4 11 4 3 2" xfId="20610" xr:uid="{A88319F0-B6A7-49DD-A3BB-D23EF6CC62D0}"/>
    <cellStyle name="Normal 7 4 11 4 4" xfId="25472" xr:uid="{F4304C93-9A1A-4AC7-B4C1-4683D0AE4DA4}"/>
    <cellStyle name="Normal 7 4 11 4 5" xfId="14944" xr:uid="{E5EE7506-D514-4CF9-BFB6-F53C9628D025}"/>
    <cellStyle name="Normal 7 4 11 5" xfId="4059" xr:uid="{3893B720-22DE-418C-BCFF-F939857B3691}"/>
    <cellStyle name="Normal 7 4 11 5 2" xfId="8839" xr:uid="{8C77606E-F367-4C2C-847B-E32170DA67E2}"/>
    <cellStyle name="Normal 7 4 11 5 2 2" xfId="19219" xr:uid="{D809E49E-C5B7-43B8-9B85-796BE2E323F0}"/>
    <cellStyle name="Normal 7 4 11 5 3" xfId="11672" xr:uid="{49EF51CA-0745-482E-BCAE-346B1E3DD61C}"/>
    <cellStyle name="Normal 7 4 11 5 3 2" xfId="22052" xr:uid="{634DCD8F-7447-42B4-B51C-F73E018D1D91}"/>
    <cellStyle name="Normal 7 4 11 5 4" xfId="26609" xr:uid="{6607F834-8310-4FAB-AF3A-C987064EBA7D}"/>
    <cellStyle name="Normal 7 4 11 5 5" xfId="16386" xr:uid="{2807DCF7-21C1-402B-A4C1-263FC1FE6DD6}"/>
    <cellStyle name="Normal 7 4 11 6" xfId="5405" xr:uid="{8E270C27-9D00-4E1B-8BBC-4ED1D11CCD4D}"/>
    <cellStyle name="Normal 7 4 11 6 2" xfId="14702" xr:uid="{5ED0D250-85DA-463A-9268-20A15AB5B81F}"/>
    <cellStyle name="Normal 7 4 11 7" xfId="7155" xr:uid="{722FA43A-6E4C-4E77-80C2-9CAD274880D3}"/>
    <cellStyle name="Normal 7 4 11 7 2" xfId="17535" xr:uid="{7097922A-8254-4B00-A4DE-A162705755B0}"/>
    <cellStyle name="Normal 7 4 11 8" xfId="9988" xr:uid="{E70B3B93-5916-4254-97DA-345D84BACCDF}"/>
    <cellStyle name="Normal 7 4 11 8 2" xfId="20368" xr:uid="{0D389D67-370B-4658-8F72-5D2ECED72B84}"/>
    <cellStyle name="Normal 7 4 11 9" xfId="23665" xr:uid="{B1565FF6-FCBB-4338-8555-D139FA72E5D0}"/>
    <cellStyle name="Normal 7 4 12" xfId="1388" xr:uid="{00000000-0005-0000-0000-000043070000}"/>
    <cellStyle name="Normal 7 4 12 2" xfId="3419" xr:uid="{00000000-0005-0000-0000-000014080000}"/>
    <cellStyle name="Normal 7 4 12 2 2" xfId="6474" xr:uid="{C53A0368-3BD9-4648-86B9-9FBDB991B38C}"/>
    <cellStyle name="Normal 7 4 12 2 2 2" xfId="27726" xr:uid="{95B83E74-EF60-4EAD-A6C9-C0ED5BA194DF}"/>
    <cellStyle name="Normal 7 4 12 2 2 3" xfId="16045" xr:uid="{6A35A00E-3B8B-4927-B9D1-49897D5041D7}"/>
    <cellStyle name="Normal 7 4 12 2 3" xfId="8498" xr:uid="{27B2C5E9-D1AE-4620-AC38-BC35C286A93C}"/>
    <cellStyle name="Normal 7 4 12 2 3 2" xfId="18878" xr:uid="{D4654E81-1D4D-4809-A2F5-0484A441C4A9}"/>
    <cellStyle name="Normal 7 4 12 2 4" xfId="11331" xr:uid="{73E84DC8-78B2-4A3A-80AE-C6FC2D7B9558}"/>
    <cellStyle name="Normal 7 4 12 2 4 2" xfId="21711" xr:uid="{D11AF022-3223-4726-9A85-68D8E66554E0}"/>
    <cellStyle name="Normal 7 4 12 2 5" xfId="23835" xr:uid="{C8093F53-6DCE-40E7-9C84-186F93EFBB1A}"/>
    <cellStyle name="Normal 7 4 12 2 6" xfId="14000" xr:uid="{553E88FE-93CB-4E52-B1E2-B8F82EDC187A}"/>
    <cellStyle name="Normal 7 4 12 3" xfId="4117" xr:uid="{CF6AE729-3400-4866-8295-14C644B958B1}"/>
    <cellStyle name="Normal 7 4 12 3 2" xfId="8889" xr:uid="{5C20B8B2-50A4-4906-8756-31284492D646}"/>
    <cellStyle name="Normal 7 4 12 3 2 2" xfId="29004" xr:uid="{453A5423-36A4-4D82-9A42-1748DE6B5DD1}"/>
    <cellStyle name="Normal 7 4 12 3 2 3" xfId="19269" xr:uid="{7DA8253D-3D21-4D9A-8A93-E030AC3F2F3F}"/>
    <cellStyle name="Normal 7 4 12 3 3" xfId="11722" xr:uid="{3A48A19B-3F2D-4760-869D-835E5A68682C}"/>
    <cellStyle name="Normal 7 4 12 3 3 2" xfId="22102" xr:uid="{67781054-8DFF-4D16-BA03-FE53DAF3ABE9}"/>
    <cellStyle name="Normal 7 4 12 3 4" xfId="25607" xr:uid="{EDD4C9DD-27EE-49A8-84B3-85C72607E545}"/>
    <cellStyle name="Normal 7 4 12 3 5" xfId="16436" xr:uid="{5720CED4-1D1D-437E-98FE-8D030602EA43}"/>
    <cellStyle name="Normal 7 4 12 4" xfId="5406" xr:uid="{D423420C-71DF-4A48-93C3-1B18F353F3EE}"/>
    <cellStyle name="Normal 7 4 12 4 2" xfId="25606" xr:uid="{086AB1D6-2839-417D-910A-3E22595AB373}"/>
    <cellStyle name="Normal 7 4 12 4 3" xfId="26549" xr:uid="{79BF2465-24BC-4F16-972F-782A852D7926}"/>
    <cellStyle name="Normal 7 4 12 4 4" xfId="14703" xr:uid="{DFD2889B-EE37-4557-BA49-D391147A3CC0}"/>
    <cellStyle name="Normal 7 4 12 5" xfId="7156" xr:uid="{E86D86D3-D11B-4CA0-8F5A-37140ECB7C13}"/>
    <cellStyle name="Normal 7 4 12 5 2" xfId="26463" xr:uid="{99809174-949D-475C-A707-19CB4C775426}"/>
    <cellStyle name="Normal 7 4 12 5 3" xfId="17536" xr:uid="{FFF0C2B8-6A3F-4202-AEF0-9FD2712E1A76}"/>
    <cellStyle name="Normal 7 4 12 6" xfId="9989" xr:uid="{96AD20DD-F12E-4CAD-8298-2BFB0780256B}"/>
    <cellStyle name="Normal 7 4 12 6 2" xfId="20369" xr:uid="{697AD989-A40B-40AB-A6ED-F1463052333B}"/>
    <cellStyle name="Normal 7 4 12 7" xfId="25416" xr:uid="{A71B0B51-9961-4A1B-8B03-2AD732A86524}"/>
    <cellStyle name="Normal 7 4 12 8" xfId="12660" xr:uid="{E40EC2A3-C163-47D6-B782-3F5EABD0688A}"/>
    <cellStyle name="Normal 7 4 13" xfId="1389" xr:uid="{00000000-0005-0000-0000-000044070000}"/>
    <cellStyle name="Normal 7 4 13 2" xfId="5407" xr:uid="{26788EDD-418F-4E1C-9DCD-CED5B9F56936}"/>
    <cellStyle name="Normal 7 4 13 2 2" xfId="23572" xr:uid="{33F23C0F-79EB-4A7F-B8A1-245C3DA1E51F}"/>
    <cellStyle name="Normal 7 4 13 2 3" xfId="28327" xr:uid="{036C5285-F597-488E-8D2B-9530BA725187}"/>
    <cellStyle name="Normal 7 4 13 2 4" xfId="14704" xr:uid="{3118D945-0194-4CE5-9FE1-9FC8EB95E9C6}"/>
    <cellStyle name="Normal 7 4 13 3" xfId="7157" xr:uid="{9377453A-6ED2-4A9C-8041-8CDDD80AC99E}"/>
    <cellStyle name="Normal 7 4 13 3 2" xfId="25332" xr:uid="{D5C8EE71-B73A-4B2D-BCBB-AF26FF13E38B}"/>
    <cellStyle name="Normal 7 4 13 3 3" xfId="17537" xr:uid="{87865F9E-9231-4361-899D-88FB39190BB3}"/>
    <cellStyle name="Normal 7 4 13 4" xfId="9990" xr:uid="{1E5E9B8A-4DC2-4DC3-9BA3-BC349DC9D373}"/>
    <cellStyle name="Normal 7 4 13 4 2" xfId="20370" xr:uid="{A2FBD245-1426-4591-9B7F-8E4D5790A08B}"/>
    <cellStyle name="Normal 7 4 13 5" xfId="25352" xr:uid="{6C027075-70AD-4093-92FC-3B16D5CE26C3}"/>
    <cellStyle name="Normal 7 4 13 6" xfId="13358" xr:uid="{04EA1659-C33E-44CB-A130-87D58BBB89D5}"/>
    <cellStyle name="Normal 7 4 14" xfId="2433" xr:uid="{00000000-0005-0000-0000-000016080000}"/>
    <cellStyle name="Normal 7 4 14 2" xfId="5730" xr:uid="{C84917D8-661A-4DF3-9292-38E074A869A2}"/>
    <cellStyle name="Normal 7 4 14 2 2" xfId="28176" xr:uid="{454898D2-36CA-4CAC-825D-DFFE598FCDE9}"/>
    <cellStyle name="Normal 7 4 14 2 3" xfId="15105" xr:uid="{BFFD30BA-1915-43A2-B593-BE77E98D0E0F}"/>
    <cellStyle name="Normal 7 4 14 3" xfId="7558" xr:uid="{36F7DBAC-847F-4235-9CAC-C21825755F5C}"/>
    <cellStyle name="Normal 7 4 14 3 2" xfId="17938" xr:uid="{1213D01D-F1E9-4B79-B43F-CED2C27A9937}"/>
    <cellStyle name="Normal 7 4 14 4" xfId="10391" xr:uid="{83821BF0-1014-4935-9284-D3A32CE8B058}"/>
    <cellStyle name="Normal 7 4 14 4 2" xfId="20771" xr:uid="{2CEBC873-2637-4ACE-9411-EE3B78AC1970}"/>
    <cellStyle name="Normal 7 4 14 5" xfId="24152" xr:uid="{808ACA6E-43F7-4D0E-8708-8534AAB96C6F}"/>
    <cellStyle name="Normal 7 4 14 6" xfId="12820" xr:uid="{D165B4CD-8F0C-4025-B281-6729F877C19E}"/>
    <cellStyle name="Normal 7 4 15" xfId="2160" xr:uid="{00000000-0005-0000-0000-00000B080000}"/>
    <cellStyle name="Normal 7 4 15 2" xfId="7287" xr:uid="{A1D9749D-AA1F-4C7B-8E4B-FDE3E7D745A1}"/>
    <cellStyle name="Normal 7 4 15 2 2" xfId="27852" xr:uid="{404C3E8C-AE5A-4434-918B-8C31DDDA27C6}"/>
    <cellStyle name="Normal 7 4 15 2 3" xfId="17667" xr:uid="{F6D6B153-70C7-4B43-BF28-1826DBA583C5}"/>
    <cellStyle name="Normal 7 4 15 3" xfId="10120" xr:uid="{DF3F9963-4E60-4007-B72C-6B8F9A98951C}"/>
    <cellStyle name="Normal 7 4 15 3 2" xfId="20500" xr:uid="{D25CB1A1-CB9C-4466-A48A-FC54E50F2F5A}"/>
    <cellStyle name="Normal 7 4 15 4" xfId="24795" xr:uid="{6EC9E56A-F77C-441C-BFC3-8BCFDB60924E}"/>
    <cellStyle name="Normal 7 4 15 5" xfId="14834" xr:uid="{A175781E-297D-4418-B069-1F62AA874812}"/>
    <cellStyle name="Normal 7 4 16" xfId="3785" xr:uid="{81EF1548-4C16-47BF-BF10-25113C404E93}"/>
    <cellStyle name="Normal 7 4 16 2" xfId="8624" xr:uid="{19D7927A-4375-4499-ADB9-430C7C019806}"/>
    <cellStyle name="Normal 7 4 16 2 2" xfId="19004" xr:uid="{F2ECE25F-CF2B-4EED-970A-53DBF76CE5EE}"/>
    <cellStyle name="Normal 7 4 16 3" xfId="11457" xr:uid="{47F1BCB7-C5EC-4E1C-B846-A8A092D2D81B}"/>
    <cellStyle name="Normal 7 4 16 3 2" xfId="21837" xr:uid="{9E2E5B5B-3FD1-4659-ACEE-A960D12B4ECC}"/>
    <cellStyle name="Normal 7 4 16 4" xfId="24923" xr:uid="{DEB5D9B5-18EC-4772-9D52-1F1FE0439B11}"/>
    <cellStyle name="Normal 7 4 16 5" xfId="16171" xr:uid="{477ADB08-19B0-4E67-AB1B-27FFD2786841}"/>
    <cellStyle name="Normal 7 4 17" xfId="5401" xr:uid="{690F1435-7DE8-4925-9F66-0628E9CBD82C}"/>
    <cellStyle name="Normal 7 4 17 2" xfId="14698" xr:uid="{727F5B02-50AC-4BFD-8BF7-8F22A0FD67C4}"/>
    <cellStyle name="Normal 7 4 18" xfId="7151" xr:uid="{7CAAF367-0132-4C7E-AEF8-5CEFDC4924E3}"/>
    <cellStyle name="Normal 7 4 18 2" xfId="17531" xr:uid="{BA9E2749-73E0-42D0-877C-FC3362712D9C}"/>
    <cellStyle name="Normal 7 4 19" xfId="9984" xr:uid="{69D094E0-89BE-41C0-91FE-B3D34D4F5A3E}"/>
    <cellStyle name="Normal 7 4 19 2" xfId="20364" xr:uid="{B8D6304D-BADE-423E-AFBA-9555EE4B7203}"/>
    <cellStyle name="Normal 7 4 2" xfId="1390" xr:uid="{00000000-0005-0000-0000-000045070000}"/>
    <cellStyle name="Normal 7 4 2 10" xfId="1391" xr:uid="{00000000-0005-0000-0000-000046070000}"/>
    <cellStyle name="Normal 7 4 2 10 2" xfId="3420" xr:uid="{00000000-0005-0000-0000-000019080000}"/>
    <cellStyle name="Normal 7 4 2 10 2 2" xfId="6475" xr:uid="{326DA066-606D-4A6F-81A5-7393C513F2D5}"/>
    <cellStyle name="Normal 7 4 2 10 2 2 2" xfId="26865" xr:uid="{516BE980-12FE-4044-9D3F-5BA13CD2085E}"/>
    <cellStyle name="Normal 7 4 2 10 2 2 3" xfId="16046" xr:uid="{7F7F1EDD-CDE6-490F-8330-0456F1444D76}"/>
    <cellStyle name="Normal 7 4 2 10 2 3" xfId="8499" xr:uid="{EB0523FF-7D02-453C-A773-C50BBEFD07B5}"/>
    <cellStyle name="Normal 7 4 2 10 2 3 2" xfId="18879" xr:uid="{625D427A-F717-4599-82F5-33DD73340015}"/>
    <cellStyle name="Normal 7 4 2 10 2 4" xfId="11332" xr:uid="{F9C60D2A-364D-4923-8195-EA68D3532E69}"/>
    <cellStyle name="Normal 7 4 2 10 2 4 2" xfId="21712" xr:uid="{5CDF6532-6CDB-451F-93D4-EA356A37AA50}"/>
    <cellStyle name="Normal 7 4 2 10 2 5" xfId="22668" xr:uid="{C5BE352D-7F0C-40C2-BFA1-BD7FAD1A0E8A}"/>
    <cellStyle name="Normal 7 4 2 10 2 6" xfId="14001" xr:uid="{5CCE3A02-F844-4C4B-81FA-ADDC7E513042}"/>
    <cellStyle name="Normal 7 4 2 10 3" xfId="4213" xr:uid="{2FDC487A-39A3-470F-B49B-EC1A9D081FDE}"/>
    <cellStyle name="Normal 7 4 2 10 3 2" xfId="8985" xr:uid="{A3AB1BF2-6BE2-4370-BD23-DD1782EE57FB}"/>
    <cellStyle name="Normal 7 4 2 10 3 2 2" xfId="29066" xr:uid="{6503F4A7-8A46-488C-B990-EFB6EEB6D363}"/>
    <cellStyle name="Normal 7 4 2 10 3 2 3" xfId="19365" xr:uid="{A9337CC3-2831-4699-8F03-C1229443EDA7}"/>
    <cellStyle name="Normal 7 4 2 10 3 3" xfId="11818" xr:uid="{D1B2F3AF-8E11-4E5E-A133-5F096E3E2F38}"/>
    <cellStyle name="Normal 7 4 2 10 3 3 2" xfId="22198" xr:uid="{B185E9CA-C730-4B5C-A4D6-3205FA860155}"/>
    <cellStyle name="Normal 7 4 2 10 3 4" xfId="23542" xr:uid="{63ACD1BA-4F2A-4A66-9C39-A623DB27C9F0}"/>
    <cellStyle name="Normal 7 4 2 10 3 5" xfId="16532" xr:uid="{FA13A13D-A3AE-471A-89E9-A5917BF8E08A}"/>
    <cellStyle name="Normal 7 4 2 10 4" xfId="5409" xr:uid="{E8955726-9D9A-4ADC-B24B-48ACF6178402}"/>
    <cellStyle name="Normal 7 4 2 10 4 2" xfId="23205" xr:uid="{6EC121F8-F564-4D79-A6EC-6C882CC04332}"/>
    <cellStyle name="Normal 7 4 2 10 4 3" xfId="28566" xr:uid="{D600E24F-2772-499C-8F12-5F346802DE5F}"/>
    <cellStyle name="Normal 7 4 2 10 4 4" xfId="14706" xr:uid="{A6166809-6A5A-4DAF-88E0-611DEF6FCC24}"/>
    <cellStyle name="Normal 7 4 2 10 5" xfId="7159" xr:uid="{E9758D8C-D6E5-4E66-A396-52FABC3BDC4F}"/>
    <cellStyle name="Normal 7 4 2 10 5 2" xfId="28580" xr:uid="{FE4A5594-827C-4716-A4D4-FACBFDCD9897}"/>
    <cellStyle name="Normal 7 4 2 10 5 3" xfId="17539" xr:uid="{124C9572-1BE1-461A-AAB7-3F7FB7B43BE1}"/>
    <cellStyle name="Normal 7 4 2 10 6" xfId="9992" xr:uid="{9A48B0D7-F318-4E58-9ACD-139FF626719D}"/>
    <cellStyle name="Normal 7 4 2 10 6 2" xfId="20372" xr:uid="{BCD9409F-361E-4FED-9036-95356DABF1A3}"/>
    <cellStyle name="Normal 7 4 2 10 7" xfId="22799" xr:uid="{6B5C48F1-0C89-4841-B7B0-C96EB1372B0C}"/>
    <cellStyle name="Normal 7 4 2 10 8" xfId="12785" xr:uid="{C9A5AD2C-0E08-4DF4-83FF-F49C3E235C16}"/>
    <cellStyle name="Normal 7 4 2 11" xfId="1392" xr:uid="{00000000-0005-0000-0000-000047070000}"/>
    <cellStyle name="Normal 7 4 2 11 2" xfId="5410" xr:uid="{B2818A0B-3226-4E9A-A6DB-2902C1C321C0}"/>
    <cellStyle name="Normal 7 4 2 11 2 2" xfId="22745" xr:uid="{7C46150B-D20C-4138-A989-B899F15D0020}"/>
    <cellStyle name="Normal 7 4 2 11 2 3" xfId="27400" xr:uid="{DA955C69-C619-4E89-866A-99FC71794A6A}"/>
    <cellStyle name="Normal 7 4 2 11 2 4" xfId="14707" xr:uid="{DC394850-23FD-4BC1-AE7C-B243455E5BFE}"/>
    <cellStyle name="Normal 7 4 2 11 3" xfId="7160" xr:uid="{8F07DAEF-A773-4BC8-8493-43E703161E6C}"/>
    <cellStyle name="Normal 7 4 2 11 3 2" xfId="28748" xr:uid="{F4EDA823-90FF-4654-9102-8028CA743AB7}"/>
    <cellStyle name="Normal 7 4 2 11 3 3" xfId="17540" xr:uid="{4BA17A94-8B40-48FA-8E07-1131E1FD5466}"/>
    <cellStyle name="Normal 7 4 2 11 4" xfId="9993" xr:uid="{0B784868-CED5-413E-8599-BC9795D9C71E}"/>
    <cellStyle name="Normal 7 4 2 11 4 2" xfId="20373" xr:uid="{BDF57F71-1963-401E-B664-CC14C5C6772F}"/>
    <cellStyle name="Normal 7 4 2 11 5" xfId="25461" xr:uid="{F4A7E4C1-1C5F-486B-84AF-2AE5F4F66ED4}"/>
    <cellStyle name="Normal 7 4 2 11 6" xfId="13483" xr:uid="{B3475F9D-CEB3-4B6D-A7A0-ED5ECEEBB213}"/>
    <cellStyle name="Normal 7 4 2 12" xfId="2442" xr:uid="{00000000-0005-0000-0000-00001B080000}"/>
    <cellStyle name="Normal 7 4 2 12 2" xfId="5737" xr:uid="{F802D390-8974-4741-A616-85DF37F57A94}"/>
    <cellStyle name="Normal 7 4 2 12 2 2" xfId="27463" xr:uid="{FE3DADE7-BA77-471C-B666-80231FFE0D12}"/>
    <cellStyle name="Normal 7 4 2 12 2 3" xfId="15114" xr:uid="{27FAF4B7-29D2-4EEB-B8EC-41B4FBE301D4}"/>
    <cellStyle name="Normal 7 4 2 12 3" xfId="7567" xr:uid="{BAC59092-22A6-444D-AA12-82517F30C920}"/>
    <cellStyle name="Normal 7 4 2 12 3 2" xfId="17947" xr:uid="{EBFEE1AF-C45F-463B-B94A-DF1507751316}"/>
    <cellStyle name="Normal 7 4 2 12 4" xfId="10400" xr:uid="{C2E2FDC4-C132-488F-9028-088E677F6C7A}"/>
    <cellStyle name="Normal 7 4 2 12 4 2" xfId="20780" xr:uid="{7F26E151-12B5-4364-A2E3-12A91E743A80}"/>
    <cellStyle name="Normal 7 4 2 12 5" xfId="24564" xr:uid="{6978E79D-05B2-4DAA-9844-11905C1D9E82}"/>
    <cellStyle name="Normal 7 4 2 12 6" xfId="12829" xr:uid="{23C034C9-8E69-405D-91FD-BCD5C34BF8FB}"/>
    <cellStyle name="Normal 7 4 2 13" xfId="2172" xr:uid="{00000000-0005-0000-0000-000017080000}"/>
    <cellStyle name="Normal 7 4 2 13 2" xfId="7299" xr:uid="{56B5096C-C4E8-4DC5-96DC-1895B036C687}"/>
    <cellStyle name="Normal 7 4 2 13 2 2" xfId="26407" xr:uid="{BB44E6A2-BCF9-4550-B02B-40C106B3E225}"/>
    <cellStyle name="Normal 7 4 2 13 2 3" xfId="17679" xr:uid="{E5AA7D10-29B5-434D-8755-3A02B5CA15BA}"/>
    <cellStyle name="Normal 7 4 2 13 3" xfId="10132" xr:uid="{3DAC6334-6E8E-4C5F-A1DC-4115783478A2}"/>
    <cellStyle name="Normal 7 4 2 13 3 2" xfId="20512" xr:uid="{A318CEA3-2CFA-4422-8E9E-D6651C2F9AD0}"/>
    <cellStyle name="Normal 7 4 2 13 4" xfId="24907" xr:uid="{1A9502AB-86C5-44AB-8357-D8B4DF11BDDF}"/>
    <cellStyle name="Normal 7 4 2 13 5" xfId="14846" xr:uid="{1BD20AEE-596E-4290-9730-036968BFBF81}"/>
    <cellStyle name="Normal 7 4 2 14" xfId="4061" xr:uid="{A52C928B-0856-4A01-A9BB-4449A1D1B8B3}"/>
    <cellStyle name="Normal 7 4 2 14 2" xfId="8841" xr:uid="{FB30465F-B7CC-4F28-A063-BCC281A06B9F}"/>
    <cellStyle name="Normal 7 4 2 14 2 2" xfId="19221" xr:uid="{32B52E39-52B1-4CB8-AC61-1D9D5D33F77B}"/>
    <cellStyle name="Normal 7 4 2 14 3" xfId="11674" xr:uid="{96CC59EF-D42B-464E-AC7E-0233127F020C}"/>
    <cellStyle name="Normal 7 4 2 14 3 2" xfId="22054" xr:uid="{50F0EC97-0FF3-4EA3-8098-DB91A8AD16C0}"/>
    <cellStyle name="Normal 7 4 2 14 4" xfId="28488" xr:uid="{0E4F3AB4-D552-4CA0-A239-6F2EEB860CEA}"/>
    <cellStyle name="Normal 7 4 2 14 5" xfId="16388" xr:uid="{B3186367-6A9D-4680-8A0E-F7529DB54631}"/>
    <cellStyle name="Normal 7 4 2 15" xfId="5408" xr:uid="{79D4F8DE-5A10-4E99-B27D-9889D740562A}"/>
    <cellStyle name="Normal 7 4 2 15 2" xfId="14705" xr:uid="{A71FBF59-8740-450F-8FF6-396BF640BEFF}"/>
    <cellStyle name="Normal 7 4 2 16" xfId="7158" xr:uid="{D4533FCC-9BC1-4F1F-977D-AF718844C10E}"/>
    <cellStyle name="Normal 7 4 2 16 2" xfId="17538" xr:uid="{B8F27E90-A354-4925-A8CA-661F7482FC7D}"/>
    <cellStyle name="Normal 7 4 2 17" xfId="9991" xr:uid="{B470953D-E08F-4A8D-B6E4-39CD18B6BC23}"/>
    <cellStyle name="Normal 7 4 2 17 2" xfId="20371" xr:uid="{3D9F4D91-CB94-499B-87C0-B00147E1E8DA}"/>
    <cellStyle name="Normal 7 4 2 18" xfId="24594" xr:uid="{1796535B-5A62-45B6-8751-25DBCD745909}"/>
    <cellStyle name="Normal 7 4 2 19" xfId="12404" xr:uid="{DAA70829-EF14-479D-847E-D32B374477F0}"/>
    <cellStyle name="Normal 7 4 2 2" xfId="1393" xr:uid="{00000000-0005-0000-0000-000048070000}"/>
    <cellStyle name="Normal 7 4 2 2 10" xfId="5411" xr:uid="{E97C6693-A0A6-445A-ACF3-2EDAE9C7C0C5}"/>
    <cellStyle name="Normal 7 4 2 2 10 2" xfId="14708" xr:uid="{E686141F-7619-48D9-B4DF-B2D3975BA336}"/>
    <cellStyle name="Normal 7 4 2 2 11" xfId="7161" xr:uid="{3078900C-0F6E-4EF1-A5C6-9A490BE7798A}"/>
    <cellStyle name="Normal 7 4 2 2 11 2" xfId="17541" xr:uid="{53F6BD4D-E911-4F6E-BA75-1713252FBBB0}"/>
    <cellStyle name="Normal 7 4 2 2 12" xfId="9994" xr:uid="{0AF1A047-3E7B-422C-8AA3-8721B1313F7A}"/>
    <cellStyle name="Normal 7 4 2 2 12 2" xfId="20374" xr:uid="{9F1E3723-DE9B-4694-9019-A5B51B998673}"/>
    <cellStyle name="Normal 7 4 2 2 13" xfId="23136" xr:uid="{5DA3417C-B410-4F90-BDC1-5BEB3381B700}"/>
    <cellStyle name="Normal 7 4 2 2 14" xfId="12427" xr:uid="{6621C35F-B735-4972-A4AE-7273D70F2315}"/>
    <cellStyle name="Normal 7 4 2 2 2" xfId="1394" xr:uid="{00000000-0005-0000-0000-000049070000}"/>
    <cellStyle name="Normal 7 4 2 2 2 10" xfId="7162" xr:uid="{D0A072D4-8F60-47E2-A223-B65122EA8217}"/>
    <cellStyle name="Normal 7 4 2 2 2 10 2" xfId="17542" xr:uid="{A4273BB8-873A-4994-9C25-8E879758E895}"/>
    <cellStyle name="Normal 7 4 2 2 2 11" xfId="9995" xr:uid="{69E11266-35BE-4819-B7C9-1AF0AB0F913D}"/>
    <cellStyle name="Normal 7 4 2 2 2 11 2" xfId="20375" xr:uid="{6FF9A40D-BE4F-48A7-ACA8-DFEA8147D2F0}"/>
    <cellStyle name="Normal 7 4 2 2 2 12" xfId="24610" xr:uid="{EE61ED54-3AE3-4231-B2FF-D558C7454AF3}"/>
    <cellStyle name="Normal 7 4 2 2 2 13" xfId="12487" xr:uid="{BCE1313A-25B7-4100-BB87-A1D57C9031C6}"/>
    <cellStyle name="Normal 7 4 2 2 2 2" xfId="1395" xr:uid="{00000000-0005-0000-0000-00004A070000}"/>
    <cellStyle name="Normal 7 4 2 2 2 2 10" xfId="13052" xr:uid="{C2FBA6EB-B97E-45E2-A289-B4E94C86452C}"/>
    <cellStyle name="Normal 7 4 2 2 2 2 2" xfId="2822" xr:uid="{00000000-0005-0000-0000-00001F080000}"/>
    <cellStyle name="Normal 7 4 2 2 2 2 2 2" xfId="3423" xr:uid="{00000000-0005-0000-0000-000020080000}"/>
    <cellStyle name="Normal 7 4 2 2 2 2 2 2 2" xfId="6478" xr:uid="{9DB5A884-C42E-4013-A577-F942EA5D9517}"/>
    <cellStyle name="Normal 7 4 2 2 2 2 2 2 2 2" xfId="26348" xr:uid="{8B79CBA3-CC95-4806-980F-151F8701DC98}"/>
    <cellStyle name="Normal 7 4 2 2 2 2 2 2 2 3" xfId="16049" xr:uid="{2BAA1D17-0A06-4EBA-BD0C-970DED256A9E}"/>
    <cellStyle name="Normal 7 4 2 2 2 2 2 2 3" xfId="8502" xr:uid="{350BAA97-AD0C-47B6-A5F4-A0031EA88E71}"/>
    <cellStyle name="Normal 7 4 2 2 2 2 2 2 3 2" xfId="18882" xr:uid="{0663128D-6438-4678-A1F1-DA39B199FEDE}"/>
    <cellStyle name="Normal 7 4 2 2 2 2 2 2 4" xfId="11335" xr:uid="{6D06BC0B-4DDF-48B2-8E87-E56E6E0ADDE9}"/>
    <cellStyle name="Normal 7 4 2 2 2 2 2 2 4 2" xfId="21715" xr:uid="{3C007C49-D1D0-4C63-B0F3-AE1C8B2EDE17}"/>
    <cellStyle name="Normal 7 4 2 2 2 2 2 2 5" xfId="24377" xr:uid="{EAAC9070-6E16-454B-8250-8EC1BCCA33A0}"/>
    <cellStyle name="Normal 7 4 2 2 2 2 2 2 6" xfId="14004" xr:uid="{46FA7D6B-4CC6-40A7-8F6D-B85CB83ABB70}"/>
    <cellStyle name="Normal 7 4 2 2 2 2 2 3" xfId="4361" xr:uid="{7618CF6F-B551-476E-BF60-9D787EE11522}"/>
    <cellStyle name="Normal 7 4 2 2 2 2 2 3 2" xfId="9133" xr:uid="{4B8F598B-2DE0-47F6-8010-F63673C3FDB5}"/>
    <cellStyle name="Normal 7 4 2 2 2 2 2 3 2 2" xfId="29176" xr:uid="{C4FAD623-B4F6-439E-AEE9-C90E3D983ED5}"/>
    <cellStyle name="Normal 7 4 2 2 2 2 2 3 2 3" xfId="19513" xr:uid="{259F11FE-C71C-4611-9872-1D050DF15678}"/>
    <cellStyle name="Normal 7 4 2 2 2 2 2 3 3" xfId="11966" xr:uid="{C696BDEC-5101-487A-A045-2186A71EB81B}"/>
    <cellStyle name="Normal 7 4 2 2 2 2 2 3 3 2" xfId="22346" xr:uid="{BCC3F565-609E-4568-9C8B-C8F9FAEB5B31}"/>
    <cellStyle name="Normal 7 4 2 2 2 2 2 3 4" xfId="23852" xr:uid="{A03A40A1-3F18-4F11-A602-FAF727CEA6AA}"/>
    <cellStyle name="Normal 7 4 2 2 2 2 2 3 5" xfId="16680" xr:uid="{FB6C811E-6D33-4420-BAC9-9667C0A24723}"/>
    <cellStyle name="Normal 7 4 2 2 2 2 2 4" xfId="6038" xr:uid="{F82B1844-7875-4A3A-946F-B2BF492040F6}"/>
    <cellStyle name="Normal 7 4 2 2 2 2 2 4 2" xfId="26039" xr:uid="{2104FDDF-11D3-41FE-89BA-AD2749EB9FA8}"/>
    <cellStyle name="Normal 7 4 2 2 2 2 2 4 3" xfId="15492" xr:uid="{98B0D481-5FCD-4D9E-ACC3-BC16D58EB69C}"/>
    <cellStyle name="Normal 7 4 2 2 2 2 2 5" xfId="7945" xr:uid="{5E752987-CD79-433C-BD4F-9DD79F3A3F3C}"/>
    <cellStyle name="Normal 7 4 2 2 2 2 2 5 2" xfId="18325" xr:uid="{F31E17DC-0938-4580-B372-6268F07F118A}"/>
    <cellStyle name="Normal 7 4 2 2 2 2 2 6" xfId="10778" xr:uid="{4EE02466-A072-42A4-87CA-AA77CD60B9B7}"/>
    <cellStyle name="Normal 7 4 2 2 2 2 2 6 2" xfId="21158" xr:uid="{429CD86E-1AC9-4703-B0B1-79E9078F28AD}"/>
    <cellStyle name="Normal 7 4 2 2 2 2 2 7" xfId="22660" xr:uid="{7EE7DD84-AC34-4D76-826F-B52EBC30D9D6}"/>
    <cellStyle name="Normal 7 4 2 2 2 2 2 8" xfId="13293" xr:uid="{CB5164C9-11FD-4E6D-A315-CF0C51CA88AE}"/>
    <cellStyle name="Normal 7 4 2 2 2 2 3" xfId="3424" xr:uid="{00000000-0005-0000-0000-000021080000}"/>
    <cellStyle name="Normal 7 4 2 2 2 2 3 2" xfId="4572" xr:uid="{E8CD83E8-39C3-4597-AD00-8F712650C686}"/>
    <cellStyle name="Normal 7 4 2 2 2 2 3 2 2" xfId="9344" xr:uid="{31402AB5-9741-4485-95CE-983BC9A30A84}"/>
    <cellStyle name="Normal 7 4 2 2 2 2 3 2 2 2" xfId="19724" xr:uid="{4106608D-C9E2-4C5F-82B2-7EEB49042C6A}"/>
    <cellStyle name="Normal 7 4 2 2 2 2 3 2 3" xfId="12177" xr:uid="{EA1BB4BC-83D8-419A-9A09-90147BD747CD}"/>
    <cellStyle name="Normal 7 4 2 2 2 2 3 2 3 2" xfId="22557" xr:uid="{F6A73EC7-FCA8-48BF-90B8-A1C98BE65EEC}"/>
    <cellStyle name="Normal 7 4 2 2 2 2 3 2 4" xfId="28508" xr:uid="{B6E554A5-CC5A-44F0-B1B8-C88ED5AF629C}"/>
    <cellStyle name="Normal 7 4 2 2 2 2 3 2 5" xfId="16891" xr:uid="{DDD27565-7F34-4A6A-B6C8-73754A5F256C}"/>
    <cellStyle name="Normal 7 4 2 2 2 2 3 3" xfId="6479" xr:uid="{EBA8060D-8A02-40AE-BF3A-909FF341D408}"/>
    <cellStyle name="Normal 7 4 2 2 2 2 3 3 2" xfId="16050" xr:uid="{874C42DF-C533-4C26-9A18-C2C2FD5E1FFE}"/>
    <cellStyle name="Normal 7 4 2 2 2 2 3 4" xfId="8503" xr:uid="{3BE78970-22FE-45EB-B7D0-520689C46016}"/>
    <cellStyle name="Normal 7 4 2 2 2 2 3 4 2" xfId="18883" xr:uid="{F59E80A7-74F4-43D8-849D-DBF8D08F32D4}"/>
    <cellStyle name="Normal 7 4 2 2 2 2 3 5" xfId="11336" xr:uid="{6CF761E3-E685-41DC-9EBC-3944EDC8493C}"/>
    <cellStyle name="Normal 7 4 2 2 2 2 3 5 2" xfId="21716" xr:uid="{1CFDD384-FC7A-47D7-B5D4-16BCC68B229A}"/>
    <cellStyle name="Normal 7 4 2 2 2 2 3 6" xfId="25312" xr:uid="{9F3E0816-F682-4556-8D03-6E4B80BBE9FD}"/>
    <cellStyle name="Normal 7 4 2 2 2 2 3 7" xfId="14005" xr:uid="{041DE4A5-9581-4AD7-86EF-2AC5CDAF2527}"/>
    <cellStyle name="Normal 7 4 2 2 2 2 4" xfId="3422" xr:uid="{00000000-0005-0000-0000-000022080000}"/>
    <cellStyle name="Normal 7 4 2 2 2 2 4 2" xfId="6477" xr:uid="{365EBB34-4B86-44C8-BE0E-D8AFAE23C9B7}"/>
    <cellStyle name="Normal 7 4 2 2 2 2 4 2 2" xfId="28621" xr:uid="{F169F04B-1425-46B0-A3A8-79CEBB963A8D}"/>
    <cellStyle name="Normal 7 4 2 2 2 2 4 2 3" xfId="16048" xr:uid="{07A9171C-89E2-450F-ADA2-B9F1A2960BE5}"/>
    <cellStyle name="Normal 7 4 2 2 2 2 4 3" xfId="8501" xr:uid="{66256638-9C37-4B9D-9538-6A4FF2DE26F3}"/>
    <cellStyle name="Normal 7 4 2 2 2 2 4 3 2" xfId="18881" xr:uid="{F301AD12-95A0-47D3-8C4A-88CF6DF10456}"/>
    <cellStyle name="Normal 7 4 2 2 2 2 4 4" xfId="11334" xr:uid="{A373D0C9-97CA-4660-AC04-F2A14FE5EDF3}"/>
    <cellStyle name="Normal 7 4 2 2 2 2 4 4 2" xfId="21714" xr:uid="{E45BEC5E-B2B4-4E64-9F12-3723BA308CFD}"/>
    <cellStyle name="Normal 7 4 2 2 2 2 4 5" xfId="23010" xr:uid="{ABD75A91-B6DE-45C8-9DB1-FCA22F3AF19D}"/>
    <cellStyle name="Normal 7 4 2 2 2 2 4 6" xfId="14003" xr:uid="{52D16831-D2D6-47D2-B855-6E6367A2BFF4}"/>
    <cellStyle name="Normal 7 4 2 2 2 2 5" xfId="4249" xr:uid="{4CEA5DAE-F98B-4028-99C5-1EB4F184FF54}"/>
    <cellStyle name="Normal 7 4 2 2 2 2 5 2" xfId="9021" xr:uid="{AE02046C-D4E9-47FB-ABDF-DF8070D58B89}"/>
    <cellStyle name="Normal 7 4 2 2 2 2 5 2 2" xfId="29092" xr:uid="{747F736F-8D93-4752-8732-23EFC4B6BC1B}"/>
    <cellStyle name="Normal 7 4 2 2 2 2 5 2 3" xfId="19401" xr:uid="{0DCBF49C-C2D2-4B80-88DC-08C554BDB373}"/>
    <cellStyle name="Normal 7 4 2 2 2 2 5 3" xfId="11854" xr:uid="{2FBE3C4A-802D-4BB0-9C23-7FAA3E225DC4}"/>
    <cellStyle name="Normal 7 4 2 2 2 2 5 3 2" xfId="22234" xr:uid="{8DFFE79F-12FC-43F4-AA39-83E2599868A4}"/>
    <cellStyle name="Normal 7 4 2 2 2 2 5 4" xfId="23658" xr:uid="{86C4A63B-F4D7-441D-A5D9-FE1BD347C99D}"/>
    <cellStyle name="Normal 7 4 2 2 2 2 5 5" xfId="16568" xr:uid="{29D65DFE-F5A3-4F00-BCF9-7AC14A2AADD5}"/>
    <cellStyle name="Normal 7 4 2 2 2 2 6" xfId="5413" xr:uid="{441167E8-C8C1-4F7C-966C-DE5E26C0616C}"/>
    <cellStyle name="Normal 7 4 2 2 2 2 6 2" xfId="26017" xr:uid="{640D8094-D2FD-4E58-AF9C-0DAB8550FB35}"/>
    <cellStyle name="Normal 7 4 2 2 2 2 6 3" xfId="14710" xr:uid="{C86A33A9-0A95-454A-8E2E-B7E5402BFC74}"/>
    <cellStyle name="Normal 7 4 2 2 2 2 7" xfId="7163" xr:uid="{85B3AEDE-9A0F-4911-81AA-EF0F892ECA8D}"/>
    <cellStyle name="Normal 7 4 2 2 2 2 7 2" xfId="17543" xr:uid="{217D8332-7F9B-4126-B4B6-9921FE1C82CC}"/>
    <cellStyle name="Normal 7 4 2 2 2 2 8" xfId="9996" xr:uid="{8D104A86-C533-4E1B-9BF2-E6B4A17AC7DE}"/>
    <cellStyle name="Normal 7 4 2 2 2 2 8 2" xfId="20376" xr:uid="{F4F8EE0B-21D5-45EB-B477-44448C935CF3}"/>
    <cellStyle name="Normal 7 4 2 2 2 2 9" xfId="23598" xr:uid="{77143F0D-C34D-497E-82D7-9C93806EB824}"/>
    <cellStyle name="Normal 7 4 2 2 2 3" xfId="2821" xr:uid="{00000000-0005-0000-0000-000023080000}"/>
    <cellStyle name="Normal 7 4 2 2 2 3 2" xfId="3425" xr:uid="{00000000-0005-0000-0000-000024080000}"/>
    <cellStyle name="Normal 7 4 2 2 2 3 2 2" xfId="6480" xr:uid="{751BBC07-FC1F-4266-A173-3742C65CAA13}"/>
    <cellStyle name="Normal 7 4 2 2 2 3 2 2 2" xfId="27067" xr:uid="{6A9BE188-2741-4FF0-9C2E-82E96EC7ED63}"/>
    <cellStyle name="Normal 7 4 2 2 2 3 2 2 3" xfId="16051" xr:uid="{5E918990-EAFF-47A3-AE20-759332379613}"/>
    <cellStyle name="Normal 7 4 2 2 2 3 2 3" xfId="8504" xr:uid="{431474CD-4DA2-42AC-8DE9-2EC29FBAC298}"/>
    <cellStyle name="Normal 7 4 2 2 2 3 2 3 2" xfId="18884" xr:uid="{B11B2FFD-2EB7-4AA1-BBE0-FF4D516FDF28}"/>
    <cellStyle name="Normal 7 4 2 2 2 3 2 4" xfId="11337" xr:uid="{5EFF34A0-4386-434F-871E-E005BDD61BC6}"/>
    <cellStyle name="Normal 7 4 2 2 2 3 2 4 2" xfId="21717" xr:uid="{9D95512A-BA48-481E-929B-DBF73959CEF7}"/>
    <cellStyle name="Normal 7 4 2 2 2 3 2 5" xfId="23933" xr:uid="{C57A0D18-3635-448D-A425-BC17FE8EF434}"/>
    <cellStyle name="Normal 7 4 2 2 2 3 2 6" xfId="14006" xr:uid="{73E3BEF1-B1DB-4E4F-B932-496FB082A623}"/>
    <cellStyle name="Normal 7 4 2 2 2 3 3" xfId="4360" xr:uid="{ACFA9AD0-8409-4D8E-A291-B85E88EF8D53}"/>
    <cellStyle name="Normal 7 4 2 2 2 3 3 2" xfId="9132" xr:uid="{473F704A-E7CB-4407-8185-BEB1C2E7F553}"/>
    <cellStyle name="Normal 7 4 2 2 2 3 3 2 2" xfId="29175" xr:uid="{92548F11-FB3C-4417-A085-9463E509CA6B}"/>
    <cellStyle name="Normal 7 4 2 2 2 3 3 2 3" xfId="19512" xr:uid="{A1E6184C-C969-4EC7-A521-5ED4BE1E38AD}"/>
    <cellStyle name="Normal 7 4 2 2 2 3 3 3" xfId="11965" xr:uid="{0CB7AED7-3ED8-4CA6-B9D7-849FC551AD05}"/>
    <cellStyle name="Normal 7 4 2 2 2 3 3 3 2" xfId="22345" xr:uid="{7457421F-D9CE-4E38-8F2A-229727C2EC6D}"/>
    <cellStyle name="Normal 7 4 2 2 2 3 3 4" xfId="24418" xr:uid="{00CFCE18-F01B-4BE7-9DFD-1D0D03B9FCD2}"/>
    <cellStyle name="Normal 7 4 2 2 2 3 3 5" xfId="16679" xr:uid="{15A74BA4-CCF7-48C2-8708-F1C4E0B0B690}"/>
    <cellStyle name="Normal 7 4 2 2 2 3 4" xfId="6037" xr:uid="{B96C9871-83A7-4052-8445-18A546C5FEC1}"/>
    <cellStyle name="Normal 7 4 2 2 2 3 4 2" xfId="28658" xr:uid="{ACB739D5-8B98-4492-B8EF-154EE673C33A}"/>
    <cellStyle name="Normal 7 4 2 2 2 3 4 3" xfId="15491" xr:uid="{505EFCAB-6CC6-4E06-9E7F-8EC4F049CC3B}"/>
    <cellStyle name="Normal 7 4 2 2 2 3 5" xfId="7944" xr:uid="{0AFE0305-CF3F-41C0-B0CE-C64A8A66D827}"/>
    <cellStyle name="Normal 7 4 2 2 2 3 5 2" xfId="18324" xr:uid="{ED70B86F-81DC-45AE-8C41-AED2E1F586B8}"/>
    <cellStyle name="Normal 7 4 2 2 2 3 6" xfId="10777" xr:uid="{8171CDEC-30BE-467C-940E-D81AB8C6E2CB}"/>
    <cellStyle name="Normal 7 4 2 2 2 3 6 2" xfId="21157" xr:uid="{D102A5F4-3C71-4C9A-9CB5-0A04ADFC0743}"/>
    <cellStyle name="Normal 7 4 2 2 2 3 7" xfId="24440" xr:uid="{B4595E0A-868C-440B-96B8-1A86B5746850}"/>
    <cellStyle name="Normal 7 4 2 2 2 3 8" xfId="13292" xr:uid="{462CE7B5-789F-4232-BEBC-ED90A7E02A07}"/>
    <cellStyle name="Normal 7 4 2 2 2 4" xfId="3426" xr:uid="{00000000-0005-0000-0000-000025080000}"/>
    <cellStyle name="Normal 7 4 2 2 2 4 2" xfId="4573" xr:uid="{7E911584-0241-48AA-B8E2-B4838F58EF93}"/>
    <cellStyle name="Normal 7 4 2 2 2 4 2 2" xfId="9345" xr:uid="{1452BFD8-9755-4DAF-85E8-5C8545B85020}"/>
    <cellStyle name="Normal 7 4 2 2 2 4 2 2 2" xfId="19725" xr:uid="{CC2C5E72-894C-4D1F-9601-E93F43823751}"/>
    <cellStyle name="Normal 7 4 2 2 2 4 2 3" xfId="12178" xr:uid="{2A7A4FC3-B834-4CC2-AEC6-FC2B41D252DE}"/>
    <cellStyle name="Normal 7 4 2 2 2 4 2 3 2" xfId="22558" xr:uid="{EAFEFD2C-85AA-4525-A30F-33A3EDEDFC84}"/>
    <cellStyle name="Normal 7 4 2 2 2 4 2 4" xfId="27055" xr:uid="{E18E7140-5060-48E4-805B-2065C05B0A6E}"/>
    <cellStyle name="Normal 7 4 2 2 2 4 2 5" xfId="16892" xr:uid="{4BDF8A7E-5659-4431-9EB1-D9C4F57A625C}"/>
    <cellStyle name="Normal 7 4 2 2 2 4 3" xfId="6481" xr:uid="{2FC4531C-524E-4E99-9F41-216830B5F3FA}"/>
    <cellStyle name="Normal 7 4 2 2 2 4 3 2" xfId="16052" xr:uid="{81BF171A-83BB-42E9-A0EC-8A3CD7F46993}"/>
    <cellStyle name="Normal 7 4 2 2 2 4 4" xfId="8505" xr:uid="{FA954154-0875-42F9-83D1-2EDBF4A71932}"/>
    <cellStyle name="Normal 7 4 2 2 2 4 4 2" xfId="18885" xr:uid="{D704BA3E-FF1E-4DB8-B560-4701177AC587}"/>
    <cellStyle name="Normal 7 4 2 2 2 4 5" xfId="11338" xr:uid="{EC9D3C0F-2FC6-4422-B55F-CB83786AF623}"/>
    <cellStyle name="Normal 7 4 2 2 2 4 5 2" xfId="21718" xr:uid="{68C1A300-A360-413A-B024-41D728334F75}"/>
    <cellStyle name="Normal 7 4 2 2 2 4 6" xfId="25530" xr:uid="{1B5054C0-0BBB-4C59-AE6C-5F82FD104C0A}"/>
    <cellStyle name="Normal 7 4 2 2 2 4 7" xfId="14007" xr:uid="{25153F54-D0C2-4E69-B6AC-118CF42C3125}"/>
    <cellStyle name="Normal 7 4 2 2 2 5" xfId="3421" xr:uid="{00000000-0005-0000-0000-000026080000}"/>
    <cellStyle name="Normal 7 4 2 2 2 5 2" xfId="6476" xr:uid="{69F26A8D-6EA4-4AD9-A05B-8101BD1F3AC8}"/>
    <cellStyle name="Normal 7 4 2 2 2 5 2 2" xfId="27350" xr:uid="{A0732357-EA89-4CC4-BB8E-D3540250B67E}"/>
    <cellStyle name="Normal 7 4 2 2 2 5 2 3" xfId="16047" xr:uid="{FD2BE1D0-20E5-4597-8AC2-2F0B903A77D7}"/>
    <cellStyle name="Normal 7 4 2 2 2 5 3" xfId="8500" xr:uid="{79D07E95-2BF7-4A12-9594-75EC639FE02C}"/>
    <cellStyle name="Normal 7 4 2 2 2 5 3 2" xfId="18880" xr:uid="{7A992CC1-2E56-4D12-8E3B-A010DC535A9C}"/>
    <cellStyle name="Normal 7 4 2 2 2 5 4" xfId="11333" xr:uid="{CD90C17F-5F87-40A6-8701-DD45B6B3477E}"/>
    <cellStyle name="Normal 7 4 2 2 2 5 4 2" xfId="21713" xr:uid="{5E8E6086-DAF4-44DB-8DCD-B517316D4B08}"/>
    <cellStyle name="Normal 7 4 2 2 2 5 5" xfId="25449" xr:uid="{B6305010-B7E6-4630-82C6-A237BE99E17D}"/>
    <cellStyle name="Normal 7 4 2 2 2 5 6" xfId="14002" xr:uid="{E2116394-3E7C-4B6E-B09F-9240F52A11F2}"/>
    <cellStyle name="Normal 7 4 2 2 2 6" xfId="2561" xr:uid="{00000000-0005-0000-0000-000027080000}"/>
    <cellStyle name="Normal 7 4 2 2 2 6 2" xfId="5831" xr:uid="{29EF99E2-33E9-4033-9C15-5658E548A985}"/>
    <cellStyle name="Normal 7 4 2 2 2 6 2 2" xfId="27777" xr:uid="{68DC6E2F-3D57-49C2-ACEC-F9AAE377A6ED}"/>
    <cellStyle name="Normal 7 4 2 2 2 6 2 3" xfId="15233" xr:uid="{6ACAFE22-71B7-40B7-89D9-E0FB4B33B7B2}"/>
    <cellStyle name="Normal 7 4 2 2 2 6 3" xfId="7686" xr:uid="{C1A9B3FD-0C4C-4068-97F1-41A6F6E1EE18}"/>
    <cellStyle name="Normal 7 4 2 2 2 6 3 2" xfId="18066" xr:uid="{0D8F78E0-7F47-41CB-B681-C04C951AFF05}"/>
    <cellStyle name="Normal 7 4 2 2 2 6 4" xfId="10519" xr:uid="{221309B4-F85C-4292-82EC-52589DA9EFC9}"/>
    <cellStyle name="Normal 7 4 2 2 2 6 4 2" xfId="20899" xr:uid="{A169671E-D307-42E9-897E-D7C795292C71}"/>
    <cellStyle name="Normal 7 4 2 2 2 6 5" xfId="23922" xr:uid="{118BA637-206A-45C7-A144-472FDB774D34}"/>
    <cellStyle name="Normal 7 4 2 2 2 6 6" xfId="12949" xr:uid="{9B5E3005-D847-4A39-B865-4AC36EFD2211}"/>
    <cellStyle name="Normal 7 4 2 2 2 7" xfId="2255" xr:uid="{00000000-0005-0000-0000-00001D080000}"/>
    <cellStyle name="Normal 7 4 2 2 2 7 2" xfId="7382" xr:uid="{A5EBBC8A-4805-4A9B-BA14-7CBC58D0B94A}"/>
    <cellStyle name="Normal 7 4 2 2 2 7 2 2" xfId="17762" xr:uid="{CDE19C63-C84D-499C-A704-294050396E7E}"/>
    <cellStyle name="Normal 7 4 2 2 2 7 3" xfId="10215" xr:uid="{EEE9846A-CD04-4A6C-8A2E-8F2E93C33E2E}"/>
    <cellStyle name="Normal 7 4 2 2 2 7 3 2" xfId="20595" xr:uid="{469C99EE-3774-49F4-B9E6-63C1FE617EA8}"/>
    <cellStyle name="Normal 7 4 2 2 2 7 4" xfId="23214" xr:uid="{80D87983-121B-4533-AB2F-EC71820C58D4}"/>
    <cellStyle name="Normal 7 4 2 2 2 7 5" xfId="14929" xr:uid="{B7738474-AD97-410C-97D7-E114AF9835D1}"/>
    <cellStyle name="Normal 7 4 2 2 2 8" xfId="3805" xr:uid="{C06BE601-6E8E-4A23-ABC6-8F4090D579EF}"/>
    <cellStyle name="Normal 7 4 2 2 2 8 2" xfId="8641" xr:uid="{ED98D8F4-215C-4854-9C8C-8FC00A7CA332}"/>
    <cellStyle name="Normal 7 4 2 2 2 8 2 2" xfId="19021" xr:uid="{D30E7302-09BA-48F3-B231-088960639BD7}"/>
    <cellStyle name="Normal 7 4 2 2 2 8 3" xfId="11474" xr:uid="{9B563F5F-436B-453A-A53D-5031617CF4B8}"/>
    <cellStyle name="Normal 7 4 2 2 2 8 3 2" xfId="21854" xr:uid="{AA8431B8-E743-464F-9C6F-FC6E94CD75C1}"/>
    <cellStyle name="Normal 7 4 2 2 2 8 4" xfId="16188" xr:uid="{2CCFB5AC-359E-4515-A89D-75537072F78A}"/>
    <cellStyle name="Normal 7 4 2 2 2 9" xfId="5412" xr:uid="{2355B753-38F0-4078-B7EB-D469F37F6941}"/>
    <cellStyle name="Normal 7 4 2 2 2 9 2" xfId="14709" xr:uid="{9D6CCB3C-B122-4CB8-81F0-1094DB384043}"/>
    <cellStyle name="Normal 7 4 2 2 3" xfId="1396" xr:uid="{00000000-0005-0000-0000-00004B070000}"/>
    <cellStyle name="Normal 7 4 2 2 3 10" xfId="9997" xr:uid="{5A9B2C81-54B8-452F-8F8F-F6172776B0DD}"/>
    <cellStyle name="Normal 7 4 2 2 3 10 2" xfId="20377" xr:uid="{272E0C47-6312-4C18-8087-F58E67B999E8}"/>
    <cellStyle name="Normal 7 4 2 2 3 11" xfId="23418" xr:uid="{EF93F634-64F0-4801-8009-65803AD2F6F6}"/>
    <cellStyle name="Normal 7 4 2 2 3 12" xfId="12628" xr:uid="{F4F620AB-BDE0-491C-A958-483F4B9217CD}"/>
    <cellStyle name="Normal 7 4 2 2 3 2" xfId="2823" xr:uid="{00000000-0005-0000-0000-000029080000}"/>
    <cellStyle name="Normal 7 4 2 2 3 2 2" xfId="3428" xr:uid="{00000000-0005-0000-0000-00002A080000}"/>
    <cellStyle name="Normal 7 4 2 2 3 2 2 2" xfId="6483" xr:uid="{A6713F29-DF43-4476-8040-A1B679734DF4}"/>
    <cellStyle name="Normal 7 4 2 2 3 2 2 2 2" xfId="27565" xr:uid="{BD817701-15C7-4FA8-A681-D7E444A6CF06}"/>
    <cellStyle name="Normal 7 4 2 2 3 2 2 2 3" xfId="16054" xr:uid="{2127FE21-5172-47CE-A5C5-06F26AEE7F0C}"/>
    <cellStyle name="Normal 7 4 2 2 3 2 2 3" xfId="8507" xr:uid="{AAEBE416-2D34-4D93-B5A1-D016C1EEE794}"/>
    <cellStyle name="Normal 7 4 2 2 3 2 2 3 2" xfId="18887" xr:uid="{C6B85F41-2AC5-421C-B6D3-1FA9153B6167}"/>
    <cellStyle name="Normal 7 4 2 2 3 2 2 4" xfId="11340" xr:uid="{0AC66F81-689E-403F-91F1-D626B2712D79}"/>
    <cellStyle name="Normal 7 4 2 2 3 2 2 4 2" xfId="21720" xr:uid="{7063A65A-6731-4C67-AD6E-5810ED16A8DC}"/>
    <cellStyle name="Normal 7 4 2 2 3 2 2 5" xfId="23713" xr:uid="{65CC995D-D2B4-4080-8660-B3E5D6BE333E}"/>
    <cellStyle name="Normal 7 4 2 2 3 2 2 6" xfId="14009" xr:uid="{E4D5CF5D-9322-413D-9900-8FB9F33D2D09}"/>
    <cellStyle name="Normal 7 4 2 2 3 2 3" xfId="4362" xr:uid="{30083B50-655D-432F-A489-CF466DF1233B}"/>
    <cellStyle name="Normal 7 4 2 2 3 2 3 2" xfId="9134" xr:uid="{703B93D3-B8EB-4365-850A-C35CD90CAA5C}"/>
    <cellStyle name="Normal 7 4 2 2 3 2 3 2 2" xfId="29177" xr:uid="{290FDF88-8899-42B6-B214-55C5994F08B1}"/>
    <cellStyle name="Normal 7 4 2 2 3 2 3 2 3" xfId="19514" xr:uid="{CBBF34DB-388E-4EE0-8BB9-F2C19E3FA127}"/>
    <cellStyle name="Normal 7 4 2 2 3 2 3 3" xfId="11967" xr:uid="{12042743-E2DB-4EB3-8857-9EFB8C83F3C7}"/>
    <cellStyle name="Normal 7 4 2 2 3 2 3 3 2" xfId="22347" xr:uid="{8BA8EABC-E430-40D6-8C8D-E58989733B0B}"/>
    <cellStyle name="Normal 7 4 2 2 3 2 3 4" xfId="23567" xr:uid="{4213CC80-EA2C-4779-BCEF-8F4C4148B347}"/>
    <cellStyle name="Normal 7 4 2 2 3 2 3 5" xfId="16681" xr:uid="{F6DCD515-7737-4905-881D-C2027CF92F34}"/>
    <cellStyle name="Normal 7 4 2 2 3 2 4" xfId="6039" xr:uid="{8E80E5D4-1C58-4FF9-A7B1-7D6A0FD516DB}"/>
    <cellStyle name="Normal 7 4 2 2 3 2 4 2" xfId="27985" xr:uid="{2F3415E5-A939-43D6-85F3-14522630F9A7}"/>
    <cellStyle name="Normal 7 4 2 2 3 2 4 3" xfId="15493" xr:uid="{A1C27591-4548-4CE6-AD20-E04609B14B8A}"/>
    <cellStyle name="Normal 7 4 2 2 3 2 5" xfId="7946" xr:uid="{DE92313A-E0E9-4F3D-B7DD-8444C18CDCE9}"/>
    <cellStyle name="Normal 7 4 2 2 3 2 5 2" xfId="18326" xr:uid="{B2F22FEE-0C06-46A4-B925-0857560DBFD9}"/>
    <cellStyle name="Normal 7 4 2 2 3 2 6" xfId="10779" xr:uid="{CD1B608E-6C5A-431D-9416-1B26ED6C560C}"/>
    <cellStyle name="Normal 7 4 2 2 3 2 6 2" xfId="21159" xr:uid="{450140B4-0E01-4E0D-B982-C89A2EDEAA49}"/>
    <cellStyle name="Normal 7 4 2 2 3 2 7" xfId="25056" xr:uid="{EDBBF258-F243-4C65-9EF4-584622AF04AD}"/>
    <cellStyle name="Normal 7 4 2 2 3 2 8" xfId="13294" xr:uid="{B87B94FD-A80A-4C21-92F3-6CF851190746}"/>
    <cellStyle name="Normal 7 4 2 2 3 3" xfId="3429" xr:uid="{00000000-0005-0000-0000-00002B080000}"/>
    <cellStyle name="Normal 7 4 2 2 3 3 2" xfId="4574" xr:uid="{DF868D83-B479-41C7-BBF9-4DEC8D2ADE13}"/>
    <cellStyle name="Normal 7 4 2 2 3 3 2 2" xfId="9346" xr:uid="{EE5F999E-67FD-4448-80AC-1B1AAE322601}"/>
    <cellStyle name="Normal 7 4 2 2 3 3 2 2 2" xfId="29318" xr:uid="{E08D3D1E-337C-4329-801C-9A94A6342583}"/>
    <cellStyle name="Normal 7 4 2 2 3 3 2 2 3" xfId="19726" xr:uid="{5B5A4B99-454D-4546-BB5B-28DDC77971D3}"/>
    <cellStyle name="Normal 7 4 2 2 3 3 2 3" xfId="12179" xr:uid="{DC9A6113-08A3-4C8E-B76F-82FAB69C23C4}"/>
    <cellStyle name="Normal 7 4 2 2 3 3 2 3 2" xfId="22559" xr:uid="{1F11548D-FE78-41C2-B7B6-50586DEB291E}"/>
    <cellStyle name="Normal 7 4 2 2 3 3 2 4" xfId="23904" xr:uid="{10B4EE47-E4B6-4C9F-8F9B-E813072D0750}"/>
    <cellStyle name="Normal 7 4 2 2 3 3 2 5" xfId="16893" xr:uid="{560846C8-E1DE-46FA-84D5-6E0A1E87E781}"/>
    <cellStyle name="Normal 7 4 2 2 3 3 3" xfId="6484" xr:uid="{E644DBE3-541B-40C8-92B4-979B48CAF419}"/>
    <cellStyle name="Normal 7 4 2 2 3 3 3 2" xfId="26759" xr:uid="{EF29B157-3F28-427A-9A60-427013D02E7B}"/>
    <cellStyle name="Normal 7 4 2 2 3 3 3 3" xfId="16055" xr:uid="{1FE06237-B8EF-4B4A-87DF-8D30256DE294}"/>
    <cellStyle name="Normal 7 4 2 2 3 3 4" xfId="8508" xr:uid="{131BA1FF-2F34-4CAB-9FAF-FFD263B8D5CF}"/>
    <cellStyle name="Normal 7 4 2 2 3 3 4 2" xfId="18888" xr:uid="{5DD33F91-AF1E-4728-9FD2-0619C4D30824}"/>
    <cellStyle name="Normal 7 4 2 2 3 3 5" xfId="11341" xr:uid="{F2118075-934A-4B2D-9D52-8849DE4DFAC5}"/>
    <cellStyle name="Normal 7 4 2 2 3 3 5 2" xfId="21721" xr:uid="{65AD0D76-46D5-49A7-96BA-698378B9A6D9}"/>
    <cellStyle name="Normal 7 4 2 2 3 3 6" xfId="25451" xr:uid="{19931D9B-BC78-4DC3-9C5D-8AB011A869F4}"/>
    <cellStyle name="Normal 7 4 2 2 3 3 7" xfId="14010" xr:uid="{30436FE3-E892-4A3C-9AAF-5127EB420200}"/>
    <cellStyle name="Normal 7 4 2 2 3 4" xfId="3427" xr:uid="{00000000-0005-0000-0000-00002C080000}"/>
    <cellStyle name="Normal 7 4 2 2 3 4 2" xfId="6482" xr:uid="{0145A01A-8C0D-4942-9FE8-22F0171AF744}"/>
    <cellStyle name="Normal 7 4 2 2 3 4 2 2" xfId="27845" xr:uid="{3410E0E1-AE14-45A2-889A-52221ACFC69D}"/>
    <cellStyle name="Normal 7 4 2 2 3 4 2 3" xfId="16053" xr:uid="{A52495A6-5AA9-4E9E-BDF0-EFF8276F89F3}"/>
    <cellStyle name="Normal 7 4 2 2 3 4 3" xfId="8506" xr:uid="{56280F35-4E24-439D-840E-B4707D391AB0}"/>
    <cellStyle name="Normal 7 4 2 2 3 4 3 2" xfId="18886" xr:uid="{7D4D6F9E-9B54-49DA-A1EA-598AAF4A23C1}"/>
    <cellStyle name="Normal 7 4 2 2 3 4 4" xfId="11339" xr:uid="{D82DF37B-D578-41D8-8329-6A00A5FAE09B}"/>
    <cellStyle name="Normal 7 4 2 2 3 4 4 2" xfId="21719" xr:uid="{0C655F18-F268-41BB-B435-AE9C8265B927}"/>
    <cellStyle name="Normal 7 4 2 2 3 4 5" xfId="24068" xr:uid="{6F5EA0A9-2A0F-402E-AC19-145AD149419F}"/>
    <cellStyle name="Normal 7 4 2 2 3 4 6" xfId="14008" xr:uid="{7C98B0AC-F8F6-48AF-8D84-5BC1B3825922}"/>
    <cellStyle name="Normal 7 4 2 2 3 5" xfId="2604" xr:uid="{00000000-0005-0000-0000-00002D080000}"/>
    <cellStyle name="Normal 7 4 2 2 3 5 2" xfId="5869" xr:uid="{9B980913-7909-488A-A96A-307B69F95091}"/>
    <cellStyle name="Normal 7 4 2 2 3 5 2 2" xfId="26065" xr:uid="{F8FEBCFA-722C-4CE6-B57A-9C376528233E}"/>
    <cellStyle name="Normal 7 4 2 2 3 5 2 3" xfId="15276" xr:uid="{7959C7C0-617C-4C49-847E-D4CE00F20B44}"/>
    <cellStyle name="Normal 7 4 2 2 3 5 3" xfId="7729" xr:uid="{AA5525FD-ABD2-4936-B2C9-A3EA766D674A}"/>
    <cellStyle name="Normal 7 4 2 2 3 5 3 2" xfId="18109" xr:uid="{20327EAC-25A8-4D66-99C1-C5B6B9320D74}"/>
    <cellStyle name="Normal 7 4 2 2 3 5 4" xfId="10562" xr:uid="{FBAAF576-CC6E-4A56-BE24-05C54B2B0106}"/>
    <cellStyle name="Normal 7 4 2 2 3 5 4 2" xfId="20942" xr:uid="{F781C4F9-E94B-4941-95EA-98CAAB8B43DF}"/>
    <cellStyle name="Normal 7 4 2 2 3 5 5" xfId="24934" xr:uid="{37FFB7F8-A60D-44E6-9594-5221A65F1DD6}"/>
    <cellStyle name="Normal 7 4 2 2 3 5 6" xfId="12992" xr:uid="{1B9030B5-E6E5-487A-B343-DEDBFDAA41E5}"/>
    <cellStyle name="Normal 7 4 2 2 3 6" xfId="2394" xr:uid="{00000000-0005-0000-0000-000028080000}"/>
    <cellStyle name="Normal 7 4 2 2 3 6 2" xfId="7521" xr:uid="{5DE4D045-B16F-40E7-A2C9-09EAD26E002E}"/>
    <cellStyle name="Normal 7 4 2 2 3 6 2 2" xfId="17901" xr:uid="{8E32F77A-B3A8-4D1C-A761-C9EC20219E4A}"/>
    <cellStyle name="Normal 7 4 2 2 3 6 3" xfId="10354" xr:uid="{B4AA0635-3228-4837-852E-7E65F4CD2EE9}"/>
    <cellStyle name="Normal 7 4 2 2 3 6 3 2" xfId="20734" xr:uid="{3C551813-CA7E-44BF-AA87-3BEE9180A3FA}"/>
    <cellStyle name="Normal 7 4 2 2 3 6 4" xfId="25118" xr:uid="{F9AA9969-2FC7-478B-A171-64D56D51EFB0}"/>
    <cellStyle name="Normal 7 4 2 2 3 6 5" xfId="15068" xr:uid="{E6CD36DB-B9D7-430B-A8D6-9ED3605181F6}"/>
    <cellStyle name="Normal 7 4 2 2 3 7" xfId="4098" xr:uid="{84B31C01-A54F-4449-BFB1-7622A40FD18D}"/>
    <cellStyle name="Normal 7 4 2 2 3 7 2" xfId="8872" xr:uid="{B5A4DAD8-1C92-4A7D-9E26-C3C3B3CEA1D9}"/>
    <cellStyle name="Normal 7 4 2 2 3 7 2 2" xfId="19252" xr:uid="{A5C368C7-1931-4781-84D1-53CC9C081BF4}"/>
    <cellStyle name="Normal 7 4 2 2 3 7 3" xfId="11705" xr:uid="{E8EE0E5B-E995-465C-ACFE-0CD6E5F87805}"/>
    <cellStyle name="Normal 7 4 2 2 3 7 3 2" xfId="22085" xr:uid="{82B95611-9FE1-4F48-AC51-E361B86E0326}"/>
    <cellStyle name="Normal 7 4 2 2 3 7 4" xfId="16419" xr:uid="{8FC2B307-1BAE-4FFC-B76C-D8E2F45EAFFA}"/>
    <cellStyle name="Normal 7 4 2 2 3 8" xfId="5414" xr:uid="{81B71814-46F5-410E-98DE-E01ABE410EC1}"/>
    <cellStyle name="Normal 7 4 2 2 3 8 2" xfId="14711" xr:uid="{0E5E79B4-AABA-40D1-93D0-96EC3DF21040}"/>
    <cellStyle name="Normal 7 4 2 2 3 9" xfId="7164" xr:uid="{8E7A57FE-91E2-4C45-90E3-D3EA47C763DD}"/>
    <cellStyle name="Normal 7 4 2 2 3 9 2" xfId="17544" xr:uid="{6315F027-416A-4259-8AB1-F01E008A2841}"/>
    <cellStyle name="Normal 7 4 2 2 4" xfId="1397" xr:uid="{00000000-0005-0000-0000-00004C070000}"/>
    <cellStyle name="Normal 7 4 2 2 4 2" xfId="3430" xr:uid="{00000000-0005-0000-0000-00002F080000}"/>
    <cellStyle name="Normal 7 4 2 2 4 2 2" xfId="6485" xr:uid="{DE854B9F-C7C3-4C98-AB57-A65A52D2292B}"/>
    <cellStyle name="Normal 7 4 2 2 4 2 2 2" xfId="26212" xr:uid="{DBFCD840-845A-4E84-9B73-86D0152B4E16}"/>
    <cellStyle name="Normal 7 4 2 2 4 2 2 3" xfId="16056" xr:uid="{A03A2A70-9C9C-4120-A79C-63172CE1B671}"/>
    <cellStyle name="Normal 7 4 2 2 4 2 3" xfId="8509" xr:uid="{C3E4B5E2-5EC1-48B1-87D3-4CD766EE9313}"/>
    <cellStyle name="Normal 7 4 2 2 4 2 3 2" xfId="18889" xr:uid="{7113B987-0C1C-4905-91A9-0380A806233F}"/>
    <cellStyle name="Normal 7 4 2 2 4 2 4" xfId="11342" xr:uid="{E324CF82-4DF2-4155-96CE-89F1E366D390}"/>
    <cellStyle name="Normal 7 4 2 2 4 2 4 2" xfId="21722" xr:uid="{2363E80A-D10F-4807-8ED4-1C6C39B1E359}"/>
    <cellStyle name="Normal 7 4 2 2 4 2 5" xfId="25583" xr:uid="{E1E348D3-57BD-4DD6-9AB5-EB901E0FAB6C}"/>
    <cellStyle name="Normal 7 4 2 2 4 2 6" xfId="14011" xr:uid="{0DA4CF78-0F83-4406-A67A-CF9DE8F73E01}"/>
    <cellStyle name="Normal 7 4 2 2 4 3" xfId="2820" xr:uid="{00000000-0005-0000-0000-000030080000}"/>
    <cellStyle name="Normal 7 4 2 2 4 3 2" xfId="6036" xr:uid="{24275F97-422E-4BB1-91DF-37D0F599D8FB}"/>
    <cellStyle name="Normal 7 4 2 2 4 3 2 2" xfId="27540" xr:uid="{F6968377-A792-4BAA-8DEF-25671046BD29}"/>
    <cellStyle name="Normal 7 4 2 2 4 3 2 3" xfId="15490" xr:uid="{06849532-8AD2-4245-B3BA-0A39C89CAE1C}"/>
    <cellStyle name="Normal 7 4 2 2 4 3 3" xfId="7943" xr:uid="{15C81E93-7640-4B2D-9DE8-A36ECEE0310C}"/>
    <cellStyle name="Normal 7 4 2 2 4 3 3 2" xfId="18323" xr:uid="{99A9ACD3-9FDE-4DAB-8425-0B5051A27DBE}"/>
    <cellStyle name="Normal 7 4 2 2 4 3 4" xfId="10776" xr:uid="{4A543769-6BA3-41B0-B877-B40BFFE14845}"/>
    <cellStyle name="Normal 7 4 2 2 4 3 4 2" xfId="21156" xr:uid="{DD5E8543-D42A-4F51-AA02-9BA778198B7C}"/>
    <cellStyle name="Normal 7 4 2 2 4 3 5" xfId="25024" xr:uid="{27C6B879-2A9B-4C8D-BA52-667BE9BBFD24}"/>
    <cellStyle name="Normal 7 4 2 2 4 3 6" xfId="13291" xr:uid="{3F1C9EFF-1EE5-468D-98E4-2A027A15C17F}"/>
    <cellStyle name="Normal 7 4 2 2 4 4" xfId="4214" xr:uid="{AF788927-74F5-452F-99D4-A4013529F547}"/>
    <cellStyle name="Normal 7 4 2 2 4 4 2" xfId="8986" xr:uid="{B0EBA951-AD08-4382-8B05-A2DD518631AB}"/>
    <cellStyle name="Normal 7 4 2 2 4 4 2 2" xfId="19366" xr:uid="{D7301CE1-D93C-4CD9-A072-15625D17B8F2}"/>
    <cellStyle name="Normal 7 4 2 2 4 4 3" xfId="11819" xr:uid="{D12483FF-D19F-4649-82D2-9B54E11F3A5E}"/>
    <cellStyle name="Normal 7 4 2 2 4 4 3 2" xfId="22199" xr:uid="{2C2FABCD-4C85-4A66-B964-3063584DC531}"/>
    <cellStyle name="Normal 7 4 2 2 4 4 4" xfId="23219" xr:uid="{FFDB1CA5-507F-4DAB-A0B9-501CABACAD1B}"/>
    <cellStyle name="Normal 7 4 2 2 4 4 5" xfId="16533" xr:uid="{BB82FAA5-5C46-4744-8BAC-0FF1BD15A412}"/>
    <cellStyle name="Normal 7 4 2 2 4 5" xfId="5415" xr:uid="{A32B5EEA-BC34-40B9-95D1-4302E6D87236}"/>
    <cellStyle name="Normal 7 4 2 2 4 5 2" xfId="14712" xr:uid="{9F8BB946-6348-4420-9392-37B627CEE59A}"/>
    <cellStyle name="Normal 7 4 2 2 4 6" xfId="7165" xr:uid="{DAEC77F3-1C8C-4B74-98CD-5F3CF2656F7A}"/>
    <cellStyle name="Normal 7 4 2 2 4 6 2" xfId="17545" xr:uid="{C5F6AB9A-C603-467E-A82C-1D4F7268A796}"/>
    <cellStyle name="Normal 7 4 2 2 4 7" xfId="9998" xr:uid="{7B4F8D55-E74C-4B87-85DF-E6E0103E8E29}"/>
    <cellStyle name="Normal 7 4 2 2 4 7 2" xfId="20378" xr:uid="{80880717-1857-4E6D-AAA6-489A85F61717}"/>
    <cellStyle name="Normal 7 4 2 2 4 8" xfId="22731" xr:uid="{467A0ED2-EC90-473C-98DC-8255A53B9A0D}"/>
    <cellStyle name="Normal 7 4 2 2 4 9" xfId="12786" xr:uid="{B8EB3723-98B9-4927-8220-58823A7A3EA0}"/>
    <cellStyle name="Normal 7 4 2 2 5" xfId="3431" xr:uid="{00000000-0005-0000-0000-000031080000}"/>
    <cellStyle name="Normal 7 4 2 2 5 2" xfId="4575" xr:uid="{78168C4A-73C4-480C-89BC-17406287FD18}"/>
    <cellStyle name="Normal 7 4 2 2 5 2 2" xfId="9347" xr:uid="{9A97ED38-B380-4A83-8B19-F1B614E449DD}"/>
    <cellStyle name="Normal 7 4 2 2 5 2 2 2" xfId="29319" xr:uid="{5003FBDD-1731-48B2-8AD5-7F21002AA236}"/>
    <cellStyle name="Normal 7 4 2 2 5 2 2 3" xfId="19727" xr:uid="{3BD19DB3-E67B-4479-98D3-B893BEFF38DC}"/>
    <cellStyle name="Normal 7 4 2 2 5 2 3" xfId="12180" xr:uid="{43C039E7-7DFE-49E4-AE7F-5826F816AEB2}"/>
    <cellStyle name="Normal 7 4 2 2 5 2 3 2" xfId="22560" xr:uid="{096BA791-6996-4584-84AA-D9CBE0015F90}"/>
    <cellStyle name="Normal 7 4 2 2 5 2 4" xfId="24724" xr:uid="{DD6C1391-E73C-4931-8157-1A3511B235BB}"/>
    <cellStyle name="Normal 7 4 2 2 5 2 5" xfId="16894" xr:uid="{D3DA5277-97A8-4766-BC4F-4591FF1ACF9D}"/>
    <cellStyle name="Normal 7 4 2 2 5 3" xfId="6486" xr:uid="{D2CECFD3-E3E1-45D4-B8D5-C698C07FAC0C}"/>
    <cellStyle name="Normal 7 4 2 2 5 3 2" xfId="27893" xr:uid="{8B952244-3AE7-4AC9-B92D-1F402A016B3F}"/>
    <cellStyle name="Normal 7 4 2 2 5 3 3" xfId="16057" xr:uid="{84468F57-E048-4D2F-9D4D-9B0384BCA31B}"/>
    <cellStyle name="Normal 7 4 2 2 5 4" xfId="8510" xr:uid="{1050905F-D263-49CF-BF7D-503786B0BF0B}"/>
    <cellStyle name="Normal 7 4 2 2 5 4 2" xfId="18890" xr:uid="{AC6EDFB1-A6BB-42AB-B4C0-8FBAC5FED5F5}"/>
    <cellStyle name="Normal 7 4 2 2 5 5" xfId="11343" xr:uid="{91EA5473-DB12-4F7C-8707-EE41C8752789}"/>
    <cellStyle name="Normal 7 4 2 2 5 5 2" xfId="21723" xr:uid="{C27FBEAE-9812-4C1F-BCEB-9EB6BFBFF436}"/>
    <cellStyle name="Normal 7 4 2 2 5 6" xfId="24659" xr:uid="{55DEF902-AC61-48A3-9936-6030E825129F}"/>
    <cellStyle name="Normal 7 4 2 2 5 7" xfId="14012" xr:uid="{4A793EBF-9B30-41E3-90F2-E8F159926CFF}"/>
    <cellStyle name="Normal 7 4 2 2 6" xfId="2987" xr:uid="{00000000-0005-0000-0000-000032080000}"/>
    <cellStyle name="Normal 7 4 2 2 6 2" xfId="6137" xr:uid="{885CA862-FE87-40D5-ADAC-98BB7D68F214}"/>
    <cellStyle name="Normal 7 4 2 2 6 2 2" xfId="27498" xr:uid="{49ACB948-396A-49AA-A870-7044B3EA911B}"/>
    <cellStyle name="Normal 7 4 2 2 6 2 3" xfId="15615" xr:uid="{D202C4EE-4D65-4753-BFC1-FBE788747F3B}"/>
    <cellStyle name="Normal 7 4 2 2 6 3" xfId="8068" xr:uid="{0833C992-0921-49C4-A389-00BC17432EBA}"/>
    <cellStyle name="Normal 7 4 2 2 6 3 2" xfId="18448" xr:uid="{9F9D0E9F-93E3-45FC-A672-4611CF490A61}"/>
    <cellStyle name="Normal 7 4 2 2 6 4" xfId="10901" xr:uid="{8C3220A2-8012-4D07-8A6D-9380A4412557}"/>
    <cellStyle name="Normal 7 4 2 2 6 4 2" xfId="21281" xr:uid="{AFC20936-6F30-4750-9EFA-29108B1E674E}"/>
    <cellStyle name="Normal 7 4 2 2 6 5" xfId="23469" xr:uid="{B5523BE2-1C84-426B-9C30-1F58411441F7}"/>
    <cellStyle name="Normal 7 4 2 2 6 6" xfId="13484" xr:uid="{0CE8DA17-6CAF-48C4-B2FB-797ADB368D48}"/>
    <cellStyle name="Normal 7 4 2 2 7" xfId="2501" xr:uid="{00000000-0005-0000-0000-000033080000}"/>
    <cellStyle name="Normal 7 4 2 2 7 2" xfId="5782" xr:uid="{46C9377F-DD9E-44D5-8F35-C6BE65A25261}"/>
    <cellStyle name="Normal 7 4 2 2 7 2 2" xfId="25870" xr:uid="{72470397-EAC5-47B9-B3E6-E56D2566D9C7}"/>
    <cellStyle name="Normal 7 4 2 2 7 2 3" xfId="15173" xr:uid="{FCED73FE-439C-4FA6-9E9D-25114E9837FD}"/>
    <cellStyle name="Normal 7 4 2 2 7 3" xfId="7626" xr:uid="{E1DFBAD9-539B-4F59-92DF-03573E5E2357}"/>
    <cellStyle name="Normal 7 4 2 2 7 3 2" xfId="18006" xr:uid="{F14037E4-6CBB-464A-B082-F6994BEBFE73}"/>
    <cellStyle name="Normal 7 4 2 2 7 4" xfId="10459" xr:uid="{5C931ABC-546B-4A56-8B6E-95BF9B3E6AFE}"/>
    <cellStyle name="Normal 7 4 2 2 7 4 2" xfId="20839" xr:uid="{BC1A531E-9CA5-48AA-9694-781BE8B092DC}"/>
    <cellStyle name="Normal 7 4 2 2 7 5" xfId="22860" xr:uid="{15607B7D-18B4-4FBC-85CD-EB9D6D36980A}"/>
    <cellStyle name="Normal 7 4 2 2 7 6" xfId="12889" xr:uid="{367BFB58-CAD3-4BEE-B092-49B682FDD40F}"/>
    <cellStyle name="Normal 7 4 2 2 8" xfId="2195" xr:uid="{00000000-0005-0000-0000-00001C080000}"/>
    <cellStyle name="Normal 7 4 2 2 8 2" xfId="7322" xr:uid="{64345797-C159-489C-B9AB-E90EFDDCC77B}"/>
    <cellStyle name="Normal 7 4 2 2 8 2 2" xfId="17702" xr:uid="{83898018-8C4E-49CD-AB1F-68F2D2107E22}"/>
    <cellStyle name="Normal 7 4 2 2 8 3" xfId="10155" xr:uid="{AEE4DB54-113D-496D-A6BA-21276E3D7174}"/>
    <cellStyle name="Normal 7 4 2 2 8 3 2" xfId="20535" xr:uid="{E20F4350-BDB8-4826-B5DD-03E6AAC176D1}"/>
    <cellStyle name="Normal 7 4 2 2 8 4" xfId="24477" xr:uid="{6748E8E5-C49F-4643-B884-0DF9EA494750}"/>
    <cellStyle name="Normal 7 4 2 2 8 5" xfId="14869" xr:uid="{2F78EB13-F436-4C1B-AB68-EA67F7FD673A}"/>
    <cellStyle name="Normal 7 4 2 2 9" xfId="4062" xr:uid="{B46ABEFD-6A47-473A-8BDD-11556DF654C9}"/>
    <cellStyle name="Normal 7 4 2 2 9 2" xfId="8842" xr:uid="{6A88DBD8-B30B-495C-9794-291636DE9245}"/>
    <cellStyle name="Normal 7 4 2 2 9 2 2" xfId="19222" xr:uid="{56DD4781-EC25-48C9-8956-143684A094E4}"/>
    <cellStyle name="Normal 7 4 2 2 9 3" xfId="11675" xr:uid="{96E2148F-38BA-4368-9C18-4583791661D9}"/>
    <cellStyle name="Normal 7 4 2 2 9 3 2" xfId="22055" xr:uid="{56527C18-0767-4D85-8767-7287DF8BF451}"/>
    <cellStyle name="Normal 7 4 2 2 9 4" xfId="16389" xr:uid="{E56B323C-EBC0-46DD-A85E-3742D3AE952D}"/>
    <cellStyle name="Normal 7 4 2 3" xfId="1398" xr:uid="{00000000-0005-0000-0000-00004D070000}"/>
    <cellStyle name="Normal 7 4 2 3 10" xfId="5416" xr:uid="{8C8B1CD1-B6A5-467A-AF9D-289D82C2FFFB}"/>
    <cellStyle name="Normal 7 4 2 3 10 2" xfId="14713" xr:uid="{21D404C2-C36B-4169-9640-42A10BE97DDF}"/>
    <cellStyle name="Normal 7 4 2 3 11" xfId="7166" xr:uid="{F92BC005-23EB-41B2-B765-2A0FE05AC736}"/>
    <cellStyle name="Normal 7 4 2 3 11 2" xfId="17546" xr:uid="{65E3839C-1678-4AEC-8D8C-51D5A32A56E8}"/>
    <cellStyle name="Normal 7 4 2 3 12" xfId="9999" xr:uid="{0EC2392F-3625-4F96-9DAB-9E858D9CC39D}"/>
    <cellStyle name="Normal 7 4 2 3 12 2" xfId="20379" xr:uid="{5E763089-B5F7-403B-A0B8-4A022F793850}"/>
    <cellStyle name="Normal 7 4 2 3 13" xfId="25307" xr:uid="{EF046668-5702-44D2-A5A8-4FA36487B8F4}"/>
    <cellStyle name="Normal 7 4 2 3 14" xfId="12464" xr:uid="{926B9C07-A69D-46C1-8504-A0DB3191A336}"/>
    <cellStyle name="Normal 7 4 2 3 2" xfId="1399" xr:uid="{00000000-0005-0000-0000-00004E070000}"/>
    <cellStyle name="Normal 7 4 2 3 2 10" xfId="10000" xr:uid="{5588C031-AFDD-4BE2-9229-BC3BD3EBC009}"/>
    <cellStyle name="Normal 7 4 2 3 2 10 2" xfId="20380" xr:uid="{F217E0CF-C98E-4E1A-8A60-62A17BF0C8CD}"/>
    <cellStyle name="Normal 7 4 2 3 2 11" xfId="23985" xr:uid="{01B31655-4E45-48D9-9082-25E466419FA4}"/>
    <cellStyle name="Normal 7 4 2 3 2 12" xfId="12629" xr:uid="{E49CE596-0D0E-40CB-BEE2-1F84B8F33F28}"/>
    <cellStyle name="Normal 7 4 2 3 2 2" xfId="1400" xr:uid="{00000000-0005-0000-0000-00004F070000}"/>
    <cellStyle name="Normal 7 4 2 3 2 2 2" xfId="3433" xr:uid="{00000000-0005-0000-0000-000037080000}"/>
    <cellStyle name="Normal 7 4 2 3 2 2 2 2" xfId="6488" xr:uid="{B5711F0C-69AE-405C-82A4-C50BB7635633}"/>
    <cellStyle name="Normal 7 4 2 3 2 2 2 2 2" xfId="26505" xr:uid="{4F476C45-06B1-4A1C-8FBE-97090F2C0ADB}"/>
    <cellStyle name="Normal 7 4 2 3 2 2 2 2 3" xfId="26718" xr:uid="{A1CC0F1C-2CDE-4CEF-A835-41421DF29779}"/>
    <cellStyle name="Normal 7 4 2 3 2 2 2 2 4" xfId="16059" xr:uid="{1D09D644-9147-4F27-BED0-6864D311252F}"/>
    <cellStyle name="Normal 7 4 2 3 2 2 2 3" xfId="8512" xr:uid="{1C1CC2A1-1791-44D2-9246-28DEAE3821D5}"/>
    <cellStyle name="Normal 7 4 2 3 2 2 2 3 2" xfId="28935" xr:uid="{F1D6C972-A649-4FD9-B89B-CBDEF201CAB7}"/>
    <cellStyle name="Normal 7 4 2 3 2 2 2 3 3" xfId="18892" xr:uid="{5C5434A2-6896-4D07-B9E7-D8D82C5C623A}"/>
    <cellStyle name="Normal 7 4 2 3 2 2 2 4" xfId="11345" xr:uid="{FDAF0EA0-01A3-4844-8556-E87D3F1E5ACD}"/>
    <cellStyle name="Normal 7 4 2 3 2 2 2 4 2" xfId="21725" xr:uid="{9C519726-F498-488E-8980-E268B30F4178}"/>
    <cellStyle name="Normal 7 4 2 3 2 2 2 5" xfId="22686" xr:uid="{87F2C3F5-A3D9-46E5-9054-DB46D45E0E43}"/>
    <cellStyle name="Normal 7 4 2 3 2 2 2 6" xfId="14014" xr:uid="{2443BE42-3CF5-49B0-A3F3-FF7D45A9F30F}"/>
    <cellStyle name="Normal 7 4 2 3 2 2 3" xfId="4364" xr:uid="{94ED94A1-9A2F-43F9-AD2A-2B7E741A6D11}"/>
    <cellStyle name="Normal 7 4 2 3 2 2 3 2" xfId="9136" xr:uid="{9D0221DB-8492-4F03-9F62-C2E33F5D3E44}"/>
    <cellStyle name="Normal 7 4 2 3 2 2 3 2 2" xfId="29179" xr:uid="{73FD9858-82EC-48B7-BFC1-460341C59EFC}"/>
    <cellStyle name="Normal 7 4 2 3 2 2 3 2 3" xfId="19516" xr:uid="{611FEC59-E05B-4872-AAB2-BA060EE4B03C}"/>
    <cellStyle name="Normal 7 4 2 3 2 2 3 3" xfId="11969" xr:uid="{EB953968-C471-4F4C-BB25-E40106971C45}"/>
    <cellStyle name="Normal 7 4 2 3 2 2 3 3 2" xfId="22349" xr:uid="{B6CFFBD0-63E0-4BCC-969D-A7B6D53C40F3}"/>
    <cellStyle name="Normal 7 4 2 3 2 2 3 4" xfId="25023" xr:uid="{4A5EC857-2DC5-43FA-A0AC-A85F6EE6E7D8}"/>
    <cellStyle name="Normal 7 4 2 3 2 2 3 5" xfId="16683" xr:uid="{3B099161-2D2C-429D-96F3-9C20BEF4CDE6}"/>
    <cellStyle name="Normal 7 4 2 3 2 2 4" xfId="5418" xr:uid="{96CF66A8-42E5-4B3B-96C8-8A517147CC2B}"/>
    <cellStyle name="Normal 7 4 2 3 2 2 4 2" xfId="27816" xr:uid="{AD6500D6-0323-4E3D-BFB9-FE86937C92D9}"/>
    <cellStyle name="Normal 7 4 2 3 2 2 4 3" xfId="14715" xr:uid="{E967BE07-A5EB-44DD-80AF-7B7F90E96CE9}"/>
    <cellStyle name="Normal 7 4 2 3 2 2 5" xfId="7168" xr:uid="{4A58DC75-3200-4A55-BF2E-8D02B3B3027A}"/>
    <cellStyle name="Normal 7 4 2 3 2 2 5 2" xfId="17548" xr:uid="{B4DBFDA8-F731-44B4-A5C8-38B1A02EFB99}"/>
    <cellStyle name="Normal 7 4 2 3 2 2 6" xfId="10001" xr:uid="{3BB54544-8FBE-4D44-8549-7B26B4B44331}"/>
    <cellStyle name="Normal 7 4 2 3 2 2 6 2" xfId="20381" xr:uid="{AC76AF71-A62D-486B-A89B-3B19ECAB6D74}"/>
    <cellStyle name="Normal 7 4 2 3 2 2 7" xfId="24752" xr:uid="{7A7D9510-388F-40E2-93BA-E578E4F7EB8A}"/>
    <cellStyle name="Normal 7 4 2 3 2 2 8" xfId="13296" xr:uid="{E20C0592-D624-47A1-8A09-3E08B884C0C3}"/>
    <cellStyle name="Normal 7 4 2 3 2 3" xfId="3434" xr:uid="{00000000-0005-0000-0000-000038080000}"/>
    <cellStyle name="Normal 7 4 2 3 2 3 2" xfId="4576" xr:uid="{2642E171-E0CB-448E-A027-84AFC3E96FF0}"/>
    <cellStyle name="Normal 7 4 2 3 2 3 2 2" xfId="9348" xr:uid="{E3CF8F99-F321-47E5-8144-93F8FFDF976B}"/>
    <cellStyle name="Normal 7 4 2 3 2 3 2 2 2" xfId="29320" xr:uid="{2AFC9CEB-FECE-483F-953A-ABED321E6D20}"/>
    <cellStyle name="Normal 7 4 2 3 2 3 2 2 3" xfId="19728" xr:uid="{9E02E87D-686E-4317-A85D-2D4A33FB2F14}"/>
    <cellStyle name="Normal 7 4 2 3 2 3 2 3" xfId="12181" xr:uid="{EA7BD2D8-D8F8-40C1-9999-4CA79988ED7C}"/>
    <cellStyle name="Normal 7 4 2 3 2 3 2 3 2" xfId="22561" xr:uid="{7AEC5018-3A1E-4DA7-9E36-844371F7337F}"/>
    <cellStyle name="Normal 7 4 2 3 2 3 2 4" xfId="25099" xr:uid="{613729BE-7B7A-48DF-A98A-0324D9CC7896}"/>
    <cellStyle name="Normal 7 4 2 3 2 3 2 5" xfId="16895" xr:uid="{08FDC1C4-6ABA-4A7B-9145-1036EAE26631}"/>
    <cellStyle name="Normal 7 4 2 3 2 3 3" xfId="6489" xr:uid="{A85781ED-52CB-4A90-A96A-E63D87C24D21}"/>
    <cellStyle name="Normal 7 4 2 3 2 3 3 2" xfId="27452" xr:uid="{E8747902-D10F-4291-A934-5E04B75CFAE1}"/>
    <cellStyle name="Normal 7 4 2 3 2 3 3 3" xfId="16060" xr:uid="{4C667BEE-63E7-4B09-92CA-0572ADDEB1EC}"/>
    <cellStyle name="Normal 7 4 2 3 2 3 4" xfId="8513" xr:uid="{DB351BA3-2D9D-48BF-B486-C6C168BBEB17}"/>
    <cellStyle name="Normal 7 4 2 3 2 3 4 2" xfId="18893" xr:uid="{E44ED893-5F25-4E3F-BE3A-67E7D345A5EC}"/>
    <cellStyle name="Normal 7 4 2 3 2 3 5" xfId="11346" xr:uid="{B587B2D2-AFDD-4667-88BF-2211E7ED11D2}"/>
    <cellStyle name="Normal 7 4 2 3 2 3 5 2" xfId="21726" xr:uid="{5A319EE7-CECC-42E9-A6E7-D127ED4CD35D}"/>
    <cellStyle name="Normal 7 4 2 3 2 3 6" xfId="25301" xr:uid="{CF1B8EA8-E6A9-405A-B0B1-88D81E32A375}"/>
    <cellStyle name="Normal 7 4 2 3 2 3 7" xfId="14015" xr:uid="{B01ACE33-B4E8-43F8-BFDB-E16A54A75E6D}"/>
    <cellStyle name="Normal 7 4 2 3 2 4" xfId="3432" xr:uid="{00000000-0005-0000-0000-000039080000}"/>
    <cellStyle name="Normal 7 4 2 3 2 4 2" xfId="6487" xr:uid="{0F5A270F-CC57-4C4F-8E41-A53C6D61C272}"/>
    <cellStyle name="Normal 7 4 2 3 2 4 2 2" xfId="26272" xr:uid="{D6E1A9D1-6A68-4A92-9169-C0FA00208013}"/>
    <cellStyle name="Normal 7 4 2 3 2 4 2 3" xfId="16058" xr:uid="{AC5BD39D-70ED-499C-9F51-3E20DE39736E}"/>
    <cellStyle name="Normal 7 4 2 3 2 4 3" xfId="8511" xr:uid="{B706C03C-E70D-4BCA-9CE0-4834839726DE}"/>
    <cellStyle name="Normal 7 4 2 3 2 4 3 2" xfId="18891" xr:uid="{E048BDE4-74AA-49D5-B59D-D9B122159339}"/>
    <cellStyle name="Normal 7 4 2 3 2 4 4" xfId="11344" xr:uid="{DEDFD41D-4637-49F9-BFC8-CC4D2E008799}"/>
    <cellStyle name="Normal 7 4 2 3 2 4 4 2" xfId="21724" xr:uid="{4DA0E474-79B4-4059-B33A-2081634E2A56}"/>
    <cellStyle name="Normal 7 4 2 3 2 4 5" xfId="23471" xr:uid="{8C0CA739-0F46-4DDD-87A1-47C7895853FE}"/>
    <cellStyle name="Normal 7 4 2 3 2 4 6" xfId="14013" xr:uid="{737988B7-65EB-407D-A127-003ECFEE0F2E}"/>
    <cellStyle name="Normal 7 4 2 3 2 5" xfId="2538" xr:uid="{00000000-0005-0000-0000-00003A080000}"/>
    <cellStyle name="Normal 7 4 2 3 2 5 2" xfId="5812" xr:uid="{1FF86231-FF17-4F99-9AA4-D3098D8340C4}"/>
    <cellStyle name="Normal 7 4 2 3 2 5 2 2" xfId="26910" xr:uid="{1652A80E-0B7D-4869-A929-DC2770F88CCD}"/>
    <cellStyle name="Normal 7 4 2 3 2 5 2 3" xfId="15210" xr:uid="{9E8D374D-BAA5-48ED-BB4D-D94F454DEAB9}"/>
    <cellStyle name="Normal 7 4 2 3 2 5 3" xfId="7663" xr:uid="{E1E3EA2A-6393-4AC6-88C9-53712DCC99DC}"/>
    <cellStyle name="Normal 7 4 2 3 2 5 3 2" xfId="18043" xr:uid="{52BA3E61-3442-48B0-B883-612F079E78EA}"/>
    <cellStyle name="Normal 7 4 2 3 2 5 4" xfId="10496" xr:uid="{2D002C16-09DD-442E-AAE6-5C36392980DF}"/>
    <cellStyle name="Normal 7 4 2 3 2 5 4 2" xfId="20876" xr:uid="{B5904AE0-E809-4B49-A05D-121E783BAB2C}"/>
    <cellStyle name="Normal 7 4 2 3 2 5 5" xfId="23657" xr:uid="{A8F13F01-3955-4204-94B5-CBA77FE6FEF6}"/>
    <cellStyle name="Normal 7 4 2 3 2 5 6" xfId="12926" xr:uid="{F3CD5672-035A-4289-B6D9-3CE91F6189F6}"/>
    <cellStyle name="Normal 7 4 2 3 2 6" xfId="2395" xr:uid="{00000000-0005-0000-0000-000035080000}"/>
    <cellStyle name="Normal 7 4 2 3 2 6 2" xfId="7522" xr:uid="{0F39950D-8652-4161-ABDC-3F642EF46C94}"/>
    <cellStyle name="Normal 7 4 2 3 2 6 2 2" xfId="17902" xr:uid="{213839AF-EC2F-4D5D-9374-405FAC963988}"/>
    <cellStyle name="Normal 7 4 2 3 2 6 3" xfId="10355" xr:uid="{80B4AC85-96A1-4097-92B0-A8BF0291253D}"/>
    <cellStyle name="Normal 7 4 2 3 2 6 3 2" xfId="20735" xr:uid="{D46D3BF5-6AB5-4BC9-813A-92A4BF4D2CCB}"/>
    <cellStyle name="Normal 7 4 2 3 2 6 4" xfId="23911" xr:uid="{962BD4BA-EE7D-4E41-A1DB-0FC519780464}"/>
    <cellStyle name="Normal 7 4 2 3 2 6 5" xfId="15069" xr:uid="{A9A21AE6-B312-4991-9739-5ADFDAE34C66}"/>
    <cellStyle name="Normal 7 4 2 3 2 7" xfId="4099" xr:uid="{C102413C-8FEF-4D40-933E-3702638B6733}"/>
    <cellStyle name="Normal 7 4 2 3 2 7 2" xfId="8873" xr:uid="{EA41D6F8-913E-4966-A34F-2E0387505A15}"/>
    <cellStyle name="Normal 7 4 2 3 2 7 2 2" xfId="19253" xr:uid="{1E98A5DD-80D7-432B-922E-17A65C89C845}"/>
    <cellStyle name="Normal 7 4 2 3 2 7 3" xfId="11706" xr:uid="{7F139A08-1225-4F51-B75A-DD915D734B23}"/>
    <cellStyle name="Normal 7 4 2 3 2 7 3 2" xfId="22086" xr:uid="{FD6D2266-D976-4DC2-ACE7-23BB555E0D56}"/>
    <cellStyle name="Normal 7 4 2 3 2 7 4" xfId="16420" xr:uid="{3E15CA83-7512-407A-9EF5-1D6F5C6CEF29}"/>
    <cellStyle name="Normal 7 4 2 3 2 8" xfId="5417" xr:uid="{DE81DCA1-8885-4BEF-852E-1027D0916375}"/>
    <cellStyle name="Normal 7 4 2 3 2 8 2" xfId="14714" xr:uid="{CFE9DFE0-EF44-4FBE-8B56-133E5B4BEDD9}"/>
    <cellStyle name="Normal 7 4 2 3 2 9" xfId="7167" xr:uid="{1B4BA926-DEEE-4563-AF66-B8E391B5C91A}"/>
    <cellStyle name="Normal 7 4 2 3 2 9 2" xfId="17547" xr:uid="{DF10D89F-BCCA-4387-80B6-AB7E05C0C1C7}"/>
    <cellStyle name="Normal 7 4 2 3 3" xfId="1401" xr:uid="{00000000-0005-0000-0000-000050070000}"/>
    <cellStyle name="Normal 7 4 2 3 3 10" xfId="25005" xr:uid="{74A6D7E1-902E-4E7E-BB83-92D9A50C5297}"/>
    <cellStyle name="Normal 7 4 2 3 3 11" xfId="12787" xr:uid="{DF1EF04B-825C-4097-B6A5-99B5D581394A}"/>
    <cellStyle name="Normal 7 4 2 3 3 2" xfId="2824" xr:uid="{00000000-0005-0000-0000-00003C080000}"/>
    <cellStyle name="Normal 7 4 2 3 3 2 2" xfId="3436" xr:uid="{00000000-0005-0000-0000-00003D080000}"/>
    <cellStyle name="Normal 7 4 2 3 3 2 2 2" xfId="6491" xr:uid="{01988EE1-718A-4D93-8EA9-01FEC39B7208}"/>
    <cellStyle name="Normal 7 4 2 3 3 2 2 2 2" xfId="27744" xr:uid="{DDDDBCEC-506F-4A4E-8ADA-6C2ED5B7708E}"/>
    <cellStyle name="Normal 7 4 2 3 3 2 2 2 3" xfId="16062" xr:uid="{89BA0241-2803-49ED-BE9F-8943AE6E1206}"/>
    <cellStyle name="Normal 7 4 2 3 3 2 2 3" xfId="8515" xr:uid="{57CC34DA-9FBC-43E8-B8D4-EE855EA529F4}"/>
    <cellStyle name="Normal 7 4 2 3 3 2 2 3 2" xfId="18895" xr:uid="{70373274-7FA2-4375-8681-1D2E5ABC0984}"/>
    <cellStyle name="Normal 7 4 2 3 3 2 2 4" xfId="11348" xr:uid="{96B8BDCB-0773-48FE-B053-58ECC4AE6CA5}"/>
    <cellStyle name="Normal 7 4 2 3 3 2 2 4 2" xfId="21728" xr:uid="{3DD57718-6B56-4187-80A9-86ECE7EB5B36}"/>
    <cellStyle name="Normal 7 4 2 3 3 2 2 5" xfId="25258" xr:uid="{2709D340-B516-41A4-B702-79E3836CB00E}"/>
    <cellStyle name="Normal 7 4 2 3 3 2 2 6" xfId="14017" xr:uid="{FC196B02-C99F-4F05-AF34-81F7EDF26714}"/>
    <cellStyle name="Normal 7 4 2 3 3 2 3" xfId="4365" xr:uid="{044F8DE7-ED5B-44A8-8944-6EEABE281F31}"/>
    <cellStyle name="Normal 7 4 2 3 3 2 3 2" xfId="9137" xr:uid="{9EC70713-1A6D-4A67-AF71-358173D64B51}"/>
    <cellStyle name="Normal 7 4 2 3 3 2 3 2 2" xfId="29180" xr:uid="{E676AA79-59EC-4D99-BA27-D7C7A3D23B77}"/>
    <cellStyle name="Normal 7 4 2 3 3 2 3 2 3" xfId="19517" xr:uid="{93731995-B6CE-4607-83F9-73A445DC8241}"/>
    <cellStyle name="Normal 7 4 2 3 3 2 3 3" xfId="11970" xr:uid="{FD7213D9-84F2-45D8-9669-3B61C7E6F6B6}"/>
    <cellStyle name="Normal 7 4 2 3 3 2 3 3 2" xfId="22350" xr:uid="{41AD50BB-7707-40C2-8171-0850E08E0658}"/>
    <cellStyle name="Normal 7 4 2 3 3 2 3 4" xfId="24560" xr:uid="{98B05C9D-ACE6-429A-BFF4-DE3CDFB4569C}"/>
    <cellStyle name="Normal 7 4 2 3 3 2 3 5" xfId="16684" xr:uid="{73E77EB9-E214-455C-8263-A7ED96CD922A}"/>
    <cellStyle name="Normal 7 4 2 3 3 2 4" xfId="6040" xr:uid="{97B9107C-B400-43A1-94BE-40E8FCF146F7}"/>
    <cellStyle name="Normal 7 4 2 3 3 2 4 2" xfId="26455" xr:uid="{8603C08A-6BAE-48DD-AC36-B7AFF09BD670}"/>
    <cellStyle name="Normal 7 4 2 3 3 2 4 3" xfId="15494" xr:uid="{8C9EFA2E-B869-4243-AA5B-9CDAB3C94349}"/>
    <cellStyle name="Normal 7 4 2 3 3 2 5" xfId="7947" xr:uid="{968E5FC0-D0EB-4CA0-95F7-57CF3055E9F1}"/>
    <cellStyle name="Normal 7 4 2 3 3 2 5 2" xfId="18327" xr:uid="{993F9A40-5237-4F93-A0F2-099B4A3B0164}"/>
    <cellStyle name="Normal 7 4 2 3 3 2 6" xfId="10780" xr:uid="{B31B16F7-43DD-48E9-96C0-21C8479A3D7D}"/>
    <cellStyle name="Normal 7 4 2 3 3 2 6 2" xfId="21160" xr:uid="{36FB3E83-4021-4952-B75D-573410442A6A}"/>
    <cellStyle name="Normal 7 4 2 3 3 2 7" xfId="23931" xr:uid="{6B5F3540-BA25-469E-81B0-2DF3A40D8EB9}"/>
    <cellStyle name="Normal 7 4 2 3 3 2 8" xfId="13297" xr:uid="{732B9084-E958-4E44-B824-C9EA722BEF3B}"/>
    <cellStyle name="Normal 7 4 2 3 3 3" xfId="3437" xr:uid="{00000000-0005-0000-0000-00003E080000}"/>
    <cellStyle name="Normal 7 4 2 3 3 3 2" xfId="4577" xr:uid="{1DE9A599-11DA-4A6B-B5D2-21E553D70940}"/>
    <cellStyle name="Normal 7 4 2 3 3 3 2 2" xfId="9349" xr:uid="{49E7BF0F-4AAC-4702-AD80-471A65E7758E}"/>
    <cellStyle name="Normal 7 4 2 3 3 3 2 2 2" xfId="29321" xr:uid="{3B0DCB07-3523-46FB-9843-9AE8184E369C}"/>
    <cellStyle name="Normal 7 4 2 3 3 3 2 2 3" xfId="19729" xr:uid="{AD2E44D6-2FBD-4923-88D1-488B7DA0CCDE}"/>
    <cellStyle name="Normal 7 4 2 3 3 3 2 3" xfId="12182" xr:uid="{35C721A0-2FB9-46B8-A96C-0ACB99ED22D6}"/>
    <cellStyle name="Normal 7 4 2 3 3 3 2 3 2" xfId="22562" xr:uid="{4B4D8D67-3A9A-4762-B45E-9A02DE558232}"/>
    <cellStyle name="Normal 7 4 2 3 3 3 2 4" xfId="25152" xr:uid="{0CB06BCC-FE1E-4396-84B4-96541123C57E}"/>
    <cellStyle name="Normal 7 4 2 3 3 3 2 5" xfId="16896" xr:uid="{5669AC14-9F07-49DE-8DB0-48D0A5DCE652}"/>
    <cellStyle name="Normal 7 4 2 3 3 3 3" xfId="6492" xr:uid="{6E004533-E227-4A58-982A-FC863249EA28}"/>
    <cellStyle name="Normal 7 4 2 3 3 3 3 2" xfId="27091" xr:uid="{C7D07C9F-5701-46BE-A5D6-5D77DCF51F32}"/>
    <cellStyle name="Normal 7 4 2 3 3 3 3 3" xfId="16063" xr:uid="{8BEB9FAD-E7A7-4220-BF00-42F898B98964}"/>
    <cellStyle name="Normal 7 4 2 3 3 3 4" xfId="8516" xr:uid="{FC7C918C-5F82-4FD3-BB2C-2A53357A39F8}"/>
    <cellStyle name="Normal 7 4 2 3 3 3 4 2" xfId="18896" xr:uid="{8CABCAA1-2F74-4979-9477-FD78D1234EE4}"/>
    <cellStyle name="Normal 7 4 2 3 3 3 5" xfId="11349" xr:uid="{925745D4-0F3C-4630-9E3A-01AA31B7C960}"/>
    <cellStyle name="Normal 7 4 2 3 3 3 5 2" xfId="21729" xr:uid="{2F7FDD73-9CF4-4B93-972F-C3131E21665D}"/>
    <cellStyle name="Normal 7 4 2 3 3 3 6" xfId="22708" xr:uid="{F47530FB-C22E-481F-B2EB-AB0C7C194DCE}"/>
    <cellStyle name="Normal 7 4 2 3 3 3 7" xfId="14018" xr:uid="{3F06C1D1-5B71-4E2B-B2C2-FA72A14FBE59}"/>
    <cellStyle name="Normal 7 4 2 3 3 4" xfId="3435" xr:uid="{00000000-0005-0000-0000-00003F080000}"/>
    <cellStyle name="Normal 7 4 2 3 3 4 2" xfId="6490" xr:uid="{FE52D829-CEA9-43C9-9D05-BBE66D0237DF}"/>
    <cellStyle name="Normal 7 4 2 3 3 4 2 2" xfId="27047" xr:uid="{BB9D64A2-FF5A-434D-A24C-5D893C99AFCB}"/>
    <cellStyle name="Normal 7 4 2 3 3 4 2 3" xfId="16061" xr:uid="{5CBC3A4C-9AB1-4197-9072-4BE3E22218D5}"/>
    <cellStyle name="Normal 7 4 2 3 3 4 3" xfId="8514" xr:uid="{95B1BDFE-76EF-48D5-AE18-97DF9EAC4EF1}"/>
    <cellStyle name="Normal 7 4 2 3 3 4 3 2" xfId="18894" xr:uid="{E65410F0-F8B8-44EE-A42E-4231B11984F9}"/>
    <cellStyle name="Normal 7 4 2 3 3 4 4" xfId="11347" xr:uid="{FFCBB6BC-06D1-4F6E-B3AD-2CAE67AF6682}"/>
    <cellStyle name="Normal 7 4 2 3 3 4 4 2" xfId="21727" xr:uid="{6D36AA51-6251-47A6-BEA6-E61346442579}"/>
    <cellStyle name="Normal 7 4 2 3 3 4 5" xfId="23530" xr:uid="{CA63C1D9-529A-4458-A521-F58739AAC9A2}"/>
    <cellStyle name="Normal 7 4 2 3 3 4 6" xfId="14016" xr:uid="{34CE9732-A922-4B0C-813D-1BA3CCDE518D}"/>
    <cellStyle name="Normal 7 4 2 3 3 5" xfId="2640" xr:uid="{00000000-0005-0000-0000-000040080000}"/>
    <cellStyle name="Normal 7 4 2 3 3 5 2" xfId="5902" xr:uid="{06DEE614-DB1E-40C6-98B8-655A5BC840AD}"/>
    <cellStyle name="Normal 7 4 2 3 3 5 2 2" xfId="28085" xr:uid="{E73C0A48-5010-4AF4-BFF8-2779B38CAAE9}"/>
    <cellStyle name="Normal 7 4 2 3 3 5 2 3" xfId="15312" xr:uid="{CD10D29B-1BB9-4033-A72C-20650EA7939B}"/>
    <cellStyle name="Normal 7 4 2 3 3 5 3" xfId="7765" xr:uid="{AAF63A09-5ED6-4AC6-B134-9B9A07206138}"/>
    <cellStyle name="Normal 7 4 2 3 3 5 3 2" xfId="18145" xr:uid="{C28E0031-6504-4AF1-8743-859347CDA388}"/>
    <cellStyle name="Normal 7 4 2 3 3 5 4" xfId="10598" xr:uid="{10CF1869-835D-47E8-8557-5FB1FB45379C}"/>
    <cellStyle name="Normal 7 4 2 3 3 5 4 2" xfId="20978" xr:uid="{02BFD86F-D7FB-4B45-AD29-59895ECBED70}"/>
    <cellStyle name="Normal 7 4 2 3 3 5 5" xfId="24392" xr:uid="{3642CC08-061D-412D-B772-B9BBC8C52747}"/>
    <cellStyle name="Normal 7 4 2 3 3 5 6" xfId="13029" xr:uid="{F2805A81-7243-41C4-92ED-D905A26F3587}"/>
    <cellStyle name="Normal 7 4 2 3 3 6" xfId="4215" xr:uid="{2B11B9DA-3A35-4419-B17F-06112D4DA6AE}"/>
    <cellStyle name="Normal 7 4 2 3 3 6 2" xfId="8987" xr:uid="{55144603-3E18-4EA5-90FC-CC93302FD65D}"/>
    <cellStyle name="Normal 7 4 2 3 3 6 2 2" xfId="19367" xr:uid="{7E7540F5-7CC3-4663-A2BB-5954148FA671}"/>
    <cellStyle name="Normal 7 4 2 3 3 6 3" xfId="11820" xr:uid="{848B8CAE-D016-4566-9EB8-B0DB71A665C1}"/>
    <cellStyle name="Normal 7 4 2 3 3 6 3 2" xfId="22200" xr:uid="{A73647F4-93CF-430B-B492-4A6BD9BE71CC}"/>
    <cellStyle name="Normal 7 4 2 3 3 6 4" xfId="22748" xr:uid="{1023BC0F-D3FA-4D97-B691-C203FC4AE763}"/>
    <cellStyle name="Normal 7 4 2 3 3 6 5" xfId="16534" xr:uid="{45CFAB6B-5A5A-4FBC-A74B-53002E84D396}"/>
    <cellStyle name="Normal 7 4 2 3 3 7" xfId="5419" xr:uid="{35CB26D5-D276-425C-BAEA-79EE79A1F237}"/>
    <cellStyle name="Normal 7 4 2 3 3 7 2" xfId="14716" xr:uid="{33CBB5DD-991C-4EF6-BD53-3DB90CCF121C}"/>
    <cellStyle name="Normal 7 4 2 3 3 8" xfId="7169" xr:uid="{AC6F9BAC-8D75-4682-834E-C6C99FF0AE1D}"/>
    <cellStyle name="Normal 7 4 2 3 3 8 2" xfId="17549" xr:uid="{C320B0C3-2ADA-4F75-B0F5-3D83AFF2FB73}"/>
    <cellStyle name="Normal 7 4 2 3 3 9" xfId="10002" xr:uid="{DE4E08E6-0590-4940-A5A1-118E1F7254D1}"/>
    <cellStyle name="Normal 7 4 2 3 3 9 2" xfId="20382" xr:uid="{EAAF0476-701F-43F9-935E-525B6C9B205C}"/>
    <cellStyle name="Normal 7 4 2 3 4" xfId="1402" xr:uid="{00000000-0005-0000-0000-000051070000}"/>
    <cellStyle name="Normal 7 4 2 3 4 2" xfId="3438" xr:uid="{00000000-0005-0000-0000-000042080000}"/>
    <cellStyle name="Normal 7 4 2 3 4 2 2" xfId="6493" xr:uid="{6B211D80-0DCD-44B2-BE9D-58814ECC93F8}"/>
    <cellStyle name="Normal 7 4 2 3 4 2 2 2" xfId="26409" xr:uid="{105A0BFE-232B-4E6F-9EFD-C683CCCE8D3D}"/>
    <cellStyle name="Normal 7 4 2 3 4 2 2 3" xfId="16064" xr:uid="{0853C75B-EACD-4A0D-B8A4-3BB768EA7535}"/>
    <cellStyle name="Normal 7 4 2 3 4 2 3" xfId="8517" xr:uid="{C5E36588-58E5-4EDA-B035-E11519CAF348}"/>
    <cellStyle name="Normal 7 4 2 3 4 2 3 2" xfId="18897" xr:uid="{4B35EC2E-817E-4379-9348-55F7384F7A7A}"/>
    <cellStyle name="Normal 7 4 2 3 4 2 4" xfId="11350" xr:uid="{D795733E-893B-43A1-9D31-A3FD808972AA}"/>
    <cellStyle name="Normal 7 4 2 3 4 2 4 2" xfId="21730" xr:uid="{2B197E8E-C719-42DD-80FA-C4863AF729E3}"/>
    <cellStyle name="Normal 7 4 2 3 4 2 5" xfId="23234" xr:uid="{B2433BA5-93B2-48C3-8C0E-A022BC6B3F0A}"/>
    <cellStyle name="Normal 7 4 2 3 4 2 6" xfId="14019" xr:uid="{ECBC3F6B-B96E-4288-8DBF-45F6589C947D}"/>
    <cellStyle name="Normal 7 4 2 3 4 3" xfId="4363" xr:uid="{B22B2C28-8B7E-4D9A-BB80-121388E1EADB}"/>
    <cellStyle name="Normal 7 4 2 3 4 3 2" xfId="9135" xr:uid="{5B75D42C-5855-4C09-BEF3-B16F1CBAB7EF}"/>
    <cellStyle name="Normal 7 4 2 3 4 3 2 2" xfId="29178" xr:uid="{D601270E-C94E-4453-8AEC-A0E2E3E7B2DD}"/>
    <cellStyle name="Normal 7 4 2 3 4 3 2 3" xfId="19515" xr:uid="{38CD3105-4B2E-4FDD-A5F6-05B6BDEBF0E9}"/>
    <cellStyle name="Normal 7 4 2 3 4 3 3" xfId="11968" xr:uid="{07E7D6A9-7F3B-4D4E-99DA-E2D69A5D965E}"/>
    <cellStyle name="Normal 7 4 2 3 4 3 3 2" xfId="22348" xr:uid="{A733B062-B38B-4F97-8EB3-53E8DB504F27}"/>
    <cellStyle name="Normal 7 4 2 3 4 3 4" xfId="23168" xr:uid="{8077C8A8-E37E-4916-99C0-B66DCD9059A0}"/>
    <cellStyle name="Normal 7 4 2 3 4 3 5" xfId="16682" xr:uid="{27FA9808-82E3-4143-9A84-50137F7EE0A4}"/>
    <cellStyle name="Normal 7 4 2 3 4 4" xfId="5420" xr:uid="{1CCA2808-F3D0-43BE-BE99-EB7EE5FA592C}"/>
    <cellStyle name="Normal 7 4 2 3 4 4 2" xfId="27408" xr:uid="{546EEC58-C751-4718-B1A5-0437D059B702}"/>
    <cellStyle name="Normal 7 4 2 3 4 4 3" xfId="14717" xr:uid="{3AEDFBEE-A180-493C-B1DF-3CB2C9B06A58}"/>
    <cellStyle name="Normal 7 4 2 3 4 5" xfId="7170" xr:uid="{3AE37D08-FF7A-4EAD-B0AC-1357A731F114}"/>
    <cellStyle name="Normal 7 4 2 3 4 5 2" xfId="17550" xr:uid="{815136FD-09BE-4716-8114-FC0E2378FBE7}"/>
    <cellStyle name="Normal 7 4 2 3 4 6" xfId="10003" xr:uid="{CF8D9611-3354-4D0A-B242-9C205EA5DAED}"/>
    <cellStyle name="Normal 7 4 2 3 4 6 2" xfId="20383" xr:uid="{56A197B3-D2B5-430A-8BDC-862329EFB3C6}"/>
    <cellStyle name="Normal 7 4 2 3 4 7" xfId="25147" xr:uid="{42C3A5EB-114C-451B-90D0-B1C48D26644D}"/>
    <cellStyle name="Normal 7 4 2 3 4 8" xfId="13295" xr:uid="{66E7FE57-C50F-473F-A48E-83E2AAFD69B6}"/>
    <cellStyle name="Normal 7 4 2 3 5" xfId="3439" xr:uid="{00000000-0005-0000-0000-000043080000}"/>
    <cellStyle name="Normal 7 4 2 3 5 2" xfId="4578" xr:uid="{8D41DCDF-9867-4A7F-9391-7F4DE0309B96}"/>
    <cellStyle name="Normal 7 4 2 3 5 2 2" xfId="9350" xr:uid="{394D0FF3-3020-43A5-B7E3-326A51684203}"/>
    <cellStyle name="Normal 7 4 2 3 5 2 2 2" xfId="29322" xr:uid="{8876C79D-FF2C-4A1F-BC0C-11645524FAFF}"/>
    <cellStyle name="Normal 7 4 2 3 5 2 2 3" xfId="19730" xr:uid="{859E6A7D-14EE-45E3-8CA4-EBA984483543}"/>
    <cellStyle name="Normal 7 4 2 3 5 2 3" xfId="12183" xr:uid="{0A929E14-F3C2-4BC2-B93F-36482BBA9C07}"/>
    <cellStyle name="Normal 7 4 2 3 5 2 3 2" xfId="22563" xr:uid="{56FC7E13-67D6-44D1-A502-931184BA5298}"/>
    <cellStyle name="Normal 7 4 2 3 5 2 4" xfId="22798" xr:uid="{DF4B6DC9-CDB8-4A61-977F-D668ECD7A265}"/>
    <cellStyle name="Normal 7 4 2 3 5 2 5" xfId="16897" xr:uid="{5EEF3B0A-42C2-4CCE-B7E6-6FC59218785A}"/>
    <cellStyle name="Normal 7 4 2 3 5 3" xfId="6494" xr:uid="{E64F39CB-9B25-44E1-9DAA-51A89B2615E2}"/>
    <cellStyle name="Normal 7 4 2 3 5 3 2" xfId="26953" xr:uid="{73A7E2FD-9F60-45BE-B5F3-8EFD0A60A280}"/>
    <cellStyle name="Normal 7 4 2 3 5 3 3" xfId="16065" xr:uid="{FD54B8D9-1ACF-4D0A-81FC-B6C623754D97}"/>
    <cellStyle name="Normal 7 4 2 3 5 4" xfId="8518" xr:uid="{F3A3247E-1F8B-4CF6-8C0D-421FDFA5BBAD}"/>
    <cellStyle name="Normal 7 4 2 3 5 4 2" xfId="18898" xr:uid="{BE9CB8BE-3158-4E13-9692-25B98293D676}"/>
    <cellStyle name="Normal 7 4 2 3 5 5" xfId="11351" xr:uid="{9F13FFA7-DB84-4346-BFF7-B01B3F23E21E}"/>
    <cellStyle name="Normal 7 4 2 3 5 5 2" xfId="21731" xr:uid="{3CA28E00-BC65-4934-BF57-8354A2966191}"/>
    <cellStyle name="Normal 7 4 2 3 5 6" xfId="25512" xr:uid="{C46F287D-3C82-4069-AD2C-BEFBDD3A6D7B}"/>
    <cellStyle name="Normal 7 4 2 3 5 7" xfId="14020" xr:uid="{5B6BC0C1-901D-4342-9972-37A67B926C80}"/>
    <cellStyle name="Normal 7 4 2 3 6" xfId="2988" xr:uid="{00000000-0005-0000-0000-000044080000}"/>
    <cellStyle name="Normal 7 4 2 3 6 2" xfId="6138" xr:uid="{01E3796D-D798-48FE-9C0C-E4A00DDA0B07}"/>
    <cellStyle name="Normal 7 4 2 3 6 2 2" xfId="28501" xr:uid="{B49D196C-F27B-4945-A279-8C8D3D7969FE}"/>
    <cellStyle name="Normal 7 4 2 3 6 2 3" xfId="15616" xr:uid="{FFE3F257-7A6B-4386-A5EE-044B6274A04B}"/>
    <cellStyle name="Normal 7 4 2 3 6 3" xfId="8069" xr:uid="{5CDCC030-ED7E-404A-8EB4-4195BA0A9905}"/>
    <cellStyle name="Normal 7 4 2 3 6 3 2" xfId="18449" xr:uid="{6728291F-1EA2-414E-99AC-C1AF79F89D77}"/>
    <cellStyle name="Normal 7 4 2 3 6 4" xfId="10902" xr:uid="{28123847-7C3C-45B0-86FE-4A2C73DDAB30}"/>
    <cellStyle name="Normal 7 4 2 3 6 4 2" xfId="21282" xr:uid="{0B46FCF6-E7D4-4F9A-AFAB-7EC8AAEA7E70}"/>
    <cellStyle name="Normal 7 4 2 3 6 5" xfId="23161" xr:uid="{1AAEDB47-B1A5-420D-B674-153C8B07D0D6}"/>
    <cellStyle name="Normal 7 4 2 3 6 6" xfId="13485" xr:uid="{1ADD431F-70F2-44A6-81E0-DAA66D789110}"/>
    <cellStyle name="Normal 7 4 2 3 7" xfId="2478" xr:uid="{00000000-0005-0000-0000-000045080000}"/>
    <cellStyle name="Normal 7 4 2 3 7 2" xfId="5766" xr:uid="{0F3E1F4B-AB2E-4AE5-8439-F1D7EF399285}"/>
    <cellStyle name="Normal 7 4 2 3 7 2 2" xfId="26816" xr:uid="{75FF0B01-19AC-4C89-8180-56355C6ECBA7}"/>
    <cellStyle name="Normal 7 4 2 3 7 2 3" xfId="15150" xr:uid="{74D3FD33-3603-4E3B-B24D-B6ED820152BA}"/>
    <cellStyle name="Normal 7 4 2 3 7 3" xfId="7603" xr:uid="{0FEB3F89-9078-4CB6-AE8F-29C654BECED4}"/>
    <cellStyle name="Normal 7 4 2 3 7 3 2" xfId="17983" xr:uid="{F9474757-1AD0-4A3D-9E5A-1CE831E8B1EB}"/>
    <cellStyle name="Normal 7 4 2 3 7 4" xfId="10436" xr:uid="{278F2BDF-7C69-42C3-8BB8-878886F0C70A}"/>
    <cellStyle name="Normal 7 4 2 3 7 4 2" xfId="20816" xr:uid="{645EA7CB-4B75-499B-A8FD-2B0785300611}"/>
    <cellStyle name="Normal 7 4 2 3 7 5" xfId="24653" xr:uid="{14B94698-E5C2-4A3C-8A3D-2190C517C682}"/>
    <cellStyle name="Normal 7 4 2 3 7 6" xfId="12866" xr:uid="{0395CA8B-9539-4DD3-94A5-4F953090C76C}"/>
    <cellStyle name="Normal 7 4 2 3 8" xfId="2232" xr:uid="{00000000-0005-0000-0000-000034080000}"/>
    <cellStyle name="Normal 7 4 2 3 8 2" xfId="7359" xr:uid="{ABAE7B4A-5509-467D-9412-919A82B4558E}"/>
    <cellStyle name="Normal 7 4 2 3 8 2 2" xfId="17739" xr:uid="{9D2221FC-A8E9-49F3-BB92-D516393964F2}"/>
    <cellStyle name="Normal 7 4 2 3 8 3" xfId="10192" xr:uid="{042DD87E-6450-4539-81F7-DD2736D6138A}"/>
    <cellStyle name="Normal 7 4 2 3 8 3 2" xfId="20572" xr:uid="{3074D180-A790-43CA-8AF6-F0EB8702F7F8}"/>
    <cellStyle name="Normal 7 4 2 3 8 4" xfId="24953" xr:uid="{61479AF8-0B85-4185-A702-0CA42A33AD86}"/>
    <cellStyle name="Normal 7 4 2 3 8 5" xfId="14906" xr:uid="{91989871-B108-4928-9C4D-6CEAB55A48F6}"/>
    <cellStyle name="Normal 7 4 2 3 9" xfId="4063" xr:uid="{FFCED617-206A-483C-934D-7BCD0DED1567}"/>
    <cellStyle name="Normal 7 4 2 3 9 2" xfId="8843" xr:uid="{559A6206-591B-46D5-A69A-CA6C5CB41531}"/>
    <cellStyle name="Normal 7 4 2 3 9 2 2" xfId="19223" xr:uid="{E5B720D8-CE51-4AD5-8877-519B75180EE1}"/>
    <cellStyle name="Normal 7 4 2 3 9 3" xfId="11676" xr:uid="{A2219D8D-D89A-47FF-8831-7EA7854031E1}"/>
    <cellStyle name="Normal 7 4 2 3 9 3 2" xfId="22056" xr:uid="{93530434-315F-4A5C-80CC-1E41AE188AAE}"/>
    <cellStyle name="Normal 7 4 2 3 9 4" xfId="16390" xr:uid="{14217679-016B-4408-8BFC-3F2123797ADE}"/>
    <cellStyle name="Normal 7 4 2 4" xfId="1403" xr:uid="{00000000-0005-0000-0000-000052070000}"/>
    <cellStyle name="Normal 7 4 2 4 10" xfId="7171" xr:uid="{B931BC08-D4DA-4743-8933-B44C8A7C2202}"/>
    <cellStyle name="Normal 7 4 2 4 10 2" xfId="17551" xr:uid="{D2F57CD4-372B-451D-ABEE-23E915F629F6}"/>
    <cellStyle name="Normal 7 4 2 4 11" xfId="10004" xr:uid="{02A2C318-68A2-4898-A3B9-5149781E387B}"/>
    <cellStyle name="Normal 7 4 2 4 11 2" xfId="20384" xr:uid="{FE7ADACE-F28A-4BE5-9CA1-2A9B4122D6E0}"/>
    <cellStyle name="Normal 7 4 2 4 12" xfId="25146" xr:uid="{810F2310-A9E5-4F5B-AF0B-88D7042AB924}"/>
    <cellStyle name="Normal 7 4 2 4 13" xfId="12444" xr:uid="{17E98E0C-4EAB-4941-B071-E713A1D6DFFE}"/>
    <cellStyle name="Normal 7 4 2 4 2" xfId="1404" xr:uid="{00000000-0005-0000-0000-000053070000}"/>
    <cellStyle name="Normal 7 4 2 4 2 10" xfId="10005" xr:uid="{1645BABD-3E68-4A2C-9FE0-C3BD3BDE9EE2}"/>
    <cellStyle name="Normal 7 4 2 4 2 10 2" xfId="20385" xr:uid="{2E2ABC91-4A6F-4231-B91E-F2E4A7D3E3A3}"/>
    <cellStyle name="Normal 7 4 2 4 2 11" xfId="25585" xr:uid="{C2DE54F0-1EB7-42DA-A420-A65F2BAFE32B}"/>
    <cellStyle name="Normal 7 4 2 4 2 12" xfId="12630" xr:uid="{3C5934F1-5D4C-4ED1-8E3F-757D1B63E7DC}"/>
    <cellStyle name="Normal 7 4 2 4 2 2" xfId="1405" xr:uid="{00000000-0005-0000-0000-000054070000}"/>
    <cellStyle name="Normal 7 4 2 4 2 2 2" xfId="3441" xr:uid="{00000000-0005-0000-0000-000049080000}"/>
    <cellStyle name="Normal 7 4 2 4 2 2 2 2" xfId="6496" xr:uid="{E8C9FC17-B5BD-46DE-A7CB-10285394DB4C}"/>
    <cellStyle name="Normal 7 4 2 4 2 2 2 2 2" xfId="28498" xr:uid="{6128ADAE-DDCF-46E9-B274-0FC7BF54E073}"/>
    <cellStyle name="Normal 7 4 2 4 2 2 2 2 3" xfId="26057" xr:uid="{F0A1874E-C620-486D-8060-5D7C6C2C338C}"/>
    <cellStyle name="Normal 7 4 2 4 2 2 2 2 4" xfId="16067" xr:uid="{A132EF9A-BCC6-47CE-9940-19AB1B9EE32D}"/>
    <cellStyle name="Normal 7 4 2 4 2 2 2 3" xfId="8520" xr:uid="{70345AB6-28FA-4A6B-8776-0BA46C129244}"/>
    <cellStyle name="Normal 7 4 2 4 2 2 2 3 2" xfId="28936" xr:uid="{9EFB8EE6-788C-4595-A058-72D87940C73C}"/>
    <cellStyle name="Normal 7 4 2 4 2 2 2 3 3" xfId="18900" xr:uid="{1D88C5AC-56EB-4E83-A35F-070EB8EADD6C}"/>
    <cellStyle name="Normal 7 4 2 4 2 2 2 4" xfId="11353" xr:uid="{AC20873F-D2B4-4F5D-83AD-FF482A6C530B}"/>
    <cellStyle name="Normal 7 4 2 4 2 2 2 4 2" xfId="21733" xr:uid="{3238790B-5B1A-48D6-ABED-E347715489F3}"/>
    <cellStyle name="Normal 7 4 2 4 2 2 2 5" xfId="25263" xr:uid="{10019D3C-0701-4C06-9468-8695FB682D51}"/>
    <cellStyle name="Normal 7 4 2 4 2 2 2 6" xfId="14022" xr:uid="{E7C9B11C-99D1-41A5-80CD-C69707957650}"/>
    <cellStyle name="Normal 7 4 2 4 2 2 3" xfId="4366" xr:uid="{AAAEB657-D454-4295-AD7A-18F093B61451}"/>
    <cellStyle name="Normal 7 4 2 4 2 2 3 2" xfId="9138" xr:uid="{E9C25ECD-8D03-4F99-8FEA-D1B20A035017}"/>
    <cellStyle name="Normal 7 4 2 4 2 2 3 2 2" xfId="29181" xr:uid="{1E2F13CE-BB14-4AE9-9D02-823BA19C5333}"/>
    <cellStyle name="Normal 7 4 2 4 2 2 3 2 3" xfId="19518" xr:uid="{F1227117-9D3D-49C9-9A12-FA2559C8851E}"/>
    <cellStyle name="Normal 7 4 2 4 2 2 3 3" xfId="11971" xr:uid="{8CBFE4FB-0706-4030-9D52-7E0E3C598942}"/>
    <cellStyle name="Normal 7 4 2 4 2 2 3 3 2" xfId="22351" xr:uid="{03A447AF-7168-41C3-8583-196053D85370}"/>
    <cellStyle name="Normal 7 4 2 4 2 2 3 4" xfId="24444" xr:uid="{63BBBCFA-5B6B-4D4F-B11E-66772F893E60}"/>
    <cellStyle name="Normal 7 4 2 4 2 2 3 5" xfId="16685" xr:uid="{EC6CF39E-538C-4150-9DC0-9DC18579863C}"/>
    <cellStyle name="Normal 7 4 2 4 2 2 4" xfId="5423" xr:uid="{A49531EF-9E07-48B3-A00B-F9C45AAB621D}"/>
    <cellStyle name="Normal 7 4 2 4 2 2 4 2" xfId="27872" xr:uid="{0284E31A-A0AE-4136-B002-88D0E48ED855}"/>
    <cellStyle name="Normal 7 4 2 4 2 2 4 3" xfId="14720" xr:uid="{3FBA4BA8-E898-47A2-87CB-B0C816B568B1}"/>
    <cellStyle name="Normal 7 4 2 4 2 2 5" xfId="7173" xr:uid="{B71CDECA-3C7C-4478-B8B8-709B814A9314}"/>
    <cellStyle name="Normal 7 4 2 4 2 2 5 2" xfId="17553" xr:uid="{2CAD84AB-C5E0-42CA-868B-31FD631168BD}"/>
    <cellStyle name="Normal 7 4 2 4 2 2 6" xfId="10006" xr:uid="{95FCDA98-9992-470E-AB8C-B0FB05056341}"/>
    <cellStyle name="Normal 7 4 2 4 2 2 6 2" xfId="20386" xr:uid="{6B8F8F77-21D3-4083-86B9-922B1B8F4454}"/>
    <cellStyle name="Normal 7 4 2 4 2 2 7" xfId="25394" xr:uid="{19780167-0E7D-40DE-8011-0AEF26FE54F6}"/>
    <cellStyle name="Normal 7 4 2 4 2 2 8" xfId="13299" xr:uid="{8ACA14C7-1070-4824-BFA2-14F062EEFC52}"/>
    <cellStyle name="Normal 7 4 2 4 2 3" xfId="3442" xr:uid="{00000000-0005-0000-0000-00004A080000}"/>
    <cellStyle name="Normal 7 4 2 4 2 3 2" xfId="4579" xr:uid="{CCB6D9DF-D0CD-410E-A00E-4015EECB64E3}"/>
    <cellStyle name="Normal 7 4 2 4 2 3 2 2" xfId="9351" xr:uid="{DCC4F88B-7732-4D33-AB0A-ACD57DDEFD07}"/>
    <cellStyle name="Normal 7 4 2 4 2 3 2 2 2" xfId="29323" xr:uid="{EAEDB75C-7A44-4BAC-809D-8A82933E7BAA}"/>
    <cellStyle name="Normal 7 4 2 4 2 3 2 2 3" xfId="19731" xr:uid="{C4944783-D8FE-4DB4-9BA3-1E82BC34A028}"/>
    <cellStyle name="Normal 7 4 2 4 2 3 2 3" xfId="12184" xr:uid="{63CFBB8E-16F7-4C1A-AB42-20FA8D1C2393}"/>
    <cellStyle name="Normal 7 4 2 4 2 3 2 3 2" xfId="22564" xr:uid="{DA11D50E-5310-4C95-BB1C-20F4BEC4F76C}"/>
    <cellStyle name="Normal 7 4 2 4 2 3 2 4" xfId="24893" xr:uid="{EFEA5569-7CF3-474B-9905-D0D2DC77FBF8}"/>
    <cellStyle name="Normal 7 4 2 4 2 3 2 5" xfId="16898" xr:uid="{0E5F3F5E-2569-480A-BD19-2D210D3EFEF1}"/>
    <cellStyle name="Normal 7 4 2 4 2 3 3" xfId="6497" xr:uid="{FC48F7E8-8C0B-4B98-920B-2B0286FFE23E}"/>
    <cellStyle name="Normal 7 4 2 4 2 3 3 2" xfId="26405" xr:uid="{8B57975D-7B57-431F-AFA0-EBA90D5B2B6C}"/>
    <cellStyle name="Normal 7 4 2 4 2 3 3 3" xfId="16068" xr:uid="{2A7D4FCE-1B9E-4852-AC0F-593CFCD45E82}"/>
    <cellStyle name="Normal 7 4 2 4 2 3 4" xfId="8521" xr:uid="{D1D8E662-D92E-4D4B-94D1-4C0F3D9F39C7}"/>
    <cellStyle name="Normal 7 4 2 4 2 3 4 2" xfId="18901" xr:uid="{176AC416-85F2-4EA1-98E9-D00E0F615140}"/>
    <cellStyle name="Normal 7 4 2 4 2 3 5" xfId="11354" xr:uid="{A3A31C55-FA9D-4957-AC49-F573427A00BD}"/>
    <cellStyle name="Normal 7 4 2 4 2 3 5 2" xfId="21734" xr:uid="{4208DEC8-C6B4-4F37-AE56-6E605E8F1340}"/>
    <cellStyle name="Normal 7 4 2 4 2 3 6" xfId="22904" xr:uid="{E79FD255-219F-431F-B3E1-304FCA6F2C15}"/>
    <cellStyle name="Normal 7 4 2 4 2 3 7" xfId="14023" xr:uid="{66C257AD-4F3F-4013-A144-D476057269C4}"/>
    <cellStyle name="Normal 7 4 2 4 2 4" xfId="3440" xr:uid="{00000000-0005-0000-0000-00004B080000}"/>
    <cellStyle name="Normal 7 4 2 4 2 4 2" xfId="6495" xr:uid="{8BFE9F11-3954-4689-A786-FF2F9CA2A262}"/>
    <cellStyle name="Normal 7 4 2 4 2 4 2 2" xfId="28690" xr:uid="{ABA22034-8D3B-4C73-BE6F-D2077FE629EA}"/>
    <cellStyle name="Normal 7 4 2 4 2 4 2 3" xfId="16066" xr:uid="{2A6EF921-F2BD-45E7-A868-1589E9226A65}"/>
    <cellStyle name="Normal 7 4 2 4 2 4 3" xfId="8519" xr:uid="{DCCF92C3-CC7E-4C8F-AEDD-59D0FF0D089E}"/>
    <cellStyle name="Normal 7 4 2 4 2 4 3 2" xfId="18899" xr:uid="{705A7120-817A-4C9A-BBCD-AACCFACFC8FC}"/>
    <cellStyle name="Normal 7 4 2 4 2 4 4" xfId="11352" xr:uid="{D3544EA9-18B3-4A20-9D02-82043860A9CE}"/>
    <cellStyle name="Normal 7 4 2 4 2 4 4 2" xfId="21732" xr:uid="{62695414-01F9-4B16-BCA5-61906A892137}"/>
    <cellStyle name="Normal 7 4 2 4 2 4 5" xfId="23196" xr:uid="{48CCD019-64F1-476C-B343-2B3A06260B3B}"/>
    <cellStyle name="Normal 7 4 2 4 2 4 6" xfId="14021" xr:uid="{C34C3CA7-8B84-48A6-9B55-231CA1F929A4}"/>
    <cellStyle name="Normal 7 4 2 4 2 5" xfId="2621" xr:uid="{00000000-0005-0000-0000-00004C080000}"/>
    <cellStyle name="Normal 7 4 2 4 2 5 2" xfId="5883" xr:uid="{162F9534-4603-4EE7-BCC8-40DE9EB70162}"/>
    <cellStyle name="Normal 7 4 2 4 2 5 2 2" xfId="28453" xr:uid="{432BB97B-CC7F-4191-B8E3-A032AAD42965}"/>
    <cellStyle name="Normal 7 4 2 4 2 5 2 3" xfId="15293" xr:uid="{DC5DDE3B-36F3-4DB0-B0DA-D7BC83D2CD80}"/>
    <cellStyle name="Normal 7 4 2 4 2 5 3" xfId="7746" xr:uid="{8E2B9F89-271A-4C79-A763-2730A62961D8}"/>
    <cellStyle name="Normal 7 4 2 4 2 5 3 2" xfId="18126" xr:uid="{49C4C12B-032E-451E-A41E-E0B0DC138CE7}"/>
    <cellStyle name="Normal 7 4 2 4 2 5 4" xfId="10579" xr:uid="{A375E6AF-717E-4EF7-89CA-4CEAE9232747}"/>
    <cellStyle name="Normal 7 4 2 4 2 5 4 2" xfId="20959" xr:uid="{E3B04979-6F30-4D1B-8080-ADDFE1C047E3}"/>
    <cellStyle name="Normal 7 4 2 4 2 5 5" xfId="23959" xr:uid="{7B1FEF56-7F74-4BF5-AE76-88645295563C}"/>
    <cellStyle name="Normal 7 4 2 4 2 5 6" xfId="13009" xr:uid="{16D03AE3-FE86-45E0-ADF6-CAA03FDB5F2B}"/>
    <cellStyle name="Normal 7 4 2 4 2 6" xfId="2396" xr:uid="{00000000-0005-0000-0000-000047080000}"/>
    <cellStyle name="Normal 7 4 2 4 2 6 2" xfId="7523" xr:uid="{A76C84AC-D7FA-4E67-9B80-783C24274E18}"/>
    <cellStyle name="Normal 7 4 2 4 2 6 2 2" xfId="17903" xr:uid="{7735C72A-AB3A-44DB-B9CF-A60B23D5E96A}"/>
    <cellStyle name="Normal 7 4 2 4 2 6 3" xfId="10356" xr:uid="{9B054F36-4AFC-4E50-95A8-8DE63B3958E8}"/>
    <cellStyle name="Normal 7 4 2 4 2 6 3 2" xfId="20736" xr:uid="{EB380360-1AFA-4882-9966-DAE9B36363C1}"/>
    <cellStyle name="Normal 7 4 2 4 2 6 4" xfId="25489" xr:uid="{09B3EF65-0309-4500-B88F-8E69AE4097C5}"/>
    <cellStyle name="Normal 7 4 2 4 2 6 5" xfId="15070" xr:uid="{A5C5DB98-FDCA-4207-B138-48665FC4E7B5}"/>
    <cellStyle name="Normal 7 4 2 4 2 7" xfId="4100" xr:uid="{A615A8D1-6A36-46E2-847B-4878C02125FD}"/>
    <cellStyle name="Normal 7 4 2 4 2 7 2" xfId="8874" xr:uid="{4114F29A-80CA-48BA-BC1A-8A2FAF071ABD}"/>
    <cellStyle name="Normal 7 4 2 4 2 7 2 2" xfId="19254" xr:uid="{E86CC324-85D1-497C-90CD-2BE9A961181D}"/>
    <cellStyle name="Normal 7 4 2 4 2 7 3" xfId="11707" xr:uid="{D3D5E542-88E0-4657-9D32-3E8609667CC3}"/>
    <cellStyle name="Normal 7 4 2 4 2 7 3 2" xfId="22087" xr:uid="{49CD2A9E-CFD2-4895-9D5D-91A18746A95B}"/>
    <cellStyle name="Normal 7 4 2 4 2 7 4" xfId="16421" xr:uid="{573C1003-EB8C-41D1-911F-FF5B21F44878}"/>
    <cellStyle name="Normal 7 4 2 4 2 8" xfId="5422" xr:uid="{766CFB2F-622E-4F25-9D22-96633E84BE1A}"/>
    <cellStyle name="Normal 7 4 2 4 2 8 2" xfId="14719" xr:uid="{72593861-B15E-4F5A-B0ED-7813F2715FBA}"/>
    <cellStyle name="Normal 7 4 2 4 2 9" xfId="7172" xr:uid="{48407797-F7AC-41D5-9E6F-81908B182441}"/>
    <cellStyle name="Normal 7 4 2 4 2 9 2" xfId="17552" xr:uid="{2C17603D-9B4C-44AA-A0EF-A8718814D834}"/>
    <cellStyle name="Normal 7 4 2 4 3" xfId="1406" xr:uid="{00000000-0005-0000-0000-000055070000}"/>
    <cellStyle name="Normal 7 4 2 4 3 2" xfId="3443" xr:uid="{00000000-0005-0000-0000-00004E080000}"/>
    <cellStyle name="Normal 7 4 2 4 3 2 2" xfId="6498" xr:uid="{68305674-C797-40C7-BB0C-81EF594659BA}"/>
    <cellStyle name="Normal 7 4 2 4 3 2 2 2" xfId="24525" xr:uid="{3F4DC59D-B533-4571-A31D-7C9B281553C4}"/>
    <cellStyle name="Normal 7 4 2 4 3 2 2 3" xfId="28714" xr:uid="{DB599F82-26D9-4742-872D-E4677E884F2C}"/>
    <cellStyle name="Normal 7 4 2 4 3 2 2 4" xfId="16069" xr:uid="{BB2C2468-C0C3-4BD9-9CD2-9D2AB98CCE65}"/>
    <cellStyle name="Normal 7 4 2 4 3 2 3" xfId="8522" xr:uid="{517069DC-E7A8-4BCE-9CE2-9C298EBA0CEE}"/>
    <cellStyle name="Normal 7 4 2 4 3 2 3 2" xfId="28937" xr:uid="{7F8F8EDB-BB5E-42D6-8D7E-5DD70CC18786}"/>
    <cellStyle name="Normal 7 4 2 4 3 2 3 3" xfId="18902" xr:uid="{A0FA28BF-EE20-4B04-B3E4-3723FE6E22C8}"/>
    <cellStyle name="Normal 7 4 2 4 3 2 4" xfId="11355" xr:uid="{9691508A-27FF-4475-90DA-7B47F2D70909}"/>
    <cellStyle name="Normal 7 4 2 4 3 2 4 2" xfId="21735" xr:uid="{F53DEC85-5C19-4421-875A-2ACB2AA8D5BC}"/>
    <cellStyle name="Normal 7 4 2 4 3 2 5" xfId="23286" xr:uid="{7A6F7BD0-63DA-4862-8C6B-2B31A4FA3DFF}"/>
    <cellStyle name="Normal 7 4 2 4 3 2 6" xfId="14024" xr:uid="{C2486EEF-2D65-4552-A92C-6FF30E073B7A}"/>
    <cellStyle name="Normal 7 4 2 4 3 3" xfId="2825" xr:uid="{00000000-0005-0000-0000-00004F080000}"/>
    <cellStyle name="Normal 7 4 2 4 3 3 2" xfId="6041" xr:uid="{535C257E-5D4B-4198-82C8-E999FA9B3136}"/>
    <cellStyle name="Normal 7 4 2 4 3 3 2 2" xfId="27839" xr:uid="{EEAA24A5-4A7E-4F43-8F1E-8F52A537B74C}"/>
    <cellStyle name="Normal 7 4 2 4 3 3 2 3" xfId="15495" xr:uid="{31FE131C-62EE-44A7-AE47-D7F356754560}"/>
    <cellStyle name="Normal 7 4 2 4 3 3 3" xfId="7948" xr:uid="{25908E5D-77DD-4DF7-A949-876FCE3A4C83}"/>
    <cellStyle name="Normal 7 4 2 4 3 3 3 2" xfId="18328" xr:uid="{FBE47FA9-E084-4D46-83E2-26DD38C83757}"/>
    <cellStyle name="Normal 7 4 2 4 3 3 4" xfId="10781" xr:uid="{4B6532DA-BE75-4F6B-9AA2-05E530E0D4B3}"/>
    <cellStyle name="Normal 7 4 2 4 3 3 4 2" xfId="21161" xr:uid="{56285DC4-1A64-4C00-9D6E-A46781D91D64}"/>
    <cellStyle name="Normal 7 4 2 4 3 3 5" xfId="24120" xr:uid="{F557AC7F-F932-4E72-860B-1C1103051EA8}"/>
    <cellStyle name="Normal 7 4 2 4 3 3 6" xfId="13298" xr:uid="{64ADBB3E-2E50-43E0-BE71-4AF34A909986}"/>
    <cellStyle name="Normal 7 4 2 4 3 4" xfId="4216" xr:uid="{B598CC0D-41CE-4725-B55D-D9DBCBCCE81B}"/>
    <cellStyle name="Normal 7 4 2 4 3 4 2" xfId="8988" xr:uid="{346B4F6C-A1D7-4323-9FA6-6941310BCCD1}"/>
    <cellStyle name="Normal 7 4 2 4 3 4 2 2" xfId="29067" xr:uid="{C2A895EB-C6F8-4540-A260-580F69B5AEC5}"/>
    <cellStyle name="Normal 7 4 2 4 3 4 2 3" xfId="19368" xr:uid="{BBF76C09-54D7-450F-BF03-265396877F8D}"/>
    <cellStyle name="Normal 7 4 2 4 3 4 3" xfId="11821" xr:uid="{8C4A0A73-B6EA-49D5-9784-3724AB2703C1}"/>
    <cellStyle name="Normal 7 4 2 4 3 4 3 2" xfId="22201" xr:uid="{2AD8131C-1897-4EBD-9AA5-6E49E2A2711F}"/>
    <cellStyle name="Normal 7 4 2 4 3 4 4" xfId="23621" xr:uid="{977F998E-7DDA-43D2-B84A-A004A2443B61}"/>
    <cellStyle name="Normal 7 4 2 4 3 4 5" xfId="16535" xr:uid="{271A7751-C7A8-406B-A22A-45FCCD866C81}"/>
    <cellStyle name="Normal 7 4 2 4 3 5" xfId="5424" xr:uid="{2E65E1D4-3052-40C6-97F4-B6E2E11D8BF2}"/>
    <cellStyle name="Normal 7 4 2 4 3 5 2" xfId="26900" xr:uid="{39F65D39-778D-4E1B-9BD9-11AB11530AE8}"/>
    <cellStyle name="Normal 7 4 2 4 3 5 3" xfId="14721" xr:uid="{13A138FE-F583-44C8-B97E-650218C28B20}"/>
    <cellStyle name="Normal 7 4 2 4 3 6" xfId="7174" xr:uid="{DD0F5BE0-A944-4448-8295-DFBE81A71140}"/>
    <cellStyle name="Normal 7 4 2 4 3 6 2" xfId="17554" xr:uid="{D0634BD9-832B-4163-9972-AFC73A0E6B20}"/>
    <cellStyle name="Normal 7 4 2 4 3 7" xfId="10007" xr:uid="{48422E25-51C6-4046-97EA-4E22C49EDD17}"/>
    <cellStyle name="Normal 7 4 2 4 3 7 2" xfId="20387" xr:uid="{07E4FE30-D2E5-4621-B700-B135C9068521}"/>
    <cellStyle name="Normal 7 4 2 4 3 8" xfId="24131" xr:uid="{E6FC3DA2-A9DA-4B50-AEDC-E5D29766288B}"/>
    <cellStyle name="Normal 7 4 2 4 3 9" xfId="12788" xr:uid="{79A18FE0-2809-4472-8A81-356B4E62405A}"/>
    <cellStyle name="Normal 7 4 2 4 4" xfId="1407" xr:uid="{00000000-0005-0000-0000-000056070000}"/>
    <cellStyle name="Normal 7 4 2 4 4 2" xfId="4580" xr:uid="{F90CA143-97AF-4E8C-A770-D8821B1C12F5}"/>
    <cellStyle name="Normal 7 4 2 4 4 2 2" xfId="9352" xr:uid="{BABCC6F4-8932-4669-AB41-90518E651972}"/>
    <cellStyle name="Normal 7 4 2 4 4 2 2 2" xfId="29324" xr:uid="{1EBD480C-034E-4D17-897F-122D7BE25E1E}"/>
    <cellStyle name="Normal 7 4 2 4 4 2 2 3" xfId="19732" xr:uid="{FF145B92-B761-45E1-BF03-852C8B745C26}"/>
    <cellStyle name="Normal 7 4 2 4 4 2 3" xfId="12185" xr:uid="{FED648E9-FD6D-4B93-BB48-62CD3F8DCAFB}"/>
    <cellStyle name="Normal 7 4 2 4 4 2 3 2" xfId="22565" xr:uid="{D20E51FE-F8FB-4FD1-B70E-05289D3A43CA}"/>
    <cellStyle name="Normal 7 4 2 4 4 2 4" xfId="25696" xr:uid="{9AB87D3B-7502-430A-B82A-C209718BD820}"/>
    <cellStyle name="Normal 7 4 2 4 4 2 5" xfId="16899" xr:uid="{4F79C56B-8295-4535-ABB2-FDEADC126866}"/>
    <cellStyle name="Normal 7 4 2 4 4 3" xfId="5425" xr:uid="{31E3EE82-17E0-4E74-B15B-E5E7C1A8B933}"/>
    <cellStyle name="Normal 7 4 2 4 4 3 2" xfId="27831" xr:uid="{52CD2B51-6D16-4B44-A735-68CA6195A7BD}"/>
    <cellStyle name="Normal 7 4 2 4 4 3 3" xfId="14722" xr:uid="{E9A18D3B-352C-4EF1-BB95-6E1004493ECA}"/>
    <cellStyle name="Normal 7 4 2 4 4 4" xfId="7175" xr:uid="{77E0A48D-0C82-457D-A46A-8D58EA2BD4A3}"/>
    <cellStyle name="Normal 7 4 2 4 4 4 2" xfId="17555" xr:uid="{1E1110F7-1978-48EE-828F-4F436298F6E9}"/>
    <cellStyle name="Normal 7 4 2 4 4 5" xfId="10008" xr:uid="{C00F6A0C-D806-4A5B-8F7D-99E94A280068}"/>
    <cellStyle name="Normal 7 4 2 4 4 5 2" xfId="20388" xr:uid="{EDC48D79-EDBD-429E-9410-D9094CED12A4}"/>
    <cellStyle name="Normal 7 4 2 4 4 6" xfId="24544" xr:uid="{D144AA4D-3853-42D9-8FE1-26140F5E28BD}"/>
    <cellStyle name="Normal 7 4 2 4 4 7" xfId="14025" xr:uid="{AD023489-2E07-4B60-88AD-0D2124CB5C57}"/>
    <cellStyle name="Normal 7 4 2 4 5" xfId="2989" xr:uid="{00000000-0005-0000-0000-000051080000}"/>
    <cellStyle name="Normal 7 4 2 4 5 2" xfId="6139" xr:uid="{2AC1C3AE-B22F-4FE2-9930-18FFD3780E91}"/>
    <cellStyle name="Normal 7 4 2 4 5 2 2" xfId="25484" xr:uid="{CD94F832-DE7A-4F26-AB27-1611EFE6DFC3}"/>
    <cellStyle name="Normal 7 4 2 4 5 2 3" xfId="27192" xr:uid="{7D2C6571-E09A-45AD-8461-5841B9B74311}"/>
    <cellStyle name="Normal 7 4 2 4 5 2 4" xfId="15617" xr:uid="{EB12760B-3974-4EDE-A035-DF84B1A41311}"/>
    <cellStyle name="Normal 7 4 2 4 5 3" xfId="8070" xr:uid="{5DD8CBE1-B409-43F9-B9FF-50DF6587B640}"/>
    <cellStyle name="Normal 7 4 2 4 5 3 2" xfId="28766" xr:uid="{370C96D7-FBE7-40F9-8A9B-886DE567E5B3}"/>
    <cellStyle name="Normal 7 4 2 4 5 3 3" xfId="18450" xr:uid="{B1CE3031-322D-4DD1-B80A-9F7C719B033D}"/>
    <cellStyle name="Normal 7 4 2 4 5 4" xfId="10903" xr:uid="{557ACEC6-F1DC-4A79-9810-8D8953082EEC}"/>
    <cellStyle name="Normal 7 4 2 4 5 4 2" xfId="21283" xr:uid="{0CDDFD9B-9EB1-4692-91EB-F5622CF0C425}"/>
    <cellStyle name="Normal 7 4 2 4 5 5" xfId="23514" xr:uid="{7E2BDC90-743A-4CDE-8836-16218CDC2524}"/>
    <cellStyle name="Normal 7 4 2 4 5 6" xfId="13486" xr:uid="{14228182-435A-49B9-BE81-AEA0E4143C69}"/>
    <cellStyle name="Normal 7 4 2 4 6" xfId="2458" xr:uid="{00000000-0005-0000-0000-000052080000}"/>
    <cellStyle name="Normal 7 4 2 4 6 2" xfId="5750" xr:uid="{BEE05D96-D934-44ED-8368-AB5368390DFA}"/>
    <cellStyle name="Normal 7 4 2 4 6 2 2" xfId="28419" xr:uid="{7F8ECA08-AA09-4CC0-8159-86D99A414513}"/>
    <cellStyle name="Normal 7 4 2 4 6 2 3" xfId="15130" xr:uid="{3A483F97-B87C-44B3-95BF-CB39AABC850F}"/>
    <cellStyle name="Normal 7 4 2 4 6 3" xfId="7583" xr:uid="{E5E8A413-96BF-4559-BFF9-177C0427E082}"/>
    <cellStyle name="Normal 7 4 2 4 6 3 2" xfId="17963" xr:uid="{3BCC37CF-BDBE-4A19-A6B5-234712581127}"/>
    <cellStyle name="Normal 7 4 2 4 6 4" xfId="10416" xr:uid="{7679A0CE-6406-44CC-B71F-1858387BF605}"/>
    <cellStyle name="Normal 7 4 2 4 6 4 2" xfId="20796" xr:uid="{2A7A0AD0-A7BB-4844-8D8A-11783CC6F84D}"/>
    <cellStyle name="Normal 7 4 2 4 6 5" xfId="23303" xr:uid="{016C8953-02D4-49D5-9CD7-28D2D1205CB3}"/>
    <cellStyle name="Normal 7 4 2 4 6 6" xfId="12846" xr:uid="{07BC2695-B784-4FD4-BDF9-A31E26E6F7BC}"/>
    <cellStyle name="Normal 7 4 2 4 7" xfId="2212" xr:uid="{00000000-0005-0000-0000-000046080000}"/>
    <cellStyle name="Normal 7 4 2 4 7 2" xfId="7339" xr:uid="{221DA03E-D7F9-4E77-A9C9-24C02853C977}"/>
    <cellStyle name="Normal 7 4 2 4 7 2 2" xfId="17719" xr:uid="{6CED23D0-11C3-4588-9D21-0C8A53415568}"/>
    <cellStyle name="Normal 7 4 2 4 7 3" xfId="10172" xr:uid="{3CA10CEC-1F46-49A4-AD82-2E0A0BFB4AC6}"/>
    <cellStyle name="Normal 7 4 2 4 7 3 2" xfId="20552" xr:uid="{FD603573-4CC7-446F-A03F-75FD3E980E0D}"/>
    <cellStyle name="Normal 7 4 2 4 7 4" xfId="25246" xr:uid="{15C0597D-BDEA-412E-9653-FDE4E25C5976}"/>
    <cellStyle name="Normal 7 4 2 4 7 5" xfId="14886" xr:uid="{9DEC71EC-8AAA-440B-8552-BBF414B6496B}"/>
    <cellStyle name="Normal 7 4 2 4 8" xfId="4064" xr:uid="{4ABD5869-1B00-438E-90E6-141CF70F662E}"/>
    <cellStyle name="Normal 7 4 2 4 8 2" xfId="8844" xr:uid="{A3182066-70FF-4554-9B51-2999B2DAB449}"/>
    <cellStyle name="Normal 7 4 2 4 8 2 2" xfId="19224" xr:uid="{14FDB6FA-BADB-42A2-BFFB-498D668741D8}"/>
    <cellStyle name="Normal 7 4 2 4 8 3" xfId="11677" xr:uid="{67463485-28B8-44FF-A5DB-8F59EC77DC61}"/>
    <cellStyle name="Normal 7 4 2 4 8 3 2" xfId="22057" xr:uid="{06A1252E-4FB3-4E5E-ADE0-E9F9384D9AFB}"/>
    <cellStyle name="Normal 7 4 2 4 8 4" xfId="16391" xr:uid="{812D0A9A-3224-450F-B429-5C40CC67D428}"/>
    <cellStyle name="Normal 7 4 2 4 9" xfId="5421" xr:uid="{EB804556-033E-41D6-BB9C-1704BDD851CC}"/>
    <cellStyle name="Normal 7 4 2 4 9 2" xfId="14718" xr:uid="{80299997-AD89-421B-B216-EC8F8ECF5499}"/>
    <cellStyle name="Normal 7 4 2 5" xfId="1408" xr:uid="{00000000-0005-0000-0000-000057070000}"/>
    <cellStyle name="Normal 7 4 2 5 10" xfId="10009" xr:uid="{4F4B021F-78DD-4C68-8420-3089DCEF5A6A}"/>
    <cellStyle name="Normal 7 4 2 5 10 2" xfId="20389" xr:uid="{CE9593AF-2159-4713-8852-371EC3B4ED27}"/>
    <cellStyle name="Normal 7 4 2 5 11" xfId="23949" xr:uid="{A21590B5-D5FA-4C2C-91F5-25C91CBC03BE}"/>
    <cellStyle name="Normal 7 4 2 5 12" xfId="12631" xr:uid="{9C79C262-5AB5-4E25-869D-83C091DC85CA}"/>
    <cellStyle name="Normal 7 4 2 5 2" xfId="1409" xr:uid="{00000000-0005-0000-0000-000058070000}"/>
    <cellStyle name="Normal 7 4 2 5 2 2" xfId="1410" xr:uid="{00000000-0005-0000-0000-000059070000}"/>
    <cellStyle name="Normal 7 4 2 5 2 2 2" xfId="5428" xr:uid="{DC90032F-A7C8-4259-A04D-01902D52223C}"/>
    <cellStyle name="Normal 7 4 2 5 2 2 2 2" xfId="24039" xr:uid="{CF8A841D-0A25-4FFF-BE10-9094372666BC}"/>
    <cellStyle name="Normal 7 4 2 5 2 2 2 3" xfId="26697" xr:uid="{3DCE1E5B-3503-41E4-BFFB-3FC924283F66}"/>
    <cellStyle name="Normal 7 4 2 5 2 2 2 4" xfId="14725" xr:uid="{2B527BCA-D423-4503-9122-2282CC9B0298}"/>
    <cellStyle name="Normal 7 4 2 5 2 2 3" xfId="7178" xr:uid="{50096904-D60E-493E-BF10-D12065D10048}"/>
    <cellStyle name="Normal 7 4 2 5 2 2 3 2" xfId="27660" xr:uid="{03596C6D-25D5-4684-8349-791B9C74B4EA}"/>
    <cellStyle name="Normal 7 4 2 5 2 2 3 3" xfId="26808" xr:uid="{B6522971-26A5-4705-B878-C0D14A90DE1B}"/>
    <cellStyle name="Normal 7 4 2 5 2 2 3 4" xfId="17558" xr:uid="{8977E768-8809-45AA-96F3-C21DCBF63BFA}"/>
    <cellStyle name="Normal 7 4 2 5 2 2 4" xfId="10011" xr:uid="{48744055-C16C-4E02-A1BC-C76C9D86DA11}"/>
    <cellStyle name="Normal 7 4 2 5 2 2 4 2" xfId="29454" xr:uid="{82CA0832-D893-4A15-A498-C3E504F5CA01}"/>
    <cellStyle name="Normal 7 4 2 5 2 2 4 3" xfId="20391" xr:uid="{35289887-E0A1-4325-95F5-3F4E4148E3BE}"/>
    <cellStyle name="Normal 7 4 2 5 2 2 5" xfId="24368" xr:uid="{5F8623EE-AFD1-4BEE-9EFD-0D1372A39FE6}"/>
    <cellStyle name="Normal 7 4 2 5 2 2 6" xfId="14026" xr:uid="{239B6095-F271-4FC3-8047-C5C6F98D064A}"/>
    <cellStyle name="Normal 7 4 2 5 2 3" xfId="2826" xr:uid="{00000000-0005-0000-0000-000056080000}"/>
    <cellStyle name="Normal 7 4 2 5 2 3 2" xfId="6042" xr:uid="{3B687E05-5AF1-476B-96EF-1D8891D56292}"/>
    <cellStyle name="Normal 7 4 2 5 2 3 2 2" xfId="26996" xr:uid="{F174BAD1-E068-460A-8850-0F44A204B877}"/>
    <cellStyle name="Normal 7 4 2 5 2 3 2 3" xfId="15496" xr:uid="{86FC6865-D5D6-4CBA-8CD2-E90836557260}"/>
    <cellStyle name="Normal 7 4 2 5 2 3 3" xfId="7949" xr:uid="{F6A66019-9BBF-4ACB-8D7D-4937110A8EBE}"/>
    <cellStyle name="Normal 7 4 2 5 2 3 3 2" xfId="18329" xr:uid="{BAC6A313-4AF2-4524-8E47-94D2C3D3D1A5}"/>
    <cellStyle name="Normal 7 4 2 5 2 3 4" xfId="10782" xr:uid="{0A47D0C6-4148-4166-B175-0CCD96ED5179}"/>
    <cellStyle name="Normal 7 4 2 5 2 3 4 2" xfId="21162" xr:uid="{F01EA6D1-BFD3-42D8-A2C4-14718DA00CB5}"/>
    <cellStyle name="Normal 7 4 2 5 2 3 5" xfId="24254" xr:uid="{AA11F716-55BF-4F43-A013-00199C546F74}"/>
    <cellStyle name="Normal 7 4 2 5 2 3 6" xfId="13300" xr:uid="{0481F61A-9C9E-4357-8143-C6223F165FDC}"/>
    <cellStyle name="Normal 7 4 2 5 2 4" xfId="4217" xr:uid="{7908C746-7B05-4A29-BD28-29DD803831E6}"/>
    <cellStyle name="Normal 7 4 2 5 2 4 2" xfId="8989" xr:uid="{FC7F19FB-A224-4058-B1A1-C2EE96C7387A}"/>
    <cellStyle name="Normal 7 4 2 5 2 4 2 2" xfId="29068" xr:uid="{D0F4EA3A-0818-40FE-B61C-EE1ED9C623F0}"/>
    <cellStyle name="Normal 7 4 2 5 2 4 2 3" xfId="19369" xr:uid="{137D3889-0DED-4D71-82F2-D317CF828EBA}"/>
    <cellStyle name="Normal 7 4 2 5 2 4 3" xfId="11822" xr:uid="{C342DDFB-92D1-4778-9890-97FC20A8E7CB}"/>
    <cellStyle name="Normal 7 4 2 5 2 4 3 2" xfId="22202" xr:uid="{A83F5AB7-AD6A-4A27-B11A-0F0A83494DAF}"/>
    <cellStyle name="Normal 7 4 2 5 2 4 4" xfId="25137" xr:uid="{00A57F31-AA66-4FC2-9856-226F21BACAC7}"/>
    <cellStyle name="Normal 7 4 2 5 2 4 5" xfId="16536" xr:uid="{7D249806-6434-4FAC-85B3-B5D837B174F4}"/>
    <cellStyle name="Normal 7 4 2 5 2 5" xfId="5427" xr:uid="{5F0D3FCF-1197-44C3-A71A-CAAAFF02276D}"/>
    <cellStyle name="Normal 7 4 2 5 2 5 2" xfId="27998" xr:uid="{395C09B6-4C2A-4833-A72E-B29AB0BD7E53}"/>
    <cellStyle name="Normal 7 4 2 5 2 5 3" xfId="14724" xr:uid="{8526D7D3-0BCB-4BE2-AE4F-B0CBD9A1B6A1}"/>
    <cellStyle name="Normal 7 4 2 5 2 6" xfId="7177" xr:uid="{57159596-E411-4E62-ADBF-E6BB82F754F9}"/>
    <cellStyle name="Normal 7 4 2 5 2 6 2" xfId="17557" xr:uid="{FDEE0A3F-33B6-4BAD-87B5-F9AEEB3A0EA7}"/>
    <cellStyle name="Normal 7 4 2 5 2 7" xfId="10010" xr:uid="{2D9544BA-5D50-49F7-8FF8-38F6B042B1CA}"/>
    <cellStyle name="Normal 7 4 2 5 2 7 2" xfId="20390" xr:uid="{950719A6-A31F-4584-939F-52764EAE2976}"/>
    <cellStyle name="Normal 7 4 2 5 2 8" xfId="23553" xr:uid="{4263F13F-552B-45CE-AF3A-A25450F4E864}"/>
    <cellStyle name="Normal 7 4 2 5 2 9" xfId="12789" xr:uid="{61519436-3F18-46C4-B474-45A63D9C7AB6}"/>
    <cellStyle name="Normal 7 4 2 5 3" xfId="1411" xr:uid="{00000000-0005-0000-0000-00005A070000}"/>
    <cellStyle name="Normal 7 4 2 5 3 2" xfId="4581" xr:uid="{13C40225-0DA6-4F7A-93D5-510AEB78A0A7}"/>
    <cellStyle name="Normal 7 4 2 5 3 2 2" xfId="9353" xr:uid="{D44B9B45-80A4-4714-85AB-36621735EB4D}"/>
    <cellStyle name="Normal 7 4 2 5 3 2 2 2" xfId="29325" xr:uid="{F8427771-6A35-471E-9329-001360E5C35D}"/>
    <cellStyle name="Normal 7 4 2 5 3 2 2 3" xfId="19733" xr:uid="{C4D49B9A-EA51-4BE5-ABDB-C3D5687FDDB7}"/>
    <cellStyle name="Normal 7 4 2 5 3 2 3" xfId="12186" xr:uid="{47BDBF7F-27BB-4465-8373-0A622B381B62}"/>
    <cellStyle name="Normal 7 4 2 5 3 2 3 2" xfId="22566" xr:uid="{0D8467CA-3267-43C9-AF76-1E246700C673}"/>
    <cellStyle name="Normal 7 4 2 5 3 2 4" xfId="24908" xr:uid="{BD3E6A35-BE3D-4EE6-BBC1-D8212640D94A}"/>
    <cellStyle name="Normal 7 4 2 5 3 2 5" xfId="16900" xr:uid="{D77F4839-19AF-472A-AADA-876BBE0B3BD5}"/>
    <cellStyle name="Normal 7 4 2 5 3 3" xfId="5429" xr:uid="{6450F5DD-3052-44AE-9F5F-80F6A3EE9490}"/>
    <cellStyle name="Normal 7 4 2 5 3 3 2" xfId="22756" xr:uid="{82362F64-8C4D-459D-B138-3C1EDCE14382}"/>
    <cellStyle name="Normal 7 4 2 5 3 3 3" xfId="26550" xr:uid="{6EAB76BA-E1F9-4B4D-966D-BA0117E7B0BE}"/>
    <cellStyle name="Normal 7 4 2 5 3 3 4" xfId="14726" xr:uid="{7C738719-6FAF-4FC4-A32B-0116FAEB40E9}"/>
    <cellStyle name="Normal 7 4 2 5 3 4" xfId="7179" xr:uid="{F4DCA465-1ACF-45FC-9534-C32CF99F1CA5}"/>
    <cellStyle name="Normal 7 4 2 5 3 4 2" xfId="23472" xr:uid="{E9F5805B-9470-4EDC-ADDD-DCD941EAFF16}"/>
    <cellStyle name="Normal 7 4 2 5 3 4 3" xfId="26454" xr:uid="{7EECDE86-A8D7-4793-908A-F6DAB116F831}"/>
    <cellStyle name="Normal 7 4 2 5 3 4 4" xfId="17559" xr:uid="{758244B3-D92B-47D8-924C-7A5248D7C923}"/>
    <cellStyle name="Normal 7 4 2 5 3 5" xfId="10012" xr:uid="{737537A2-C40F-4B9F-BAA8-A6B342AC2340}"/>
    <cellStyle name="Normal 7 4 2 5 3 5 2" xfId="29455" xr:uid="{9BC5852B-53C0-43F8-A843-A5FF9D6E31BC}"/>
    <cellStyle name="Normal 7 4 2 5 3 5 3" xfId="20392" xr:uid="{6A8F803F-AA2E-4885-A0DA-C945AE5CD861}"/>
    <cellStyle name="Normal 7 4 2 5 3 6" xfId="25189" xr:uid="{5377AF0B-B07A-4D2B-80C5-F1CB2867184F}"/>
    <cellStyle name="Normal 7 4 2 5 3 7" xfId="14027" xr:uid="{E5137585-FB68-46C2-919F-DBB481287483}"/>
    <cellStyle name="Normal 7 4 2 5 4" xfId="1412" xr:uid="{00000000-0005-0000-0000-00005B070000}"/>
    <cellStyle name="Normal 7 4 2 5 4 2" xfId="5430" xr:uid="{9D587BF4-AC59-4918-97E4-B9E003E19072}"/>
    <cellStyle name="Normal 7 4 2 5 4 2 2" xfId="23734" xr:uid="{B019886C-1359-412E-8D96-C792177B3565}"/>
    <cellStyle name="Normal 7 4 2 5 4 2 3" xfId="26744" xr:uid="{0CE44BB1-8AB8-4275-AE33-7E35FAB49585}"/>
    <cellStyle name="Normal 7 4 2 5 4 2 4" xfId="14727" xr:uid="{45111C35-E0D5-4B5A-BBAE-16A4BE097BFF}"/>
    <cellStyle name="Normal 7 4 2 5 4 3" xfId="7180" xr:uid="{1A27C967-9251-40DF-ACB2-443B5CAB8019}"/>
    <cellStyle name="Normal 7 4 2 5 4 3 2" xfId="26087" xr:uid="{25621472-5CE3-4A0C-9494-30A0E3A54AFA}"/>
    <cellStyle name="Normal 7 4 2 5 4 3 3" xfId="17560" xr:uid="{B0C8B698-FB26-484E-873B-62D78C810D27}"/>
    <cellStyle name="Normal 7 4 2 5 4 4" xfId="10013" xr:uid="{18B4609A-23DC-4F90-B039-9F6A4303ABA1}"/>
    <cellStyle name="Normal 7 4 2 5 4 4 2" xfId="20393" xr:uid="{20A456CB-E6B6-4F6C-A6B2-C6D2B971D143}"/>
    <cellStyle name="Normal 7 4 2 5 4 5" xfId="24173" xr:uid="{FF9718A2-9A1D-406D-BDBD-1FC6CBCA4784}"/>
    <cellStyle name="Normal 7 4 2 5 4 6" xfId="13487" xr:uid="{73718355-8767-4822-BFEC-ED8909E4E64E}"/>
    <cellStyle name="Normal 7 4 2 5 5" xfId="2518" xr:uid="{00000000-0005-0000-0000-000059080000}"/>
    <cellStyle name="Normal 7 4 2 5 5 2" xfId="5796" xr:uid="{D91E1A03-91FC-4180-8558-21FDFA7B1A85}"/>
    <cellStyle name="Normal 7 4 2 5 5 2 2" xfId="26101" xr:uid="{899F7A24-B9A1-4C50-AEEA-9D474FA4A6E9}"/>
    <cellStyle name="Normal 7 4 2 5 5 2 3" xfId="15190" xr:uid="{8D1B3C93-EBFA-4819-958C-2F0CACFE1EFD}"/>
    <cellStyle name="Normal 7 4 2 5 5 3" xfId="7643" xr:uid="{81309B9C-59D9-4CC5-AD67-F40A50081CEB}"/>
    <cellStyle name="Normal 7 4 2 5 5 3 2" xfId="18023" xr:uid="{6D0B638F-51FC-4BB7-8833-AF7913B19F01}"/>
    <cellStyle name="Normal 7 4 2 5 5 4" xfId="10476" xr:uid="{EFD4DDC0-ADF2-449A-AC6E-069161845BFB}"/>
    <cellStyle name="Normal 7 4 2 5 5 4 2" xfId="20856" xr:uid="{F324FADB-B8D1-4342-A415-E1AB18C1AAA2}"/>
    <cellStyle name="Normal 7 4 2 5 5 5" xfId="24030" xr:uid="{7544ACC1-4452-4E36-8156-B8EB3A130A24}"/>
    <cellStyle name="Normal 7 4 2 5 5 6" xfId="12906" xr:uid="{5AE87465-D9FC-4676-8514-A35A9F559BF3}"/>
    <cellStyle name="Normal 7 4 2 5 6" xfId="2397" xr:uid="{00000000-0005-0000-0000-000053080000}"/>
    <cellStyle name="Normal 7 4 2 5 6 2" xfId="7524" xr:uid="{C44AA49F-EA30-4C1D-A7AA-368AC4FD12B0}"/>
    <cellStyle name="Normal 7 4 2 5 6 2 2" xfId="26848" xr:uid="{02C9C303-5722-4CA6-87FC-A9A5EBC995CE}"/>
    <cellStyle name="Normal 7 4 2 5 6 2 3" xfId="17904" xr:uid="{BB5EF9F8-B020-44DA-B448-A5890D3EE6E7}"/>
    <cellStyle name="Normal 7 4 2 5 6 3" xfId="10357" xr:uid="{A10D214D-A674-40AB-A355-E21B492E83BF}"/>
    <cellStyle name="Normal 7 4 2 5 6 3 2" xfId="20737" xr:uid="{5334C005-9896-43BF-8600-46AA296A307E}"/>
    <cellStyle name="Normal 7 4 2 5 6 4" xfId="23579" xr:uid="{24E987B6-8535-4A6B-8AC4-EF7BF8D0DAFA}"/>
    <cellStyle name="Normal 7 4 2 5 6 5" xfId="15071" xr:uid="{F3169F16-BF1F-4788-9CAD-AC7C449E61D1}"/>
    <cellStyle name="Normal 7 4 2 5 7" xfId="4065" xr:uid="{CD24C5D8-64C7-4E38-AE6A-E07FD8DAA435}"/>
    <cellStyle name="Normal 7 4 2 5 7 2" xfId="8845" xr:uid="{C6CE6DB9-81FB-438A-BE86-E541574BECAE}"/>
    <cellStyle name="Normal 7 4 2 5 7 2 2" xfId="19225" xr:uid="{1C3F134B-79D1-4839-97F2-130859F8B169}"/>
    <cellStyle name="Normal 7 4 2 5 7 3" xfId="11678" xr:uid="{57EDC30A-257C-419F-B6B7-784485107058}"/>
    <cellStyle name="Normal 7 4 2 5 7 3 2" xfId="22058" xr:uid="{A0F18111-F1BD-406C-99C7-3E89D5CADB8E}"/>
    <cellStyle name="Normal 7 4 2 5 7 4" xfId="28079" xr:uid="{C85E6CB5-C3DC-4F9A-ACB4-F3E56903F176}"/>
    <cellStyle name="Normal 7 4 2 5 7 5" xfId="16392" xr:uid="{72DD76BE-E92C-41A1-92BB-CBDEE0DF260F}"/>
    <cellStyle name="Normal 7 4 2 5 8" xfId="5426" xr:uid="{BB73E277-5C4F-4CAB-9689-E95916508D19}"/>
    <cellStyle name="Normal 7 4 2 5 8 2" xfId="14723" xr:uid="{4D7B405F-719B-4273-86A8-7ADE3E7CDFF0}"/>
    <cellStyle name="Normal 7 4 2 5 9" xfId="7176" xr:uid="{E2FC0238-D568-49BD-8CAD-C4343ECF0472}"/>
    <cellStyle name="Normal 7 4 2 5 9 2" xfId="17556" xr:uid="{1DD1EA12-FE9F-4321-98B3-29F2E25FFBB5}"/>
    <cellStyle name="Normal 7 4 2 6" xfId="1413" xr:uid="{00000000-0005-0000-0000-00005C070000}"/>
    <cellStyle name="Normal 7 4 2 6 10" xfId="10014" xr:uid="{B005047F-553F-4924-9AED-EE4FF4F402CC}"/>
    <cellStyle name="Normal 7 4 2 6 10 2" xfId="20394" xr:uid="{AEEC708B-5BE3-4339-9329-464B6727CE2D}"/>
    <cellStyle name="Normal 7 4 2 6 11" xfId="23969" xr:uid="{B1BFA53B-4411-4F77-90BC-F1ACAFC20672}"/>
    <cellStyle name="Normal 7 4 2 6 12" xfId="12632" xr:uid="{356EBB20-4CFC-4623-8999-6556D895B666}"/>
    <cellStyle name="Normal 7 4 2 6 2" xfId="1414" xr:uid="{00000000-0005-0000-0000-00005D070000}"/>
    <cellStyle name="Normal 7 4 2 6 2 2" xfId="1415" xr:uid="{00000000-0005-0000-0000-00005E070000}"/>
    <cellStyle name="Normal 7 4 2 6 2 2 2" xfId="5433" xr:uid="{ACC49959-56F5-457B-8777-6A4362BBF026}"/>
    <cellStyle name="Normal 7 4 2 6 2 2 2 2" xfId="25083" xr:uid="{3B9B08C4-D6CA-4A0C-B355-9341D725EBDD}"/>
    <cellStyle name="Normal 7 4 2 6 2 2 2 3" xfId="28229" xr:uid="{20C2A7A5-F58B-4B9B-B161-904618D63BBB}"/>
    <cellStyle name="Normal 7 4 2 6 2 2 2 4" xfId="14730" xr:uid="{C0232D7C-B838-4704-8517-D1D2136571EB}"/>
    <cellStyle name="Normal 7 4 2 6 2 2 3" xfId="7183" xr:uid="{BE33CC03-26D6-4F9E-96FB-EF0745C5CFBC}"/>
    <cellStyle name="Normal 7 4 2 6 2 2 3 2" xfId="27662" xr:uid="{8A55FD98-BA27-42A1-B444-FCB1DEC93CE1}"/>
    <cellStyle name="Normal 7 4 2 6 2 2 3 3" xfId="28706" xr:uid="{F3335788-22CA-49A2-A198-B67340352892}"/>
    <cellStyle name="Normal 7 4 2 6 2 2 3 4" xfId="17563" xr:uid="{5D2F1BA3-BFA8-4272-8075-7B079CD1E603}"/>
    <cellStyle name="Normal 7 4 2 6 2 2 4" xfId="10016" xr:uid="{62D4065E-236E-4227-B202-B705D98E07CB}"/>
    <cellStyle name="Normal 7 4 2 6 2 2 4 2" xfId="29456" xr:uid="{953B8973-E9D4-4A28-9448-9283324B166F}"/>
    <cellStyle name="Normal 7 4 2 6 2 2 4 3" xfId="20396" xr:uid="{A4154077-145C-4608-B623-9B291738B4B5}"/>
    <cellStyle name="Normal 7 4 2 6 2 2 5" xfId="24111" xr:uid="{1E6376B6-685C-41F6-AA1A-0E1371E4F7E4}"/>
    <cellStyle name="Normal 7 4 2 6 2 2 6" xfId="14028" xr:uid="{F2E8C2ED-6652-4E5E-B034-69DEC9945787}"/>
    <cellStyle name="Normal 7 4 2 6 2 3" xfId="2827" xr:uid="{00000000-0005-0000-0000-00005D080000}"/>
    <cellStyle name="Normal 7 4 2 6 2 3 2" xfId="6043" xr:uid="{CD12F26D-7E38-4B72-BD0F-648FE20591B2}"/>
    <cellStyle name="Normal 7 4 2 6 2 3 2 2" xfId="26925" xr:uid="{7A04FC21-7B5E-4CD7-B124-1DF756BCC50B}"/>
    <cellStyle name="Normal 7 4 2 6 2 3 2 3" xfId="15497" xr:uid="{92AEBB35-1F1E-45DB-A179-204373507A49}"/>
    <cellStyle name="Normal 7 4 2 6 2 3 3" xfId="7950" xr:uid="{544102D1-B4FD-4580-AB52-37F5F53691B1}"/>
    <cellStyle name="Normal 7 4 2 6 2 3 3 2" xfId="18330" xr:uid="{D5BE6525-FBCC-4B18-A71C-5E613C285E72}"/>
    <cellStyle name="Normal 7 4 2 6 2 3 4" xfId="10783" xr:uid="{4F84140B-4949-4A65-8CA7-13438E35AAFE}"/>
    <cellStyle name="Normal 7 4 2 6 2 3 4 2" xfId="21163" xr:uid="{EADBB21F-4358-4A40-9D66-D97F8AD657E1}"/>
    <cellStyle name="Normal 7 4 2 6 2 3 5" xfId="24550" xr:uid="{236C8CB4-8771-4D9A-A151-835DD1644386}"/>
    <cellStyle name="Normal 7 4 2 6 2 3 6" xfId="13301" xr:uid="{FFBBAFCE-4E25-452F-A3A4-2BFC8F0A33A5}"/>
    <cellStyle name="Normal 7 4 2 6 2 4" xfId="4218" xr:uid="{CB5E1B9E-8298-4AB5-8BA2-CDA1208127F1}"/>
    <cellStyle name="Normal 7 4 2 6 2 4 2" xfId="8990" xr:uid="{8A08711D-C16C-4D26-A112-C5B19FD900A6}"/>
    <cellStyle name="Normal 7 4 2 6 2 4 2 2" xfId="29069" xr:uid="{7DBA42BE-1030-4A1A-9B27-A843FA100053}"/>
    <cellStyle name="Normal 7 4 2 6 2 4 2 3" xfId="19370" xr:uid="{185869D1-AB3E-426B-B499-220AD464EF35}"/>
    <cellStyle name="Normal 7 4 2 6 2 4 3" xfId="11823" xr:uid="{67F4D7A1-B4EE-4730-8EAD-10F1F3EF120C}"/>
    <cellStyle name="Normal 7 4 2 6 2 4 3 2" xfId="22203" xr:uid="{23FF878B-135C-476A-A974-E6D81A426931}"/>
    <cellStyle name="Normal 7 4 2 6 2 4 4" xfId="24156" xr:uid="{3F4AFEAA-481D-442A-A5F1-93DED3FB4675}"/>
    <cellStyle name="Normal 7 4 2 6 2 4 5" xfId="16537" xr:uid="{9DDB4BA9-5EFA-4772-8776-20EE45B267C5}"/>
    <cellStyle name="Normal 7 4 2 6 2 5" xfId="5432" xr:uid="{B53CA646-856C-40E3-B9B1-1B1C39C90F5B}"/>
    <cellStyle name="Normal 7 4 2 6 2 5 2" xfId="26381" xr:uid="{985CE4B6-9B97-404E-8FC0-9CA482811201}"/>
    <cellStyle name="Normal 7 4 2 6 2 5 3" xfId="14729" xr:uid="{0DB742FD-2D59-49F6-8D24-05C7BE73D3ED}"/>
    <cellStyle name="Normal 7 4 2 6 2 6" xfId="7182" xr:uid="{7F0CD3EC-A7ED-415E-BB71-E350FC058EFE}"/>
    <cellStyle name="Normal 7 4 2 6 2 6 2" xfId="17562" xr:uid="{BF747459-136E-42E9-B078-152299A8E6D6}"/>
    <cellStyle name="Normal 7 4 2 6 2 7" xfId="10015" xr:uid="{AE1DDB34-B94D-4F70-8B50-BBDACA9B0F46}"/>
    <cellStyle name="Normal 7 4 2 6 2 7 2" xfId="20395" xr:uid="{32D57998-B51C-4D26-AE68-6ED260EE16CF}"/>
    <cellStyle name="Normal 7 4 2 6 2 8" xfId="24493" xr:uid="{6CC6677E-E6E1-45EE-BA0C-C14C13A7610E}"/>
    <cellStyle name="Normal 7 4 2 6 2 9" xfId="12790" xr:uid="{173BBFF3-D0F4-4160-AFF4-3F0497245FA6}"/>
    <cellStyle name="Normal 7 4 2 6 3" xfId="1416" xr:uid="{00000000-0005-0000-0000-00005F070000}"/>
    <cellStyle name="Normal 7 4 2 6 3 2" xfId="4582" xr:uid="{1BF54EF6-A596-4E83-B706-8E4A11FB6522}"/>
    <cellStyle name="Normal 7 4 2 6 3 2 2" xfId="9354" xr:uid="{C70380DC-B373-40D4-AC39-627D89764B5A}"/>
    <cellStyle name="Normal 7 4 2 6 3 2 2 2" xfId="29326" xr:uid="{9C1A41FE-2635-4791-A25C-E3F106F38BD2}"/>
    <cellStyle name="Normal 7 4 2 6 3 2 2 3" xfId="19734" xr:uid="{C10CF57A-7449-4792-B663-B665D61B8051}"/>
    <cellStyle name="Normal 7 4 2 6 3 2 3" xfId="12187" xr:uid="{9987C1F0-235F-4763-85FC-D06D2B2C4ECF}"/>
    <cellStyle name="Normal 7 4 2 6 3 2 3 2" xfId="22567" xr:uid="{FB548799-0E5E-406E-9E65-6539CA2FCB7D}"/>
    <cellStyle name="Normal 7 4 2 6 3 2 4" xfId="23525" xr:uid="{43912BF1-D01E-4BCF-81CA-9DEFFB11AD82}"/>
    <cellStyle name="Normal 7 4 2 6 3 2 5" xfId="16901" xr:uid="{BA4ECC0D-83ED-407F-BCAA-064BFB4F01C3}"/>
    <cellStyle name="Normal 7 4 2 6 3 3" xfId="5434" xr:uid="{586EF2D9-24F5-4293-9A1C-40A22B06FF20}"/>
    <cellStyle name="Normal 7 4 2 6 3 3 2" xfId="26867" xr:uid="{9703619E-5EBC-4ECB-9542-BD3FC3B49889}"/>
    <cellStyle name="Normal 7 4 2 6 3 3 3" xfId="27060" xr:uid="{898A3EAE-B37A-42A8-A9B5-A4B9E4D060D4}"/>
    <cellStyle name="Normal 7 4 2 6 3 3 4" xfId="14731" xr:uid="{0BBC9CEC-1798-4D37-915A-9BA30FF844EE}"/>
    <cellStyle name="Normal 7 4 2 6 3 4" xfId="7184" xr:uid="{81C49B6A-535B-4744-9D34-E03E2DC1FC01}"/>
    <cellStyle name="Normal 7 4 2 6 3 4 2" xfId="26071" xr:uid="{54965685-2E95-4A9A-8DAC-26B9ACC33AAE}"/>
    <cellStyle name="Normal 7 4 2 6 3 4 3" xfId="26078" xr:uid="{4B8C6A35-BB5E-4E04-8659-982CCD8A6CCD}"/>
    <cellStyle name="Normal 7 4 2 6 3 4 4" xfId="17564" xr:uid="{B27B0C0C-397F-4F16-AD78-649203BA9DBB}"/>
    <cellStyle name="Normal 7 4 2 6 3 5" xfId="10017" xr:uid="{DB3DA74A-F661-4D5D-9965-C692008A5E5F}"/>
    <cellStyle name="Normal 7 4 2 6 3 5 2" xfId="29457" xr:uid="{D3B1CD2D-4B81-49DE-99E0-FDDCC3584FA2}"/>
    <cellStyle name="Normal 7 4 2 6 3 5 3" xfId="20397" xr:uid="{06C36481-C097-46B8-BFA2-9452BC204D9B}"/>
    <cellStyle name="Normal 7 4 2 6 3 6" xfId="23181" xr:uid="{1DB60C66-997E-4EBF-BC69-CA57773C7EEB}"/>
    <cellStyle name="Normal 7 4 2 6 3 7" xfId="14029" xr:uid="{38A60E8F-1A15-4F0E-B1BC-C7F451D6E98E}"/>
    <cellStyle name="Normal 7 4 2 6 4" xfId="1417" xr:uid="{00000000-0005-0000-0000-000060070000}"/>
    <cellStyle name="Normal 7 4 2 6 4 2" xfId="5435" xr:uid="{1098EACB-F920-4291-9391-EFC70FC55943}"/>
    <cellStyle name="Normal 7 4 2 6 4 2 2" xfId="25674" xr:uid="{A31B6F93-403A-46B7-838C-23C6F6A7892F}"/>
    <cellStyle name="Normal 7 4 2 6 4 2 3" xfId="27223" xr:uid="{AF167C8A-3895-4A44-9B5F-E4A0FD058299}"/>
    <cellStyle name="Normal 7 4 2 6 4 2 4" xfId="14732" xr:uid="{F0BBF8B3-23E5-4EA8-81AF-B1566C2E3D6F}"/>
    <cellStyle name="Normal 7 4 2 6 4 3" xfId="7185" xr:uid="{F100B69C-70E3-4089-B3A4-FA365EB5D525}"/>
    <cellStyle name="Normal 7 4 2 6 4 3 2" xfId="27074" xr:uid="{847359D5-C1DB-48F5-8BE8-52AA144B6839}"/>
    <cellStyle name="Normal 7 4 2 6 4 3 3" xfId="17565" xr:uid="{E755EA97-62BB-408D-812C-AD918708BE0D}"/>
    <cellStyle name="Normal 7 4 2 6 4 4" xfId="10018" xr:uid="{62B92776-CB32-4631-AAD3-0911FDE28057}"/>
    <cellStyle name="Normal 7 4 2 6 4 4 2" xfId="20398" xr:uid="{7E4BA555-3E90-425F-AD14-F5855C84BBEB}"/>
    <cellStyle name="Normal 7 4 2 6 4 5" xfId="24506" xr:uid="{D1F60048-1F01-454C-8F29-5C365FD9AE94}"/>
    <cellStyle name="Normal 7 4 2 6 4 6" xfId="13488" xr:uid="{A33226EE-2783-4EA0-AEF9-1D2369B95F25}"/>
    <cellStyle name="Normal 7 4 2 6 5" xfId="2581" xr:uid="{00000000-0005-0000-0000-000060080000}"/>
    <cellStyle name="Normal 7 4 2 6 5 2" xfId="5846" xr:uid="{17D75B77-B2E5-482C-AF94-4F4BB57B6AA4}"/>
    <cellStyle name="Normal 7 4 2 6 5 2 2" xfId="28578" xr:uid="{47400427-7ED5-4ED7-8D01-2982F6F56245}"/>
    <cellStyle name="Normal 7 4 2 6 5 2 3" xfId="15253" xr:uid="{0692E47A-8ABA-490E-B809-91E5AD376575}"/>
    <cellStyle name="Normal 7 4 2 6 5 3" xfId="7706" xr:uid="{8F573EFC-8B2A-4675-9DAA-06B413A2D871}"/>
    <cellStyle name="Normal 7 4 2 6 5 3 2" xfId="18086" xr:uid="{A72F17EF-D17E-457D-A99B-9EDDAE54C255}"/>
    <cellStyle name="Normal 7 4 2 6 5 4" xfId="10539" xr:uid="{FE721382-46EC-47CE-9E00-1C7D2AD5CB5C}"/>
    <cellStyle name="Normal 7 4 2 6 5 4 2" xfId="20919" xr:uid="{BA75287A-DD7E-48BF-B60B-1477C427A975}"/>
    <cellStyle name="Normal 7 4 2 6 5 5" xfId="25294" xr:uid="{2E4EDD41-397C-4261-A4FE-33FF3F5E5E5E}"/>
    <cellStyle name="Normal 7 4 2 6 5 6" xfId="12969" xr:uid="{D2E29B5C-A764-4CBE-A5A5-82E3569611B1}"/>
    <cellStyle name="Normal 7 4 2 6 6" xfId="2398" xr:uid="{00000000-0005-0000-0000-00005A080000}"/>
    <cellStyle name="Normal 7 4 2 6 6 2" xfId="7525" xr:uid="{21F174A7-4987-4EBF-A1EF-44A664994639}"/>
    <cellStyle name="Normal 7 4 2 6 6 2 2" xfId="26786" xr:uid="{FCC0CB2D-E4EF-45DB-B929-DFB54B1569B1}"/>
    <cellStyle name="Normal 7 4 2 6 6 2 3" xfId="17905" xr:uid="{6AAD9FE9-06E3-4AD8-95AD-40296A6C342B}"/>
    <cellStyle name="Normal 7 4 2 6 6 3" xfId="10358" xr:uid="{96808953-3DDB-4A9D-9F4C-E5CBDC75F4BE}"/>
    <cellStyle name="Normal 7 4 2 6 6 3 2" xfId="20738" xr:uid="{A6BE3F22-05B0-4709-A6B2-6F8C6FB45ECB}"/>
    <cellStyle name="Normal 7 4 2 6 6 4" xfId="23100" xr:uid="{50A340EA-2354-4D27-A57E-7B444BE316CA}"/>
    <cellStyle name="Normal 7 4 2 6 6 5" xfId="15072" xr:uid="{02E62824-B523-4CBE-9AC5-A726FE865AD8}"/>
    <cellStyle name="Normal 7 4 2 6 7" xfId="4066" xr:uid="{787504FD-E615-4DF1-9D77-BBECC0DE93F8}"/>
    <cellStyle name="Normal 7 4 2 6 7 2" xfId="8846" xr:uid="{FCF05B19-81FB-4A54-BEB7-F0A61DB12570}"/>
    <cellStyle name="Normal 7 4 2 6 7 2 2" xfId="19226" xr:uid="{32B3D620-F75A-4CAD-B1E5-597DD8136D45}"/>
    <cellStyle name="Normal 7 4 2 6 7 3" xfId="11679" xr:uid="{33C1B2BD-D14A-44C0-9307-05BFF67FA58E}"/>
    <cellStyle name="Normal 7 4 2 6 7 3 2" xfId="22059" xr:uid="{6B631C3B-0DB2-48F2-B87D-D2F45125569C}"/>
    <cellStyle name="Normal 7 4 2 6 7 4" xfId="28107" xr:uid="{F5261F1D-F1B9-45E8-8F81-7C53A7BE747C}"/>
    <cellStyle name="Normal 7 4 2 6 7 5" xfId="16393" xr:uid="{D8E47FB0-8BB3-4344-AB82-69A4BA1C62CB}"/>
    <cellStyle name="Normal 7 4 2 6 8" xfId="5431" xr:uid="{1F40B752-6737-46EE-A6DF-1B75DA96DBD1}"/>
    <cellStyle name="Normal 7 4 2 6 8 2" xfId="14728" xr:uid="{391F89FC-6944-4964-B2E1-FDFC3C4ED719}"/>
    <cellStyle name="Normal 7 4 2 6 9" xfId="7181" xr:uid="{450B9847-020C-49F1-B642-B0DEC3E29F00}"/>
    <cellStyle name="Normal 7 4 2 6 9 2" xfId="17561" xr:uid="{ACCB61D8-4537-48D9-9271-7E8864C9E44C}"/>
    <cellStyle name="Normal 7 4 2 7" xfId="1418" xr:uid="{00000000-0005-0000-0000-000061070000}"/>
    <cellStyle name="Normal 7 4 2 7 10" xfId="12633" xr:uid="{94DB8E25-984C-4D8D-A56D-979E81D1A1DE}"/>
    <cellStyle name="Normal 7 4 2 7 2" xfId="1419" xr:uid="{00000000-0005-0000-0000-000062070000}"/>
    <cellStyle name="Normal 7 4 2 7 2 2" xfId="2990" xr:uid="{00000000-0005-0000-0000-000063080000}"/>
    <cellStyle name="Normal 7 4 2 7 2 2 2" xfId="6140" xr:uid="{1266CA9C-5035-448E-8939-3C069FE41792}"/>
    <cellStyle name="Normal 7 4 2 7 2 2 2 2" xfId="27832" xr:uid="{6BA6E3E3-0B5D-4725-AD7D-45FA59660042}"/>
    <cellStyle name="Normal 7 4 2 7 2 2 2 3" xfId="26313" xr:uid="{14734C87-6DE6-4D0B-84FB-F5E620DB5FDB}"/>
    <cellStyle name="Normal 7 4 2 7 2 2 2 4" xfId="15618" xr:uid="{6FB34FEA-6554-4BE3-8D10-9AD6CE81D6C6}"/>
    <cellStyle name="Normal 7 4 2 7 2 2 3" xfId="8071" xr:uid="{CE9E1B3D-C1FD-4CBA-A6BB-D92144A0865F}"/>
    <cellStyle name="Normal 7 4 2 7 2 2 3 2" xfId="27723" xr:uid="{0032E810-F024-4C77-AE8D-9373B8055228}"/>
    <cellStyle name="Normal 7 4 2 7 2 2 3 3" xfId="18451" xr:uid="{B3FB1B6C-478C-4CD5-A026-5797CBD64E79}"/>
    <cellStyle name="Normal 7 4 2 7 2 2 4" xfId="10904" xr:uid="{4415CB7F-40E9-45E1-85D9-6DABC2764ED3}"/>
    <cellStyle name="Normal 7 4 2 7 2 2 4 2" xfId="21284" xr:uid="{3E1FD531-B551-4991-9904-10393FE33A3C}"/>
    <cellStyle name="Normal 7 4 2 7 2 2 5" xfId="23829" xr:uid="{E0E623C1-45BB-4EFA-87D1-5D1FD674B409}"/>
    <cellStyle name="Normal 7 4 2 7 2 2 6" xfId="13489" xr:uid="{6258D515-6824-426D-9C18-B099CE2EE0A9}"/>
    <cellStyle name="Normal 7 4 2 7 2 3" xfId="5437" xr:uid="{73706557-7274-4A62-9D2E-9D0F68BD4BC2}"/>
    <cellStyle name="Normal 7 4 2 7 2 3 2" xfId="23501" xr:uid="{15F8D672-281A-4D72-AD12-49CEE82E7533}"/>
    <cellStyle name="Normal 7 4 2 7 2 3 3" xfId="27197" xr:uid="{D064E7A5-6181-4134-830F-81AF10BBEB20}"/>
    <cellStyle name="Normal 7 4 2 7 2 3 4" xfId="14734" xr:uid="{DB7C5814-2379-4983-8608-9F3F172D6E7F}"/>
    <cellStyle name="Normal 7 4 2 7 2 4" xfId="7187" xr:uid="{3836BD7D-4B8E-4F9B-8B5D-7B489FC8B2BF}"/>
    <cellStyle name="Normal 7 4 2 7 2 4 2" xfId="26635" xr:uid="{18E5D6C6-EF43-4D85-8CE8-AE7EE66E87D1}"/>
    <cellStyle name="Normal 7 4 2 7 2 4 3" xfId="27244" xr:uid="{6B17FA2A-E0D2-44FB-8207-51940BE33BD3}"/>
    <cellStyle name="Normal 7 4 2 7 2 4 4" xfId="17567" xr:uid="{DFEF93DD-08C3-4443-844E-F6CA5FDD1CF2}"/>
    <cellStyle name="Normal 7 4 2 7 2 5" xfId="10020" xr:uid="{0889C94F-1ABA-4FC6-9E28-0795963A3FA9}"/>
    <cellStyle name="Normal 7 4 2 7 2 5 2" xfId="29458" xr:uid="{70201FCB-86E4-489F-8B22-D4D9F690346B}"/>
    <cellStyle name="Normal 7 4 2 7 2 5 3" xfId="20400" xr:uid="{89FBEA2D-C08B-4774-AF5A-524674D3512A}"/>
    <cellStyle name="Normal 7 4 2 7 2 6" xfId="23850" xr:uid="{DF26400E-02C4-4589-8613-8A8F024D1767}"/>
    <cellStyle name="Normal 7 4 2 7 2 7" xfId="12791" xr:uid="{BFB7021A-E11C-42FB-8F02-FE5A49CDF78E}"/>
    <cellStyle name="Normal 7 4 2 7 3" xfId="1420" xr:uid="{00000000-0005-0000-0000-000063070000}"/>
    <cellStyle name="Normal 7 4 2 7 3 2" xfId="5438" xr:uid="{82B5E694-2FC5-4E24-8479-0FC41482D483}"/>
    <cellStyle name="Normal 7 4 2 7 3 2 2" xfId="26972" xr:uid="{2BF54BE0-ED09-4508-B9C3-888EF3FACA7E}"/>
    <cellStyle name="Normal 7 4 2 7 3 2 3" xfId="28158" xr:uid="{41CB8755-7976-4FA8-92E0-440C84D9FADA}"/>
    <cellStyle name="Normal 7 4 2 7 3 2 4" xfId="14735" xr:uid="{8D89238C-0030-4AB4-9F24-B117B919F0F0}"/>
    <cellStyle name="Normal 7 4 2 7 3 3" xfId="7188" xr:uid="{0008B33A-5D63-4F47-B563-238954287A5F}"/>
    <cellStyle name="Normal 7 4 2 7 3 3 2" xfId="28238" xr:uid="{260C5BFE-EE4A-4508-BB9D-B54A34FC1DD1}"/>
    <cellStyle name="Normal 7 4 2 7 3 3 3" xfId="26044" xr:uid="{7BC6694E-8F7E-426B-982B-C6FE59EE42A5}"/>
    <cellStyle name="Normal 7 4 2 7 3 3 4" xfId="17568" xr:uid="{27E6BAC9-0590-4F18-8EA6-355AEED43B58}"/>
    <cellStyle name="Normal 7 4 2 7 3 4" xfId="10021" xr:uid="{D6282C0B-23EE-4436-B69D-F5E8D9CEA92A}"/>
    <cellStyle name="Normal 7 4 2 7 3 4 2" xfId="29459" xr:uid="{794BD335-970E-4ABE-8731-2B8B81EFDD62}"/>
    <cellStyle name="Normal 7 4 2 7 3 4 3" xfId="20401" xr:uid="{5459E404-4B22-4EAD-B82F-42EE3543FD20}"/>
    <cellStyle name="Normal 7 4 2 7 3 5" xfId="23110" xr:uid="{BCC33169-2365-4075-A213-E531A6313F02}"/>
    <cellStyle name="Normal 7 4 2 7 3 6" xfId="13302" xr:uid="{44BF5C5C-C4C7-4BF3-978B-7EB2E005626C}"/>
    <cellStyle name="Normal 7 4 2 7 4" xfId="2399" xr:uid="{00000000-0005-0000-0000-000061080000}"/>
    <cellStyle name="Normal 7 4 2 7 4 2" xfId="7526" xr:uid="{86492D43-90EB-48CF-8201-D4300A5D77A1}"/>
    <cellStyle name="Normal 7 4 2 7 4 2 2" xfId="25868" xr:uid="{FFB7116F-81E7-4660-99A9-B36EAAF51FAD}"/>
    <cellStyle name="Normal 7 4 2 7 4 2 3" xfId="17906" xr:uid="{9EBB2063-CA9F-41AA-ACB2-36A461FE1529}"/>
    <cellStyle name="Normal 7 4 2 7 4 3" xfId="10359" xr:uid="{54018CCB-AB0E-4704-9798-FE8BC0349EED}"/>
    <cellStyle name="Normal 7 4 2 7 4 3 2" xfId="20739" xr:uid="{9AD254BA-D173-4481-812D-E6A24542D02F}"/>
    <cellStyle name="Normal 7 4 2 7 4 4" xfId="24788" xr:uid="{9018913B-342D-4E75-A25C-8C37B551CB05}"/>
    <cellStyle name="Normal 7 4 2 7 4 5" xfId="15073" xr:uid="{7DD61C3C-68EC-4DA4-8FD3-0480FC45329D}"/>
    <cellStyle name="Normal 7 4 2 7 5" xfId="4067" xr:uid="{77472886-F551-449A-8098-A7FB30B7B646}"/>
    <cellStyle name="Normal 7 4 2 7 5 2" xfId="8847" xr:uid="{F84EA359-FB2C-4639-A40E-838E073F2E29}"/>
    <cellStyle name="Normal 7 4 2 7 5 2 2" xfId="28996" xr:uid="{7BF56CC5-6A5C-4EF6-B5F0-8F2CBE3D79FE}"/>
    <cellStyle name="Normal 7 4 2 7 5 2 3" xfId="19227" xr:uid="{8AD95E74-020B-4D2D-9F96-D8EB383DF9DA}"/>
    <cellStyle name="Normal 7 4 2 7 5 3" xfId="11680" xr:uid="{C12A5A78-6510-436E-A32D-926A5FAD00FB}"/>
    <cellStyle name="Normal 7 4 2 7 5 3 2" xfId="22060" xr:uid="{B6EEC522-B3A4-4B2E-85A7-A04BC0C8DDFB}"/>
    <cellStyle name="Normal 7 4 2 7 5 4" xfId="22812" xr:uid="{37258880-037A-4767-9152-4095A0169B94}"/>
    <cellStyle name="Normal 7 4 2 7 5 5" xfId="16394" xr:uid="{6E299FD7-684B-4802-A6FF-86435AC177AA}"/>
    <cellStyle name="Normal 7 4 2 7 6" xfId="5436" xr:uid="{D3C90363-648C-472E-B1D6-0895137A7634}"/>
    <cellStyle name="Normal 7 4 2 7 6 2" xfId="26328" xr:uid="{B017C560-B810-4746-8C55-B4995878F636}"/>
    <cellStyle name="Normal 7 4 2 7 6 3" xfId="26510" xr:uid="{92F04E2A-EF45-425E-B460-6E5D80E4539C}"/>
    <cellStyle name="Normal 7 4 2 7 6 4" xfId="14733" xr:uid="{BAE21227-5844-4849-AED3-9A0C92C98A8C}"/>
    <cellStyle name="Normal 7 4 2 7 7" xfId="7186" xr:uid="{7CC78FA1-708E-40DD-960B-EAF910F14868}"/>
    <cellStyle name="Normal 7 4 2 7 7 2" xfId="26421" xr:uid="{6A8787EE-F31E-4982-9135-5F1148B2FDBE}"/>
    <cellStyle name="Normal 7 4 2 7 7 3" xfId="17566" xr:uid="{23954045-1D4A-4E58-9EDC-5DC74BA99BA5}"/>
    <cellStyle name="Normal 7 4 2 7 8" xfId="10019" xr:uid="{94B3A68A-3BD4-419B-9AC3-B8BD758CE315}"/>
    <cellStyle name="Normal 7 4 2 7 8 2" xfId="20399" xr:uid="{FB3E73B1-994C-477B-9EC3-AED1D1AD3CD1}"/>
    <cellStyle name="Normal 7 4 2 7 9" xfId="24625" xr:uid="{E09003C2-1B00-4328-BBF9-063EA82CCD48}"/>
    <cellStyle name="Normal 7 4 2 8" xfId="1421" xr:uid="{00000000-0005-0000-0000-000064070000}"/>
    <cellStyle name="Normal 7 4 2 8 10" xfId="12634" xr:uid="{764DDC1B-9402-4F8E-8F51-32FAF920D60E}"/>
    <cellStyle name="Normal 7 4 2 8 2" xfId="1422" xr:uid="{00000000-0005-0000-0000-000065070000}"/>
    <cellStyle name="Normal 7 4 2 8 2 2" xfId="2991" xr:uid="{00000000-0005-0000-0000-000067080000}"/>
    <cellStyle name="Normal 7 4 2 8 2 2 2" xfId="6141" xr:uid="{9041C163-69A9-43CC-9E9A-D833F2C7176D}"/>
    <cellStyle name="Normal 7 4 2 8 2 2 2 2" xfId="26203" xr:uid="{B493E099-C3E2-4544-9AA4-825065CBA4E2}"/>
    <cellStyle name="Normal 7 4 2 8 2 2 2 3" xfId="27475" xr:uid="{3AB40F7B-C570-4D06-ADBC-05D10685A382}"/>
    <cellStyle name="Normal 7 4 2 8 2 2 2 4" xfId="15619" xr:uid="{662CF5B3-522E-4A27-8305-2C33727EF944}"/>
    <cellStyle name="Normal 7 4 2 8 2 2 3" xfId="8072" xr:uid="{A7D51079-161A-4855-A031-386021851227}"/>
    <cellStyle name="Normal 7 4 2 8 2 2 3 2" xfId="28767" xr:uid="{E2D87E69-31E9-42B6-96CD-1C9BA892C7BB}"/>
    <cellStyle name="Normal 7 4 2 8 2 2 3 3" xfId="18452" xr:uid="{A4CED350-C79A-4982-82E0-0E78037D358B}"/>
    <cellStyle name="Normal 7 4 2 8 2 2 4" xfId="10905" xr:uid="{CB272D73-6214-4DBE-B2F7-601C344F4AED}"/>
    <cellStyle name="Normal 7 4 2 8 2 2 4 2" xfId="21285" xr:uid="{A51A0245-F2DF-4AE0-AADB-DA7AF0E58429}"/>
    <cellStyle name="Normal 7 4 2 8 2 2 5" xfId="25247" xr:uid="{3814E4DE-EEA9-49D4-9238-DCCEEA448DD9}"/>
    <cellStyle name="Normal 7 4 2 8 2 2 6" xfId="13490" xr:uid="{CC3172A9-4FD7-4114-8024-2F839FFAC561}"/>
    <cellStyle name="Normal 7 4 2 8 2 3" xfId="5440" xr:uid="{336699C8-1CEE-4FE0-A41F-11B48F3781CB}"/>
    <cellStyle name="Normal 7 4 2 8 2 3 2" xfId="25141" xr:uid="{143F8DC0-D0F0-4F1B-A5F6-49BBA04A9BAA}"/>
    <cellStyle name="Normal 7 4 2 8 2 3 3" xfId="27241" xr:uid="{FCF3E825-A10B-4A4B-9EA1-E9B2699347E6}"/>
    <cellStyle name="Normal 7 4 2 8 2 3 4" xfId="14737" xr:uid="{F4C934E6-EF23-4A45-A8C7-37BB666CB016}"/>
    <cellStyle name="Normal 7 4 2 8 2 4" xfId="7190" xr:uid="{18D41000-B14D-4DB2-B55D-9828FC100708}"/>
    <cellStyle name="Normal 7 4 2 8 2 4 2" xfId="26095" xr:uid="{B5DDF77C-89DA-471A-8272-5E6E03F47423}"/>
    <cellStyle name="Normal 7 4 2 8 2 4 3" xfId="26435" xr:uid="{EADE3D3C-76DB-4633-9772-34B4800C979C}"/>
    <cellStyle name="Normal 7 4 2 8 2 4 4" xfId="17570" xr:uid="{2AEDA77A-D5D4-4E04-B75B-45DDA0F9A858}"/>
    <cellStyle name="Normal 7 4 2 8 2 5" xfId="10023" xr:uid="{0B9161BD-1312-4222-8C65-7C901862FE49}"/>
    <cellStyle name="Normal 7 4 2 8 2 5 2" xfId="29460" xr:uid="{3B11A4C3-9B9B-404A-AAB3-C3FF001AC2C4}"/>
    <cellStyle name="Normal 7 4 2 8 2 5 3" xfId="20403" xr:uid="{22CC1A39-7AB0-474E-9DD9-C58BA7F6E7DB}"/>
    <cellStyle name="Normal 7 4 2 8 2 6" xfId="23375" xr:uid="{4798756F-1AD2-44D4-A672-6B80D892F56E}"/>
    <cellStyle name="Normal 7 4 2 8 2 7" xfId="12792" xr:uid="{BF2F52C6-13F2-4F1D-9924-D50FFADB0400}"/>
    <cellStyle name="Normal 7 4 2 8 3" xfId="1423" xr:uid="{00000000-0005-0000-0000-000066070000}"/>
    <cellStyle name="Normal 7 4 2 8 3 2" xfId="5441" xr:uid="{DF7E501D-4D91-426D-AD30-9FD2EF2BFCE7}"/>
    <cellStyle name="Normal 7 4 2 8 3 2 2" xfId="27433" xr:uid="{7D3C8E64-94D2-442D-AA48-12B7CF08B5B7}"/>
    <cellStyle name="Normal 7 4 2 8 3 2 3" xfId="28601" xr:uid="{1FEA78ED-3976-4495-9929-FD5F90723AF7}"/>
    <cellStyle name="Normal 7 4 2 8 3 2 4" xfId="14738" xr:uid="{E3B0F55E-0118-4914-A1F6-148CF20F42D4}"/>
    <cellStyle name="Normal 7 4 2 8 3 3" xfId="7191" xr:uid="{E0B26F10-6A1D-4076-95F6-2A99FD4F5D93}"/>
    <cellStyle name="Normal 7 4 2 8 3 3 2" xfId="27426" xr:uid="{5A5AEE34-4573-48E5-9EB2-1803A67C8182}"/>
    <cellStyle name="Normal 7 4 2 8 3 3 3" xfId="27402" xr:uid="{2556DBBF-00E5-435C-841D-7AE47896058F}"/>
    <cellStyle name="Normal 7 4 2 8 3 3 4" xfId="17571" xr:uid="{050D4FF1-B4FE-48C8-B357-5E446ABB2642}"/>
    <cellStyle name="Normal 7 4 2 8 3 4" xfId="10024" xr:uid="{D2779331-985F-4D2A-B82B-048C9760EA3D}"/>
    <cellStyle name="Normal 7 4 2 8 3 4 2" xfId="29461" xr:uid="{637DFF79-F514-4FB7-8A89-4E4CEE4DC035}"/>
    <cellStyle name="Normal 7 4 2 8 3 4 3" xfId="20404" xr:uid="{1B7A3929-C49F-4C4E-A47E-E6A72371383E}"/>
    <cellStyle name="Normal 7 4 2 8 3 5" xfId="25126" xr:uid="{7A71748C-01E1-42B4-AA1C-8BCDE39C24C6}"/>
    <cellStyle name="Normal 7 4 2 8 3 6" xfId="13303" xr:uid="{D245C534-4BE7-4770-B518-4D1A290DFB03}"/>
    <cellStyle name="Normal 7 4 2 8 4" xfId="2400" xr:uid="{00000000-0005-0000-0000-000065080000}"/>
    <cellStyle name="Normal 7 4 2 8 4 2" xfId="7527" xr:uid="{7A821489-26D7-4677-B041-69A2C39EA31A}"/>
    <cellStyle name="Normal 7 4 2 8 4 2 2" xfId="26247" xr:uid="{3F381CF9-2F0E-45E0-99AC-CBE86D141DBD}"/>
    <cellStyle name="Normal 7 4 2 8 4 2 3" xfId="17907" xr:uid="{2272D246-2772-444E-8657-CD6E53F0122A}"/>
    <cellStyle name="Normal 7 4 2 8 4 3" xfId="10360" xr:uid="{E3E695FB-914F-4538-A5FE-829A11F73630}"/>
    <cellStyle name="Normal 7 4 2 8 4 3 2" xfId="20740" xr:uid="{E48C7E1C-2B52-443E-BF89-E06BBDE3396E}"/>
    <cellStyle name="Normal 7 4 2 8 4 4" xfId="25499" xr:uid="{A4BA8B26-23DB-4570-B019-11C38E654B92}"/>
    <cellStyle name="Normal 7 4 2 8 4 5" xfId="15074" xr:uid="{D4271D88-5D5E-4508-BFC3-E6279DEB43BE}"/>
    <cellStyle name="Normal 7 4 2 8 5" xfId="4068" xr:uid="{DEAF12DA-3FA9-4DCB-8904-0FEFEC41EF1A}"/>
    <cellStyle name="Normal 7 4 2 8 5 2" xfId="8848" xr:uid="{1E336397-8442-444B-B4E3-A2BBFD7CEBFF}"/>
    <cellStyle name="Normal 7 4 2 8 5 2 2" xfId="28997" xr:uid="{75514FFB-B72B-46F8-ACF7-870092C6E62D}"/>
    <cellStyle name="Normal 7 4 2 8 5 2 3" xfId="19228" xr:uid="{4DA0DEEB-F0A6-4D78-B87F-5D39B35D266F}"/>
    <cellStyle name="Normal 7 4 2 8 5 3" xfId="11681" xr:uid="{D55E82D3-75FE-4EF0-A82A-5C356FFF3CB3}"/>
    <cellStyle name="Normal 7 4 2 8 5 3 2" xfId="22061" xr:uid="{C7ED9254-E5EE-4DDC-883D-9503F73F9DA8}"/>
    <cellStyle name="Normal 7 4 2 8 5 4" xfId="24975" xr:uid="{A72BF85D-5E4B-40FC-84A2-4CFFF781B86B}"/>
    <cellStyle name="Normal 7 4 2 8 5 5" xfId="16395" xr:uid="{D3B83BD2-8D64-4965-BCEF-EA03A12C7646}"/>
    <cellStyle name="Normal 7 4 2 8 6" xfId="5439" xr:uid="{7F3F327F-51DB-4F24-9C4B-E5C89DF83EE3}"/>
    <cellStyle name="Normal 7 4 2 8 6 2" xfId="26898" xr:uid="{E8A65548-4070-4D93-BEEB-7CCF5EE40D86}"/>
    <cellStyle name="Normal 7 4 2 8 6 3" xfId="26871" xr:uid="{84838828-46F0-4DEF-BA3F-EAB48AF9A8E2}"/>
    <cellStyle name="Normal 7 4 2 8 6 4" xfId="14736" xr:uid="{69A46E30-CEE4-4EEB-93D4-36FD588DE682}"/>
    <cellStyle name="Normal 7 4 2 8 7" xfId="7189" xr:uid="{022E0D6E-5008-440E-94C0-FCA08E2C0C61}"/>
    <cellStyle name="Normal 7 4 2 8 7 2" xfId="26952" xr:uid="{2FCBC965-BC6D-4F97-8AB6-7B6C07325484}"/>
    <cellStyle name="Normal 7 4 2 8 7 3" xfId="17569" xr:uid="{D552055A-C5C7-4BFF-92A2-74EE2AEF58D8}"/>
    <cellStyle name="Normal 7 4 2 8 8" xfId="10022" xr:uid="{9EB0C26B-B5D2-4F74-A99F-8154FF2AFA9E}"/>
    <cellStyle name="Normal 7 4 2 8 8 2" xfId="20402" xr:uid="{FAE3E505-1AB7-4AFC-99DE-4F30A123E761}"/>
    <cellStyle name="Normal 7 4 2 8 9" xfId="24218" xr:uid="{90CC9198-C7BD-4DC7-A6D9-37C25CDAEFF2}"/>
    <cellStyle name="Normal 7 4 2 9" xfId="1424" xr:uid="{00000000-0005-0000-0000-000067070000}"/>
    <cellStyle name="Normal 7 4 2 9 10" xfId="12627" xr:uid="{DFDE78C4-8E58-41BD-A9CC-0E3FE4FF757E}"/>
    <cellStyle name="Normal 7 4 2 9 2" xfId="3444" xr:uid="{00000000-0005-0000-0000-00006A080000}"/>
    <cellStyle name="Normal 7 4 2 9 2 2" xfId="6499" xr:uid="{D6E9C181-6061-4F0C-B3EA-ED194457DA41}"/>
    <cellStyle name="Normal 7 4 2 9 2 2 2" xfId="25660" xr:uid="{AF607323-AC0D-414A-8F77-EE6893045231}"/>
    <cellStyle name="Normal 7 4 2 9 2 2 3" xfId="26412" xr:uid="{509785D6-8A2F-42A6-B8DB-8ABF8E3C060A}"/>
    <cellStyle name="Normal 7 4 2 9 2 2 4" xfId="16070" xr:uid="{A58D279F-36A8-461F-89B9-FFE923980C7C}"/>
    <cellStyle name="Normal 7 4 2 9 2 3" xfId="8523" xr:uid="{EF66F453-D807-4980-B50E-4CCBAFB733A8}"/>
    <cellStyle name="Normal 7 4 2 9 2 3 2" xfId="28604" xr:uid="{B547C6E4-D9DC-4171-8FAD-C356971CE623}"/>
    <cellStyle name="Normal 7 4 2 9 2 3 3" xfId="28938" xr:uid="{0E25B91D-7487-4276-B067-0ABEBC60BEDF}"/>
    <cellStyle name="Normal 7 4 2 9 2 3 4" xfId="18903" xr:uid="{02A1BA71-9964-4CB4-A4D8-1ADEA24125BC}"/>
    <cellStyle name="Normal 7 4 2 9 2 4" xfId="11356" xr:uid="{54519620-988D-49D7-A0EA-4A122FE56D51}"/>
    <cellStyle name="Normal 7 4 2 9 2 4 2" xfId="29484" xr:uid="{FC835250-DF4C-4944-8875-1A77052EC6B1}"/>
    <cellStyle name="Normal 7 4 2 9 2 4 3" xfId="21736" xr:uid="{6E24494B-DCF2-4A6B-A86C-9F188EF0E2F6}"/>
    <cellStyle name="Normal 7 4 2 9 2 5" xfId="25160" xr:uid="{A329167D-D56F-4DA6-B18E-91E3E4955854}"/>
    <cellStyle name="Normal 7 4 2 9 2 6" xfId="14030" xr:uid="{4C006EB8-F23A-4180-92FA-69EFDB76ED45}"/>
    <cellStyle name="Normal 7 4 2 9 3" xfId="2819" xr:uid="{00000000-0005-0000-0000-00006B080000}"/>
    <cellStyle name="Normal 7 4 2 9 3 2" xfId="6035" xr:uid="{795FEE40-626B-42B5-BAF9-A3BEA4C1BB8C}"/>
    <cellStyle name="Normal 7 4 2 9 3 2 2" xfId="26771" xr:uid="{87813332-7EAD-4E02-9112-3A1229BE077B}"/>
    <cellStyle name="Normal 7 4 2 9 3 2 3" xfId="15489" xr:uid="{DCBA6F41-7C2A-414B-A542-F8AB5A081384}"/>
    <cellStyle name="Normal 7 4 2 9 3 3" xfId="7942" xr:uid="{A1F020B0-9442-4F1D-A526-F7270CF91865}"/>
    <cellStyle name="Normal 7 4 2 9 3 3 2" xfId="18322" xr:uid="{3EB35884-0264-4057-AE8C-9FAA1A3E7328}"/>
    <cellStyle name="Normal 7 4 2 9 3 4" xfId="10775" xr:uid="{3F4BB8D7-6A93-4816-BC7A-13FB97BEC3AF}"/>
    <cellStyle name="Normal 7 4 2 9 3 4 2" xfId="21155" xr:uid="{13474AFC-43F4-443F-BE0B-320A30877F95}"/>
    <cellStyle name="Normal 7 4 2 9 3 5" xfId="25145" xr:uid="{6B8F29FD-44AE-4E2F-8C63-D9C0C2430D48}"/>
    <cellStyle name="Normal 7 4 2 9 3 6" xfId="13290" xr:uid="{5C832931-E50C-4A84-AC60-CCB69FE73A52}"/>
    <cellStyle name="Normal 7 4 2 9 4" xfId="2393" xr:uid="{00000000-0005-0000-0000-000069080000}"/>
    <cellStyle name="Normal 7 4 2 9 4 2" xfId="7520" xr:uid="{7870606D-1837-44BD-BC37-7E3134EB028F}"/>
    <cellStyle name="Normal 7 4 2 9 4 2 2" xfId="26415" xr:uid="{FF062303-D59F-49DD-AAC3-2A4BA0C5BA02}"/>
    <cellStyle name="Normal 7 4 2 9 4 2 3" xfId="17900" xr:uid="{C8470F4B-0DC2-4EF0-BD9F-ED27D4F6CB5A}"/>
    <cellStyle name="Normal 7 4 2 9 4 3" xfId="10353" xr:uid="{4D7874B9-E019-443B-B306-FA092DEC4B01}"/>
    <cellStyle name="Normal 7 4 2 9 4 3 2" xfId="20733" xr:uid="{585F05EA-88E4-4145-84E6-9E74DDADE4AE}"/>
    <cellStyle name="Normal 7 4 2 9 4 4" xfId="23871" xr:uid="{AFFA7455-76C5-4A6D-AEC8-973157377937}"/>
    <cellStyle name="Normal 7 4 2 9 4 5" xfId="15067" xr:uid="{B1DA497D-9798-4947-85EB-2DFFC2B3D5A0}"/>
    <cellStyle name="Normal 7 4 2 9 5" xfId="4097" xr:uid="{A842F1E4-1C7A-4362-BC43-4637DC25B33F}"/>
    <cellStyle name="Normal 7 4 2 9 5 2" xfId="8871" xr:uid="{E5C15C7A-E4A4-4CBD-BCBC-C757F7FB36EB}"/>
    <cellStyle name="Normal 7 4 2 9 5 2 2" xfId="19251" xr:uid="{F5CF3878-642A-43DB-BF34-E6CA3F0EA0BE}"/>
    <cellStyle name="Normal 7 4 2 9 5 3" xfId="11704" xr:uid="{117745DD-C582-496B-9D1E-46B70FE21667}"/>
    <cellStyle name="Normal 7 4 2 9 5 3 2" xfId="22084" xr:uid="{6A9EA27A-94F0-48FF-B287-40F1488F38AA}"/>
    <cellStyle name="Normal 7 4 2 9 5 4" xfId="27760" xr:uid="{2936B5FE-D440-4912-B0A0-9AB4800926E0}"/>
    <cellStyle name="Normal 7 4 2 9 5 5" xfId="16418" xr:uid="{07618204-4FC9-4EDF-BD54-DADBDD2AB6B1}"/>
    <cellStyle name="Normal 7 4 2 9 6" xfId="5442" xr:uid="{4C217F3C-EC4B-448B-A6F0-DF227F715B36}"/>
    <cellStyle name="Normal 7 4 2 9 6 2" xfId="14739" xr:uid="{92D1C401-A612-4185-9E34-B9FD7B5A1E0C}"/>
    <cellStyle name="Normal 7 4 2 9 7" xfId="7192" xr:uid="{10B00204-3DB2-47A6-950C-F9215B517CCC}"/>
    <cellStyle name="Normal 7 4 2 9 7 2" xfId="17572" xr:uid="{674329F4-AE34-4A67-BEF0-E293902B27BD}"/>
    <cellStyle name="Normal 7 4 2 9 8" xfId="10025" xr:uid="{99634E40-1A29-4CCD-AD4E-A2253FDB5D72}"/>
    <cellStyle name="Normal 7 4 2 9 8 2" xfId="20405" xr:uid="{244B2B4B-504F-45AA-A156-A6C6DAC7A6B6}"/>
    <cellStyle name="Normal 7 4 2 9 9" xfId="23434" xr:uid="{187FFA7C-3B7F-4477-A6E0-532B8B6D20FC}"/>
    <cellStyle name="Normal 7 4 20" xfId="23421" xr:uid="{560269DD-4FB6-443C-9D5A-BCA4A87C8567}"/>
    <cellStyle name="Normal 7 4 21" xfId="12392" xr:uid="{78020374-5E69-42E9-9C1C-CA25722A3109}"/>
    <cellStyle name="Normal 7 4 3" xfId="1425" xr:uid="{00000000-0005-0000-0000-000068070000}"/>
    <cellStyle name="Normal 7 4 3 10" xfId="5443" xr:uid="{C369CAD4-6E23-40D4-A836-672D1462F693}"/>
    <cellStyle name="Normal 7 4 3 10 2" xfId="14740" xr:uid="{7E55366E-75AD-4BA1-A727-D0583EBE90C3}"/>
    <cellStyle name="Normal 7 4 3 11" xfId="7193" xr:uid="{0B7C27FE-72A1-4F2E-882E-9EF1BC97106C}"/>
    <cellStyle name="Normal 7 4 3 11 2" xfId="17573" xr:uid="{4EEEDC54-1342-4B0A-B166-087A6D2AEEAD}"/>
    <cellStyle name="Normal 7 4 3 12" xfId="10026" xr:uid="{E732EAF0-F96F-48CF-9F7A-C0CBA9BC5432}"/>
    <cellStyle name="Normal 7 4 3 12 2" xfId="20406" xr:uid="{49E1E74F-71EF-4F1C-AD0E-90E359AF8CCB}"/>
    <cellStyle name="Normal 7 4 3 13" xfId="23484" xr:uid="{47A70420-A2A9-41DE-AA50-2BF0B5A3C8AD}"/>
    <cellStyle name="Normal 7 4 3 14" xfId="12411" xr:uid="{369AE292-FCDB-4819-B036-27F97726FB3B}"/>
    <cellStyle name="Normal 7 4 3 2" xfId="1426" xr:uid="{00000000-0005-0000-0000-000069070000}"/>
    <cellStyle name="Normal 7 4 3 2 10" xfId="7194" xr:uid="{2E0ABF26-5374-4290-A047-2C58A8227129}"/>
    <cellStyle name="Normal 7 4 3 2 10 2" xfId="17574" xr:uid="{396054ED-31D5-4B50-8579-D2DC193BBA01}"/>
    <cellStyle name="Normal 7 4 3 2 11" xfId="10027" xr:uid="{AB474B92-B5A4-4F31-86C9-46914798584A}"/>
    <cellStyle name="Normal 7 4 3 2 11 2" xfId="20407" xr:uid="{979AABA8-78AF-4E30-A6D0-985F1669E228}"/>
    <cellStyle name="Normal 7 4 3 2 12" xfId="22695" xr:uid="{A51C8BFF-F624-4974-B58B-B31555F393BD}"/>
    <cellStyle name="Normal 7 4 3 2 13" xfId="12471" xr:uid="{A89F8D3A-8214-40EA-ABAD-20CD723F2742}"/>
    <cellStyle name="Normal 7 4 3 2 2" xfId="1427" xr:uid="{00000000-0005-0000-0000-00006A070000}"/>
    <cellStyle name="Normal 7 4 3 2 2 10" xfId="10028" xr:uid="{9FD8A555-7A7B-47CE-8FEF-C456F4145EAB}"/>
    <cellStyle name="Normal 7 4 3 2 2 10 2" xfId="20408" xr:uid="{0029460B-CCCD-48EA-BB22-22239F4AAE76}"/>
    <cellStyle name="Normal 7 4 3 2 2 11" xfId="22907" xr:uid="{CB737441-0451-493A-B999-E5301B36F1C2}"/>
    <cellStyle name="Normal 7 4 3 2 2 12" xfId="12636" xr:uid="{DCD91032-04B0-4F09-8630-4478A35CD128}"/>
    <cellStyle name="Normal 7 4 3 2 2 2" xfId="2830" xr:uid="{00000000-0005-0000-0000-00006F080000}"/>
    <cellStyle name="Normal 7 4 3 2 2 2 2" xfId="3446" xr:uid="{00000000-0005-0000-0000-000070080000}"/>
    <cellStyle name="Normal 7 4 3 2 2 2 2 2" xfId="6501" xr:uid="{73A91FAC-8613-4027-A5BA-6AE933FD408E}"/>
    <cellStyle name="Normal 7 4 3 2 2 2 2 2 2" xfId="28313" xr:uid="{5FFBBE1D-255B-4763-A079-A6BEF753B5D3}"/>
    <cellStyle name="Normal 7 4 3 2 2 2 2 2 3" xfId="28248" xr:uid="{6DE3B26C-2185-455B-AF8E-B203BB4D126C}"/>
    <cellStyle name="Normal 7 4 3 2 2 2 2 2 4" xfId="16072" xr:uid="{F97FE7E3-C7AA-4795-A148-9D2A85B8CBA2}"/>
    <cellStyle name="Normal 7 4 3 2 2 2 2 3" xfId="8525" xr:uid="{BDA0CCFD-9723-4FEC-803F-F710041E190E}"/>
    <cellStyle name="Normal 7 4 3 2 2 2 2 3 2" xfId="28939" xr:uid="{EE6549BB-6E10-4DB0-BB3C-F04D23E78B70}"/>
    <cellStyle name="Normal 7 4 3 2 2 2 2 3 3" xfId="18905" xr:uid="{B9E0C6DC-AF27-408C-9952-F29578D91555}"/>
    <cellStyle name="Normal 7 4 3 2 2 2 2 4" xfId="11358" xr:uid="{DF6325A3-6120-4C43-8647-26D0489490F5}"/>
    <cellStyle name="Normal 7 4 3 2 2 2 2 4 2" xfId="21738" xr:uid="{8B137044-9094-44BE-840D-E4C6ED98F0D9}"/>
    <cellStyle name="Normal 7 4 3 2 2 2 2 5" xfId="23133" xr:uid="{D4DDEAEF-6C19-4D83-95A6-099272D66830}"/>
    <cellStyle name="Normal 7 4 3 2 2 2 2 6" xfId="14032" xr:uid="{535B6EB0-279D-4C7B-BE13-9884454E50BC}"/>
    <cellStyle name="Normal 7 4 3 2 2 2 3" xfId="4367" xr:uid="{77596B4F-F602-4722-A351-F785FD60A7E7}"/>
    <cellStyle name="Normal 7 4 3 2 2 2 3 2" xfId="9139" xr:uid="{C31CC852-97F2-4584-AE45-B2782F8C5E6E}"/>
    <cellStyle name="Normal 7 4 3 2 2 2 3 2 2" xfId="29182" xr:uid="{3F619BC3-5FA2-4B13-A833-32DA547B3E29}"/>
    <cellStyle name="Normal 7 4 3 2 2 2 3 2 3" xfId="19519" xr:uid="{FD1E87B0-BC72-47AF-B722-8D69342202EB}"/>
    <cellStyle name="Normal 7 4 3 2 2 2 3 3" xfId="11972" xr:uid="{C915D1DB-CF42-4E04-AB1B-D2FECA0D456D}"/>
    <cellStyle name="Normal 7 4 3 2 2 2 3 3 2" xfId="22352" xr:uid="{17772FA0-B8D8-4A5F-874D-62C8045E9355}"/>
    <cellStyle name="Normal 7 4 3 2 2 2 3 4" xfId="23317" xr:uid="{2E932ACB-2132-4D31-9BDD-0C7BB62784E7}"/>
    <cellStyle name="Normal 7 4 3 2 2 2 3 5" xfId="16686" xr:uid="{F938DDC9-6772-4E20-AC96-34B02072E7DD}"/>
    <cellStyle name="Normal 7 4 3 2 2 2 4" xfId="6046" xr:uid="{A2E7AD9E-4C3A-4EF6-8D2C-2EE0BABDB26E}"/>
    <cellStyle name="Normal 7 4 3 2 2 2 4 2" xfId="28517" xr:uid="{D9EE22C2-9722-4779-ABFC-5C853846D868}"/>
    <cellStyle name="Normal 7 4 3 2 2 2 4 3" xfId="15500" xr:uid="{0787DD3D-75F4-4B77-B226-57B449D82234}"/>
    <cellStyle name="Normal 7 4 3 2 2 2 5" xfId="7953" xr:uid="{5441EE2B-D936-489D-9EBE-9784A22F64F1}"/>
    <cellStyle name="Normal 7 4 3 2 2 2 5 2" xfId="18333" xr:uid="{1CEDD6E3-F816-47AA-9346-714025A00908}"/>
    <cellStyle name="Normal 7 4 3 2 2 2 6" xfId="10786" xr:uid="{59C2E9FD-C4D8-4357-9071-9887B6DEE46F}"/>
    <cellStyle name="Normal 7 4 3 2 2 2 6 2" xfId="21166" xr:uid="{39D776FF-EE52-4020-A835-6AE2523CED41}"/>
    <cellStyle name="Normal 7 4 3 2 2 2 7" xfId="24040" xr:uid="{49765F66-5107-44ED-A16D-3EC0454B4BFA}"/>
    <cellStyle name="Normal 7 4 3 2 2 2 8" xfId="13306" xr:uid="{5CCD7CD2-BA35-4202-81D4-C8C157A4EDE8}"/>
    <cellStyle name="Normal 7 4 3 2 2 3" xfId="3447" xr:uid="{00000000-0005-0000-0000-000071080000}"/>
    <cellStyle name="Normal 7 4 3 2 2 3 2" xfId="4583" xr:uid="{448BA9DD-CA71-4DD4-9A4A-98AC19CD0CE6}"/>
    <cellStyle name="Normal 7 4 3 2 2 3 2 2" xfId="9355" xr:uid="{E92207E9-8361-42B0-B86D-18828B8D9E09}"/>
    <cellStyle name="Normal 7 4 3 2 2 3 2 2 2" xfId="29327" xr:uid="{BEA8D4E0-A165-4EF0-B274-C351B0992894}"/>
    <cellStyle name="Normal 7 4 3 2 2 3 2 2 3" xfId="19735" xr:uid="{B5F2B030-D025-46A3-9DE3-E1053033F439}"/>
    <cellStyle name="Normal 7 4 3 2 2 3 2 3" xfId="12188" xr:uid="{F0DF7214-F1EA-4BE6-A67F-DAD43EA13FAE}"/>
    <cellStyle name="Normal 7 4 3 2 2 3 2 3 2" xfId="22568" xr:uid="{DB403025-7911-486A-A3FD-C254DE64CB5E}"/>
    <cellStyle name="Normal 7 4 3 2 2 3 2 4" xfId="27276" xr:uid="{4346FAE6-88C2-4B14-B648-0908CF5F5982}"/>
    <cellStyle name="Normal 7 4 3 2 2 3 2 5" xfId="16902" xr:uid="{ADFAEA55-BD5A-4623-8389-DFAB4EBE6B30}"/>
    <cellStyle name="Normal 7 4 3 2 2 3 3" xfId="6502" xr:uid="{520C026B-62FA-45B6-95E0-484FCC53083F}"/>
    <cellStyle name="Normal 7 4 3 2 2 3 3 2" xfId="28608" xr:uid="{C897C46F-99A8-4007-90ED-9A99E7AF6F58}"/>
    <cellStyle name="Normal 7 4 3 2 2 3 3 3" xfId="16073" xr:uid="{F5CABBCC-D517-4B6D-A06E-D8F75282FBCE}"/>
    <cellStyle name="Normal 7 4 3 2 2 3 4" xfId="8526" xr:uid="{3729610D-88BC-4173-9FCE-F431092F9000}"/>
    <cellStyle name="Normal 7 4 3 2 2 3 4 2" xfId="18906" xr:uid="{E6D5C908-F513-4FFF-94A8-9C385E02D92B}"/>
    <cellStyle name="Normal 7 4 3 2 2 3 5" xfId="11359" xr:uid="{C8B369C4-6E3E-4043-A7A3-2DBBE5A5EEE4}"/>
    <cellStyle name="Normal 7 4 3 2 2 3 5 2" xfId="21739" xr:uid="{2A4305E4-BB5C-496F-BC5B-49AD81EAD71D}"/>
    <cellStyle name="Normal 7 4 3 2 2 3 6" xfId="24457" xr:uid="{004AE425-5CEF-4BF9-B966-9DA729332B64}"/>
    <cellStyle name="Normal 7 4 3 2 2 3 7" xfId="14033" xr:uid="{90D6CE88-CD3F-49B3-9CCA-153BB73EB1F4}"/>
    <cellStyle name="Normal 7 4 3 2 2 4" xfId="3445" xr:uid="{00000000-0005-0000-0000-000072080000}"/>
    <cellStyle name="Normal 7 4 3 2 2 4 2" xfId="6500" xr:uid="{EB1A46E9-0FE2-4CAA-9295-95259B6574B9}"/>
    <cellStyle name="Normal 7 4 3 2 2 4 2 2" xfId="25967" xr:uid="{5E021479-D919-4B53-A37F-E3021A4A4C58}"/>
    <cellStyle name="Normal 7 4 3 2 2 4 2 3" xfId="16071" xr:uid="{BE7FB648-4CC2-40F0-96AE-D8F325984D9F}"/>
    <cellStyle name="Normal 7 4 3 2 2 4 3" xfId="8524" xr:uid="{777CCF37-BB25-4772-A0DC-981B9D2E7A87}"/>
    <cellStyle name="Normal 7 4 3 2 2 4 3 2" xfId="18904" xr:uid="{AE8E2B10-346F-47B4-9B2E-77F81B9526C2}"/>
    <cellStyle name="Normal 7 4 3 2 2 4 4" xfId="11357" xr:uid="{BBC2A0CE-EF62-486A-9D34-6338A93DC58C}"/>
    <cellStyle name="Normal 7 4 3 2 2 4 4 2" xfId="21737" xr:uid="{041F560B-48AB-42D2-A448-E298E35B1CC5}"/>
    <cellStyle name="Normal 7 4 3 2 2 4 5" xfId="23913" xr:uid="{C5DAC3F0-87A3-448C-B2FA-D1124791F83A}"/>
    <cellStyle name="Normal 7 4 3 2 2 4 6" xfId="14031" xr:uid="{76E94513-B395-4A5B-9A19-E0C9AF0486B0}"/>
    <cellStyle name="Normal 7 4 3 2 2 5" xfId="2647" xr:uid="{00000000-0005-0000-0000-000073080000}"/>
    <cellStyle name="Normal 7 4 3 2 2 5 2" xfId="5909" xr:uid="{991E32FB-FFEC-4EA7-9CFA-9C42ED05704F}"/>
    <cellStyle name="Normal 7 4 3 2 2 5 2 2" xfId="27455" xr:uid="{A709F353-F263-4736-9BD8-43DE5C3A1F1E}"/>
    <cellStyle name="Normal 7 4 3 2 2 5 2 3" xfId="15319" xr:uid="{EC252FE6-7278-4F83-A335-0B4F2B31C299}"/>
    <cellStyle name="Normal 7 4 3 2 2 5 3" xfId="7772" xr:uid="{BF3A39B9-A372-4F64-BA03-7A2CB5013155}"/>
    <cellStyle name="Normal 7 4 3 2 2 5 3 2" xfId="18152" xr:uid="{F7951E38-6DB3-42DD-A715-E051A96463DF}"/>
    <cellStyle name="Normal 7 4 3 2 2 5 4" xfId="10605" xr:uid="{A6C5F2DA-65F0-4837-AC0B-F544FBC34583}"/>
    <cellStyle name="Normal 7 4 3 2 2 5 4 2" xfId="20985" xr:uid="{CC5D2271-DC00-4E5E-AFDE-354FCBEB032E}"/>
    <cellStyle name="Normal 7 4 3 2 2 5 5" xfId="23860" xr:uid="{683ABF96-C534-42EC-96FE-087BCB2CEFFA}"/>
    <cellStyle name="Normal 7 4 3 2 2 5 6" xfId="13036" xr:uid="{555E0BEF-EA73-478D-97B4-3F259BFE293E}"/>
    <cellStyle name="Normal 7 4 3 2 2 6" xfId="2402" xr:uid="{00000000-0005-0000-0000-00006E080000}"/>
    <cellStyle name="Normal 7 4 3 2 2 6 2" xfId="7529" xr:uid="{B7D2C21E-E0D9-45E7-A65D-035B94FE8B2B}"/>
    <cellStyle name="Normal 7 4 3 2 2 6 2 2" xfId="17909" xr:uid="{FB97DE76-37F7-4312-9792-DADF345222B9}"/>
    <cellStyle name="Normal 7 4 3 2 2 6 3" xfId="10362" xr:uid="{84F3CEE3-971D-41E2-8788-31836FAA8B11}"/>
    <cellStyle name="Normal 7 4 3 2 2 6 3 2" xfId="20742" xr:uid="{11C0C840-C431-469C-B2DA-4DEF3F50D488}"/>
    <cellStyle name="Normal 7 4 3 2 2 6 4" xfId="25588" xr:uid="{283B6E97-968B-4F13-B48B-E1C3A2BE1C14}"/>
    <cellStyle name="Normal 7 4 3 2 2 6 5" xfId="15076" xr:uid="{442A0DA2-0514-4A45-ABB2-8E3FEBB68A4E}"/>
    <cellStyle name="Normal 7 4 3 2 2 7" xfId="4102" xr:uid="{5EFD4A15-4447-498E-A1F4-436CC18FD198}"/>
    <cellStyle name="Normal 7 4 3 2 2 7 2" xfId="8876" xr:uid="{E1E5E935-8613-425E-99C8-C13E6C6CE237}"/>
    <cellStyle name="Normal 7 4 3 2 2 7 2 2" xfId="19256" xr:uid="{D46AA6BF-B9D2-47B2-A934-C6205DF9E734}"/>
    <cellStyle name="Normal 7 4 3 2 2 7 3" xfId="11709" xr:uid="{3D93CCC8-260A-4414-BFCB-792F1491E5BD}"/>
    <cellStyle name="Normal 7 4 3 2 2 7 3 2" xfId="22089" xr:uid="{D6E8D4B0-0118-4AB7-BF38-587E40144071}"/>
    <cellStyle name="Normal 7 4 3 2 2 7 4" xfId="16423" xr:uid="{88D7E175-8BEC-464D-A5E9-B3DC7325B47A}"/>
    <cellStyle name="Normal 7 4 3 2 2 8" xfId="5445" xr:uid="{8E7E55A8-31B2-436C-9C83-C7D65E223C4C}"/>
    <cellStyle name="Normal 7 4 3 2 2 8 2" xfId="14742" xr:uid="{22FFCC05-27A4-40D7-AAAF-85620A809732}"/>
    <cellStyle name="Normal 7 4 3 2 2 9" xfId="7195" xr:uid="{004D57DF-3249-4E47-812A-2F3A521EE2C6}"/>
    <cellStyle name="Normal 7 4 3 2 2 9 2" xfId="17575" xr:uid="{B5B7B915-20E5-49CE-8BAD-437A52656451}"/>
    <cellStyle name="Normal 7 4 3 2 3" xfId="1428" xr:uid="{00000000-0005-0000-0000-00006B070000}"/>
    <cellStyle name="Normal 7 4 3 2 3 2" xfId="3448" xr:uid="{00000000-0005-0000-0000-000075080000}"/>
    <cellStyle name="Normal 7 4 3 2 3 2 2" xfId="6503" xr:uid="{21205F71-0D82-48F6-A296-F4892DB16333}"/>
    <cellStyle name="Normal 7 4 3 2 3 2 2 2" xfId="25919" xr:uid="{789EB38F-23A3-4908-8B10-A46B8010D0CA}"/>
    <cellStyle name="Normal 7 4 3 2 3 2 2 3" xfId="28080" xr:uid="{40051244-9B90-4AFF-8D4B-96A99796BEE4}"/>
    <cellStyle name="Normal 7 4 3 2 3 2 2 4" xfId="16074" xr:uid="{6C408732-3AE7-4EC2-B8C5-858C2DD6BE0C}"/>
    <cellStyle name="Normal 7 4 3 2 3 2 3" xfId="8527" xr:uid="{E103CC02-1ACB-4465-9645-7C3FE3CD6878}"/>
    <cellStyle name="Normal 7 4 3 2 3 2 3 2" xfId="28940" xr:uid="{4EAD5B8C-9A20-4B2D-99FD-A03A229996F1}"/>
    <cellStyle name="Normal 7 4 3 2 3 2 3 3" xfId="18907" xr:uid="{0852BAA3-CB15-47A3-91F9-32C7A65D879E}"/>
    <cellStyle name="Normal 7 4 3 2 3 2 4" xfId="11360" xr:uid="{9032075C-26ED-4781-966B-B0368C910AAE}"/>
    <cellStyle name="Normal 7 4 3 2 3 2 4 2" xfId="21740" xr:uid="{73A39CD6-9DDB-4407-B97F-C94710083B05}"/>
    <cellStyle name="Normal 7 4 3 2 3 2 5" xfId="23558" xr:uid="{0F0FD7DD-4A65-4952-92C4-0057997402F0}"/>
    <cellStyle name="Normal 7 4 3 2 3 2 6" xfId="14034" xr:uid="{F2AC072C-4C48-4344-BDF4-A2048CA14A6B}"/>
    <cellStyle name="Normal 7 4 3 2 3 3" xfId="2829" xr:uid="{00000000-0005-0000-0000-000076080000}"/>
    <cellStyle name="Normal 7 4 3 2 3 3 2" xfId="6045" xr:uid="{2F40B74F-DC07-4D92-886F-813AC11669F3}"/>
    <cellStyle name="Normal 7 4 3 2 3 3 2 2" xfId="28723" xr:uid="{3AC6F74E-A50C-4E63-A16C-07ED6E60BD5C}"/>
    <cellStyle name="Normal 7 4 3 2 3 3 2 3" xfId="15499" xr:uid="{8CBA6569-B346-4A2B-B530-A80A3C59EBBB}"/>
    <cellStyle name="Normal 7 4 3 2 3 3 3" xfId="7952" xr:uid="{4E373BB4-504E-47EF-9E79-CAC8FA87135F}"/>
    <cellStyle name="Normal 7 4 3 2 3 3 3 2" xfId="18332" xr:uid="{EB791CD6-0471-4D99-96B7-AB76F0B3136A}"/>
    <cellStyle name="Normal 7 4 3 2 3 3 4" xfId="10785" xr:uid="{DD737E0D-9AF6-4E52-9381-ACB0A82C147E}"/>
    <cellStyle name="Normal 7 4 3 2 3 3 4 2" xfId="21165" xr:uid="{F5859D5F-3700-4692-A331-58F93B34411D}"/>
    <cellStyle name="Normal 7 4 3 2 3 3 5" xfId="24641" xr:uid="{FF35E9EC-13CF-4680-A665-3EE2893DAD72}"/>
    <cellStyle name="Normal 7 4 3 2 3 3 6" xfId="13305" xr:uid="{3CE12D0D-599C-4B99-940A-93B1F0266566}"/>
    <cellStyle name="Normal 7 4 3 2 3 4" xfId="4220" xr:uid="{6E3BC1E7-F8BD-43C1-B91A-816D12426DEE}"/>
    <cellStyle name="Normal 7 4 3 2 3 4 2" xfId="8992" xr:uid="{0A692B99-1804-4513-9F06-643635BB0790}"/>
    <cellStyle name="Normal 7 4 3 2 3 4 2 2" xfId="29071" xr:uid="{DA9D2592-47FB-4F1D-BFA6-EBB81FB188E0}"/>
    <cellStyle name="Normal 7 4 3 2 3 4 2 3" xfId="19372" xr:uid="{038B2056-D737-4FB1-A6D2-4BC63B056001}"/>
    <cellStyle name="Normal 7 4 3 2 3 4 3" xfId="11825" xr:uid="{78535C63-AB7A-44EF-A101-95F98832CCA5}"/>
    <cellStyle name="Normal 7 4 3 2 3 4 3 2" xfId="22205" xr:uid="{6D16DAF9-4B44-4D47-BF69-2D8280A83371}"/>
    <cellStyle name="Normal 7 4 3 2 3 4 4" xfId="22693" xr:uid="{B973C05B-9CC2-478B-A2C5-62E833C796DA}"/>
    <cellStyle name="Normal 7 4 3 2 3 4 5" xfId="16539" xr:uid="{C4633A96-5B7D-47DC-85FA-81F02C2A433B}"/>
    <cellStyle name="Normal 7 4 3 2 3 5" xfId="5446" xr:uid="{3A6AD47D-EAD5-4F97-A979-749B398589A4}"/>
    <cellStyle name="Normal 7 4 3 2 3 5 2" xfId="25913" xr:uid="{C5D29D23-FE1C-4BFF-89C5-69310B0DCE9C}"/>
    <cellStyle name="Normal 7 4 3 2 3 5 3" xfId="14743" xr:uid="{BD3256AC-3DE1-47C1-935A-7AF5EA9C1D44}"/>
    <cellStyle name="Normal 7 4 3 2 3 6" xfId="7196" xr:uid="{47654914-8CFE-4023-AB97-B19E9F93A688}"/>
    <cellStyle name="Normal 7 4 3 2 3 6 2" xfId="17576" xr:uid="{631FE5E1-3465-4C7A-9FCD-6AC02CF6B120}"/>
    <cellStyle name="Normal 7 4 3 2 3 7" xfId="10029" xr:uid="{9112CE37-E33E-4B59-A80E-4B8E74D3D28E}"/>
    <cellStyle name="Normal 7 4 3 2 3 7 2" xfId="20409" xr:uid="{A9ED16B8-F03F-4E24-90D7-02012BB168AC}"/>
    <cellStyle name="Normal 7 4 3 2 3 8" xfId="23823" xr:uid="{D81D44BF-8E0A-479B-B128-DD40BB514314}"/>
    <cellStyle name="Normal 7 4 3 2 3 9" xfId="12794" xr:uid="{D3B2A001-D1BB-464D-85C9-47EEBAE40815}"/>
    <cellStyle name="Normal 7 4 3 2 4" xfId="3449" xr:uid="{00000000-0005-0000-0000-000077080000}"/>
    <cellStyle name="Normal 7 4 3 2 4 2" xfId="4584" xr:uid="{BE69B502-CFA4-4673-B0CA-466D6376D99E}"/>
    <cellStyle name="Normal 7 4 3 2 4 2 2" xfId="9356" xr:uid="{B6849C53-F490-4032-AEC4-3A084CC61281}"/>
    <cellStyle name="Normal 7 4 3 2 4 2 2 2" xfId="29328" xr:uid="{49EFC940-64F5-4477-9D86-DB69A7F4CFA3}"/>
    <cellStyle name="Normal 7 4 3 2 4 2 2 3" xfId="19736" xr:uid="{32AE62BA-70DE-498C-A44C-59826C128A7C}"/>
    <cellStyle name="Normal 7 4 3 2 4 2 3" xfId="12189" xr:uid="{159A9BA1-2929-4A12-92CB-676A1CFADB15}"/>
    <cellStyle name="Normal 7 4 3 2 4 2 3 2" xfId="22569" xr:uid="{292322E4-F4B3-4726-A139-7E0F817029FB}"/>
    <cellStyle name="Normal 7 4 3 2 4 2 4" xfId="23495" xr:uid="{E04771C6-694C-4C78-9686-66A2E4A88F17}"/>
    <cellStyle name="Normal 7 4 3 2 4 2 5" xfId="16903" xr:uid="{941EFF89-C574-4C61-88AF-87557EA019BF}"/>
    <cellStyle name="Normal 7 4 3 2 4 3" xfId="6504" xr:uid="{FE9CE113-79F2-4B5C-BA67-98F3380ED68B}"/>
    <cellStyle name="Normal 7 4 3 2 4 3 2" xfId="26656" xr:uid="{D6492BDD-063D-43CD-B114-9F3447EF7DF7}"/>
    <cellStyle name="Normal 7 4 3 2 4 3 3" xfId="16075" xr:uid="{D28ACD28-03F2-41DF-91DC-E18B1FFD3BD2}"/>
    <cellStyle name="Normal 7 4 3 2 4 4" xfId="8528" xr:uid="{E3E207EE-AB51-45CE-AC81-46110AE208CC}"/>
    <cellStyle name="Normal 7 4 3 2 4 4 2" xfId="18908" xr:uid="{3022FECD-1E22-4532-8251-13E8C2CA2EF1}"/>
    <cellStyle name="Normal 7 4 3 2 4 5" xfId="11361" xr:uid="{06032698-B473-4D99-B7A2-A384DF1D6120}"/>
    <cellStyle name="Normal 7 4 3 2 4 5 2" xfId="21741" xr:uid="{2DEF58B8-F434-4326-833C-2C6D8957AC90}"/>
    <cellStyle name="Normal 7 4 3 2 4 6" xfId="23941" xr:uid="{583D7F32-4C0C-48B8-B0D6-39460D9575C2}"/>
    <cellStyle name="Normal 7 4 3 2 4 7" xfId="14035" xr:uid="{60928655-B0A7-4FF0-B832-B5642E0859B1}"/>
    <cellStyle name="Normal 7 4 3 2 5" xfId="2993" xr:uid="{00000000-0005-0000-0000-000078080000}"/>
    <cellStyle name="Normal 7 4 3 2 5 2" xfId="6143" xr:uid="{578F7411-E3DC-4F14-81AC-C358F6B04072}"/>
    <cellStyle name="Normal 7 4 3 2 5 2 2" xfId="26933" xr:uid="{FBD999AA-530E-4AA4-BD85-D9722360CD28}"/>
    <cellStyle name="Normal 7 4 3 2 5 2 3" xfId="27870" xr:uid="{B257E8BD-D4E7-4059-8C1B-A9B76FE6BFEC}"/>
    <cellStyle name="Normal 7 4 3 2 5 2 4" xfId="15621" xr:uid="{CFEBD5F4-751F-4372-A347-0DA6494FD338}"/>
    <cellStyle name="Normal 7 4 3 2 5 3" xfId="8074" xr:uid="{538275EF-640F-432E-9825-FF19D2D51182}"/>
    <cellStyle name="Normal 7 4 3 2 5 3 2" xfId="28769" xr:uid="{C681F8E4-BF3D-4C72-BD42-733E0A0057F2}"/>
    <cellStyle name="Normal 7 4 3 2 5 3 3" xfId="18454" xr:uid="{F43F2424-0270-42EC-B3BD-C36BAC8BA10C}"/>
    <cellStyle name="Normal 7 4 3 2 5 4" xfId="10907" xr:uid="{35B6B5F3-DC7D-4D12-825A-3586A22CBAF9}"/>
    <cellStyle name="Normal 7 4 3 2 5 4 2" xfId="21287" xr:uid="{5169B47F-28E6-40F9-AA14-89B747D7E99D}"/>
    <cellStyle name="Normal 7 4 3 2 5 5" xfId="24997" xr:uid="{B73C22F6-2F7D-46AC-865D-26CB506AA2E2}"/>
    <cellStyle name="Normal 7 4 3 2 5 6" xfId="13492" xr:uid="{318B7E50-E7A8-4B7B-878B-4E42339EB4EA}"/>
    <cellStyle name="Normal 7 4 3 2 6" xfId="2545" xr:uid="{00000000-0005-0000-0000-000079080000}"/>
    <cellStyle name="Normal 7 4 3 2 6 2" xfId="5817" xr:uid="{56974547-57DB-43F4-ADFE-38DD14043912}"/>
    <cellStyle name="Normal 7 4 3 2 6 2 2" xfId="26665" xr:uid="{00B38EBC-9ECA-43A2-9A83-6AA81309DC05}"/>
    <cellStyle name="Normal 7 4 3 2 6 2 3" xfId="15217" xr:uid="{32481FC7-B74B-4984-A4FF-43335934C822}"/>
    <cellStyle name="Normal 7 4 3 2 6 3" xfId="7670" xr:uid="{35F1688F-0AB5-49FC-AE97-A0D52627FA0B}"/>
    <cellStyle name="Normal 7 4 3 2 6 3 2" xfId="18050" xr:uid="{ED46ED4D-BA3A-4FBE-8BBC-5F0DD9015BE0}"/>
    <cellStyle name="Normal 7 4 3 2 6 4" xfId="10503" xr:uid="{D5929A23-9E1C-4E58-A651-98B5DB851C0A}"/>
    <cellStyle name="Normal 7 4 3 2 6 4 2" xfId="20883" xr:uid="{02F5C775-2FC8-410B-8ABB-F0311A026A2D}"/>
    <cellStyle name="Normal 7 4 3 2 6 5" xfId="23680" xr:uid="{E5C72DE6-A4B7-4B4A-9F09-5E0E03FCE46C}"/>
    <cellStyle name="Normal 7 4 3 2 6 6" xfId="12933" xr:uid="{A1D994E2-F66D-4C4C-A4DF-BC2FEA1C8FFF}"/>
    <cellStyle name="Normal 7 4 3 2 7" xfId="2239" xr:uid="{00000000-0005-0000-0000-00006D080000}"/>
    <cellStyle name="Normal 7 4 3 2 7 2" xfId="7366" xr:uid="{54C6D058-527F-4302-B06F-EF8FAFA9A236}"/>
    <cellStyle name="Normal 7 4 3 2 7 2 2" xfId="17746" xr:uid="{D19D41E0-7A7D-40B2-9C1D-59DDB17FC557}"/>
    <cellStyle name="Normal 7 4 3 2 7 3" xfId="10199" xr:uid="{A2100957-86A7-40A9-A08A-021D8F1E89DF}"/>
    <cellStyle name="Normal 7 4 3 2 7 3 2" xfId="20579" xr:uid="{A2280B11-CD6D-4527-AFE0-8A056FB63D09}"/>
    <cellStyle name="Normal 7 4 3 2 7 4" xfId="25300" xr:uid="{0603B06E-A1F5-4D58-8A1B-000246F50293}"/>
    <cellStyle name="Normal 7 4 3 2 7 5" xfId="14913" xr:uid="{40C4DFAD-8EB2-498D-A09C-408A62E4D8B9}"/>
    <cellStyle name="Normal 7 4 3 2 8" xfId="4070" xr:uid="{1788756D-2364-4287-B913-92CA22C8B232}"/>
    <cellStyle name="Normal 7 4 3 2 8 2" xfId="8850" xr:uid="{F636902B-44CD-452E-A097-BD6C9B82C6F6}"/>
    <cellStyle name="Normal 7 4 3 2 8 2 2" xfId="19230" xr:uid="{6F87E975-C485-4A61-BE1A-5F05CB89F4EE}"/>
    <cellStyle name="Normal 7 4 3 2 8 3" xfId="11683" xr:uid="{8FFFB54E-DC3D-4100-9DB7-3C91F2B513D6}"/>
    <cellStyle name="Normal 7 4 3 2 8 3 2" xfId="22063" xr:uid="{16F6A337-3841-45CC-B34C-4B770E5AADE0}"/>
    <cellStyle name="Normal 7 4 3 2 8 4" xfId="16397" xr:uid="{96617CEB-2E3E-4F5C-BCE9-EEF55DA318E9}"/>
    <cellStyle name="Normal 7 4 3 2 9" xfId="5444" xr:uid="{3E4D21E4-15FB-474A-9291-70A16EB38D4A}"/>
    <cellStyle name="Normal 7 4 3 2 9 2" xfId="14741" xr:uid="{BA42F566-5410-4CAC-812B-1D5B44999462}"/>
    <cellStyle name="Normal 7 4 3 3" xfId="1429" xr:uid="{00000000-0005-0000-0000-00006C070000}"/>
    <cellStyle name="Normal 7 4 3 3 10" xfId="10030" xr:uid="{6667FA85-31D9-4427-9837-D0170AFC350D}"/>
    <cellStyle name="Normal 7 4 3 3 10 2" xfId="20410" xr:uid="{089B2346-AECA-44F6-9A15-0847870DF850}"/>
    <cellStyle name="Normal 7 4 3 3 11" xfId="22764" xr:uid="{B86F18A5-73F3-4000-ACBC-207F0FA23A4A}"/>
    <cellStyle name="Normal 7 4 3 3 12" xfId="12635" xr:uid="{7A85351B-D760-457A-A31A-24CD8DE5DBDA}"/>
    <cellStyle name="Normal 7 4 3 3 2" xfId="2831" xr:uid="{00000000-0005-0000-0000-00007B080000}"/>
    <cellStyle name="Normal 7 4 3 3 2 2" xfId="3451" xr:uid="{00000000-0005-0000-0000-00007C080000}"/>
    <cellStyle name="Normal 7 4 3 3 2 2 2" xfId="6506" xr:uid="{48B5E98D-E20A-446E-8CE6-CB1B22942103}"/>
    <cellStyle name="Normal 7 4 3 3 2 2 2 2" xfId="26050" xr:uid="{E78C11AD-0DCB-4CFD-AC95-376CACF35712}"/>
    <cellStyle name="Normal 7 4 3 3 2 2 2 3" xfId="28499" xr:uid="{D6EB5508-2B1F-409F-BF0E-5F62BF76C654}"/>
    <cellStyle name="Normal 7 4 3 3 2 2 2 4" xfId="16077" xr:uid="{262CD2BB-F139-47AC-90B7-CAB4073CD94D}"/>
    <cellStyle name="Normal 7 4 3 3 2 2 3" xfId="8530" xr:uid="{E30491D7-3CEA-4373-B543-9CB1B7626C17}"/>
    <cellStyle name="Normal 7 4 3 3 2 2 3 2" xfId="28941" xr:uid="{1D3C20E2-F2B4-4F2C-B041-D12DDFCD41DD}"/>
    <cellStyle name="Normal 7 4 3 3 2 2 3 3" xfId="18910" xr:uid="{B6EE3C50-3755-4F44-BF67-E82A5DFA14B4}"/>
    <cellStyle name="Normal 7 4 3 3 2 2 4" xfId="11363" xr:uid="{7DC0C649-CFCA-438C-96B8-974CDE4E2BAD}"/>
    <cellStyle name="Normal 7 4 3 3 2 2 4 2" xfId="21743" xr:uid="{312F8E66-125B-4C94-9E3C-927D9C54082E}"/>
    <cellStyle name="Normal 7 4 3 3 2 2 5" xfId="24577" xr:uid="{CF31D9AE-9CF8-4A4E-A71E-355ABC001280}"/>
    <cellStyle name="Normal 7 4 3 3 2 2 6" xfId="14037" xr:uid="{96ED7D6B-5A4B-4533-A5EC-81BAC427DE5C}"/>
    <cellStyle name="Normal 7 4 3 3 2 3" xfId="4368" xr:uid="{1164E2F6-BE54-4C9A-9367-B13ECC269973}"/>
    <cellStyle name="Normal 7 4 3 3 2 3 2" xfId="9140" xr:uid="{CE24510D-F338-49D8-B45A-D82D59DDA679}"/>
    <cellStyle name="Normal 7 4 3 3 2 3 2 2" xfId="29183" xr:uid="{15A0BC14-9723-4844-997D-7F608D6D3BE4}"/>
    <cellStyle name="Normal 7 4 3 3 2 3 2 3" xfId="19520" xr:uid="{279C4189-A4D0-4F42-B42F-D442B7F2B84D}"/>
    <cellStyle name="Normal 7 4 3 3 2 3 3" xfId="11973" xr:uid="{BEC1F4D3-518A-4F33-BA3F-4CF935058B4B}"/>
    <cellStyle name="Normal 7 4 3 3 2 3 3 2" xfId="22353" xr:uid="{F89F05BD-F693-4E0A-A692-51703F75E7DD}"/>
    <cellStyle name="Normal 7 4 3 3 2 3 4" xfId="22855" xr:uid="{1326B803-3310-46CE-A6FB-42D3ED54462C}"/>
    <cellStyle name="Normal 7 4 3 3 2 3 5" xfId="16687" xr:uid="{5014DB47-F0F0-40C8-B66B-0941FA40DF3B}"/>
    <cellStyle name="Normal 7 4 3 3 2 4" xfId="6047" xr:uid="{7BB6B4AF-EA51-459C-86B6-BABFCD88A947}"/>
    <cellStyle name="Normal 7 4 3 3 2 4 2" xfId="28067" xr:uid="{17D66357-EF32-4F8C-84B6-32FE3BE82A93}"/>
    <cellStyle name="Normal 7 4 3 3 2 4 3" xfId="15501" xr:uid="{9DD7B4D8-A34D-4CAB-91BE-38C25D3B1407}"/>
    <cellStyle name="Normal 7 4 3 3 2 5" xfId="7954" xr:uid="{A98EE685-BE0A-47CF-B38D-E67C444EBDC5}"/>
    <cellStyle name="Normal 7 4 3 3 2 5 2" xfId="18334" xr:uid="{7313D125-3020-4C73-A463-409099B17A9F}"/>
    <cellStyle name="Normal 7 4 3 3 2 6" xfId="10787" xr:uid="{C0957656-6A55-4DCB-918D-D196EA4F5E7F}"/>
    <cellStyle name="Normal 7 4 3 3 2 6 2" xfId="21167" xr:uid="{2A2FB51E-E0AF-4311-AF82-31FEE760DB29}"/>
    <cellStyle name="Normal 7 4 3 3 2 7" xfId="25204" xr:uid="{F41EA67F-7807-4F32-B7E0-7363D90FCC61}"/>
    <cellStyle name="Normal 7 4 3 3 2 8" xfId="13307" xr:uid="{607FBB25-0D28-4F52-AD1B-83BEBCB24050}"/>
    <cellStyle name="Normal 7 4 3 3 3" xfId="3452" xr:uid="{00000000-0005-0000-0000-00007D080000}"/>
    <cellStyle name="Normal 7 4 3 3 3 2" xfId="4585" xr:uid="{F18E3703-1BDE-480F-BE5E-1F730306F51A}"/>
    <cellStyle name="Normal 7 4 3 3 3 2 2" xfId="9357" xr:uid="{B0677BE6-9079-4D98-A8F1-8D97277FF505}"/>
    <cellStyle name="Normal 7 4 3 3 3 2 2 2" xfId="29329" xr:uid="{24071852-15EF-40E2-9F82-D651F337EB84}"/>
    <cellStyle name="Normal 7 4 3 3 3 2 2 3" xfId="19737" xr:uid="{12701740-B917-40F3-B4F7-9F90747D2844}"/>
    <cellStyle name="Normal 7 4 3 3 3 2 3" xfId="12190" xr:uid="{BB004EC3-B997-40D7-B22F-908ADF68194E}"/>
    <cellStyle name="Normal 7 4 3 3 3 2 3 2" xfId="22570" xr:uid="{C3534578-EB7C-4F64-8B94-4616D70F02AC}"/>
    <cellStyle name="Normal 7 4 3 3 3 2 4" xfId="25454" xr:uid="{22DA6432-24DF-4E3B-B59B-B9C6A0520FC1}"/>
    <cellStyle name="Normal 7 4 3 3 3 2 5" xfId="16904" xr:uid="{FCDC8A1C-E1FD-4A4B-9C72-13153C0BB55A}"/>
    <cellStyle name="Normal 7 4 3 3 3 3" xfId="6507" xr:uid="{654F5FB6-7196-47D6-8AAF-6C493651A246}"/>
    <cellStyle name="Normal 7 4 3 3 3 3 2" xfId="27474" xr:uid="{69965E02-6437-4F03-804C-9A661E470984}"/>
    <cellStyle name="Normal 7 4 3 3 3 3 3" xfId="16078" xr:uid="{55A8CC60-1E47-4A51-A6B4-F2F325865EC8}"/>
    <cellStyle name="Normal 7 4 3 3 3 4" xfId="8531" xr:uid="{5A83B3DB-B880-4A3B-AE55-6BB6EDA7B46B}"/>
    <cellStyle name="Normal 7 4 3 3 3 4 2" xfId="18911" xr:uid="{26FDF01F-42BD-4B10-8796-FE241310EE7C}"/>
    <cellStyle name="Normal 7 4 3 3 3 5" xfId="11364" xr:uid="{06C307B1-50D8-42DF-AA97-0D940E415962}"/>
    <cellStyle name="Normal 7 4 3 3 3 5 2" xfId="21744" xr:uid="{2B6081B6-FE53-4D57-BA48-CE0983A23D21}"/>
    <cellStyle name="Normal 7 4 3 3 3 6" xfId="25238" xr:uid="{C1208326-4645-4857-A234-EB126694D89D}"/>
    <cellStyle name="Normal 7 4 3 3 3 7" xfId="14038" xr:uid="{6150ABE2-3190-4D8E-9C58-717516F2FC4D}"/>
    <cellStyle name="Normal 7 4 3 3 4" xfId="3450" xr:uid="{00000000-0005-0000-0000-00007E080000}"/>
    <cellStyle name="Normal 7 4 3 3 4 2" xfId="6505" xr:uid="{AB9CC0A2-EA6E-4ECE-8E8F-6953D22BD62A}"/>
    <cellStyle name="Normal 7 4 3 3 4 2 2" xfId="26686" xr:uid="{EF441DC9-0BA0-4DAF-859C-EAED2F3FA7E7}"/>
    <cellStyle name="Normal 7 4 3 3 4 2 3" xfId="16076" xr:uid="{CF51B8B6-35B7-465A-A95E-21074B0F731E}"/>
    <cellStyle name="Normal 7 4 3 3 4 3" xfId="8529" xr:uid="{6E3458D8-3B9B-4F11-8724-43C5E55F88DF}"/>
    <cellStyle name="Normal 7 4 3 3 4 3 2" xfId="18909" xr:uid="{AFA529B8-41D2-4DBF-A25E-50AE2612621F}"/>
    <cellStyle name="Normal 7 4 3 3 4 4" xfId="11362" xr:uid="{25DDDA3A-69A0-4D9A-BEB2-4E48E9D4813E}"/>
    <cellStyle name="Normal 7 4 3 3 4 4 2" xfId="21742" xr:uid="{561A8E3B-8179-4F40-85BC-CDBEA35B6370}"/>
    <cellStyle name="Normal 7 4 3 3 4 5" xfId="24927" xr:uid="{DF90C266-0B60-4C07-BD54-1B0EEFE5325C}"/>
    <cellStyle name="Normal 7 4 3 3 4 6" xfId="14036" xr:uid="{DFE5541A-9458-4317-A8E5-1691D21861B9}"/>
    <cellStyle name="Normal 7 4 3 3 5" xfId="2588" xr:uid="{00000000-0005-0000-0000-00007F080000}"/>
    <cellStyle name="Normal 7 4 3 3 5 2" xfId="5853" xr:uid="{111C5C2C-A182-4704-A487-D3944057A596}"/>
    <cellStyle name="Normal 7 4 3 3 5 2 2" xfId="26178" xr:uid="{1F5AABDE-1389-477C-80D6-A213032F088B}"/>
    <cellStyle name="Normal 7 4 3 3 5 2 3" xfId="15260" xr:uid="{7EA4A352-F373-45DD-B537-590F3A11C396}"/>
    <cellStyle name="Normal 7 4 3 3 5 3" xfId="7713" xr:uid="{7EAFA413-63AD-4A34-B4A4-F513D1AD5670}"/>
    <cellStyle name="Normal 7 4 3 3 5 3 2" xfId="18093" xr:uid="{8BB37E77-570C-4567-8D06-F87243B472B1}"/>
    <cellStyle name="Normal 7 4 3 3 5 4" xfId="10546" xr:uid="{E1549959-8817-4633-8289-6E00F9783B2C}"/>
    <cellStyle name="Normal 7 4 3 3 5 4 2" xfId="20926" xr:uid="{2E6ED116-9846-431C-815B-D5DC8B253A02}"/>
    <cellStyle name="Normal 7 4 3 3 5 5" xfId="25048" xr:uid="{8511F9FB-FE04-4F54-B76D-0F6555F47898}"/>
    <cellStyle name="Normal 7 4 3 3 5 6" xfId="12976" xr:uid="{43FEF3D2-CBF4-4FBD-9A90-92776017DD28}"/>
    <cellStyle name="Normal 7 4 3 3 6" xfId="2401" xr:uid="{00000000-0005-0000-0000-00007A080000}"/>
    <cellStyle name="Normal 7 4 3 3 6 2" xfId="7528" xr:uid="{3FF4B652-F802-4890-923C-4AC57CFC6BA0}"/>
    <cellStyle name="Normal 7 4 3 3 6 2 2" xfId="17908" xr:uid="{E68CA27F-967A-487A-B572-281C900CF99F}"/>
    <cellStyle name="Normal 7 4 3 3 6 3" xfId="10361" xr:uid="{193E1795-909A-4BF7-8262-DD4654DFBF86}"/>
    <cellStyle name="Normal 7 4 3 3 6 3 2" xfId="20741" xr:uid="{7AAEED86-CD26-4E1B-BB33-3ADBE7B5BB89}"/>
    <cellStyle name="Normal 7 4 3 3 6 4" xfId="23249" xr:uid="{429D2802-A5D3-42F3-9D3E-41E494361E46}"/>
    <cellStyle name="Normal 7 4 3 3 6 5" xfId="15075" xr:uid="{BD8597E0-3AE8-49CB-9D76-9F4A689838B5}"/>
    <cellStyle name="Normal 7 4 3 3 7" xfId="4101" xr:uid="{F0B7520E-C9CD-4676-9705-62383BEED1A9}"/>
    <cellStyle name="Normal 7 4 3 3 7 2" xfId="8875" xr:uid="{10C788E9-E200-4D9A-AE89-79B41165D7DD}"/>
    <cellStyle name="Normal 7 4 3 3 7 2 2" xfId="19255" xr:uid="{EA5A4DC9-E0B7-41F7-9A93-A760A1F9960C}"/>
    <cellStyle name="Normal 7 4 3 3 7 3" xfId="11708" xr:uid="{5BD47590-79D5-442D-8776-37C03AA1DA7B}"/>
    <cellStyle name="Normal 7 4 3 3 7 3 2" xfId="22088" xr:uid="{3F53DE9D-52C7-4518-8D70-DA4FED8E9BF3}"/>
    <cellStyle name="Normal 7 4 3 3 7 4" xfId="16422" xr:uid="{02B56F57-C9AC-494F-8A20-DEC5A811C11D}"/>
    <cellStyle name="Normal 7 4 3 3 8" xfId="5447" xr:uid="{DB9B4F3E-2691-495E-8284-1ECC209D77C9}"/>
    <cellStyle name="Normal 7 4 3 3 8 2" xfId="14744" xr:uid="{004188FD-65A4-406B-B9B7-8FEFB49F8489}"/>
    <cellStyle name="Normal 7 4 3 3 9" xfId="7197" xr:uid="{1D9BF1DF-B944-4ABA-BE4A-CA1C939720ED}"/>
    <cellStyle name="Normal 7 4 3 3 9 2" xfId="17577" xr:uid="{7034C2D9-C843-4505-A313-432FB976C8D2}"/>
    <cellStyle name="Normal 7 4 3 4" xfId="1430" xr:uid="{00000000-0005-0000-0000-00006D070000}"/>
    <cellStyle name="Normal 7 4 3 4 2" xfId="3453" xr:uid="{00000000-0005-0000-0000-000081080000}"/>
    <cellStyle name="Normal 7 4 3 4 2 2" xfId="6508" xr:uid="{5CBF7F30-3323-4EAB-A7E0-3F88CF0BC913}"/>
    <cellStyle name="Normal 7 4 3 4 2 2 2" xfId="23518" xr:uid="{5901EB7B-0C5A-47E2-9E44-D71F908B0092}"/>
    <cellStyle name="Normal 7 4 3 4 2 2 3" xfId="25879" xr:uid="{B2BBB98A-4899-4C7E-B326-4C91DB326458}"/>
    <cellStyle name="Normal 7 4 3 4 2 2 4" xfId="16079" xr:uid="{7055F32A-BC18-4F42-A7A0-3D55BB69C3F4}"/>
    <cellStyle name="Normal 7 4 3 4 2 3" xfId="8532" xr:uid="{11430790-3FEE-49B1-8B5A-0D306385F222}"/>
    <cellStyle name="Normal 7 4 3 4 2 3 2" xfId="28942" xr:uid="{7163F059-7EB7-4F8B-BA34-ECD7FE44467B}"/>
    <cellStyle name="Normal 7 4 3 4 2 3 3" xfId="18912" xr:uid="{C9F4ED25-46E9-4B0D-BE71-DCFFD89F00A2}"/>
    <cellStyle name="Normal 7 4 3 4 2 4" xfId="11365" xr:uid="{22A9B4A9-E21A-4750-A368-B09B5A08F92A}"/>
    <cellStyle name="Normal 7 4 3 4 2 4 2" xfId="21745" xr:uid="{8AA30EE1-CC49-4A13-B4F6-AF9FBD41C4FD}"/>
    <cellStyle name="Normal 7 4 3 4 2 5" xfId="23352" xr:uid="{F9DBE65A-8BAE-46A8-93B5-A94EE58F61D8}"/>
    <cellStyle name="Normal 7 4 3 4 2 6" xfId="14039" xr:uid="{FCB69EA9-4645-4C69-910A-24F5C7EF16C8}"/>
    <cellStyle name="Normal 7 4 3 4 3" xfId="2828" xr:uid="{00000000-0005-0000-0000-000082080000}"/>
    <cellStyle name="Normal 7 4 3 4 3 2" xfId="6044" xr:uid="{D4436D1D-1802-4B4C-A77E-8756FEE4AB49}"/>
    <cellStyle name="Normal 7 4 3 4 3 2 2" xfId="26010" xr:uid="{65CC4502-9897-4C0E-9116-B511B4EB6C1D}"/>
    <cellStyle name="Normal 7 4 3 4 3 2 3" xfId="15498" xr:uid="{870FBBFF-365B-4C7C-83AC-AB62265F91CB}"/>
    <cellStyle name="Normal 7 4 3 4 3 3" xfId="7951" xr:uid="{F289DF43-462C-4EF2-A46E-67BDAB1512D1}"/>
    <cellStyle name="Normal 7 4 3 4 3 3 2" xfId="18331" xr:uid="{36038B05-0B63-4624-BCE8-A4FEBD5C722B}"/>
    <cellStyle name="Normal 7 4 3 4 3 4" xfId="10784" xr:uid="{6781698A-5BCE-41C9-BBCA-4301FDC8D239}"/>
    <cellStyle name="Normal 7 4 3 4 3 4 2" xfId="21164" xr:uid="{F7B0FE75-3DE0-4F6B-B8B2-1A43B84AC2DE}"/>
    <cellStyle name="Normal 7 4 3 4 3 5" xfId="24872" xr:uid="{52399C13-1388-495D-8E38-FC6CAC5DC2DF}"/>
    <cellStyle name="Normal 7 4 3 4 3 6" xfId="13304" xr:uid="{C10AA231-F24F-4722-9717-CB84CBE0EB2D}"/>
    <cellStyle name="Normal 7 4 3 4 4" xfId="4219" xr:uid="{F78D4B62-EDF2-4AB7-9DEE-497CD2C415AD}"/>
    <cellStyle name="Normal 7 4 3 4 4 2" xfId="8991" xr:uid="{F71EDB45-9810-4D87-8762-F549CCD7BB02}"/>
    <cellStyle name="Normal 7 4 3 4 4 2 2" xfId="29070" xr:uid="{524B28EC-43F0-4019-9D4D-DBF6E9BC9755}"/>
    <cellStyle name="Normal 7 4 3 4 4 2 3" xfId="19371" xr:uid="{56EC96C9-509D-400C-919D-212DC4D85B5F}"/>
    <cellStyle name="Normal 7 4 3 4 4 3" xfId="11824" xr:uid="{A6B36A25-F2E9-4829-80BF-949050D817B5}"/>
    <cellStyle name="Normal 7 4 3 4 4 3 2" xfId="22204" xr:uid="{D93F6B13-0F03-4A69-80D1-F00874B103F5}"/>
    <cellStyle name="Normal 7 4 3 4 4 4" xfId="24951" xr:uid="{98B0EA07-A356-42CD-A364-0F6F4D084560}"/>
    <cellStyle name="Normal 7 4 3 4 4 5" xfId="16538" xr:uid="{C99310B4-52FC-42F8-998B-F83A68E8C447}"/>
    <cellStyle name="Normal 7 4 3 4 5" xfId="5448" xr:uid="{FFA53823-102B-449A-B135-DAA9CE52C2E1}"/>
    <cellStyle name="Normal 7 4 3 4 5 2" xfId="25872" xr:uid="{8547CB7E-A1FF-4B13-951F-A22FF4AE4097}"/>
    <cellStyle name="Normal 7 4 3 4 5 3" xfId="14745" xr:uid="{08FF8EB2-D4DD-4BE1-968D-3CF95B1085D0}"/>
    <cellStyle name="Normal 7 4 3 4 6" xfId="7198" xr:uid="{BAF5CBFF-6980-43EA-959E-43221B798C71}"/>
    <cellStyle name="Normal 7 4 3 4 6 2" xfId="17578" xr:uid="{E0417E85-D902-45ED-850B-BDDDC1EAB10C}"/>
    <cellStyle name="Normal 7 4 3 4 7" xfId="10031" xr:uid="{20E05630-56E6-49F8-B05E-B39E08C74933}"/>
    <cellStyle name="Normal 7 4 3 4 7 2" xfId="20411" xr:uid="{D606B5E7-D6DF-49FB-B867-04950CA47F6F}"/>
    <cellStyle name="Normal 7 4 3 4 8" xfId="22698" xr:uid="{E663FDFE-3056-4B0A-A699-530B605D2EAB}"/>
    <cellStyle name="Normal 7 4 3 4 9" xfId="12793" xr:uid="{EFC20897-F697-4AC5-A1D5-242406207B9D}"/>
    <cellStyle name="Normal 7 4 3 5" xfId="1431" xr:uid="{00000000-0005-0000-0000-00006E070000}"/>
    <cellStyle name="Normal 7 4 3 5 2" xfId="4586" xr:uid="{32AAEC66-C84F-4F4B-9085-09C0EB6273DA}"/>
    <cellStyle name="Normal 7 4 3 5 2 2" xfId="9358" xr:uid="{90B25159-4300-4BCE-8DE3-24844D9CEED2}"/>
    <cellStyle name="Normal 7 4 3 5 2 2 2" xfId="29330" xr:uid="{03391A60-D465-4962-94B1-865E32136359}"/>
    <cellStyle name="Normal 7 4 3 5 2 2 3" xfId="19738" xr:uid="{7B7679F3-5742-44C6-B9DA-6773280A4856}"/>
    <cellStyle name="Normal 7 4 3 5 2 3" xfId="12191" xr:uid="{32F85BC9-45B3-4D52-9F8A-C4B8F058362B}"/>
    <cellStyle name="Normal 7 4 3 5 2 3 2" xfId="22571" xr:uid="{58028893-E889-4500-9A5A-5192B2981EAA}"/>
    <cellStyle name="Normal 7 4 3 5 2 4" xfId="23988" xr:uid="{662E79A0-DCE2-4051-9540-1F063C7A2FF5}"/>
    <cellStyle name="Normal 7 4 3 5 2 5" xfId="16905" xr:uid="{36964F92-B719-4357-928D-C0A9D95E955E}"/>
    <cellStyle name="Normal 7 4 3 5 3" xfId="5449" xr:uid="{55395201-A444-4DAF-8240-6F1A99D8FF91}"/>
    <cellStyle name="Normal 7 4 3 5 3 2" xfId="26343" xr:uid="{96547A6C-7F4D-47A4-936A-437334C9FF4F}"/>
    <cellStyle name="Normal 7 4 3 5 3 3" xfId="14746" xr:uid="{B01B003D-09F0-41A7-9E25-076F0A13C040}"/>
    <cellStyle name="Normal 7 4 3 5 4" xfId="7199" xr:uid="{06444F2C-0374-48A8-8176-B66859AA11CC}"/>
    <cellStyle name="Normal 7 4 3 5 4 2" xfId="17579" xr:uid="{8B888782-6FEA-407C-9DFB-589676603ED3}"/>
    <cellStyle name="Normal 7 4 3 5 5" xfId="10032" xr:uid="{29AAE153-BD0B-4399-9C73-A798C68315C9}"/>
    <cellStyle name="Normal 7 4 3 5 5 2" xfId="20412" xr:uid="{81DDCE17-9BA0-4C95-AE8E-4B670AEA1C3D}"/>
    <cellStyle name="Normal 7 4 3 5 6" xfId="23858" xr:uid="{DA4BEBB2-AFC0-4336-ADD6-7BD0DB116E1A}"/>
    <cellStyle name="Normal 7 4 3 5 7" xfId="14040" xr:uid="{78E0465A-D360-474F-81AB-8916C3666EF8}"/>
    <cellStyle name="Normal 7 4 3 6" xfId="2992" xr:uid="{00000000-0005-0000-0000-000084080000}"/>
    <cellStyle name="Normal 7 4 3 6 2" xfId="6142" xr:uid="{DECB5462-13A0-4971-93E2-67D64097B287}"/>
    <cellStyle name="Normal 7 4 3 6 2 2" xfId="24786" xr:uid="{4763614B-9A15-465F-B4E0-4D5682EEC570}"/>
    <cellStyle name="Normal 7 4 3 6 2 3" xfId="26641" xr:uid="{38E6F481-054E-4951-A4C8-038582470DEC}"/>
    <cellStyle name="Normal 7 4 3 6 2 4" xfId="15620" xr:uid="{CF275B3F-9D0A-467E-8F53-450B4BBB2501}"/>
    <cellStyle name="Normal 7 4 3 6 3" xfId="8073" xr:uid="{684E6C9B-8F1F-4C96-B900-9475A48A6A90}"/>
    <cellStyle name="Normal 7 4 3 6 3 2" xfId="28768" xr:uid="{101FAE63-21CF-4237-B40A-3C0788565985}"/>
    <cellStyle name="Normal 7 4 3 6 3 3" xfId="18453" xr:uid="{4E427ABA-F9E9-499C-9D02-F1D537CD0FCA}"/>
    <cellStyle name="Normal 7 4 3 6 4" xfId="10906" xr:uid="{A10836A0-4C54-4C33-9779-473B3614B4F3}"/>
    <cellStyle name="Normal 7 4 3 6 4 2" xfId="21286" xr:uid="{DA2223B3-1516-44A5-BF6E-D468F9EA8F0A}"/>
    <cellStyle name="Normal 7 4 3 6 5" xfId="24501" xr:uid="{2D2D3BAB-4EE1-40A9-9DAE-9BBDB025D104}"/>
    <cellStyle name="Normal 7 4 3 6 6" xfId="13491" xr:uid="{D8C51755-15E4-4D5D-B33E-C5777ED4CD4D}"/>
    <cellStyle name="Normal 7 4 3 7" xfId="2485" xr:uid="{00000000-0005-0000-0000-000085080000}"/>
    <cellStyle name="Normal 7 4 3 7 2" xfId="5771" xr:uid="{7EC0E344-7771-4C9E-8813-722F72405483}"/>
    <cellStyle name="Normal 7 4 3 7 2 2" xfId="27031" xr:uid="{C4A76B5A-3250-41B6-83CD-0ADFD2DE1444}"/>
    <cellStyle name="Normal 7 4 3 7 2 3" xfId="15157" xr:uid="{607EB0E2-E535-4617-8722-6D0ADED78D08}"/>
    <cellStyle name="Normal 7 4 3 7 3" xfId="7610" xr:uid="{33C3883B-9E2C-4F93-BF03-9232B138A1EE}"/>
    <cellStyle name="Normal 7 4 3 7 3 2" xfId="17990" xr:uid="{67879044-935B-4B97-A03A-E634BCF98FB2}"/>
    <cellStyle name="Normal 7 4 3 7 4" xfId="10443" xr:uid="{C8B9B9BB-45C1-46CC-A234-96C734088617}"/>
    <cellStyle name="Normal 7 4 3 7 4 2" xfId="20823" xr:uid="{1DE6E8F3-B876-42BD-BA32-1791CD97C485}"/>
    <cellStyle name="Normal 7 4 3 7 5" xfId="23068" xr:uid="{0271FA07-948E-446C-9858-16D19FE45933}"/>
    <cellStyle name="Normal 7 4 3 7 6" xfId="12873" xr:uid="{231A3B36-517F-475A-9A76-713D87C84C49}"/>
    <cellStyle name="Normal 7 4 3 8" xfId="2179" xr:uid="{00000000-0005-0000-0000-00006C080000}"/>
    <cellStyle name="Normal 7 4 3 8 2" xfId="7306" xr:uid="{61404530-84D2-4FCC-B79A-40F6D1459624}"/>
    <cellStyle name="Normal 7 4 3 8 2 2" xfId="17686" xr:uid="{0B164E7B-ABA5-4238-BF26-6C01C2A9E63F}"/>
    <cellStyle name="Normal 7 4 3 8 3" xfId="10139" xr:uid="{9D3117D7-E98C-47FF-B117-08F9C3256A30}"/>
    <cellStyle name="Normal 7 4 3 8 3 2" xfId="20519" xr:uid="{90C46BEB-9A72-495F-AF5C-3C849CDBEAB0}"/>
    <cellStyle name="Normal 7 4 3 8 4" xfId="22818" xr:uid="{8043779F-2F38-4DEF-B53C-1493A615375A}"/>
    <cellStyle name="Normal 7 4 3 8 5" xfId="14853" xr:uid="{92C41245-DB38-4685-9AA4-D23501AAEF39}"/>
    <cellStyle name="Normal 7 4 3 9" xfId="4069" xr:uid="{9B83B12B-F037-4973-AB0C-83E137F3CCA4}"/>
    <cellStyle name="Normal 7 4 3 9 2" xfId="8849" xr:uid="{F26D4E52-7049-4504-862C-EDEE61895F5C}"/>
    <cellStyle name="Normal 7 4 3 9 2 2" xfId="19229" xr:uid="{BF60D9B6-3B18-46FC-AF3E-456E390ED4FD}"/>
    <cellStyle name="Normal 7 4 3 9 3" xfId="11682" xr:uid="{5AE3403A-02C3-4D2D-8309-643F1A197D08}"/>
    <cellStyle name="Normal 7 4 3 9 3 2" xfId="22062" xr:uid="{0C78B99F-AD36-4BE1-92A4-14881384F045}"/>
    <cellStyle name="Normal 7 4 3 9 4" xfId="16396" xr:uid="{92F4B5A9-F8D7-426A-A253-1347198AF915}"/>
    <cellStyle name="Normal 7 4 4" xfId="1432" xr:uid="{00000000-0005-0000-0000-00006F070000}"/>
    <cellStyle name="Normal 7 4 4 10" xfId="5450" xr:uid="{E3B89E48-5BD7-4CAB-A493-53FC19BCD894}"/>
    <cellStyle name="Normal 7 4 4 10 2" xfId="14747" xr:uid="{F69FED75-DFAE-48F9-AEF7-F43173D57B3F}"/>
    <cellStyle name="Normal 7 4 4 11" xfId="7200" xr:uid="{450BA93B-30BB-4489-A0C0-4616AAFE258B}"/>
    <cellStyle name="Normal 7 4 4 11 2" xfId="17580" xr:uid="{38E264F0-7759-4EEB-A8BE-79CFD9A7C20A}"/>
    <cellStyle name="Normal 7 4 4 12" xfId="10033" xr:uid="{AFDCE651-09CB-423B-A6E6-CBD55F2B2AFA}"/>
    <cellStyle name="Normal 7 4 4 12 2" xfId="20413" xr:uid="{1DE52EE3-07B5-4308-A5FC-33897D9F665A}"/>
    <cellStyle name="Normal 7 4 4 13" xfId="25346" xr:uid="{ECE91AA8-E135-4F43-A425-BFD3BD91DA6D}"/>
    <cellStyle name="Normal 7 4 4 14" xfId="12418" xr:uid="{91BFECF0-198C-452A-90F5-3BC8E451D944}"/>
    <cellStyle name="Normal 7 4 4 2" xfId="1433" xr:uid="{00000000-0005-0000-0000-000070070000}"/>
    <cellStyle name="Normal 7 4 4 2 10" xfId="7201" xr:uid="{1780B4E2-A429-4928-8711-A8E9D8D7B098}"/>
    <cellStyle name="Normal 7 4 4 2 10 2" xfId="17581" xr:uid="{971BB55E-6229-4B92-8ACF-623834102A83}"/>
    <cellStyle name="Normal 7 4 4 2 11" xfId="10034" xr:uid="{C035D557-3EFF-45F3-BC8F-FDEA512F952C}"/>
    <cellStyle name="Normal 7 4 4 2 11 2" xfId="20414" xr:uid="{C4E67250-1EE6-4C48-A021-E2DE29480886}"/>
    <cellStyle name="Normal 7 4 4 2 12" xfId="23473" xr:uid="{99C65200-6E1C-4865-920A-1AD02BF528B9}"/>
    <cellStyle name="Normal 7 4 4 2 13" xfId="12478" xr:uid="{1787C933-1F9A-474B-94C4-ACF8D47EE646}"/>
    <cellStyle name="Normal 7 4 4 2 2" xfId="1434" xr:uid="{00000000-0005-0000-0000-000071070000}"/>
    <cellStyle name="Normal 7 4 4 2 2 10" xfId="13043" xr:uid="{85D260CD-ECE6-4BDB-B90F-7767C72C53D5}"/>
    <cellStyle name="Normal 7 4 4 2 2 2" xfId="2834" xr:uid="{00000000-0005-0000-0000-000089080000}"/>
    <cellStyle name="Normal 7 4 4 2 2 2 2" xfId="3456" xr:uid="{00000000-0005-0000-0000-00008A080000}"/>
    <cellStyle name="Normal 7 4 4 2 2 2 2 2" xfId="6511" xr:uid="{B0689EE3-D10E-460E-9499-3C1AFF201603}"/>
    <cellStyle name="Normal 7 4 4 2 2 2 2 2 2" xfId="27707" xr:uid="{F87B1CF3-4D27-433F-AEB6-4849FE48B7BE}"/>
    <cellStyle name="Normal 7 4 4 2 2 2 2 2 3" xfId="16082" xr:uid="{09436EDD-7B29-41AF-B1F1-BCEC022D3963}"/>
    <cellStyle name="Normal 7 4 4 2 2 2 2 3" xfId="8535" xr:uid="{8D76F6F3-08D3-4D55-883F-27E1666CE904}"/>
    <cellStyle name="Normal 7 4 4 2 2 2 2 3 2" xfId="18915" xr:uid="{BC115AB2-6628-4205-B78C-F266D4F8CD53}"/>
    <cellStyle name="Normal 7 4 4 2 2 2 2 4" xfId="11368" xr:uid="{A8742545-96B9-4C68-BB6A-E1AEAD17E7C4}"/>
    <cellStyle name="Normal 7 4 4 2 2 2 2 4 2" xfId="21748" xr:uid="{98077CBB-A4A3-4B92-8568-D1EC04E51BCA}"/>
    <cellStyle name="Normal 7 4 4 2 2 2 2 5" xfId="25334" xr:uid="{D866E4A2-C79F-444C-A4E1-DAB3A77704E1}"/>
    <cellStyle name="Normal 7 4 4 2 2 2 2 6" xfId="14043" xr:uid="{1FA1CED8-CA7B-4386-9666-50BF16F6D7AE}"/>
    <cellStyle name="Normal 7 4 4 2 2 2 3" xfId="4370" xr:uid="{0DAD4E56-0B56-42BE-BBA3-FC5733DFFF43}"/>
    <cellStyle name="Normal 7 4 4 2 2 2 3 2" xfId="9142" xr:uid="{105A3B7F-F95A-4D38-AA5A-0218E258D147}"/>
    <cellStyle name="Normal 7 4 4 2 2 2 3 2 2" xfId="29185" xr:uid="{9E197F34-F4F8-449E-BC15-E5F56BE7EE69}"/>
    <cellStyle name="Normal 7 4 4 2 2 2 3 2 3" xfId="19522" xr:uid="{0E93FDFD-73C9-46BA-9CB3-0CF54B0594EB}"/>
    <cellStyle name="Normal 7 4 4 2 2 2 3 3" xfId="11975" xr:uid="{4DAAE4C4-1896-44CD-A007-6C93B672DEB7}"/>
    <cellStyle name="Normal 7 4 4 2 2 2 3 3 2" xfId="22355" xr:uid="{1931F75A-796A-4B3B-89E8-933BD93EAF88}"/>
    <cellStyle name="Normal 7 4 4 2 2 2 3 4" xfId="25558" xr:uid="{072D2D10-7B7D-4B65-BC32-6BFD4E46F379}"/>
    <cellStyle name="Normal 7 4 4 2 2 2 3 5" xfId="16689" xr:uid="{EA5C8DFA-B06A-41F5-9FB1-BEE951D0CF65}"/>
    <cellStyle name="Normal 7 4 4 2 2 2 4" xfId="6050" xr:uid="{9ED16AA7-F360-4202-AB4C-D8C141A8E0C9}"/>
    <cellStyle name="Normal 7 4 4 2 2 2 4 2" xfId="28434" xr:uid="{08334893-4728-4854-B02F-B20CA7ACE106}"/>
    <cellStyle name="Normal 7 4 4 2 2 2 4 3" xfId="15504" xr:uid="{E45DE93C-3E44-4B63-8658-F9BF77A3F236}"/>
    <cellStyle name="Normal 7 4 4 2 2 2 5" xfId="7957" xr:uid="{B44D6036-ED79-4F4A-B1EB-626F643EB465}"/>
    <cellStyle name="Normal 7 4 4 2 2 2 5 2" xfId="18337" xr:uid="{B9EB0688-D67C-43ED-8CF5-A010D5608565}"/>
    <cellStyle name="Normal 7 4 4 2 2 2 6" xfId="10790" xr:uid="{2C09063D-25A9-413E-8F72-31835EC2AABA}"/>
    <cellStyle name="Normal 7 4 4 2 2 2 6 2" xfId="21170" xr:uid="{FDDA696B-39FC-44CD-BEFC-D8925BB1D484}"/>
    <cellStyle name="Normal 7 4 4 2 2 2 7" xfId="23132" xr:uid="{EE77D4BC-B01A-4857-8FD9-A3277F61286D}"/>
    <cellStyle name="Normal 7 4 4 2 2 2 8" xfId="13310" xr:uid="{D7EA7EE7-B82D-4043-8A0B-B0E6CF6892C8}"/>
    <cellStyle name="Normal 7 4 4 2 2 3" xfId="3457" xr:uid="{00000000-0005-0000-0000-00008B080000}"/>
    <cellStyle name="Normal 7 4 4 2 2 3 2" xfId="4587" xr:uid="{0A2EBD96-5343-4C53-A307-37B25ADC726E}"/>
    <cellStyle name="Normal 7 4 4 2 2 3 2 2" xfId="9359" xr:uid="{B7D332E5-2E09-4014-96B1-2C5C2738B2E4}"/>
    <cellStyle name="Normal 7 4 4 2 2 3 2 2 2" xfId="19739" xr:uid="{FFBD64CA-DA1C-4BB5-9282-DF6B817BD172}"/>
    <cellStyle name="Normal 7 4 4 2 2 3 2 3" xfId="12192" xr:uid="{2B77A7CA-EE70-44B3-8F8B-94F9305BBC2A}"/>
    <cellStyle name="Normal 7 4 4 2 2 3 2 3 2" xfId="22572" xr:uid="{18C8B68B-75B3-48CA-82A5-BD04641DB0F0}"/>
    <cellStyle name="Normal 7 4 4 2 2 3 2 4" xfId="28440" xr:uid="{371F78E5-887F-4666-B682-8E8898BBF52B}"/>
    <cellStyle name="Normal 7 4 4 2 2 3 2 5" xfId="16906" xr:uid="{B51432E6-24D0-4EB4-8058-909E6B13D686}"/>
    <cellStyle name="Normal 7 4 4 2 2 3 3" xfId="6512" xr:uid="{EBFEE145-7C44-4FEA-A424-560480DD22B9}"/>
    <cellStyle name="Normal 7 4 4 2 2 3 3 2" xfId="16083" xr:uid="{AC61386E-B397-4853-83DC-5AF087868306}"/>
    <cellStyle name="Normal 7 4 4 2 2 3 4" xfId="8536" xr:uid="{FDE0BA1F-9267-4564-94C9-C081213DD651}"/>
    <cellStyle name="Normal 7 4 4 2 2 3 4 2" xfId="18916" xr:uid="{1BE319B7-4E1A-4DCB-9664-0E818A5C84CD}"/>
    <cellStyle name="Normal 7 4 4 2 2 3 5" xfId="11369" xr:uid="{D0543F52-B8AC-4B37-819C-9DD0F9F23915}"/>
    <cellStyle name="Normal 7 4 4 2 2 3 5 2" xfId="21749" xr:uid="{C2548F04-A02E-4CD9-AAD1-D362474D311D}"/>
    <cellStyle name="Normal 7 4 4 2 2 3 6" xfId="23054" xr:uid="{001E25AE-D7A2-415C-A238-CF147CEF1ED8}"/>
    <cellStyle name="Normal 7 4 4 2 2 3 7" xfId="14044" xr:uid="{9A645B1E-FA20-4A76-94D7-27A4F1B0F564}"/>
    <cellStyle name="Normal 7 4 4 2 2 4" xfId="3455" xr:uid="{00000000-0005-0000-0000-00008C080000}"/>
    <cellStyle name="Normal 7 4 4 2 2 4 2" xfId="6510" xr:uid="{DB8979AA-4BDB-435B-A2C3-7F281B79A5DB}"/>
    <cellStyle name="Normal 7 4 4 2 2 4 2 2" xfId="27625" xr:uid="{1364445D-4378-4F8B-8E18-5CA8A1B837D2}"/>
    <cellStyle name="Normal 7 4 4 2 2 4 2 3" xfId="16081" xr:uid="{AE9BD2D5-10BC-4B9B-B911-5F91E53CB1D2}"/>
    <cellStyle name="Normal 7 4 4 2 2 4 3" xfId="8534" xr:uid="{AB089DE0-4D9C-4850-ABE7-B6F9056C3B5A}"/>
    <cellStyle name="Normal 7 4 4 2 2 4 3 2" xfId="18914" xr:uid="{088AB71F-1714-47EF-B619-63A0C5103E0F}"/>
    <cellStyle name="Normal 7 4 4 2 2 4 4" xfId="11367" xr:uid="{E6788041-E3DF-4264-B2C2-F3EB8F695F17}"/>
    <cellStyle name="Normal 7 4 4 2 2 4 4 2" xfId="21747" xr:uid="{F513B7B1-0713-491D-922C-7C02520EB424}"/>
    <cellStyle name="Normal 7 4 4 2 2 4 5" xfId="24473" xr:uid="{BD33F25E-4D01-43E2-A79E-DACF017A302B}"/>
    <cellStyle name="Normal 7 4 4 2 2 4 6" xfId="14042" xr:uid="{AA518B72-551D-49FF-97B6-5F5E268E2048}"/>
    <cellStyle name="Normal 7 4 4 2 2 5" xfId="4244" xr:uid="{6424EC82-10A1-42F5-9FFA-D6F9DA223917}"/>
    <cellStyle name="Normal 7 4 4 2 2 5 2" xfId="9016" xr:uid="{C0A51B5F-A418-46AF-81D2-8B163386F866}"/>
    <cellStyle name="Normal 7 4 4 2 2 5 2 2" xfId="29087" xr:uid="{7EBFC413-0B91-49A7-BDAD-66B27BE1A561}"/>
    <cellStyle name="Normal 7 4 4 2 2 5 2 3" xfId="19396" xr:uid="{13EEF0C0-7C9E-4888-9368-D49232433AAC}"/>
    <cellStyle name="Normal 7 4 4 2 2 5 3" xfId="11849" xr:uid="{CC1BFE65-A6EB-4675-B539-0C46A4A8B8A0}"/>
    <cellStyle name="Normal 7 4 4 2 2 5 3 2" xfId="22229" xr:uid="{2C82E1B6-16C8-4636-AE8B-2C290E7D2D6E}"/>
    <cellStyle name="Normal 7 4 4 2 2 5 4" xfId="23101" xr:uid="{B184A7CB-64E8-4552-9480-71A0B3794C87}"/>
    <cellStyle name="Normal 7 4 4 2 2 5 5" xfId="16563" xr:uid="{35234B4C-12F7-43EA-BCE1-C58380744C48}"/>
    <cellStyle name="Normal 7 4 4 2 2 6" xfId="5452" xr:uid="{C937A26F-B1D4-4453-9186-D297675A8C84}"/>
    <cellStyle name="Normal 7 4 4 2 2 6 2" xfId="26124" xr:uid="{C4976971-ADAE-423B-AE09-1C6B9BD6BE9E}"/>
    <cellStyle name="Normal 7 4 4 2 2 6 3" xfId="14749" xr:uid="{2AFE0F13-E501-4D26-96E0-F1BDEF3312A4}"/>
    <cellStyle name="Normal 7 4 4 2 2 7" xfId="7202" xr:uid="{C07BAA99-A4AD-40A8-8A24-D840DC98A042}"/>
    <cellStyle name="Normal 7 4 4 2 2 7 2" xfId="17582" xr:uid="{87D137C4-F41A-4C53-BD2A-2A75BD6A7E74}"/>
    <cellStyle name="Normal 7 4 4 2 2 8" xfId="10035" xr:uid="{2E0ADCB0-F339-4F9E-8A5D-752AB01A92F3}"/>
    <cellStyle name="Normal 7 4 4 2 2 8 2" xfId="20415" xr:uid="{6B75B93F-10E8-49C0-950C-F9A78D9836EF}"/>
    <cellStyle name="Normal 7 4 4 2 2 9" xfId="24460" xr:uid="{73C2BF4B-6624-44F6-8D87-B3A3255B3196}"/>
    <cellStyle name="Normal 7 4 4 2 3" xfId="2833" xr:uid="{00000000-0005-0000-0000-00008D080000}"/>
    <cellStyle name="Normal 7 4 4 2 3 2" xfId="3458" xr:uid="{00000000-0005-0000-0000-00008E080000}"/>
    <cellStyle name="Normal 7 4 4 2 3 2 2" xfId="6513" xr:uid="{34236F50-C037-4F8D-B6B2-6F0363CB5844}"/>
    <cellStyle name="Normal 7 4 4 2 3 2 2 2" xfId="28486" xr:uid="{339F1BE5-9433-44FE-A763-3AF771840D39}"/>
    <cellStyle name="Normal 7 4 4 2 3 2 2 3" xfId="16084" xr:uid="{61EB5AE0-87F8-4BF5-B28C-B790D2F2AC84}"/>
    <cellStyle name="Normal 7 4 4 2 3 2 3" xfId="8537" xr:uid="{650E8CFB-2725-44A8-89A1-D7BA0FE2923E}"/>
    <cellStyle name="Normal 7 4 4 2 3 2 3 2" xfId="18917" xr:uid="{91C5B97E-2457-4587-9FA5-4B5E372B5DCA}"/>
    <cellStyle name="Normal 7 4 4 2 3 2 4" xfId="11370" xr:uid="{DA7DFC6C-B0AC-4C3E-A861-98A860641B96}"/>
    <cellStyle name="Normal 7 4 4 2 3 2 4 2" xfId="21750" xr:uid="{C6B46EAB-3A80-43F7-B514-D3D782DCE271}"/>
    <cellStyle name="Normal 7 4 4 2 3 2 5" xfId="24499" xr:uid="{D8A95826-72A8-43FF-BD71-35E9BCBFCE99}"/>
    <cellStyle name="Normal 7 4 4 2 3 2 6" xfId="14045" xr:uid="{79DA3B40-853C-4D18-8FE6-C40E89EF19E0}"/>
    <cellStyle name="Normal 7 4 4 2 3 3" xfId="4369" xr:uid="{5718650D-9B49-4598-94A3-96C121F7519F}"/>
    <cellStyle name="Normal 7 4 4 2 3 3 2" xfId="9141" xr:uid="{50B08A76-5F8B-479D-99B5-B4F20FA5D439}"/>
    <cellStyle name="Normal 7 4 4 2 3 3 2 2" xfId="29184" xr:uid="{61F201DD-B55C-4156-A085-167C97EE008E}"/>
    <cellStyle name="Normal 7 4 4 2 3 3 2 3" xfId="19521" xr:uid="{DC5B0B79-D730-4828-98F9-CC47A1978333}"/>
    <cellStyle name="Normal 7 4 4 2 3 3 3" xfId="11974" xr:uid="{28D945B7-1103-47D4-A6EB-162A9E1A71DA}"/>
    <cellStyle name="Normal 7 4 4 2 3 3 3 2" xfId="22354" xr:uid="{E65617C7-B9F8-476B-8BF2-97882EAC814A}"/>
    <cellStyle name="Normal 7 4 4 2 3 3 4" xfId="23056" xr:uid="{3C537B82-AA9A-467F-ACA3-8F8ED612691F}"/>
    <cellStyle name="Normal 7 4 4 2 3 3 5" xfId="16688" xr:uid="{B7C056BC-24CF-4E2A-9F1C-4734D38A5989}"/>
    <cellStyle name="Normal 7 4 4 2 3 4" xfId="6049" xr:uid="{8614F297-A17E-4D0E-870D-3711AD73852B}"/>
    <cellStyle name="Normal 7 4 4 2 3 4 2" xfId="27642" xr:uid="{BA3C52BA-3AC7-4896-92F9-7A7300903EC5}"/>
    <cellStyle name="Normal 7 4 4 2 3 4 3" xfId="15503" xr:uid="{2876EE0A-FAFE-4DB0-A291-825A606682A6}"/>
    <cellStyle name="Normal 7 4 4 2 3 5" xfId="7956" xr:uid="{DB2DE750-5190-4404-B65E-67182576AD24}"/>
    <cellStyle name="Normal 7 4 4 2 3 5 2" xfId="18336" xr:uid="{882DBBCA-7C96-4DDE-A6C7-39C2E96C92ED}"/>
    <cellStyle name="Normal 7 4 4 2 3 6" xfId="10789" xr:uid="{45FA64DC-7A4B-4A17-9FB9-EAE8C4D295C8}"/>
    <cellStyle name="Normal 7 4 4 2 3 6 2" xfId="21169" xr:uid="{D2095383-C4E5-473E-A330-898A2D163753}"/>
    <cellStyle name="Normal 7 4 4 2 3 7" xfId="22897" xr:uid="{A02929AC-6E9B-44A5-80F6-0B24F1028588}"/>
    <cellStyle name="Normal 7 4 4 2 3 8" xfId="13309" xr:uid="{5B80B824-8D58-4B5C-AE5C-EDE867B145B7}"/>
    <cellStyle name="Normal 7 4 4 2 4" xfId="3459" xr:uid="{00000000-0005-0000-0000-00008F080000}"/>
    <cellStyle name="Normal 7 4 4 2 4 2" xfId="4588" xr:uid="{EB627D3D-2681-4252-9B95-0E8D4C27F3C3}"/>
    <cellStyle name="Normal 7 4 4 2 4 2 2" xfId="9360" xr:uid="{1C290444-83FC-41FC-B6A0-8BFA93D20B08}"/>
    <cellStyle name="Normal 7 4 4 2 4 2 2 2" xfId="19740" xr:uid="{0F8BD4ED-A530-4B81-8098-D4E0E51C95B1}"/>
    <cellStyle name="Normal 7 4 4 2 4 2 3" xfId="12193" xr:uid="{236D53CA-13DE-41CD-B516-3C2D9C7EACBB}"/>
    <cellStyle name="Normal 7 4 4 2 4 2 3 2" xfId="22573" xr:uid="{7BFB50A7-875F-418A-AF09-1025B45772EF}"/>
    <cellStyle name="Normal 7 4 4 2 4 2 4" xfId="25978" xr:uid="{D9B52417-CCBE-49AE-B848-B57D3E63404E}"/>
    <cellStyle name="Normal 7 4 4 2 4 2 5" xfId="16907" xr:uid="{517A41E9-BAC1-4FCE-BFF1-D519FE74BAC8}"/>
    <cellStyle name="Normal 7 4 4 2 4 3" xfId="6514" xr:uid="{715B2ACF-BA4F-4DF4-A8D1-52A2E092DDE9}"/>
    <cellStyle name="Normal 7 4 4 2 4 3 2" xfId="16085" xr:uid="{0D8CF97E-21EB-4AC7-A2BA-9764C4015C9E}"/>
    <cellStyle name="Normal 7 4 4 2 4 4" xfId="8538" xr:uid="{A22FAA5C-A938-4B0B-9F88-ACABAE0B73A9}"/>
    <cellStyle name="Normal 7 4 4 2 4 4 2" xfId="18918" xr:uid="{D9A5A6CF-640A-43A0-9D79-261DAED40A5C}"/>
    <cellStyle name="Normal 7 4 4 2 4 5" xfId="11371" xr:uid="{265CEEB0-A996-4D92-8966-842C11952763}"/>
    <cellStyle name="Normal 7 4 4 2 4 5 2" xfId="21751" xr:uid="{16F38D62-10F3-4B07-B1CE-B2AD6A5F059C}"/>
    <cellStyle name="Normal 7 4 4 2 4 6" xfId="22707" xr:uid="{68B1762D-D6C1-4593-8ADC-EC870A07BDF8}"/>
    <cellStyle name="Normal 7 4 4 2 4 7" xfId="14046" xr:uid="{12A4D8A0-42B0-4D28-B709-D35887FE31D9}"/>
    <cellStyle name="Normal 7 4 4 2 5" xfId="3454" xr:uid="{00000000-0005-0000-0000-000090080000}"/>
    <cellStyle name="Normal 7 4 4 2 5 2" xfId="6509" xr:uid="{71442CDA-8704-465A-9E78-1DF9673FDA59}"/>
    <cellStyle name="Normal 7 4 4 2 5 2 2" xfId="26471" xr:uid="{7968241E-6B5D-4F67-9009-FAA894F99D23}"/>
    <cellStyle name="Normal 7 4 4 2 5 2 3" xfId="16080" xr:uid="{F0CB1509-292A-48DF-97E6-9585DCB4F1B9}"/>
    <cellStyle name="Normal 7 4 4 2 5 3" xfId="8533" xr:uid="{0AAAFE54-847A-489F-AF1C-63C13B231E16}"/>
    <cellStyle name="Normal 7 4 4 2 5 3 2" xfId="18913" xr:uid="{A7AE5073-9934-4218-95BB-4C13A6598B37}"/>
    <cellStyle name="Normal 7 4 4 2 5 4" xfId="11366" xr:uid="{A9D3F44A-5F53-4F95-B187-DB99A473ACC0}"/>
    <cellStyle name="Normal 7 4 4 2 5 4 2" xfId="21746" xr:uid="{11B55F38-7F1C-4A4E-B4E8-833C6941F2AB}"/>
    <cellStyle name="Normal 7 4 4 2 5 5" xfId="25096" xr:uid="{3AB56816-3174-4584-B530-8EBDB09C1D5E}"/>
    <cellStyle name="Normal 7 4 4 2 5 6" xfId="14041" xr:uid="{81C8A64A-C038-4D7B-B98F-C8EAF384ECC4}"/>
    <cellStyle name="Normal 7 4 4 2 6" xfId="2552" xr:uid="{00000000-0005-0000-0000-000091080000}"/>
    <cellStyle name="Normal 7 4 4 2 6 2" xfId="5824" xr:uid="{F20CE6BA-12C7-4C14-A008-A15032D5A25B}"/>
    <cellStyle name="Normal 7 4 4 2 6 2 2" xfId="27587" xr:uid="{5BEA6F7A-80FC-4FFF-AAE9-237450D76ED5}"/>
    <cellStyle name="Normal 7 4 4 2 6 2 3" xfId="15224" xr:uid="{F90B9A98-A7E6-451C-8BAE-57C7F3A42DEA}"/>
    <cellStyle name="Normal 7 4 4 2 6 3" xfId="7677" xr:uid="{F23C6D6B-CF8D-40E4-A892-EFCF66043F69}"/>
    <cellStyle name="Normal 7 4 4 2 6 3 2" xfId="18057" xr:uid="{AFF8699B-7BCE-4E04-82FD-282E7A9342F1}"/>
    <cellStyle name="Normal 7 4 4 2 6 4" xfId="10510" xr:uid="{0D24AE76-6568-4B47-8025-7FA3A808C65A}"/>
    <cellStyle name="Normal 7 4 4 2 6 4 2" xfId="20890" xr:uid="{86768A89-C52D-46AE-9800-33A4FE29CFD8}"/>
    <cellStyle name="Normal 7 4 4 2 6 5" xfId="24200" xr:uid="{91F6AB87-A6E4-486E-A0B5-0D2DA2143D03}"/>
    <cellStyle name="Normal 7 4 4 2 6 6" xfId="12940" xr:uid="{C866F9FC-8C70-4F91-A275-BC83D5C86989}"/>
    <cellStyle name="Normal 7 4 4 2 7" xfId="2246" xr:uid="{00000000-0005-0000-0000-000087080000}"/>
    <cellStyle name="Normal 7 4 4 2 7 2" xfId="7373" xr:uid="{26283281-5ABF-482D-B5B3-127F8E984BFF}"/>
    <cellStyle name="Normal 7 4 4 2 7 2 2" xfId="17753" xr:uid="{2A060D8B-9545-4E67-BD93-DE0D9596E7FB}"/>
    <cellStyle name="Normal 7 4 4 2 7 3" xfId="10206" xr:uid="{F58D38A8-DBD8-41D8-AF5C-8D0538519E16}"/>
    <cellStyle name="Normal 7 4 4 2 7 3 2" xfId="20586" xr:uid="{5E0907C3-349F-4D28-A9D8-857AE3176668}"/>
    <cellStyle name="Normal 7 4 4 2 7 4" xfId="22753" xr:uid="{FD00B7D4-3539-4198-9907-1464487681AC}"/>
    <cellStyle name="Normal 7 4 4 2 7 5" xfId="14920" xr:uid="{BA2D0341-9462-4C2B-AF9D-67FB8C251BA0}"/>
    <cellStyle name="Normal 7 4 4 2 8" xfId="3799" xr:uid="{DAA32352-6BAD-430F-9A17-F7EF7AB6614A}"/>
    <cellStyle name="Normal 7 4 4 2 8 2" xfId="8635" xr:uid="{CD6C34D6-6911-49EF-B3EA-F852754DDF1F}"/>
    <cellStyle name="Normal 7 4 4 2 8 2 2" xfId="19015" xr:uid="{F97DB3D1-9FE7-40C0-8B08-55F2D4C221F4}"/>
    <cellStyle name="Normal 7 4 4 2 8 3" xfId="11468" xr:uid="{FCEA4E2D-C2D2-4663-92A4-343D02BD1178}"/>
    <cellStyle name="Normal 7 4 4 2 8 3 2" xfId="21848" xr:uid="{E050C544-35DC-4BD0-BCB9-42DCBE06AECA}"/>
    <cellStyle name="Normal 7 4 4 2 8 4" xfId="16182" xr:uid="{EC44B864-D532-4297-BAE3-94C32EBC660A}"/>
    <cellStyle name="Normal 7 4 4 2 9" xfId="5451" xr:uid="{EE4BCC74-C422-439B-AD8A-2B512A0795F4}"/>
    <cellStyle name="Normal 7 4 4 2 9 2" xfId="14748" xr:uid="{F516A8B1-8CC9-4949-9E5F-848D22370AAE}"/>
    <cellStyle name="Normal 7 4 4 3" xfId="1435" xr:uid="{00000000-0005-0000-0000-000072070000}"/>
    <cellStyle name="Normal 7 4 4 3 10" xfId="10036" xr:uid="{0AD9C01A-7272-4FE1-A52F-22B7BBD12FF2}"/>
    <cellStyle name="Normal 7 4 4 3 10 2" xfId="20416" xr:uid="{36F7C331-6751-4B69-8C0D-AB4B7C300153}"/>
    <cellStyle name="Normal 7 4 4 3 11" xfId="24032" xr:uid="{BA681105-BE24-4BB5-8D87-F19F049BCC02}"/>
    <cellStyle name="Normal 7 4 4 3 12" xfId="12637" xr:uid="{99999AEE-47FD-4FA7-8FD4-45B02F09CBEB}"/>
    <cellStyle name="Normal 7 4 4 3 2" xfId="2835" xr:uid="{00000000-0005-0000-0000-000093080000}"/>
    <cellStyle name="Normal 7 4 4 3 2 2" xfId="3461" xr:uid="{00000000-0005-0000-0000-000094080000}"/>
    <cellStyle name="Normal 7 4 4 3 2 2 2" xfId="6516" xr:uid="{034D1EAC-D921-43B0-9889-CD6826907649}"/>
    <cellStyle name="Normal 7 4 4 3 2 2 2 2" xfId="28680" xr:uid="{053950AF-9542-4417-9943-2597D0C02EBD}"/>
    <cellStyle name="Normal 7 4 4 3 2 2 2 3" xfId="16087" xr:uid="{D1C17C96-AF36-4CC9-96B3-454480DA749B}"/>
    <cellStyle name="Normal 7 4 4 3 2 2 3" xfId="8540" xr:uid="{986437B4-FBB8-4F2F-BB70-FA6454ADB463}"/>
    <cellStyle name="Normal 7 4 4 3 2 2 3 2" xfId="18920" xr:uid="{4C575817-6CB8-496D-BF09-ABB4A9CF2DCD}"/>
    <cellStyle name="Normal 7 4 4 3 2 2 4" xfId="11373" xr:uid="{54F9B92A-66AA-45B3-866D-B16A31EC942C}"/>
    <cellStyle name="Normal 7 4 4 3 2 2 4 2" xfId="21753" xr:uid="{2502CA8E-522F-42A9-B245-AF35E3C98EA0}"/>
    <cellStyle name="Normal 7 4 4 3 2 2 5" xfId="23907" xr:uid="{1D2E9EE8-F643-4313-AF75-E46F10BE5FC2}"/>
    <cellStyle name="Normal 7 4 4 3 2 2 6" xfId="14048" xr:uid="{C13405EC-5891-4A8E-8B7C-BC6D51C259A8}"/>
    <cellStyle name="Normal 7 4 4 3 2 3" xfId="4371" xr:uid="{0659832D-C1DD-467F-B7B6-1FE42F2F2940}"/>
    <cellStyle name="Normal 7 4 4 3 2 3 2" xfId="9143" xr:uid="{E6B3A5D8-7DA3-45F9-9942-9F0A3EF5ABB4}"/>
    <cellStyle name="Normal 7 4 4 3 2 3 2 2" xfId="29186" xr:uid="{BB606388-E4A1-42F9-9CF4-70216C3CF050}"/>
    <cellStyle name="Normal 7 4 4 3 2 3 2 3" xfId="19523" xr:uid="{EDFCAAEA-3CFC-4FDC-99F1-1183F7FC1430}"/>
    <cellStyle name="Normal 7 4 4 3 2 3 3" xfId="11976" xr:uid="{E656D6CD-A3F3-4801-985F-D85295FA1C57}"/>
    <cellStyle name="Normal 7 4 4 3 2 3 3 2" xfId="22356" xr:uid="{5155C7CA-726A-4A03-988F-9D04AEDE7B53}"/>
    <cellStyle name="Normal 7 4 4 3 2 3 4" xfId="23313" xr:uid="{FF037F3A-C9EE-4789-8D8F-16D1F83D2BA6}"/>
    <cellStyle name="Normal 7 4 4 3 2 3 5" xfId="16690" xr:uid="{8113FA6A-9C2B-46E4-9489-643A315959DF}"/>
    <cellStyle name="Normal 7 4 4 3 2 4" xfId="6051" xr:uid="{DE932555-5864-4A68-B63A-46AF8A2B591A}"/>
    <cellStyle name="Normal 7 4 4 3 2 4 2" xfId="28607" xr:uid="{E8D0DB87-9700-4EAB-990B-2381980AF999}"/>
    <cellStyle name="Normal 7 4 4 3 2 4 3" xfId="15505" xr:uid="{675359B0-1C01-40AA-B61F-9A4003C9AC56}"/>
    <cellStyle name="Normal 7 4 4 3 2 5" xfId="7958" xr:uid="{49DF7570-FCF9-426A-8F55-B6D9CDC1FB76}"/>
    <cellStyle name="Normal 7 4 4 3 2 5 2" xfId="18338" xr:uid="{4CFF227B-804B-4CC6-83BE-B35A6B8DAFBA}"/>
    <cellStyle name="Normal 7 4 4 3 2 6" xfId="10791" xr:uid="{04644EAF-96E5-4873-9266-32AAE5E3774A}"/>
    <cellStyle name="Normal 7 4 4 3 2 6 2" xfId="21171" xr:uid="{C81BB689-44C1-4D2A-82D1-C28D0552B0D8}"/>
    <cellStyle name="Normal 7 4 4 3 2 7" xfId="24868" xr:uid="{807E4EA1-9D04-4E45-83F2-68B50B7A8515}"/>
    <cellStyle name="Normal 7 4 4 3 2 8" xfId="13311" xr:uid="{BD10ACE1-8FCF-4488-A07D-D7342DFEBAD6}"/>
    <cellStyle name="Normal 7 4 4 3 3" xfId="3462" xr:uid="{00000000-0005-0000-0000-000095080000}"/>
    <cellStyle name="Normal 7 4 4 3 3 2" xfId="4589" xr:uid="{A474941C-FDE8-462E-80AC-1AEBB47CFAA8}"/>
    <cellStyle name="Normal 7 4 4 3 3 2 2" xfId="9361" xr:uid="{8C1074CE-37B7-4913-A6FF-6C6D691F1ED5}"/>
    <cellStyle name="Normal 7 4 4 3 3 2 2 2" xfId="29331" xr:uid="{A451520F-E369-4C5D-9818-8B2B69613E76}"/>
    <cellStyle name="Normal 7 4 4 3 3 2 2 3" xfId="19741" xr:uid="{9F6772C3-147C-42B4-9790-4925794F556E}"/>
    <cellStyle name="Normal 7 4 4 3 3 2 3" xfId="12194" xr:uid="{231DC338-AEDB-4BF9-A826-BC73AD859B1C}"/>
    <cellStyle name="Normal 7 4 4 3 3 2 3 2" xfId="22574" xr:uid="{092FBB8C-4A28-4367-B46E-126423D2A717}"/>
    <cellStyle name="Normal 7 4 4 3 3 2 4" xfId="25336" xr:uid="{0987B2FE-3244-4645-A112-18F593F4BCFA}"/>
    <cellStyle name="Normal 7 4 4 3 3 2 5" xfId="16908" xr:uid="{67B67DB3-2EDC-4FB1-868F-EDBA5B21871B}"/>
    <cellStyle name="Normal 7 4 4 3 3 3" xfId="6517" xr:uid="{AC414C89-6E7D-4392-B1CC-1E182DA39C3D}"/>
    <cellStyle name="Normal 7 4 4 3 3 3 2" xfId="28409" xr:uid="{8DBF70E8-8A8F-4CCD-83F2-87CABD6C61ED}"/>
    <cellStyle name="Normal 7 4 4 3 3 3 3" xfId="16088" xr:uid="{037F70C4-A8F5-46D9-9E67-E1D66CF33B36}"/>
    <cellStyle name="Normal 7 4 4 3 3 4" xfId="8541" xr:uid="{CFABD363-A6D3-452D-930E-013BC2326696}"/>
    <cellStyle name="Normal 7 4 4 3 3 4 2" xfId="18921" xr:uid="{55E0E2B5-57F9-4C00-9C63-80DB3467B08E}"/>
    <cellStyle name="Normal 7 4 4 3 3 5" xfId="11374" xr:uid="{BAEB42AC-B1BC-4DBE-B93C-B07B4FF468F7}"/>
    <cellStyle name="Normal 7 4 4 3 3 5 2" xfId="21754" xr:uid="{08795ADC-573E-43A9-A426-73BD16C606C4}"/>
    <cellStyle name="Normal 7 4 4 3 3 6" xfId="25143" xr:uid="{C7CCA1E3-02D1-4BB8-AD9F-084A8C76BBD2}"/>
    <cellStyle name="Normal 7 4 4 3 3 7" xfId="14049" xr:uid="{6C3CDA8A-5BA2-48C0-82AD-A38D7AA7E568}"/>
    <cellStyle name="Normal 7 4 4 3 4" xfId="3460" xr:uid="{00000000-0005-0000-0000-000096080000}"/>
    <cellStyle name="Normal 7 4 4 3 4 2" xfId="6515" xr:uid="{F9090B4D-F3CC-4F61-8095-3B8BE0779478}"/>
    <cellStyle name="Normal 7 4 4 3 4 2 2" xfId="26422" xr:uid="{D379E330-4095-4BDC-97F3-0ADCF8EECFBB}"/>
    <cellStyle name="Normal 7 4 4 3 4 2 3" xfId="16086" xr:uid="{D375E2F8-E8AE-4EEF-8ED1-BBDAD5360910}"/>
    <cellStyle name="Normal 7 4 4 3 4 3" xfId="8539" xr:uid="{A18FDA77-F04D-4DF8-A347-B24A599E4CFD}"/>
    <cellStyle name="Normal 7 4 4 3 4 3 2" xfId="18919" xr:uid="{88DD5590-8B64-4490-8E7C-9C0CAEA6849D}"/>
    <cellStyle name="Normal 7 4 4 3 4 4" xfId="11372" xr:uid="{524758A7-14DA-41D6-9A4A-6D4F48CE43A8}"/>
    <cellStyle name="Normal 7 4 4 3 4 4 2" xfId="21752" xr:uid="{2385AD1A-2651-4DD3-A382-D510A661377B}"/>
    <cellStyle name="Normal 7 4 4 3 4 5" xfId="23402" xr:uid="{76C33ED5-E615-4081-8154-0EFD014530B6}"/>
    <cellStyle name="Normal 7 4 4 3 4 6" xfId="14047" xr:uid="{A7C35981-5852-4505-AB7C-66BF7BBD2B18}"/>
    <cellStyle name="Normal 7 4 4 3 5" xfId="2595" xr:uid="{00000000-0005-0000-0000-000097080000}"/>
    <cellStyle name="Normal 7 4 4 3 5 2" xfId="5860" xr:uid="{F2599C98-B9A0-4118-9CE8-33021C6A6B6D}"/>
    <cellStyle name="Normal 7 4 4 3 5 2 2" xfId="27146" xr:uid="{76DC0338-C8F7-4BB1-A594-E523882A8B15}"/>
    <cellStyle name="Normal 7 4 4 3 5 2 3" xfId="15267" xr:uid="{5F33D464-7C8E-4DD5-9456-6D815C1F9100}"/>
    <cellStyle name="Normal 7 4 4 3 5 3" xfId="7720" xr:uid="{AFEF6897-243C-497C-A883-74FDF5E5B904}"/>
    <cellStyle name="Normal 7 4 4 3 5 3 2" xfId="18100" xr:uid="{943B9694-A54A-4FC0-BE14-C5768314675A}"/>
    <cellStyle name="Normal 7 4 4 3 5 4" xfId="10553" xr:uid="{A4072F29-C570-459A-B51F-E90C79C94AAA}"/>
    <cellStyle name="Normal 7 4 4 3 5 4 2" xfId="20933" xr:uid="{8051ED48-CFA2-4EF5-B914-29BDD6F917FF}"/>
    <cellStyle name="Normal 7 4 4 3 5 5" xfId="25264" xr:uid="{29DE1F0B-1A51-499B-8642-4715FCB8BDB9}"/>
    <cellStyle name="Normal 7 4 4 3 5 6" xfId="12983" xr:uid="{CB99174D-2904-4DB9-8D7E-5ED794E6D756}"/>
    <cellStyle name="Normal 7 4 4 3 6" xfId="2403" xr:uid="{00000000-0005-0000-0000-000092080000}"/>
    <cellStyle name="Normal 7 4 4 3 6 2" xfId="7530" xr:uid="{22B55CE2-FDBF-4440-B37F-3513AA4B2DB5}"/>
    <cellStyle name="Normal 7 4 4 3 6 2 2" xfId="17910" xr:uid="{00E4EC6B-257D-4D6E-B791-8B8C924B17E9}"/>
    <cellStyle name="Normal 7 4 4 3 6 3" xfId="10363" xr:uid="{1D14EC35-D8CD-41E6-A37C-78351754AA0E}"/>
    <cellStyle name="Normal 7 4 4 3 6 3 2" xfId="20743" xr:uid="{18DCC22E-5D92-407D-848C-517E166002DE}"/>
    <cellStyle name="Normal 7 4 4 3 6 4" xfId="23351" xr:uid="{6059F81A-D840-4902-B026-ABAEFA6A9F0B}"/>
    <cellStyle name="Normal 7 4 4 3 6 5" xfId="15077" xr:uid="{4D55F934-1FFC-4396-9F31-6D84758483DD}"/>
    <cellStyle name="Normal 7 4 4 3 7" xfId="4103" xr:uid="{6A1C0A1D-511F-4E74-B247-18BCDAE310FC}"/>
    <cellStyle name="Normal 7 4 4 3 7 2" xfId="8877" xr:uid="{27E6B2CE-1AFD-4862-9E16-5BF29D5C5909}"/>
    <cellStyle name="Normal 7 4 4 3 7 2 2" xfId="19257" xr:uid="{824FCCF6-6BC4-4C86-AB05-99C7ABE84B42}"/>
    <cellStyle name="Normal 7 4 4 3 7 3" xfId="11710" xr:uid="{05DB735E-454B-4105-88B9-5CC241F5CCCB}"/>
    <cellStyle name="Normal 7 4 4 3 7 3 2" xfId="22090" xr:uid="{81AFA6DA-3E88-4DB8-90F1-7319E912E8F2}"/>
    <cellStyle name="Normal 7 4 4 3 7 4" xfId="16424" xr:uid="{46FF35D0-51FF-4D94-B961-C26787B78596}"/>
    <cellStyle name="Normal 7 4 4 3 8" xfId="5453" xr:uid="{58EF8992-1F4B-41D3-A46F-97B36DCFC36A}"/>
    <cellStyle name="Normal 7 4 4 3 8 2" xfId="14750" xr:uid="{472FBAF2-5C4C-439D-9980-33A89F795071}"/>
    <cellStyle name="Normal 7 4 4 3 9" xfId="7203" xr:uid="{952ADF49-3098-473E-B217-95CF5041A2A8}"/>
    <cellStyle name="Normal 7 4 4 3 9 2" xfId="17583" xr:uid="{70E7D636-D7A1-460A-BE46-3B0A90B2B5F6}"/>
    <cellStyle name="Normal 7 4 4 4" xfId="1436" xr:uid="{00000000-0005-0000-0000-000073070000}"/>
    <cellStyle name="Normal 7 4 4 4 2" xfId="3463" xr:uid="{00000000-0005-0000-0000-000099080000}"/>
    <cellStyle name="Normal 7 4 4 4 2 2" xfId="6518" xr:uid="{F982CCF3-E4B3-45BC-9DF4-6F2C832F9625}"/>
    <cellStyle name="Normal 7 4 4 4 2 2 2" xfId="25835" xr:uid="{0C93712A-98B4-4A27-9406-FAAD6D859413}"/>
    <cellStyle name="Normal 7 4 4 4 2 2 3" xfId="16089" xr:uid="{48FB1532-3D66-4BB7-92D7-C502905FCC63}"/>
    <cellStyle name="Normal 7 4 4 4 2 3" xfId="8542" xr:uid="{4A994164-35D4-4108-80D3-9858944D52C1}"/>
    <cellStyle name="Normal 7 4 4 4 2 3 2" xfId="18922" xr:uid="{178C6F7F-B996-4AAC-9298-269F9631A294}"/>
    <cellStyle name="Normal 7 4 4 4 2 4" xfId="11375" xr:uid="{4FA9F0EE-E592-4579-A037-25E98C68D43D}"/>
    <cellStyle name="Normal 7 4 4 4 2 4 2" xfId="21755" xr:uid="{0FE6EAEE-F1E8-40B0-9D52-50A69A761F3A}"/>
    <cellStyle name="Normal 7 4 4 4 2 5" xfId="22765" xr:uid="{D6039679-CC4D-4C29-9FBD-23AA925B05DE}"/>
    <cellStyle name="Normal 7 4 4 4 2 6" xfId="14050" xr:uid="{AFEDC8C5-B75D-4B3B-A740-64D6C07312F0}"/>
    <cellStyle name="Normal 7 4 4 4 3" xfId="2832" xr:uid="{00000000-0005-0000-0000-00009A080000}"/>
    <cellStyle name="Normal 7 4 4 4 3 2" xfId="6048" xr:uid="{B47FB063-49D7-4081-8C3E-40F89A8ED9AD}"/>
    <cellStyle name="Normal 7 4 4 4 3 2 2" xfId="27734" xr:uid="{B792A0A3-E041-45B6-BFA5-6531E09A3C53}"/>
    <cellStyle name="Normal 7 4 4 4 3 2 3" xfId="15502" xr:uid="{12BEB11B-A442-450C-9428-A9E6BB086A87}"/>
    <cellStyle name="Normal 7 4 4 4 3 3" xfId="7955" xr:uid="{DA97BF09-2837-4C57-AB4E-94C0D8F31BD2}"/>
    <cellStyle name="Normal 7 4 4 4 3 3 2" xfId="18335" xr:uid="{5B287435-B7E4-48B5-9AA8-6B13DAD14B82}"/>
    <cellStyle name="Normal 7 4 4 4 3 4" xfId="10788" xr:uid="{0596FCAC-9CAA-4574-86D2-F97DE7354D19}"/>
    <cellStyle name="Normal 7 4 4 4 3 4 2" xfId="21168" xr:uid="{A899A5D7-41A6-498C-9BA0-19AD65E3F0A7}"/>
    <cellStyle name="Normal 7 4 4 4 3 5" xfId="25089" xr:uid="{68A8F8FA-735F-4F37-A8AD-7CF63DF62108}"/>
    <cellStyle name="Normal 7 4 4 4 3 6" xfId="13308" xr:uid="{E3C36802-0ABD-4645-B477-520D77839989}"/>
    <cellStyle name="Normal 7 4 4 4 4" xfId="4221" xr:uid="{44491943-E6A8-4D35-9E5F-48696B2FDF6C}"/>
    <cellStyle name="Normal 7 4 4 4 4 2" xfId="8993" xr:uid="{1E995EB1-E39A-482C-9073-C5620D091600}"/>
    <cellStyle name="Normal 7 4 4 4 4 2 2" xfId="19373" xr:uid="{2100FD03-C50A-4B77-A4DE-6A7C7745C0B5}"/>
    <cellStyle name="Normal 7 4 4 4 4 3" xfId="11826" xr:uid="{AE41E4D8-5D4B-4406-9864-AF1BE471B40F}"/>
    <cellStyle name="Normal 7 4 4 4 4 3 2" xfId="22206" xr:uid="{CA58DF2F-54B7-4BC1-B6A7-876B93D3E253}"/>
    <cellStyle name="Normal 7 4 4 4 4 4" xfId="22920" xr:uid="{3A848BF1-9B56-4355-A25C-B03A989D831A}"/>
    <cellStyle name="Normal 7 4 4 4 4 5" xfId="16540" xr:uid="{6E5F843C-BF66-444E-9962-572C83A6D746}"/>
    <cellStyle name="Normal 7 4 4 4 5" xfId="5454" xr:uid="{D13E76A0-1ECF-4EBD-9186-795140A7597B}"/>
    <cellStyle name="Normal 7 4 4 4 5 2" xfId="14751" xr:uid="{25EF9968-B704-4A78-9AD6-F02A07C76212}"/>
    <cellStyle name="Normal 7 4 4 4 6" xfId="7204" xr:uid="{1EC584B9-648C-453C-8CFB-406AB96E37EB}"/>
    <cellStyle name="Normal 7 4 4 4 6 2" xfId="17584" xr:uid="{E0CF6BBE-30B7-48B7-841A-C002A3E2060D}"/>
    <cellStyle name="Normal 7 4 4 4 7" xfId="10037" xr:uid="{460CF3DF-2A15-47CB-BF9D-651639FEFF7A}"/>
    <cellStyle name="Normal 7 4 4 4 7 2" xfId="20417" xr:uid="{01419667-F645-4A46-ABBE-D34331822207}"/>
    <cellStyle name="Normal 7 4 4 4 8" xfId="25155" xr:uid="{63897A23-9DF6-4E47-90C0-BA341FBC4E4F}"/>
    <cellStyle name="Normal 7 4 4 4 9" xfId="12795" xr:uid="{18F73C9F-56BF-4797-BE54-74F01120802D}"/>
    <cellStyle name="Normal 7 4 4 5" xfId="3464" xr:uid="{00000000-0005-0000-0000-00009B080000}"/>
    <cellStyle name="Normal 7 4 4 5 2" xfId="4590" xr:uid="{BBAA1457-EF96-48C1-BC26-BB325F7B0E53}"/>
    <cellStyle name="Normal 7 4 4 5 2 2" xfId="9362" xr:uid="{73D4206B-084D-4F0E-AB3C-3EE94F592A02}"/>
    <cellStyle name="Normal 7 4 4 5 2 2 2" xfId="29332" xr:uid="{2C97B3A2-03A9-4BF5-BB89-F3AB6C7DA914}"/>
    <cellStyle name="Normal 7 4 4 5 2 2 3" xfId="19742" xr:uid="{E7D47298-C79C-4B27-A375-271385A1F32E}"/>
    <cellStyle name="Normal 7 4 4 5 2 3" xfId="12195" xr:uid="{772E7CD2-A7F4-4D15-97BD-2B6F74B8C2F8}"/>
    <cellStyle name="Normal 7 4 4 5 2 3 2" xfId="22575" xr:uid="{C5AE1F92-A2D4-4FE4-81AB-738EA7E2869B}"/>
    <cellStyle name="Normal 7 4 4 5 2 4" xfId="24838" xr:uid="{7728F992-F520-4B48-88DC-FB6E4522D4E8}"/>
    <cellStyle name="Normal 7 4 4 5 2 5" xfId="16909" xr:uid="{B77B69CB-D17F-4BA0-8BD3-EEFDA8B55E6A}"/>
    <cellStyle name="Normal 7 4 4 5 3" xfId="6519" xr:uid="{B81E5C47-1D47-43B5-A72E-8098E337F4AB}"/>
    <cellStyle name="Normal 7 4 4 5 3 2" xfId="28487" xr:uid="{61508F15-6411-4A3A-A82A-871F8F563594}"/>
    <cellStyle name="Normal 7 4 4 5 3 3" xfId="16090" xr:uid="{C400E1FF-3987-425B-8638-06C24403A991}"/>
    <cellStyle name="Normal 7 4 4 5 4" xfId="8543" xr:uid="{0F897E2E-7061-41CB-8372-D4EFA0033D3B}"/>
    <cellStyle name="Normal 7 4 4 5 4 2" xfId="18923" xr:uid="{CEAB414B-8420-45E9-ABD5-BD6DD0561A42}"/>
    <cellStyle name="Normal 7 4 4 5 5" xfId="11376" xr:uid="{8063B509-CC82-421B-95B5-CBF15BA79A53}"/>
    <cellStyle name="Normal 7 4 4 5 5 2" xfId="21756" xr:uid="{7E8C913D-9533-4ABD-8479-CB6DB2D5AE29}"/>
    <cellStyle name="Normal 7 4 4 5 6" xfId="25190" xr:uid="{1E9517DB-DDAB-419C-992E-10533A90F797}"/>
    <cellStyle name="Normal 7 4 4 5 7" xfId="14051" xr:uid="{3F2AC03E-8703-48A2-89E3-48BA060139C0}"/>
    <cellStyle name="Normal 7 4 4 6" xfId="2994" xr:uid="{00000000-0005-0000-0000-00009C080000}"/>
    <cellStyle name="Normal 7 4 4 6 2" xfId="6144" xr:uid="{2B43D5BA-5114-430D-9C49-4DCAF0AB7850}"/>
    <cellStyle name="Normal 7 4 4 6 2 2" xfId="28477" xr:uid="{28BD2B38-C118-4B21-BF93-8215D5DE7C40}"/>
    <cellStyle name="Normal 7 4 4 6 2 3" xfId="15622" xr:uid="{1DD96F9A-EB3C-4030-9B74-E9C6683B6D13}"/>
    <cellStyle name="Normal 7 4 4 6 3" xfId="8075" xr:uid="{2CC6AF16-6074-435E-8A6B-605B84CC3B5A}"/>
    <cellStyle name="Normal 7 4 4 6 3 2" xfId="18455" xr:uid="{10C6D6B9-8ACB-42E3-BB51-CC60F075ABC4}"/>
    <cellStyle name="Normal 7 4 4 6 4" xfId="10908" xr:uid="{7F482487-2CC4-4837-B8DF-E45A7A5E75C7}"/>
    <cellStyle name="Normal 7 4 4 6 4 2" xfId="21288" xr:uid="{7622F3EF-8FA5-4E71-87E5-84797A8D97E4}"/>
    <cellStyle name="Normal 7 4 4 6 5" xfId="23333" xr:uid="{A4E4CD58-90B9-4C4C-9D2F-499DA1778149}"/>
    <cellStyle name="Normal 7 4 4 6 6" xfId="13493" xr:uid="{A5FAEBB9-6985-4BD3-A833-B5FDFF03F085}"/>
    <cellStyle name="Normal 7 4 4 7" xfId="2492" xr:uid="{00000000-0005-0000-0000-00009D080000}"/>
    <cellStyle name="Normal 7 4 4 7 2" xfId="5777" xr:uid="{01B52D0A-3CF0-46DC-B6F0-FBF64E3B159C}"/>
    <cellStyle name="Normal 7 4 4 7 2 2" xfId="28613" xr:uid="{24E7A3D5-3D8D-426B-8BD8-E36A2FA9DEB1}"/>
    <cellStyle name="Normal 7 4 4 7 2 3" xfId="15164" xr:uid="{B762EAD9-688B-4EDF-913C-39867300C7A8}"/>
    <cellStyle name="Normal 7 4 4 7 3" xfId="7617" xr:uid="{9CE6A97B-B5F4-46D8-8D4A-F4AA3D6F1806}"/>
    <cellStyle name="Normal 7 4 4 7 3 2" xfId="17997" xr:uid="{F8064113-CE90-49C0-A8B7-CC868350F09C}"/>
    <cellStyle name="Normal 7 4 4 7 4" xfId="10450" xr:uid="{B7983416-652E-43C7-8228-D077394E3EF5}"/>
    <cellStyle name="Normal 7 4 4 7 4 2" xfId="20830" xr:uid="{C937A6F6-E287-47A8-8618-DA885DC3C596}"/>
    <cellStyle name="Normal 7 4 4 7 5" xfId="25017" xr:uid="{AB707457-F50F-4488-B3E1-3EB8DAE6B6F6}"/>
    <cellStyle name="Normal 7 4 4 7 6" xfId="12880" xr:uid="{7546E79D-F083-4AA2-858C-2ED96CFB2C03}"/>
    <cellStyle name="Normal 7 4 4 8" xfId="2186" xr:uid="{00000000-0005-0000-0000-000086080000}"/>
    <cellStyle name="Normal 7 4 4 8 2" xfId="7313" xr:uid="{F190B6F3-DFEB-4069-BCA7-52C1B43AB5D8}"/>
    <cellStyle name="Normal 7 4 4 8 2 2" xfId="17693" xr:uid="{CD95C1DD-EB56-4B25-8F18-B6FE79337B1B}"/>
    <cellStyle name="Normal 7 4 4 8 3" xfId="10146" xr:uid="{C513C012-6B52-44B6-AD99-B5F620C56156}"/>
    <cellStyle name="Normal 7 4 4 8 3 2" xfId="20526" xr:uid="{E058294E-89D6-44CE-A1BE-2029E7C4C2E8}"/>
    <cellStyle name="Normal 7 4 4 8 4" xfId="24348" xr:uid="{A316E81C-E4FF-4399-BB54-8027D9BCFF0F}"/>
    <cellStyle name="Normal 7 4 4 8 5" xfId="14860" xr:uid="{6FAF84CF-AF10-4F2C-909B-E12D90F9401B}"/>
    <cellStyle name="Normal 7 4 4 9" xfId="4071" xr:uid="{8D74B87E-CD51-42A7-BBFA-D19E8595345F}"/>
    <cellStyle name="Normal 7 4 4 9 2" xfId="8851" xr:uid="{78141478-0620-4302-A6B6-3580DEEA7251}"/>
    <cellStyle name="Normal 7 4 4 9 2 2" xfId="19231" xr:uid="{6ACAF1E5-B00C-4740-95A1-FC93F0EB3386}"/>
    <cellStyle name="Normal 7 4 4 9 3" xfId="11684" xr:uid="{710F83C3-37EA-4B30-8D94-EFB2076B3B47}"/>
    <cellStyle name="Normal 7 4 4 9 3 2" xfId="22064" xr:uid="{5DACBBCD-65F7-421A-9850-59D620ABD4A6}"/>
    <cellStyle name="Normal 7 4 4 9 4" xfId="16398" xr:uid="{5108955D-11F1-4CB2-A850-EE4BFF4D196F}"/>
    <cellStyle name="Normal 7 4 5" xfId="1437" xr:uid="{00000000-0005-0000-0000-000074070000}"/>
    <cellStyle name="Normal 7 4 5 10" xfId="5455" xr:uid="{3BEA69EA-7367-4B83-93C6-827E4511E462}"/>
    <cellStyle name="Normal 7 4 5 10 2" xfId="14752" xr:uid="{98E0E415-F561-49A0-B3A0-87C6719E80DE}"/>
    <cellStyle name="Normal 7 4 5 11" xfId="7205" xr:uid="{D23C35F3-A56E-4ED3-98FB-293A345E11E0}"/>
    <cellStyle name="Normal 7 4 5 11 2" xfId="17585" xr:uid="{5A62008C-C375-43A8-BEEA-1B14C41898A5}"/>
    <cellStyle name="Normal 7 4 5 12" xfId="10038" xr:uid="{20AD47E1-C817-4817-B990-CA429EE224EE}"/>
    <cellStyle name="Normal 7 4 5 12 2" xfId="20418" xr:uid="{EE524DD4-A4A4-4D08-BFF5-C085C63825A1}"/>
    <cellStyle name="Normal 7 4 5 13" xfId="23190" xr:uid="{13FA5086-04B8-458F-9CD4-5D21F985A8FF}"/>
    <cellStyle name="Normal 7 4 5 14" xfId="12452" xr:uid="{8B12ECBD-940B-4229-8FBA-83B178826641}"/>
    <cellStyle name="Normal 7 4 5 2" xfId="1438" xr:uid="{00000000-0005-0000-0000-000075070000}"/>
    <cellStyle name="Normal 7 4 5 2 10" xfId="10039" xr:uid="{7E4A2B0B-6A88-44F0-A277-731B8AE6015E}"/>
    <cellStyle name="Normal 7 4 5 2 10 2" xfId="20419" xr:uid="{B2F2615F-9C46-4F7D-B051-AB20533FE80F}"/>
    <cellStyle name="Normal 7 4 5 2 11" xfId="24164" xr:uid="{C678FABD-64B0-41FB-ACC4-EC1234DAECA2}"/>
    <cellStyle name="Normal 7 4 5 2 12" xfId="12638" xr:uid="{C532D50D-F9F1-4330-BCE7-3F9E92E22F8A}"/>
    <cellStyle name="Normal 7 4 5 2 2" xfId="1439" xr:uid="{00000000-0005-0000-0000-000076070000}"/>
    <cellStyle name="Normal 7 4 5 2 2 2" xfId="3466" xr:uid="{00000000-0005-0000-0000-0000A1080000}"/>
    <cellStyle name="Normal 7 4 5 2 2 2 2" xfId="6521" xr:uid="{759C40B8-2BAD-48C4-BBAA-C50AB5F0A92A}"/>
    <cellStyle name="Normal 7 4 5 2 2 2 2 2" xfId="27739" xr:uid="{226FC528-0EE5-4D66-AFD9-5205DE87404B}"/>
    <cellStyle name="Normal 7 4 5 2 2 2 2 3" xfId="26928" xr:uid="{C9002E2F-8DCE-45A3-A35E-13558D4EEF36}"/>
    <cellStyle name="Normal 7 4 5 2 2 2 2 4" xfId="16092" xr:uid="{95B69166-525D-4D49-9E84-AF984F5FF843}"/>
    <cellStyle name="Normal 7 4 5 2 2 2 3" xfId="8545" xr:uid="{3B7703FE-2103-42F9-A5C2-D5E40CDEDA4F}"/>
    <cellStyle name="Normal 7 4 5 2 2 2 3 2" xfId="28943" xr:uid="{2B0205DA-F7B1-4837-88B4-3162D65112BC}"/>
    <cellStyle name="Normal 7 4 5 2 2 2 3 3" xfId="18925" xr:uid="{E3BD6200-D717-4910-8462-1C4409ADFDE1}"/>
    <cellStyle name="Normal 7 4 5 2 2 2 4" xfId="11378" xr:uid="{5DF666FB-AC85-4C66-9217-AD1973C4A5C7}"/>
    <cellStyle name="Normal 7 4 5 2 2 2 4 2" xfId="21758" xr:uid="{89F97885-1607-464C-BFB4-6A1857302746}"/>
    <cellStyle name="Normal 7 4 5 2 2 2 5" xfId="23452" xr:uid="{B7218DFF-9D69-4080-B380-64735778F0ED}"/>
    <cellStyle name="Normal 7 4 5 2 2 2 6" xfId="14053" xr:uid="{49DFE780-4C61-418F-994E-F134DF7FC24D}"/>
    <cellStyle name="Normal 7 4 5 2 2 3" xfId="4373" xr:uid="{C8443702-7F2D-4E52-9E30-664900B6AACD}"/>
    <cellStyle name="Normal 7 4 5 2 2 3 2" xfId="9145" xr:uid="{1AD95E88-1032-4597-92E3-C3C5614A1AC2}"/>
    <cellStyle name="Normal 7 4 5 2 2 3 2 2" xfId="29188" xr:uid="{D1EA1C01-4B98-4844-A2E8-A5971B45F20B}"/>
    <cellStyle name="Normal 7 4 5 2 2 3 2 3" xfId="19525" xr:uid="{5E4D1342-F5FF-465C-AD31-16ECFBBBAC0E}"/>
    <cellStyle name="Normal 7 4 5 2 2 3 3" xfId="11978" xr:uid="{C342A270-226B-4E98-BA91-0EEB14C41C73}"/>
    <cellStyle name="Normal 7 4 5 2 2 3 3 2" xfId="22358" xr:uid="{4ECE6B0F-AE4F-458C-A2BE-A10850F9160D}"/>
    <cellStyle name="Normal 7 4 5 2 2 3 4" xfId="24052" xr:uid="{7488166C-A495-44C2-B9F9-42FDCE3AB047}"/>
    <cellStyle name="Normal 7 4 5 2 2 3 5" xfId="16692" xr:uid="{E0EF8343-B663-4CC7-A472-DCFED6AB6021}"/>
    <cellStyle name="Normal 7 4 5 2 2 4" xfId="5457" xr:uid="{284E01FD-7710-485A-BFA2-B4C4EDB3EDD2}"/>
    <cellStyle name="Normal 7 4 5 2 2 4 2" xfId="26772" xr:uid="{02247007-EEC9-4278-828F-C6E499097436}"/>
    <cellStyle name="Normal 7 4 5 2 2 4 3" xfId="14754" xr:uid="{98DA4B1B-DB3E-4551-8B04-2BAFA1D10C83}"/>
    <cellStyle name="Normal 7 4 5 2 2 5" xfId="7207" xr:uid="{A8D606ED-48B7-4114-9511-75844D53DF0A}"/>
    <cellStyle name="Normal 7 4 5 2 2 5 2" xfId="17587" xr:uid="{76C499E0-4165-4B1F-B593-E78787CA9E29}"/>
    <cellStyle name="Normal 7 4 5 2 2 6" xfId="10040" xr:uid="{5EB3A933-48D2-47D3-A543-5C286C2649D5}"/>
    <cellStyle name="Normal 7 4 5 2 2 6 2" xfId="20420" xr:uid="{1CA99D9C-4FF8-42D1-A289-E0C84746A60D}"/>
    <cellStyle name="Normal 7 4 5 2 2 7" xfId="22835" xr:uid="{5A7C386A-1115-4874-85A7-41FBC5C69438}"/>
    <cellStyle name="Normal 7 4 5 2 2 8" xfId="13313" xr:uid="{3424E5BB-EBB7-47F3-8D06-BC6DC77B58DA}"/>
    <cellStyle name="Normal 7 4 5 2 3" xfId="3467" xr:uid="{00000000-0005-0000-0000-0000A2080000}"/>
    <cellStyle name="Normal 7 4 5 2 3 2" xfId="4591" xr:uid="{C5FB1697-5F66-4D73-BBEF-A574F753092C}"/>
    <cellStyle name="Normal 7 4 5 2 3 2 2" xfId="9363" xr:uid="{50D94030-38F6-450D-8C26-A93EA93BC79E}"/>
    <cellStyle name="Normal 7 4 5 2 3 2 2 2" xfId="29333" xr:uid="{31C34051-A5FD-4A0E-80FD-62F7A520F809}"/>
    <cellStyle name="Normal 7 4 5 2 3 2 2 3" xfId="19743" xr:uid="{5E42A3E0-37F7-43D6-9A70-88B270FB2BC0}"/>
    <cellStyle name="Normal 7 4 5 2 3 2 3" xfId="12196" xr:uid="{E6F6FA50-DEA6-420F-9D35-C11873B36E8B}"/>
    <cellStyle name="Normal 7 4 5 2 3 2 3 2" xfId="22576" xr:uid="{8E578A5C-8020-42A4-95A5-AD3C784CCEA8}"/>
    <cellStyle name="Normal 7 4 5 2 3 2 4" xfId="25337" xr:uid="{9EC854F1-36B2-407C-A633-75D679117AF6}"/>
    <cellStyle name="Normal 7 4 5 2 3 2 5" xfId="16910" xr:uid="{1C3506FF-1B26-4EAE-BF05-07D4747E042D}"/>
    <cellStyle name="Normal 7 4 5 2 3 3" xfId="6522" xr:uid="{56C522B1-B0A4-4B91-AD8E-03E569B695CC}"/>
    <cellStyle name="Normal 7 4 5 2 3 3 2" xfId="28702" xr:uid="{8D8C42E4-4AD0-4358-9332-A68EC79F9756}"/>
    <cellStyle name="Normal 7 4 5 2 3 3 3" xfId="16093" xr:uid="{5D57D89A-FFF1-4811-8C8B-67D4BCAC36D6}"/>
    <cellStyle name="Normal 7 4 5 2 3 4" xfId="8546" xr:uid="{8DEC7C9E-115A-40D0-A41A-8514A63B41A8}"/>
    <cellStyle name="Normal 7 4 5 2 3 4 2" xfId="18926" xr:uid="{BF4047EB-C272-4D1A-8B85-C5F2C820607D}"/>
    <cellStyle name="Normal 7 4 5 2 3 5" xfId="11379" xr:uid="{217215EC-841B-40AA-B0DB-35EFE4BC0D14}"/>
    <cellStyle name="Normal 7 4 5 2 3 5 2" xfId="21759" xr:uid="{FB26DF1D-3007-4DF0-9B48-A521486431BB}"/>
    <cellStyle name="Normal 7 4 5 2 3 6" xfId="23876" xr:uid="{2B142B24-9C6B-4A99-8197-3CAFB2245630}"/>
    <cellStyle name="Normal 7 4 5 2 3 7" xfId="14054" xr:uid="{528A2296-5118-41DE-B0F1-9251904292C4}"/>
    <cellStyle name="Normal 7 4 5 2 4" xfId="3465" xr:uid="{00000000-0005-0000-0000-0000A3080000}"/>
    <cellStyle name="Normal 7 4 5 2 4 2" xfId="6520" xr:uid="{3FCEE10E-AB9A-410F-ADD7-7A98A5FF4167}"/>
    <cellStyle name="Normal 7 4 5 2 4 2 2" xfId="27875" xr:uid="{08C35DFB-141B-4EB0-A9D0-6361D4F1E786}"/>
    <cellStyle name="Normal 7 4 5 2 4 2 3" xfId="16091" xr:uid="{938F8666-FB29-49E3-A3A9-8B5F7ABC7FDA}"/>
    <cellStyle name="Normal 7 4 5 2 4 3" xfId="8544" xr:uid="{6951522A-5B8B-4170-919C-C622CBC96F3D}"/>
    <cellStyle name="Normal 7 4 5 2 4 3 2" xfId="18924" xr:uid="{16D6616C-F1F8-4DC9-A10D-1E361B5A5261}"/>
    <cellStyle name="Normal 7 4 5 2 4 4" xfId="11377" xr:uid="{13ECABE8-85AD-4240-AE31-D061B4D05B5A}"/>
    <cellStyle name="Normal 7 4 5 2 4 4 2" xfId="21757" xr:uid="{9CC4C4C8-7B1B-4FC6-B531-18B674D20C27}"/>
    <cellStyle name="Normal 7 4 5 2 4 5" xfId="24453" xr:uid="{4E86DF6A-B825-4616-810A-F440E709C2B7}"/>
    <cellStyle name="Normal 7 4 5 2 4 6" xfId="14052" xr:uid="{8E394009-EDAA-4408-852F-E73257E41C83}"/>
    <cellStyle name="Normal 7 4 5 2 5" xfId="2526" xr:uid="{00000000-0005-0000-0000-0000A4080000}"/>
    <cellStyle name="Normal 7 4 5 2 5 2" xfId="5803" xr:uid="{AE5464FD-9C27-4CD4-835D-278EF0D461C1}"/>
    <cellStyle name="Normal 7 4 5 2 5 2 2" xfId="26297" xr:uid="{EE06E6B2-2519-4BEC-B248-A80F9A994B32}"/>
    <cellStyle name="Normal 7 4 5 2 5 2 3" xfId="15198" xr:uid="{4580F76A-3C06-4ADB-9621-BE67C42B329C}"/>
    <cellStyle name="Normal 7 4 5 2 5 3" xfId="7651" xr:uid="{E6F6C072-70FB-40C0-A9A9-ED00A30D4C7F}"/>
    <cellStyle name="Normal 7 4 5 2 5 3 2" xfId="18031" xr:uid="{C5875B92-3594-4955-AC39-B2AF25FFBDE0}"/>
    <cellStyle name="Normal 7 4 5 2 5 4" xfId="10484" xr:uid="{C4F87399-C515-4447-BF61-2B0AFDEDDD36}"/>
    <cellStyle name="Normal 7 4 5 2 5 4 2" xfId="20864" xr:uid="{4156CA54-464C-40C9-B49B-22F3D6E88135}"/>
    <cellStyle name="Normal 7 4 5 2 5 5" xfId="23209" xr:uid="{B2B70038-36D2-484A-9EDE-AF015FAE5F12}"/>
    <cellStyle name="Normal 7 4 5 2 5 6" xfId="12914" xr:uid="{EFEE560A-0B5F-41BA-B8C7-72148F06874C}"/>
    <cellStyle name="Normal 7 4 5 2 6" xfId="2404" xr:uid="{00000000-0005-0000-0000-00009F080000}"/>
    <cellStyle name="Normal 7 4 5 2 6 2" xfId="7531" xr:uid="{9BBEDFB3-869E-4604-9785-608F56B8E45A}"/>
    <cellStyle name="Normal 7 4 5 2 6 2 2" xfId="17911" xr:uid="{770AEAD1-1F39-4014-8A9A-93B524BD4E77}"/>
    <cellStyle name="Normal 7 4 5 2 6 3" xfId="10364" xr:uid="{5B6E3C15-26B9-45F6-9C7D-B57E3FA50F3B}"/>
    <cellStyle name="Normal 7 4 5 2 6 3 2" xfId="20744" xr:uid="{DB5830AA-A633-46EC-9F60-CA94BABB248D}"/>
    <cellStyle name="Normal 7 4 5 2 6 4" xfId="25260" xr:uid="{7B45440A-7E9E-4EB0-916B-88EE8F7E7259}"/>
    <cellStyle name="Normal 7 4 5 2 6 5" xfId="15078" xr:uid="{FB9032AF-3629-459C-B70A-4B9C53AEF29E}"/>
    <cellStyle name="Normal 7 4 5 2 7" xfId="4104" xr:uid="{8FD28EFA-C3CB-4557-AC4E-BF87B29153B0}"/>
    <cellStyle name="Normal 7 4 5 2 7 2" xfId="8878" xr:uid="{260B4A7B-6277-4E72-B3BC-9471517336C0}"/>
    <cellStyle name="Normal 7 4 5 2 7 2 2" xfId="19258" xr:uid="{AB1FB1C3-5381-4B26-BC02-389B83916361}"/>
    <cellStyle name="Normal 7 4 5 2 7 3" xfId="11711" xr:uid="{0AFBAB61-1214-4C50-BC9C-457C50C5A534}"/>
    <cellStyle name="Normal 7 4 5 2 7 3 2" xfId="22091" xr:uid="{A884F0D6-1218-4C37-9B1E-C74A3129080F}"/>
    <cellStyle name="Normal 7 4 5 2 7 4" xfId="16425" xr:uid="{849EE00F-E1E3-49D3-801F-6DEC2BFB5916}"/>
    <cellStyle name="Normal 7 4 5 2 8" xfId="5456" xr:uid="{F09B4FB6-D050-449A-B582-47A32A44F49C}"/>
    <cellStyle name="Normal 7 4 5 2 8 2" xfId="14753" xr:uid="{1249583C-87EA-482C-963D-784FE3213BCE}"/>
    <cellStyle name="Normal 7 4 5 2 9" xfId="7206" xr:uid="{0C851AFB-7C92-43C9-A4D6-A63E4FBF4BCD}"/>
    <cellStyle name="Normal 7 4 5 2 9 2" xfId="17586" xr:uid="{C14A22CA-C2B2-4725-9704-2F05FBB73448}"/>
    <cellStyle name="Normal 7 4 5 3" xfId="1440" xr:uid="{00000000-0005-0000-0000-000077070000}"/>
    <cellStyle name="Normal 7 4 5 3 10" xfId="24614" xr:uid="{4C744DA3-21BC-440E-8C96-D4CB18772947}"/>
    <cellStyle name="Normal 7 4 5 3 11" xfId="12796" xr:uid="{99365A30-2A21-4C99-87DC-94CD63FE7E63}"/>
    <cellStyle name="Normal 7 4 5 3 2" xfId="2836" xr:uid="{00000000-0005-0000-0000-0000A6080000}"/>
    <cellStyle name="Normal 7 4 5 3 2 2" xfId="3469" xr:uid="{00000000-0005-0000-0000-0000A7080000}"/>
    <cellStyle name="Normal 7 4 5 3 2 2 2" xfId="6524" xr:uid="{3D43E045-23D5-488C-9E94-5C16E657E405}"/>
    <cellStyle name="Normal 7 4 5 3 2 2 2 2" xfId="28423" xr:uid="{15790266-B34E-4E9F-933A-BD9FF2D41BBA}"/>
    <cellStyle name="Normal 7 4 5 3 2 2 2 3" xfId="16095" xr:uid="{C4463353-E454-41CE-A818-2C9CF0EA256D}"/>
    <cellStyle name="Normal 7 4 5 3 2 2 3" xfId="8548" xr:uid="{53F06438-B183-49CA-9ABA-B126D95AEB7C}"/>
    <cellStyle name="Normal 7 4 5 3 2 2 3 2" xfId="18928" xr:uid="{C5AF21F7-5F5E-49AF-98B0-B166EE2D6D36}"/>
    <cellStyle name="Normal 7 4 5 3 2 2 4" xfId="11381" xr:uid="{5550EB3C-C080-4D72-9AF8-79C67338107E}"/>
    <cellStyle name="Normal 7 4 5 3 2 2 4 2" xfId="21761" xr:uid="{0ADD8D08-89CC-4F81-8F2A-63C26EE882A8}"/>
    <cellStyle name="Normal 7 4 5 3 2 2 5" xfId="24331" xr:uid="{110C14E9-4DA6-4C8A-A623-8C4DA1C18513}"/>
    <cellStyle name="Normal 7 4 5 3 2 2 6" xfId="14056" xr:uid="{5D48DA47-A997-40DF-A05E-03E1AA896ED0}"/>
    <cellStyle name="Normal 7 4 5 3 2 3" xfId="4374" xr:uid="{0C638723-7EC5-4BBF-B85A-F7DA74481A1F}"/>
    <cellStyle name="Normal 7 4 5 3 2 3 2" xfId="9146" xr:uid="{B721CCCD-0A08-41C4-BCBF-1B443D0E2176}"/>
    <cellStyle name="Normal 7 4 5 3 2 3 2 2" xfId="29189" xr:uid="{9AF4A210-9EBD-431C-8F19-B71E5EADA8C2}"/>
    <cellStyle name="Normal 7 4 5 3 2 3 2 3" xfId="19526" xr:uid="{8171C32E-4272-46E8-8898-B49904C3F162}"/>
    <cellStyle name="Normal 7 4 5 3 2 3 3" xfId="11979" xr:uid="{3C2152C7-F5BB-419A-88C9-79BD358B1DD7}"/>
    <cellStyle name="Normal 7 4 5 3 2 3 3 2" xfId="22359" xr:uid="{28444200-7BA3-41E2-ADD8-7301CFF40D45}"/>
    <cellStyle name="Normal 7 4 5 3 2 3 4" xfId="22918" xr:uid="{09FBA3C0-D311-4F13-AFA1-7D0F432B1A8F}"/>
    <cellStyle name="Normal 7 4 5 3 2 3 5" xfId="16693" xr:uid="{78C2EC2F-2DA8-4386-8033-35B74E2DDBB6}"/>
    <cellStyle name="Normal 7 4 5 3 2 4" xfId="6052" xr:uid="{E39BE4B3-2DF2-44F3-AC26-C01470B4FC7A}"/>
    <cellStyle name="Normal 7 4 5 3 2 4 2" xfId="26566" xr:uid="{A98C0F54-6348-4585-9F78-F7DE2FC3E7D5}"/>
    <cellStyle name="Normal 7 4 5 3 2 4 3" xfId="15506" xr:uid="{71F9AB58-1893-4104-A00A-DF7B2A71C980}"/>
    <cellStyle name="Normal 7 4 5 3 2 5" xfId="7959" xr:uid="{C8BDD795-4668-43C6-AAD5-1987D8CA839C}"/>
    <cellStyle name="Normal 7 4 5 3 2 5 2" xfId="18339" xr:uid="{00EB6901-7F88-4FF7-8B00-FA4F51A5D420}"/>
    <cellStyle name="Normal 7 4 5 3 2 6" xfId="10792" xr:uid="{62A9211B-1887-457E-ABFA-3BA132E2CE7D}"/>
    <cellStyle name="Normal 7 4 5 3 2 6 2" xfId="21172" xr:uid="{1423FCE5-862C-46F5-8F8E-E6D61F840160}"/>
    <cellStyle name="Normal 7 4 5 3 2 7" xfId="23539" xr:uid="{DE2B695C-D9BC-4A10-AD4C-A8B5B1A7AB60}"/>
    <cellStyle name="Normal 7 4 5 3 2 8" xfId="13314" xr:uid="{5B7C446C-12F1-4EF5-99F8-DB42FFD90ADB}"/>
    <cellStyle name="Normal 7 4 5 3 3" xfId="3470" xr:uid="{00000000-0005-0000-0000-0000A8080000}"/>
    <cellStyle name="Normal 7 4 5 3 3 2" xfId="4592" xr:uid="{F16ECC63-77FB-4BC0-9263-3D0232E68377}"/>
    <cellStyle name="Normal 7 4 5 3 3 2 2" xfId="9364" xr:uid="{49B8B833-66EB-47B7-A317-B968AE51B0CF}"/>
    <cellStyle name="Normal 7 4 5 3 3 2 2 2" xfId="29334" xr:uid="{9593D21F-2633-4EB4-A6EC-5B30E8195583}"/>
    <cellStyle name="Normal 7 4 5 3 3 2 2 3" xfId="19744" xr:uid="{0D44F4C7-D9D4-4DBC-9DCD-9DFEB449FD0F}"/>
    <cellStyle name="Normal 7 4 5 3 3 2 3" xfId="12197" xr:uid="{5FB3DE9C-06F9-48E1-998C-8887FF754BAE}"/>
    <cellStyle name="Normal 7 4 5 3 3 2 3 2" xfId="22577" xr:uid="{FBDB5E6A-93AE-4500-9A85-23F5F0ECF22D}"/>
    <cellStyle name="Normal 7 4 5 3 3 2 4" xfId="25813" xr:uid="{B7346527-8675-4701-B877-62C841F6EBE0}"/>
    <cellStyle name="Normal 7 4 5 3 3 2 5" xfId="16911" xr:uid="{04D13FF9-3085-4228-BF3C-FE4E49CC3FCC}"/>
    <cellStyle name="Normal 7 4 5 3 3 3" xfId="6525" xr:uid="{9A4816BF-5D82-4100-95FF-086C23DB05A8}"/>
    <cellStyle name="Normal 7 4 5 3 3 3 2" xfId="26966" xr:uid="{7D3823DC-C7EB-4964-8756-C5BA544B68C4}"/>
    <cellStyle name="Normal 7 4 5 3 3 3 3" xfId="16096" xr:uid="{B126597B-9062-4A5E-968E-68A5860302BF}"/>
    <cellStyle name="Normal 7 4 5 3 3 4" xfId="8549" xr:uid="{4142520B-C995-40C9-9D97-9BBE14EDE247}"/>
    <cellStyle name="Normal 7 4 5 3 3 4 2" xfId="18929" xr:uid="{38A8EDC7-9CCF-4D01-B2AE-A1C83511C591}"/>
    <cellStyle name="Normal 7 4 5 3 3 5" xfId="11382" xr:uid="{28947E2A-5BBA-406A-98C1-DF60F3D73676}"/>
    <cellStyle name="Normal 7 4 5 3 3 5 2" xfId="21762" xr:uid="{5175FD23-5EE1-417D-A47F-73CF52833302}"/>
    <cellStyle name="Normal 7 4 5 3 3 6" xfId="25221" xr:uid="{64D9CA94-8A3C-40DD-98CD-79811DF79CBA}"/>
    <cellStyle name="Normal 7 4 5 3 3 7" xfId="14057" xr:uid="{F8447182-E098-4626-B45E-98AADA5EA0D7}"/>
    <cellStyle name="Normal 7 4 5 3 4" xfId="3468" xr:uid="{00000000-0005-0000-0000-0000A9080000}"/>
    <cellStyle name="Normal 7 4 5 3 4 2" xfId="6523" xr:uid="{EC580DD9-7275-479A-AA36-4019BB56B500}"/>
    <cellStyle name="Normal 7 4 5 3 4 2 2" xfId="28171" xr:uid="{667E8CEF-9AC4-4C27-96BB-0ADA10B9C7DA}"/>
    <cellStyle name="Normal 7 4 5 3 4 2 3" xfId="16094" xr:uid="{B8026675-0137-407F-933C-49AB3640FD85}"/>
    <cellStyle name="Normal 7 4 5 3 4 3" xfId="8547" xr:uid="{524A143B-8D12-41FA-9DBD-30220D6C3132}"/>
    <cellStyle name="Normal 7 4 5 3 4 3 2" xfId="18927" xr:uid="{0D27E462-6BF9-4BED-9856-E51B33311492}"/>
    <cellStyle name="Normal 7 4 5 3 4 4" xfId="11380" xr:uid="{3C91C5C8-72B4-426B-B061-1B5A2292495F}"/>
    <cellStyle name="Normal 7 4 5 3 4 4 2" xfId="21760" xr:uid="{8B5C94E8-934E-4BA0-8E92-79D17A692450}"/>
    <cellStyle name="Normal 7 4 5 3 4 5" xfId="24628" xr:uid="{D35239FD-09F5-4203-B7CB-904310CA3BF3}"/>
    <cellStyle name="Normal 7 4 5 3 4 6" xfId="14055" xr:uid="{C5CDB690-D4CE-42E7-ABAA-01518013248E}"/>
    <cellStyle name="Normal 7 4 5 3 5" xfId="2629" xr:uid="{00000000-0005-0000-0000-0000AA080000}"/>
    <cellStyle name="Normal 7 4 5 3 5 2" xfId="5891" xr:uid="{23142878-3E64-49A3-BA10-E99C203598A0}"/>
    <cellStyle name="Normal 7 4 5 3 5 2 2" xfId="26004" xr:uid="{BEF8B5AC-3BC3-4BD5-A597-7EC34795E82A}"/>
    <cellStyle name="Normal 7 4 5 3 5 2 3" xfId="15301" xr:uid="{1178578C-D67A-4B6C-8AFA-C38FDC910A54}"/>
    <cellStyle name="Normal 7 4 5 3 5 3" xfId="7754" xr:uid="{D6A72C4C-0188-4478-8821-B4BACD68C0F8}"/>
    <cellStyle name="Normal 7 4 5 3 5 3 2" xfId="18134" xr:uid="{046EB1D8-C08A-4410-B8C1-BA9D1632C251}"/>
    <cellStyle name="Normal 7 4 5 3 5 4" xfId="10587" xr:uid="{D00AB987-4839-467C-A7C1-09C933AED028}"/>
    <cellStyle name="Normal 7 4 5 3 5 4 2" xfId="20967" xr:uid="{147252C8-FADB-4773-B582-3E7DBC0152CB}"/>
    <cellStyle name="Normal 7 4 5 3 5 5" xfId="22879" xr:uid="{F78359D1-4FFF-4A2A-A148-43F4BFFDE41B}"/>
    <cellStyle name="Normal 7 4 5 3 5 6" xfId="13017" xr:uid="{0E89B7A7-D291-437F-B36D-3DABFBB30ECB}"/>
    <cellStyle name="Normal 7 4 5 3 6" xfId="4222" xr:uid="{6733272E-A744-4F20-B62A-DCC6BF90E6DB}"/>
    <cellStyle name="Normal 7 4 5 3 6 2" xfId="8994" xr:uid="{BD24733A-6C45-4563-87F3-273B8C8CA50A}"/>
    <cellStyle name="Normal 7 4 5 3 6 2 2" xfId="19374" xr:uid="{5DF50BFC-DDA0-4805-926D-A233BFE2283F}"/>
    <cellStyle name="Normal 7 4 5 3 6 3" xfId="11827" xr:uid="{87FB4150-563F-4FE9-8252-81900F4010FF}"/>
    <cellStyle name="Normal 7 4 5 3 6 3 2" xfId="22207" xr:uid="{3AEBE2F6-8496-45AA-B148-6F773FFCB072}"/>
    <cellStyle name="Normal 7 4 5 3 6 4" xfId="23592" xr:uid="{96941FE2-5BA6-45C7-94A9-6E6D07771D06}"/>
    <cellStyle name="Normal 7 4 5 3 6 5" xfId="16541" xr:uid="{AC15E640-E84D-4419-A405-D7592B8FFC29}"/>
    <cellStyle name="Normal 7 4 5 3 7" xfId="5458" xr:uid="{CB254C3D-8328-438C-BCB2-8175D5A7D7C0}"/>
    <cellStyle name="Normal 7 4 5 3 7 2" xfId="14755" xr:uid="{BF2EACDD-1085-482B-92B4-1207E9B75013}"/>
    <cellStyle name="Normal 7 4 5 3 8" xfId="7208" xr:uid="{AE704272-A315-4F5C-9074-FE104449892B}"/>
    <cellStyle name="Normal 7 4 5 3 8 2" xfId="17588" xr:uid="{0E02743E-A4C4-4CC3-8694-090F8FA53EAF}"/>
    <cellStyle name="Normal 7 4 5 3 9" xfId="10041" xr:uid="{0B61A119-BD13-445E-90A8-6817F9C647CE}"/>
    <cellStyle name="Normal 7 4 5 3 9 2" xfId="20421" xr:uid="{0BB920D2-DADD-49BC-BF35-D06395A6B8A6}"/>
    <cellStyle name="Normal 7 4 5 4" xfId="1441" xr:uid="{00000000-0005-0000-0000-000078070000}"/>
    <cellStyle name="Normal 7 4 5 4 2" xfId="3471" xr:uid="{00000000-0005-0000-0000-0000AC080000}"/>
    <cellStyle name="Normal 7 4 5 4 2 2" xfId="6526" xr:uid="{42FBD595-D5B7-4AB9-8D34-D4A4C1708753}"/>
    <cellStyle name="Normal 7 4 5 4 2 2 2" xfId="25971" xr:uid="{2980C43F-A4A4-4484-B060-7C9B30649953}"/>
    <cellStyle name="Normal 7 4 5 4 2 2 3" xfId="16097" xr:uid="{DCD9613D-4A7E-43F9-A40E-EE3F54EC9E4B}"/>
    <cellStyle name="Normal 7 4 5 4 2 3" xfId="8550" xr:uid="{55FBFC02-499D-47BD-B532-C2640EB2B05D}"/>
    <cellStyle name="Normal 7 4 5 4 2 3 2" xfId="18930" xr:uid="{0F914924-E3DF-4011-854A-867251C0B59B}"/>
    <cellStyle name="Normal 7 4 5 4 2 4" xfId="11383" xr:uid="{13AC4B8A-9E5B-474E-9E6C-EE4AE33C4E9C}"/>
    <cellStyle name="Normal 7 4 5 4 2 4 2" xfId="21763" xr:uid="{90CA32E0-CB42-40E4-9F5A-8DB54EAC6541}"/>
    <cellStyle name="Normal 7 4 5 4 2 5" xfId="22771" xr:uid="{94BBA90A-4A8B-48E8-A640-3995F7A77AF9}"/>
    <cellStyle name="Normal 7 4 5 4 2 6" xfId="14058" xr:uid="{B7C92D4B-1964-4EB7-9CFC-E84F2E7C7CAE}"/>
    <cellStyle name="Normal 7 4 5 4 3" xfId="4372" xr:uid="{982E9A28-BAEF-4D2A-BA36-1FA1CE6DD9F4}"/>
    <cellStyle name="Normal 7 4 5 4 3 2" xfId="9144" xr:uid="{B712051D-32A4-43A4-8A2F-54401EFD0C75}"/>
    <cellStyle name="Normal 7 4 5 4 3 2 2" xfId="29187" xr:uid="{99D741DD-8818-4024-9257-3A11E348F120}"/>
    <cellStyle name="Normal 7 4 5 4 3 2 3" xfId="19524" xr:uid="{8264D096-1196-40D9-B548-697DC033D31E}"/>
    <cellStyle name="Normal 7 4 5 4 3 3" xfId="11977" xr:uid="{152172AE-EAFB-467A-95C5-81277FA4B09E}"/>
    <cellStyle name="Normal 7 4 5 4 3 3 2" xfId="22357" xr:uid="{0508528A-A947-49DE-AF97-F946734EE209}"/>
    <cellStyle name="Normal 7 4 5 4 3 4" xfId="25531" xr:uid="{E6EC1743-A75B-4844-8031-40D139C09885}"/>
    <cellStyle name="Normal 7 4 5 4 3 5" xfId="16691" xr:uid="{36DC94FC-6C39-42C6-91E1-F72E73567142}"/>
    <cellStyle name="Normal 7 4 5 4 4" xfId="5459" xr:uid="{F4736D85-8878-4FA8-923A-E1403838DB9E}"/>
    <cellStyle name="Normal 7 4 5 4 4 2" xfId="26572" xr:uid="{624BF12C-C3D0-4C8B-A536-EFF8619DDA34}"/>
    <cellStyle name="Normal 7 4 5 4 4 3" xfId="14756" xr:uid="{1B9A5E26-C8C1-483B-9DFB-4844385D2F0A}"/>
    <cellStyle name="Normal 7 4 5 4 5" xfId="7209" xr:uid="{D60782DB-55D6-48B1-956D-983D1F530E6E}"/>
    <cellStyle name="Normal 7 4 5 4 5 2" xfId="17589" xr:uid="{5D06CA8C-1AD9-4647-94A1-100975BFC402}"/>
    <cellStyle name="Normal 7 4 5 4 6" xfId="10042" xr:uid="{B046BC94-B393-4FC2-B26B-E939306116A1}"/>
    <cellStyle name="Normal 7 4 5 4 6 2" xfId="20422" xr:uid="{E0179641-1977-468D-A4DF-EE6E9ED518F0}"/>
    <cellStyle name="Normal 7 4 5 4 7" xfId="25045" xr:uid="{DAD150E5-63F9-456D-9DE2-ECABA4755ED5}"/>
    <cellStyle name="Normal 7 4 5 4 8" xfId="13312" xr:uid="{8A287C97-45FB-442A-B27F-6A8E1BE93E89}"/>
    <cellStyle name="Normal 7 4 5 5" xfId="3472" xr:uid="{00000000-0005-0000-0000-0000AD080000}"/>
    <cellStyle name="Normal 7 4 5 5 2" xfId="4593" xr:uid="{35926369-7039-4EEC-B75A-3BB1B347393D}"/>
    <cellStyle name="Normal 7 4 5 5 2 2" xfId="9365" xr:uid="{546177B1-454A-4B2A-BFEC-6304F37CC577}"/>
    <cellStyle name="Normal 7 4 5 5 2 2 2" xfId="29335" xr:uid="{CC14DF5E-FE0D-486C-AAF8-1B25ECD8B96E}"/>
    <cellStyle name="Normal 7 4 5 5 2 2 3" xfId="19745" xr:uid="{87C6055A-3964-4D38-8D4A-CE748D2E6B01}"/>
    <cellStyle name="Normal 7 4 5 5 2 3" xfId="12198" xr:uid="{2EC098A8-4B36-4970-AF8C-00FFD5C5EBAE}"/>
    <cellStyle name="Normal 7 4 5 5 2 3 2" xfId="22578" xr:uid="{22FC2890-9AC8-4682-9492-D716708225D3}"/>
    <cellStyle name="Normal 7 4 5 5 2 4" xfId="25014" xr:uid="{BCC1CDE4-D924-4A74-ABE2-BC5407609446}"/>
    <cellStyle name="Normal 7 4 5 5 2 5" xfId="16912" xr:uid="{004673F0-7811-480D-A61E-403C4EE5590B}"/>
    <cellStyle name="Normal 7 4 5 5 3" xfId="6527" xr:uid="{E3206B87-3C43-4C2E-8780-6DE350835BA0}"/>
    <cellStyle name="Normal 7 4 5 5 3 2" xfId="27460" xr:uid="{2502B905-3FA1-4966-ACCB-BC7CAACEF295}"/>
    <cellStyle name="Normal 7 4 5 5 3 3" xfId="16098" xr:uid="{996D8786-8EBA-4700-BBEC-ED4C5AC1B543}"/>
    <cellStyle name="Normal 7 4 5 5 4" xfId="8551" xr:uid="{82075F95-A6E9-4D35-A9F0-06F7AC3631A3}"/>
    <cellStyle name="Normal 7 4 5 5 4 2" xfId="18931" xr:uid="{A9FEF4C5-48FB-455A-BC90-FD1F945BC554}"/>
    <cellStyle name="Normal 7 4 5 5 5" xfId="11384" xr:uid="{6649B145-16D2-42EB-9E9A-6272A5863D30}"/>
    <cellStyle name="Normal 7 4 5 5 5 2" xfId="21764" xr:uid="{23C63933-20B4-4F27-B148-5287C908DEA0}"/>
    <cellStyle name="Normal 7 4 5 5 6" xfId="24611" xr:uid="{EA31AACA-524A-4320-BE62-8957480C0168}"/>
    <cellStyle name="Normal 7 4 5 5 7" xfId="14059" xr:uid="{4CB9380D-C10B-4E9E-B0DE-819499236CC6}"/>
    <cellStyle name="Normal 7 4 5 6" xfId="2995" xr:uid="{00000000-0005-0000-0000-0000AE080000}"/>
    <cellStyle name="Normal 7 4 5 6 2" xfId="6145" xr:uid="{329964A5-29AB-4E50-A18A-0A87C77E0CD2}"/>
    <cellStyle name="Normal 7 4 5 6 2 2" xfId="26283" xr:uid="{F6A11925-35D7-4E7B-A272-D237D9A4867B}"/>
    <cellStyle name="Normal 7 4 5 6 2 3" xfId="15623" xr:uid="{8C08E7FF-2AAA-4A1F-ABA8-09F53F075606}"/>
    <cellStyle name="Normal 7 4 5 6 3" xfId="8076" xr:uid="{3CE81D40-D365-4DDF-AD91-51407A1C4B00}"/>
    <cellStyle name="Normal 7 4 5 6 3 2" xfId="18456" xr:uid="{2699446A-D6E3-4CE3-B055-4CB4598BFD69}"/>
    <cellStyle name="Normal 7 4 5 6 4" xfId="10909" xr:uid="{C0D1FBFA-0F28-4D12-A591-2DBC776B99E0}"/>
    <cellStyle name="Normal 7 4 5 6 4 2" xfId="21289" xr:uid="{9C1F2FD1-FEB8-41EF-98CD-A19DD9AE8D71}"/>
    <cellStyle name="Normal 7 4 5 6 5" xfId="23244" xr:uid="{76C9B4D9-2046-4620-9B09-B04B8044D621}"/>
    <cellStyle name="Normal 7 4 5 6 6" xfId="13494" xr:uid="{94814A25-6D71-4B56-BB2B-1EF7487F1533}"/>
    <cellStyle name="Normal 7 4 5 7" xfId="2466" xr:uid="{00000000-0005-0000-0000-0000AF080000}"/>
    <cellStyle name="Normal 7 4 5 7 2" xfId="5757" xr:uid="{0806CEDE-82C4-4757-94A1-D4A364F385D3}"/>
    <cellStyle name="Normal 7 4 5 7 2 2" xfId="27824" xr:uid="{D8A20EC4-0930-48B5-BB8D-002EEEFF8B79}"/>
    <cellStyle name="Normal 7 4 5 7 2 3" xfId="15138" xr:uid="{DAB03735-5BCD-45F9-965F-F78638AB8C71}"/>
    <cellStyle name="Normal 7 4 5 7 3" xfId="7591" xr:uid="{ED185F1D-0AFD-46B2-AFBC-5817A752073C}"/>
    <cellStyle name="Normal 7 4 5 7 3 2" xfId="17971" xr:uid="{2A1AE796-8920-4BEB-9B03-81203931504B}"/>
    <cellStyle name="Normal 7 4 5 7 4" xfId="10424" xr:uid="{F3CE7AE9-9597-4D70-ADB1-9CD09D5303E7}"/>
    <cellStyle name="Normal 7 4 5 7 4 2" xfId="20804" xr:uid="{4BD12F4B-85C9-443B-ADB6-EB5598A001F6}"/>
    <cellStyle name="Normal 7 4 5 7 5" xfId="24686" xr:uid="{7F498DCC-8B79-42AE-A66D-651ED3928429}"/>
    <cellStyle name="Normal 7 4 5 7 6" xfId="12854" xr:uid="{9679F6B9-5814-4809-BD04-04514E08081E}"/>
    <cellStyle name="Normal 7 4 5 8" xfId="2220" xr:uid="{00000000-0005-0000-0000-00009E080000}"/>
    <cellStyle name="Normal 7 4 5 8 2" xfId="7347" xr:uid="{F557962B-98E4-404E-BF09-964D44DF646A}"/>
    <cellStyle name="Normal 7 4 5 8 2 2" xfId="17727" xr:uid="{AC796349-D30C-4D4B-B059-04E362F1D48F}"/>
    <cellStyle name="Normal 7 4 5 8 3" xfId="10180" xr:uid="{65D29BBD-196A-4C9A-871F-33946F3CB743}"/>
    <cellStyle name="Normal 7 4 5 8 3 2" xfId="20560" xr:uid="{0A8EC2C8-C8BA-4B53-896F-A5393B55CE64}"/>
    <cellStyle name="Normal 7 4 5 8 4" xfId="25055" xr:uid="{1DAEE79F-B8A0-4360-B81F-5E1789B45645}"/>
    <cellStyle name="Normal 7 4 5 8 5" xfId="14894" xr:uid="{9007E917-66A3-431C-88DD-43C81AF06304}"/>
    <cellStyle name="Normal 7 4 5 9" xfId="4072" xr:uid="{3A901DB5-58D0-4820-A143-9FCA31460F7B}"/>
    <cellStyle name="Normal 7 4 5 9 2" xfId="8852" xr:uid="{700C17F6-D58A-408C-990F-C332EC8EC78C}"/>
    <cellStyle name="Normal 7 4 5 9 2 2" xfId="19232" xr:uid="{21BE3DC1-CB27-4FAF-BB6A-6FA87890E308}"/>
    <cellStyle name="Normal 7 4 5 9 3" xfId="11685" xr:uid="{1CB0413C-DD3D-4618-9B8E-208420E02059}"/>
    <cellStyle name="Normal 7 4 5 9 3 2" xfId="22065" xr:uid="{5227A0D6-DE0B-44F1-888B-5E60B3D3CD5C}"/>
    <cellStyle name="Normal 7 4 5 9 4" xfId="16399" xr:uid="{C8264871-7043-484B-8B5D-04A589B9A087}"/>
    <cellStyle name="Normal 7 4 6" xfId="1442" xr:uid="{00000000-0005-0000-0000-000079070000}"/>
    <cellStyle name="Normal 7 4 6 10" xfId="7210" xr:uid="{9D0BAB81-E060-46C4-A067-C3886DD2E4F5}"/>
    <cellStyle name="Normal 7 4 6 10 2" xfId="17590" xr:uid="{9281F678-6949-4A54-9733-A9AB1BF089C4}"/>
    <cellStyle name="Normal 7 4 6 11" xfId="10043" xr:uid="{579AAEC4-267E-45D8-8DA8-18AB3513478E}"/>
    <cellStyle name="Normal 7 4 6 11 2" xfId="20423" xr:uid="{59AE8321-472F-48C9-9BCE-38BE78599AF0}"/>
    <cellStyle name="Normal 7 4 6 12" xfId="24333" xr:uid="{BBFED37D-C0AD-4F14-AA04-70C6AE104C62}"/>
    <cellStyle name="Normal 7 4 6 13" xfId="12435" xr:uid="{6BCE06AF-85C4-4CC2-A918-E39D433FF0CD}"/>
    <cellStyle name="Normal 7 4 6 2" xfId="1443" xr:uid="{00000000-0005-0000-0000-00007A070000}"/>
    <cellStyle name="Normal 7 4 6 2 10" xfId="10044" xr:uid="{015A21AC-34D4-4826-84DF-2A188863A218}"/>
    <cellStyle name="Normal 7 4 6 2 10 2" xfId="20424" xr:uid="{57D37285-A06B-422F-B2D6-F44DF926CFBE}"/>
    <cellStyle name="Normal 7 4 6 2 11" xfId="24464" xr:uid="{3A31A8B7-2F92-472E-B7B5-9E887E7C8D00}"/>
    <cellStyle name="Normal 7 4 6 2 12" xfId="12639" xr:uid="{36FBE80E-5417-4AF5-86DE-81A4404606E3}"/>
    <cellStyle name="Normal 7 4 6 2 2" xfId="1444" xr:uid="{00000000-0005-0000-0000-00007B070000}"/>
    <cellStyle name="Normal 7 4 6 2 2 2" xfId="3474" xr:uid="{00000000-0005-0000-0000-0000B3080000}"/>
    <cellStyle name="Normal 7 4 6 2 2 2 2" xfId="6529" xr:uid="{2F811766-F2D8-4F4A-BA50-EF6F59704A35}"/>
    <cellStyle name="Normal 7 4 6 2 2 2 2 2" xfId="28019" xr:uid="{0EDEF980-8DC6-4133-825D-0AC672B945BF}"/>
    <cellStyle name="Normal 7 4 6 2 2 2 2 3" xfId="28174" xr:uid="{C9E9391A-CE76-400B-A4DD-A6C96FC18D1A}"/>
    <cellStyle name="Normal 7 4 6 2 2 2 2 4" xfId="16100" xr:uid="{3605FF11-A96C-4B5F-8FB7-99805CCB62D8}"/>
    <cellStyle name="Normal 7 4 6 2 2 2 3" xfId="8553" xr:uid="{C4F74542-B8A6-42C1-A393-BC01099B8C81}"/>
    <cellStyle name="Normal 7 4 6 2 2 2 3 2" xfId="28944" xr:uid="{484EA8FF-A658-414F-9465-055E6F23859F}"/>
    <cellStyle name="Normal 7 4 6 2 2 2 3 3" xfId="18933" xr:uid="{6981B120-B073-420F-B6D7-0CB1E2F8A322}"/>
    <cellStyle name="Normal 7 4 6 2 2 2 4" xfId="11386" xr:uid="{395CAD96-80CB-41CA-BD86-7FD10E6DB9DF}"/>
    <cellStyle name="Normal 7 4 6 2 2 2 4 2" xfId="21766" xr:uid="{50EB8523-F2CE-4146-8B69-A2E310D75B9E}"/>
    <cellStyle name="Normal 7 4 6 2 2 2 5" xfId="23315" xr:uid="{7176CF5D-11D8-4B27-8F9A-BFE9DC434CCA}"/>
    <cellStyle name="Normal 7 4 6 2 2 2 6" xfId="14061" xr:uid="{D5A276A3-7024-4E73-9B16-9116CA47891B}"/>
    <cellStyle name="Normal 7 4 6 2 2 3" xfId="4375" xr:uid="{A95130CF-C1A4-4A97-BA51-A9E1E46AC1AE}"/>
    <cellStyle name="Normal 7 4 6 2 2 3 2" xfId="9147" xr:uid="{8FB22CD3-2825-4E0D-8E2B-C6AE3C0C82EF}"/>
    <cellStyle name="Normal 7 4 6 2 2 3 2 2" xfId="29190" xr:uid="{D13D335D-E041-48E9-B7D1-4A67740958C5}"/>
    <cellStyle name="Normal 7 4 6 2 2 3 2 3" xfId="19527" xr:uid="{DB344710-F17E-418C-B4A2-630026663705}"/>
    <cellStyle name="Normal 7 4 6 2 2 3 3" xfId="11980" xr:uid="{8B36AEBF-4134-4BF8-A36C-9786466154DA}"/>
    <cellStyle name="Normal 7 4 6 2 2 3 3 2" xfId="22360" xr:uid="{C7F59C12-9CF7-4B47-9F45-F7C1BEC7C5BE}"/>
    <cellStyle name="Normal 7 4 6 2 2 3 4" xfId="25164" xr:uid="{3C115A6D-5126-4E2C-B507-31228BFAAE47}"/>
    <cellStyle name="Normal 7 4 6 2 2 3 5" xfId="16694" xr:uid="{D66D56DF-7F5C-49BE-BBB9-7F2F3686A2B0}"/>
    <cellStyle name="Normal 7 4 6 2 2 4" xfId="5462" xr:uid="{0CC6A5EB-0BCE-4510-BA88-5FEA0A5CE841}"/>
    <cellStyle name="Normal 7 4 6 2 2 4 2" xfId="28463" xr:uid="{5B671DBE-841C-4EF3-B4B0-44130DDBD783}"/>
    <cellStyle name="Normal 7 4 6 2 2 4 3" xfId="14759" xr:uid="{EDEA2358-8CBB-4A34-ADCC-15B892D84035}"/>
    <cellStyle name="Normal 7 4 6 2 2 5" xfId="7212" xr:uid="{C8622CF0-6FD8-4D48-B3CB-2AF7D2A7302D}"/>
    <cellStyle name="Normal 7 4 6 2 2 5 2" xfId="17592" xr:uid="{61377672-1CFC-4732-A347-7DE660EB372D}"/>
    <cellStyle name="Normal 7 4 6 2 2 6" xfId="10045" xr:uid="{65A19268-3767-4078-A796-2C4CBC861A87}"/>
    <cellStyle name="Normal 7 4 6 2 2 6 2" xfId="20425" xr:uid="{6EEB025A-54AB-4B21-B3FD-EFE52BBACBEC}"/>
    <cellStyle name="Normal 7 4 6 2 2 7" xfId="24150" xr:uid="{DF5D084C-42C6-42A0-B7E0-1157BB69E3A5}"/>
    <cellStyle name="Normal 7 4 6 2 2 8" xfId="13316" xr:uid="{165DDDD3-124E-47C3-91DC-3E4956AB94E1}"/>
    <cellStyle name="Normal 7 4 6 2 3" xfId="3475" xr:uid="{00000000-0005-0000-0000-0000B4080000}"/>
    <cellStyle name="Normal 7 4 6 2 3 2" xfId="4594" xr:uid="{AA9A90EB-6786-4553-BCF1-820E08D62D55}"/>
    <cellStyle name="Normal 7 4 6 2 3 2 2" xfId="9366" xr:uid="{C2246DDC-4E13-4C61-8968-6177DDB50795}"/>
    <cellStyle name="Normal 7 4 6 2 3 2 2 2" xfId="29336" xr:uid="{31266F53-CA8F-4EF3-8346-F5CE4DF6BBA1}"/>
    <cellStyle name="Normal 7 4 6 2 3 2 2 3" xfId="19746" xr:uid="{35689738-0262-4E2E-BAF1-64F685E77766}"/>
    <cellStyle name="Normal 7 4 6 2 3 2 3" xfId="12199" xr:uid="{BE3011C3-5EC8-436E-AAD2-BD8EF622F124}"/>
    <cellStyle name="Normal 7 4 6 2 3 2 3 2" xfId="22579" xr:uid="{8CC6CDDA-E727-4ED4-A72A-05F6C13D9FD8}"/>
    <cellStyle name="Normal 7 4 6 2 3 2 4" xfId="23993" xr:uid="{4D51B64E-BCB2-4EE1-B006-9BC0CD8C2EF3}"/>
    <cellStyle name="Normal 7 4 6 2 3 2 5" xfId="16913" xr:uid="{012AE3E8-1ED9-4641-AB2A-A7BB3922440C}"/>
    <cellStyle name="Normal 7 4 6 2 3 3" xfId="6530" xr:uid="{2EFCFD26-23A9-43B4-8E21-F6FB3260333C}"/>
    <cellStyle name="Normal 7 4 6 2 3 3 2" xfId="26702" xr:uid="{B4B5CA8E-1E02-446A-B17B-F16112AD7BB4}"/>
    <cellStyle name="Normal 7 4 6 2 3 3 3" xfId="16101" xr:uid="{6F902B5B-0EF3-4C63-810A-D291B05A10F1}"/>
    <cellStyle name="Normal 7 4 6 2 3 4" xfId="8554" xr:uid="{4687F2C9-0B83-42E4-B559-9E6EF6827985}"/>
    <cellStyle name="Normal 7 4 6 2 3 4 2" xfId="18934" xr:uid="{3B844C43-1343-40FE-BD7C-093E5C60487E}"/>
    <cellStyle name="Normal 7 4 6 2 3 5" xfId="11387" xr:uid="{D9D4C41C-9940-41B4-83A4-0C3BF2E3A360}"/>
    <cellStyle name="Normal 7 4 6 2 3 5 2" xfId="21767" xr:uid="{3A4A0930-732E-4036-913C-716D778E0713}"/>
    <cellStyle name="Normal 7 4 6 2 3 6" xfId="22900" xr:uid="{FC5630F8-D770-4D8E-B960-DE9C0187F3DE}"/>
    <cellStyle name="Normal 7 4 6 2 3 7" xfId="14062" xr:uid="{4CE8185E-7E44-4B27-A157-43795DCE7A16}"/>
    <cellStyle name="Normal 7 4 6 2 4" xfId="3473" xr:uid="{00000000-0005-0000-0000-0000B5080000}"/>
    <cellStyle name="Normal 7 4 6 2 4 2" xfId="6528" xr:uid="{A7065ACD-749C-4101-B617-76BAE472C0A7}"/>
    <cellStyle name="Normal 7 4 6 2 4 2 2" xfId="25906" xr:uid="{B86BAEC1-F979-42C6-99B5-2C2E12484112}"/>
    <cellStyle name="Normal 7 4 6 2 4 2 3" xfId="16099" xr:uid="{58F29C10-D636-4686-938A-855CF3DCD771}"/>
    <cellStyle name="Normal 7 4 6 2 4 3" xfId="8552" xr:uid="{0AEA8D9C-556A-403C-B4B1-97E240CDC933}"/>
    <cellStyle name="Normal 7 4 6 2 4 3 2" xfId="18932" xr:uid="{79DB9C0E-2454-4F95-BF3E-02655D6D29C7}"/>
    <cellStyle name="Normal 7 4 6 2 4 4" xfId="11385" xr:uid="{5704E751-D96F-4DBF-859F-4DEFDDB9AB3D}"/>
    <cellStyle name="Normal 7 4 6 2 4 4 2" xfId="21765" xr:uid="{731B8A3F-E65F-4DA0-8B6C-75A01AF6462B}"/>
    <cellStyle name="Normal 7 4 6 2 4 5" xfId="25051" xr:uid="{F842D7F2-DBC3-4B01-8A2B-4FBB6AB1F674}"/>
    <cellStyle name="Normal 7 4 6 2 4 6" xfId="14060" xr:uid="{3FA029E0-83EC-4C1E-924F-02FAFF8C3151}"/>
    <cellStyle name="Normal 7 4 6 2 5" xfId="2612" xr:uid="{00000000-0005-0000-0000-0000B6080000}"/>
    <cellStyle name="Normal 7 4 6 2 5 2" xfId="5876" xr:uid="{ED28E35E-3B05-43CA-8272-C98CFE752A4D}"/>
    <cellStyle name="Normal 7 4 6 2 5 2 2" xfId="28342" xr:uid="{AFB9A578-F33D-4994-B6A6-915A59C8352E}"/>
    <cellStyle name="Normal 7 4 6 2 5 2 3" xfId="15284" xr:uid="{183E967D-EBC3-47C1-BAF4-AC54C24D929C}"/>
    <cellStyle name="Normal 7 4 6 2 5 3" xfId="7737" xr:uid="{7E3AB69C-436C-401C-9731-4BF2E5CA0323}"/>
    <cellStyle name="Normal 7 4 6 2 5 3 2" xfId="18117" xr:uid="{37B93855-0475-488B-AD3D-C61E28883DFC}"/>
    <cellStyle name="Normal 7 4 6 2 5 4" xfId="10570" xr:uid="{B178F962-2657-4F24-AA8F-DE264DF48D23}"/>
    <cellStyle name="Normal 7 4 6 2 5 4 2" xfId="20950" xr:uid="{077C6A62-37F7-425D-AABA-A9B4B25DC1F8}"/>
    <cellStyle name="Normal 7 4 6 2 5 5" xfId="24143" xr:uid="{5151E569-3E21-4983-BF90-72E5D7566DF1}"/>
    <cellStyle name="Normal 7 4 6 2 5 6" xfId="13000" xr:uid="{B0D1F0C8-B578-42DD-9297-A7A26493E6A5}"/>
    <cellStyle name="Normal 7 4 6 2 6" xfId="2405" xr:uid="{00000000-0005-0000-0000-0000B1080000}"/>
    <cellStyle name="Normal 7 4 6 2 6 2" xfId="7532" xr:uid="{3E5CC756-B253-4B3C-9DB5-BDF4E3049137}"/>
    <cellStyle name="Normal 7 4 6 2 6 2 2" xfId="17912" xr:uid="{4F7B4801-3A30-4063-9945-9276C0972B4A}"/>
    <cellStyle name="Normal 7 4 6 2 6 3" xfId="10365" xr:uid="{D328754E-1865-498D-ABA5-A3AA117E1F7A}"/>
    <cellStyle name="Normal 7 4 6 2 6 3 2" xfId="20745" xr:uid="{89CE0C2E-16F7-4DA9-9179-5B9D4093E09C}"/>
    <cellStyle name="Normal 7 4 6 2 6 4" xfId="23614" xr:uid="{C63B725F-10E9-4005-B129-185D18AB4974}"/>
    <cellStyle name="Normal 7 4 6 2 6 5" xfId="15079" xr:uid="{686D7622-0DA7-455A-B5E0-6173D814EE00}"/>
    <cellStyle name="Normal 7 4 6 2 7" xfId="4105" xr:uid="{FBC0C879-14E9-4755-8B03-4CDD731C2FC5}"/>
    <cellStyle name="Normal 7 4 6 2 7 2" xfId="8879" xr:uid="{C58BACB1-648D-4A62-8DF5-AE1F6BC94290}"/>
    <cellStyle name="Normal 7 4 6 2 7 2 2" xfId="19259" xr:uid="{9DE98E81-F832-46FD-90D4-FD7D25B8E057}"/>
    <cellStyle name="Normal 7 4 6 2 7 3" xfId="11712" xr:uid="{74A38B67-90CA-4EEB-BF93-499AD9B73FD6}"/>
    <cellStyle name="Normal 7 4 6 2 7 3 2" xfId="22092" xr:uid="{D7F29AF2-0D5B-41BE-82B6-57DAC19ABB89}"/>
    <cellStyle name="Normal 7 4 6 2 7 4" xfId="16426" xr:uid="{637739DF-7C78-4B06-938E-04C37FC8F35F}"/>
    <cellStyle name="Normal 7 4 6 2 8" xfId="5461" xr:uid="{2F886AA2-4DDA-40FD-9E88-F748B011B828}"/>
    <cellStyle name="Normal 7 4 6 2 8 2" xfId="14758" xr:uid="{7FA1EA60-EAA8-429A-A717-719E22507350}"/>
    <cellStyle name="Normal 7 4 6 2 9" xfId="7211" xr:uid="{0EBDD1CB-AD53-45F4-AA45-AB9B37BCF00A}"/>
    <cellStyle name="Normal 7 4 6 2 9 2" xfId="17591" xr:uid="{6BC88A3B-1DCE-4ABE-9228-C1F329747FBB}"/>
    <cellStyle name="Normal 7 4 6 3" xfId="1445" xr:uid="{00000000-0005-0000-0000-00007C070000}"/>
    <cellStyle name="Normal 7 4 6 3 2" xfId="3476" xr:uid="{00000000-0005-0000-0000-0000B8080000}"/>
    <cellStyle name="Normal 7 4 6 3 2 2" xfId="6531" xr:uid="{35017E7D-4080-453E-9AB5-4EBD7D742297}"/>
    <cellStyle name="Normal 7 4 6 3 2 2 2" xfId="25596" xr:uid="{0F8CE7FB-386C-435B-A026-98059F5A95A9}"/>
    <cellStyle name="Normal 7 4 6 3 2 2 3" xfId="28536" xr:uid="{1F2CEFE1-D1FE-4130-ACC8-FD585A24FA99}"/>
    <cellStyle name="Normal 7 4 6 3 2 2 4" xfId="16102" xr:uid="{88626788-AA4A-42B7-8834-79CDBF1F5327}"/>
    <cellStyle name="Normal 7 4 6 3 2 3" xfId="8555" xr:uid="{8FB01244-A933-4F0C-BCDB-A633B5525C26}"/>
    <cellStyle name="Normal 7 4 6 3 2 3 2" xfId="28945" xr:uid="{B5BAFC47-2B98-4822-959C-22BE61FD9BC3}"/>
    <cellStyle name="Normal 7 4 6 3 2 3 3" xfId="18935" xr:uid="{763CE3F2-E5C5-47D8-BA0B-756F115B01F4}"/>
    <cellStyle name="Normal 7 4 6 3 2 4" xfId="11388" xr:uid="{3581D6B7-B0E6-457A-AA56-376099B8AF45}"/>
    <cellStyle name="Normal 7 4 6 3 2 4 2" xfId="21768" xr:uid="{9EAA1A85-C736-4161-8EB5-AE161B56076D}"/>
    <cellStyle name="Normal 7 4 6 3 2 5" xfId="23682" xr:uid="{F6B9E067-6AA6-466A-B3C9-A78C4E1F66B9}"/>
    <cellStyle name="Normal 7 4 6 3 2 6" xfId="14063" xr:uid="{22FA1A24-F2FC-4BFE-8BAB-1373E623DF80}"/>
    <cellStyle name="Normal 7 4 6 3 3" xfId="2837" xr:uid="{00000000-0005-0000-0000-0000B9080000}"/>
    <cellStyle name="Normal 7 4 6 3 3 2" xfId="6053" xr:uid="{9833E8C8-D664-4632-AEAC-06D0FE3225DB}"/>
    <cellStyle name="Normal 7 4 6 3 3 2 2" xfId="25926" xr:uid="{1F4B852F-4C06-42C4-AD07-13893317F0E1}"/>
    <cellStyle name="Normal 7 4 6 3 3 2 3" xfId="15507" xr:uid="{17B32C06-3280-4A63-81CA-C96A785D6C1D}"/>
    <cellStyle name="Normal 7 4 6 3 3 3" xfId="7960" xr:uid="{BC3F3018-7F28-4708-97DE-8915B1749A03}"/>
    <cellStyle name="Normal 7 4 6 3 3 3 2" xfId="18340" xr:uid="{27BA55F5-426F-4C43-9835-B844C5A2DD31}"/>
    <cellStyle name="Normal 7 4 6 3 3 4" xfId="10793" xr:uid="{EAA73794-EE82-4AE9-A943-B5B056B37C1A}"/>
    <cellStyle name="Normal 7 4 6 3 3 4 2" xfId="21173" xr:uid="{5A10CD32-36F2-438E-B345-DE2BDB4A9EFE}"/>
    <cellStyle name="Normal 7 4 6 3 3 5" xfId="22941" xr:uid="{FB4C0B42-AD50-4039-A7AA-357C00D435AC}"/>
    <cellStyle name="Normal 7 4 6 3 3 6" xfId="13315" xr:uid="{C3FCB08E-F407-46DD-8B97-023E94F4A4B3}"/>
    <cellStyle name="Normal 7 4 6 3 4" xfId="4223" xr:uid="{3D508AE3-1814-404D-9AC4-712273263D09}"/>
    <cellStyle name="Normal 7 4 6 3 4 2" xfId="8995" xr:uid="{CF3251C8-5F32-48E4-AEF0-9E4ECEFAC3C5}"/>
    <cellStyle name="Normal 7 4 6 3 4 2 2" xfId="29072" xr:uid="{1044CA18-5623-4314-B05D-5ABAAC6D8965}"/>
    <cellStyle name="Normal 7 4 6 3 4 2 3" xfId="19375" xr:uid="{3ADC7E10-6F86-492B-B40F-0999E1058B87}"/>
    <cellStyle name="Normal 7 4 6 3 4 3" xfId="11828" xr:uid="{059EDE9C-EEF9-4E19-A280-1845B7381291}"/>
    <cellStyle name="Normal 7 4 6 3 4 3 2" xfId="22208" xr:uid="{1E094AD0-1DCD-4C0E-9C66-5325193AEC02}"/>
    <cellStyle name="Normal 7 4 6 3 4 4" xfId="24428" xr:uid="{2757FBC0-CFF8-45CD-BA73-66D590E944AE}"/>
    <cellStyle name="Normal 7 4 6 3 4 5" xfId="16542" xr:uid="{E8F3403B-B7F8-45DF-841A-A643EC17ED5D}"/>
    <cellStyle name="Normal 7 4 6 3 5" xfId="5463" xr:uid="{ACED7834-840E-47D4-8EAE-013D3F8DD5E1}"/>
    <cellStyle name="Normal 7 4 6 3 5 2" xfId="28045" xr:uid="{DBA71A09-0ABB-419B-85A4-F90BCEADE320}"/>
    <cellStyle name="Normal 7 4 6 3 5 3" xfId="14760" xr:uid="{3F6B750F-8CA5-4894-B3FC-F21D8C721CA2}"/>
    <cellStyle name="Normal 7 4 6 3 6" xfId="7213" xr:uid="{C6DA2319-B02F-4D3C-BA00-AEB648EC567D}"/>
    <cellStyle name="Normal 7 4 6 3 6 2" xfId="17593" xr:uid="{F6ECAE9E-E100-48F6-90F1-82731369342C}"/>
    <cellStyle name="Normal 7 4 6 3 7" xfId="10046" xr:uid="{14B519C2-0820-4466-A584-7FE00120A0A3}"/>
    <cellStyle name="Normal 7 4 6 3 7 2" xfId="20426" xr:uid="{23B42D99-E8B9-470A-B34B-1E6BC71D1E6B}"/>
    <cellStyle name="Normal 7 4 6 3 8" xfId="23301" xr:uid="{D10B02A0-CC7F-451E-B557-50CF86281086}"/>
    <cellStyle name="Normal 7 4 6 3 9" xfId="12797" xr:uid="{4D297DEC-FC89-4059-A06B-191A9F90780A}"/>
    <cellStyle name="Normal 7 4 6 4" xfId="1446" xr:uid="{00000000-0005-0000-0000-00007D070000}"/>
    <cellStyle name="Normal 7 4 6 4 2" xfId="4595" xr:uid="{06556283-BC7A-40E8-B0B8-1D337E804B2B}"/>
    <cellStyle name="Normal 7 4 6 4 2 2" xfId="9367" xr:uid="{8802636A-28FD-46A2-8892-80F032F8547E}"/>
    <cellStyle name="Normal 7 4 6 4 2 2 2" xfId="29337" xr:uid="{61E34EF4-3A13-4C76-932B-12452DD5E700}"/>
    <cellStyle name="Normal 7 4 6 4 2 2 3" xfId="19747" xr:uid="{9021AC51-3EDE-4047-A68C-1E8C5C9E6091}"/>
    <cellStyle name="Normal 7 4 6 4 2 3" xfId="12200" xr:uid="{E5B5D3AD-DEE0-44EC-BCFE-0A1535C70484}"/>
    <cellStyle name="Normal 7 4 6 4 2 3 2" xfId="22580" xr:uid="{542A0DC7-1ED4-4D5E-AC95-46C3FA357628}"/>
    <cellStyle name="Normal 7 4 6 4 2 4" xfId="23086" xr:uid="{203B5CCE-9CAB-4CF3-AB1B-CA03B1CD66EE}"/>
    <cellStyle name="Normal 7 4 6 4 2 5" xfId="16914" xr:uid="{A4F82774-452B-493E-8F71-5D91F5FB0493}"/>
    <cellStyle name="Normal 7 4 6 4 3" xfId="5464" xr:uid="{B833A83F-A323-476C-BDC2-5D9177DC1535}"/>
    <cellStyle name="Normal 7 4 6 4 3 2" xfId="27063" xr:uid="{5B70F443-C489-4B90-8D3B-0BE26E28E497}"/>
    <cellStyle name="Normal 7 4 6 4 3 3" xfId="14761" xr:uid="{D5F94BAF-D334-43DC-B93D-852F0F7F4488}"/>
    <cellStyle name="Normal 7 4 6 4 4" xfId="7214" xr:uid="{BA01F59F-0ADB-4B7F-9840-4EDC9AA8FB21}"/>
    <cellStyle name="Normal 7 4 6 4 4 2" xfId="17594" xr:uid="{49834D77-38BE-4EF6-A045-C2AA3B4A435F}"/>
    <cellStyle name="Normal 7 4 6 4 5" xfId="10047" xr:uid="{7AFF5F4B-400D-4BCE-852F-FB4131887FFD}"/>
    <cellStyle name="Normal 7 4 6 4 5 2" xfId="20427" xr:uid="{1A653C84-D28E-46F4-871C-FFFD91262864}"/>
    <cellStyle name="Normal 7 4 6 4 6" xfId="23260" xr:uid="{3DF2D86D-5F6B-4241-8670-53457CA0D6BC}"/>
    <cellStyle name="Normal 7 4 6 4 7" xfId="14064" xr:uid="{EED9FD42-1709-4C37-A935-014C3E30E31B}"/>
    <cellStyle name="Normal 7 4 6 5" xfId="2996" xr:uid="{00000000-0005-0000-0000-0000BB080000}"/>
    <cellStyle name="Normal 7 4 6 5 2" xfId="6146" xr:uid="{55E48DA5-4B76-478A-BA7F-7495F63ACFBE}"/>
    <cellStyle name="Normal 7 4 6 5 2 2" xfId="22637" xr:uid="{67BD9E09-E9FD-4CC8-B327-D9551139194D}"/>
    <cellStyle name="Normal 7 4 6 5 2 3" xfId="26804" xr:uid="{643CC87A-6649-4CAA-9C93-5E302EDF844F}"/>
    <cellStyle name="Normal 7 4 6 5 2 4" xfId="15624" xr:uid="{0EFCFE9F-1BB0-4F14-9B97-C7E15DF2761F}"/>
    <cellStyle name="Normal 7 4 6 5 3" xfId="8077" xr:uid="{8814ED0B-8579-4B4A-ACC6-722A933F1F07}"/>
    <cellStyle name="Normal 7 4 6 5 3 2" xfId="28770" xr:uid="{CB6418F2-424E-4ABA-9D8A-0060B00E9E94}"/>
    <cellStyle name="Normal 7 4 6 5 3 3" xfId="18457" xr:uid="{7AAF2FE2-E9AE-437F-B825-DB61440AA9F7}"/>
    <cellStyle name="Normal 7 4 6 5 4" xfId="10910" xr:uid="{DFAA71AD-5AE9-4FD7-A701-8DD957708B93}"/>
    <cellStyle name="Normal 7 4 6 5 4 2" xfId="21290" xr:uid="{0F31019A-44AE-4AE4-8E49-3FAD3C383265}"/>
    <cellStyle name="Normal 7 4 6 5 5" xfId="24816" xr:uid="{55A88DCE-7EB1-4825-A9C5-5692F014DE4E}"/>
    <cellStyle name="Normal 7 4 6 5 6" xfId="13495" xr:uid="{DAFD1A46-5ED7-4040-809C-00EB2EDC4E0E}"/>
    <cellStyle name="Normal 7 4 6 6" xfId="2449" xr:uid="{00000000-0005-0000-0000-0000BC080000}"/>
    <cellStyle name="Normal 7 4 6 6 2" xfId="5743" xr:uid="{91DC8A24-84B8-44CC-8DAF-4A1B7006D8FA}"/>
    <cellStyle name="Normal 7 4 6 6 2 2" xfId="28603" xr:uid="{1008F856-5904-4562-8ABB-82B63C120CBB}"/>
    <cellStyle name="Normal 7 4 6 6 2 3" xfId="15121" xr:uid="{34BBFA9B-2282-4D60-A8D3-7F1983AF70F9}"/>
    <cellStyle name="Normal 7 4 6 6 3" xfId="7574" xr:uid="{38F769B6-93FF-41AE-989A-483E7E0C64A6}"/>
    <cellStyle name="Normal 7 4 6 6 3 2" xfId="17954" xr:uid="{E56532B5-334C-41A0-9408-9A8D9896B87A}"/>
    <cellStyle name="Normal 7 4 6 6 4" xfId="10407" xr:uid="{D4173E3F-45A5-4BB0-BA83-B0B90F13EDE9}"/>
    <cellStyle name="Normal 7 4 6 6 4 2" xfId="20787" xr:uid="{6E430E16-8CFC-444C-A9D6-F231C478AA65}"/>
    <cellStyle name="Normal 7 4 6 6 5" xfId="23461" xr:uid="{15E33F00-4954-4425-BC03-3D6722B643D9}"/>
    <cellStyle name="Normal 7 4 6 6 6" xfId="12837" xr:uid="{9DA777EC-6CF3-41AD-9C1B-C781CB28E336}"/>
    <cellStyle name="Normal 7 4 6 7" xfId="2203" xr:uid="{00000000-0005-0000-0000-0000B0080000}"/>
    <cellStyle name="Normal 7 4 6 7 2" xfId="7330" xr:uid="{A8F81ABD-473B-4918-9E04-DB1C766D92A5}"/>
    <cellStyle name="Normal 7 4 6 7 2 2" xfId="17710" xr:uid="{FDCE9D7A-B89D-40BB-BEA4-74A61A8B40CC}"/>
    <cellStyle name="Normal 7 4 6 7 3" xfId="10163" xr:uid="{2C0D19E8-C15D-422B-B923-BD2F5C035D3B}"/>
    <cellStyle name="Normal 7 4 6 7 3 2" xfId="20543" xr:uid="{394CAB9D-35A2-4A86-937B-5F0D8D6D7041}"/>
    <cellStyle name="Normal 7 4 6 7 4" xfId="24840" xr:uid="{9E5FDA80-4CAB-44E3-B4E4-46156B50308A}"/>
    <cellStyle name="Normal 7 4 6 7 5" xfId="14877" xr:uid="{5DF8B1D1-0475-4895-BFC3-551D63DE687A}"/>
    <cellStyle name="Normal 7 4 6 8" xfId="4073" xr:uid="{33E269F1-C808-433A-91A0-C4A75B23DD7C}"/>
    <cellStyle name="Normal 7 4 6 8 2" xfId="8853" xr:uid="{A6AB4A80-9BD7-4DBA-8503-88D339F7795E}"/>
    <cellStyle name="Normal 7 4 6 8 2 2" xfId="19233" xr:uid="{A79640B2-7119-4697-9C1C-115D9A4EAF16}"/>
    <cellStyle name="Normal 7 4 6 8 3" xfId="11686" xr:uid="{D99C783C-3268-4C21-8A0E-0C682639B465}"/>
    <cellStyle name="Normal 7 4 6 8 3 2" xfId="22066" xr:uid="{F152A3B2-D04F-4AD8-83C6-2BB298DF8924}"/>
    <cellStyle name="Normal 7 4 6 8 4" xfId="16400" xr:uid="{BD37A6C5-F0BE-4A49-BB6C-8F9B0900EB06}"/>
    <cellStyle name="Normal 7 4 6 9" xfId="5460" xr:uid="{71C8AF85-F312-4E30-893B-D1658E4F63A4}"/>
    <cellStyle name="Normal 7 4 6 9 2" xfId="14757" xr:uid="{F214C8CE-D46B-4D80-9E30-215AC376FC0F}"/>
    <cellStyle name="Normal 7 4 7" xfId="1447" xr:uid="{00000000-0005-0000-0000-00007E070000}"/>
    <cellStyle name="Normal 7 4 7 10" xfId="7215" xr:uid="{B79F1174-C0EF-43EE-B43A-E3C61683CAC6}"/>
    <cellStyle name="Normal 7 4 7 10 2" xfId="17595" xr:uid="{95B2FC8A-E885-4B3B-B5EC-02781C1A58EC}"/>
    <cellStyle name="Normal 7 4 7 11" xfId="10048" xr:uid="{61F7AF7F-836E-4902-8FA2-4DFDAF1457E1}"/>
    <cellStyle name="Normal 7 4 7 11 2" xfId="20428" xr:uid="{ACDF87DF-0957-4653-A0EB-E45124CC174F}"/>
    <cellStyle name="Normal 7 4 7 12" xfId="23784" xr:uid="{A414E85A-79DA-4583-8CF8-9F03726BE8F9}"/>
    <cellStyle name="Normal 7 4 7 13" xfId="12496" xr:uid="{E3FF85BB-8BF9-4B25-ADB5-6C1CD46C9B5C}"/>
    <cellStyle name="Normal 7 4 7 2" xfId="1448" xr:uid="{00000000-0005-0000-0000-00007F070000}"/>
    <cellStyle name="Normal 7 4 7 2 10" xfId="10049" xr:uid="{F40C03E6-EB31-4D47-9DB7-C15F15CCF13A}"/>
    <cellStyle name="Normal 7 4 7 2 10 2" xfId="20429" xr:uid="{F6D054F0-4AB0-4B3F-95C6-26A0388FEC62}"/>
    <cellStyle name="Normal 7 4 7 2 11" xfId="23602" xr:uid="{31F11D70-37E3-4F73-9881-E3BF5C0B086F}"/>
    <cellStyle name="Normal 7 4 7 2 12" xfId="12640" xr:uid="{C1B98FB0-5037-4A65-BF12-7FE07AB74A9A}"/>
    <cellStyle name="Normal 7 4 7 2 2" xfId="1449" xr:uid="{00000000-0005-0000-0000-000080070000}"/>
    <cellStyle name="Normal 7 4 7 2 2 2" xfId="3478" xr:uid="{00000000-0005-0000-0000-0000C0080000}"/>
    <cellStyle name="Normal 7 4 7 2 2 2 2" xfId="6533" xr:uid="{835532A3-77B8-450B-8517-EF41F501D9C9}"/>
    <cellStyle name="Normal 7 4 7 2 2 2 2 2" xfId="27878" xr:uid="{753EB7B4-3D9C-4D5D-A3FC-F4E5B8D41D55}"/>
    <cellStyle name="Normal 7 4 7 2 2 2 2 3" xfId="26176" xr:uid="{0582B580-DB86-483F-8105-DFA09FC7ADC3}"/>
    <cellStyle name="Normal 7 4 7 2 2 2 2 4" xfId="16104" xr:uid="{C69B7FE9-6CA8-4618-B6CE-089E9D15D73F}"/>
    <cellStyle name="Normal 7 4 7 2 2 2 3" xfId="8557" xr:uid="{CF3D07B9-FEBB-483E-9979-C38A4907E144}"/>
    <cellStyle name="Normal 7 4 7 2 2 2 3 2" xfId="28946" xr:uid="{569A284B-BF6D-43C1-912F-2FBEB10DEC4A}"/>
    <cellStyle name="Normal 7 4 7 2 2 2 3 3" xfId="18937" xr:uid="{B79C1081-154D-47F1-BE0F-7D0B459F0F90}"/>
    <cellStyle name="Normal 7 4 7 2 2 2 4" xfId="11390" xr:uid="{198CE081-D38D-41D3-BA1F-18F68ADDD82A}"/>
    <cellStyle name="Normal 7 4 7 2 2 2 4 2" xfId="21770" xr:uid="{E91A20DD-98E4-4926-83CB-3B99B424C5A2}"/>
    <cellStyle name="Normal 7 4 7 2 2 2 5" xfId="25070" xr:uid="{2EAD1687-EDF3-4532-8749-D9E3BE5D5912}"/>
    <cellStyle name="Normal 7 4 7 2 2 2 6" xfId="14066" xr:uid="{B8C2BAA5-061A-4030-945D-403DD5A96AFD}"/>
    <cellStyle name="Normal 7 4 7 2 2 3" xfId="4376" xr:uid="{BFB4A6B1-5B30-48CD-8C71-C8027AED9B9E}"/>
    <cellStyle name="Normal 7 4 7 2 2 3 2" xfId="9148" xr:uid="{1151F43E-E6E9-4C32-97FE-1859BBC3D077}"/>
    <cellStyle name="Normal 7 4 7 2 2 3 2 2" xfId="29191" xr:uid="{1E835761-F2DC-4A00-B563-DEBA163B5F0C}"/>
    <cellStyle name="Normal 7 4 7 2 2 3 2 3" xfId="19528" xr:uid="{635DC76E-0DCC-4D5C-B01B-95173782E5BA}"/>
    <cellStyle name="Normal 7 4 7 2 2 3 3" xfId="11981" xr:uid="{890425D6-E295-44D2-A670-FE1A4CBAF665}"/>
    <cellStyle name="Normal 7 4 7 2 2 3 3 2" xfId="22361" xr:uid="{7B6E5C9E-F032-49CB-93ED-49F1925F2AEC}"/>
    <cellStyle name="Normal 7 4 7 2 2 3 4" xfId="22921" xr:uid="{180EDF12-3F04-42F0-9650-D5BA1FEAAC50}"/>
    <cellStyle name="Normal 7 4 7 2 2 3 5" xfId="16695" xr:uid="{0B8F5DD4-C2A8-408C-AB7A-BFA92340C3F0}"/>
    <cellStyle name="Normal 7 4 7 2 2 4" xfId="5467" xr:uid="{085C80A0-B636-43BC-B6E0-918B21F9F4FE}"/>
    <cellStyle name="Normal 7 4 7 2 2 4 2" xfId="27877" xr:uid="{A0231EC6-6DBA-425B-A7BE-ECB7CCE7148D}"/>
    <cellStyle name="Normal 7 4 7 2 2 4 3" xfId="14764" xr:uid="{814A1EDD-0F76-4742-802A-DDF1E255A252}"/>
    <cellStyle name="Normal 7 4 7 2 2 5" xfId="7217" xr:uid="{60B59DE1-CF70-4DFA-83F7-D16E015BB124}"/>
    <cellStyle name="Normal 7 4 7 2 2 5 2" xfId="17597" xr:uid="{114C42DE-3216-4CD0-832F-26E415C0D56A}"/>
    <cellStyle name="Normal 7 4 7 2 2 6" xfId="10050" xr:uid="{0E815CF9-78A4-4845-B442-F14A9B09353A}"/>
    <cellStyle name="Normal 7 4 7 2 2 6 2" xfId="20430" xr:uid="{CEFB5057-1F37-48F9-A9C3-5EA3C85E5147}"/>
    <cellStyle name="Normal 7 4 7 2 2 7" xfId="25195" xr:uid="{809CDBE0-EF51-474A-8E89-25D65B8BA3D0}"/>
    <cellStyle name="Normal 7 4 7 2 2 8" xfId="13318" xr:uid="{1AADC6D2-94A6-4D00-8F14-11595BDC81F5}"/>
    <cellStyle name="Normal 7 4 7 2 3" xfId="3479" xr:uid="{00000000-0005-0000-0000-0000C1080000}"/>
    <cellStyle name="Normal 7 4 7 2 3 2" xfId="4596" xr:uid="{1689FB8F-5DB2-4F3F-8C00-9F23EBA7B220}"/>
    <cellStyle name="Normal 7 4 7 2 3 2 2" xfId="9368" xr:uid="{087BBC59-C397-489E-9DBF-0D4209A62F13}"/>
    <cellStyle name="Normal 7 4 7 2 3 2 2 2" xfId="29338" xr:uid="{DBD29D0C-9D6F-4A27-B56E-90DEE53D2EFB}"/>
    <cellStyle name="Normal 7 4 7 2 3 2 2 3" xfId="19748" xr:uid="{522F09AD-AAD5-4A97-BAC3-DBA3DE60D4F5}"/>
    <cellStyle name="Normal 7 4 7 2 3 2 3" xfId="12201" xr:uid="{55C93E96-8871-49B4-80C9-9B89DE07AEDE}"/>
    <cellStyle name="Normal 7 4 7 2 3 2 3 2" xfId="22581" xr:uid="{2AA920AA-7192-4A4A-9C0E-282153FC5606}"/>
    <cellStyle name="Normal 7 4 7 2 3 2 4" xfId="22803" xr:uid="{82676B81-828D-4BDD-8E8C-6D58812B4460}"/>
    <cellStyle name="Normal 7 4 7 2 3 2 5" xfId="16915" xr:uid="{7726C983-AA88-4D6C-AFCD-8DB7CCB30F29}"/>
    <cellStyle name="Normal 7 4 7 2 3 3" xfId="6534" xr:uid="{A95C4F38-A94E-4D03-9440-684836A648C8}"/>
    <cellStyle name="Normal 7 4 7 2 3 3 2" xfId="26904" xr:uid="{F523E6E7-5F38-4FFB-92F5-496B29A97F41}"/>
    <cellStyle name="Normal 7 4 7 2 3 3 3" xfId="16105" xr:uid="{6CC3315D-F4AA-41D1-955C-B870089E995B}"/>
    <cellStyle name="Normal 7 4 7 2 3 4" xfId="8558" xr:uid="{2D62317B-2C70-4287-8FDF-457891378A2F}"/>
    <cellStyle name="Normal 7 4 7 2 3 4 2" xfId="18938" xr:uid="{9138CF04-DC4A-4C56-B8F5-CD86EB6CC4C6}"/>
    <cellStyle name="Normal 7 4 7 2 3 5" xfId="11391" xr:uid="{F5B87F4C-24F6-4D73-BE1F-956492E1AA20}"/>
    <cellStyle name="Normal 7 4 7 2 3 5 2" xfId="21771" xr:uid="{180E7CB1-72AC-4F60-BA6F-72C3B5C0D1D7}"/>
    <cellStyle name="Normal 7 4 7 2 3 6" xfId="23660" xr:uid="{433E7EB2-4F66-404D-BD3F-C6CCCB4C2BAA}"/>
    <cellStyle name="Normal 7 4 7 2 3 7" xfId="14067" xr:uid="{14FE246A-9A3A-422B-AFD3-FFE4BA1479EC}"/>
    <cellStyle name="Normal 7 4 7 2 4" xfId="3477" xr:uid="{00000000-0005-0000-0000-0000C2080000}"/>
    <cellStyle name="Normal 7 4 7 2 4 2" xfId="6532" xr:uid="{AC873C04-59CF-44C5-B9D8-1244FA312A75}"/>
    <cellStyle name="Normal 7 4 7 2 4 2 2" xfId="28693" xr:uid="{F47CEBB1-A5FF-4223-AC54-5E4BFE1C4D05}"/>
    <cellStyle name="Normal 7 4 7 2 4 2 3" xfId="16103" xr:uid="{0ECF9ED6-B2E9-400C-A529-9D0DA49C269C}"/>
    <cellStyle name="Normal 7 4 7 2 4 3" xfId="8556" xr:uid="{0AEB99EA-8B24-4814-9EAD-C812A5E1DFA2}"/>
    <cellStyle name="Normal 7 4 7 2 4 3 2" xfId="18936" xr:uid="{FBF54366-F1B3-4EB3-9265-3AA238B11917}"/>
    <cellStyle name="Normal 7 4 7 2 4 4" xfId="11389" xr:uid="{CF7BF7FC-13C8-4CF2-A553-3E054EC32361}"/>
    <cellStyle name="Normal 7 4 7 2 4 4 2" xfId="21769" xr:uid="{7FBBBFD2-9D3F-4570-8E8D-42FCDBA696EF}"/>
    <cellStyle name="Normal 7 4 7 2 4 5" xfId="23082" xr:uid="{F500A9A7-03FF-48CE-B3DA-7D9A7BF22254}"/>
    <cellStyle name="Normal 7 4 7 2 4 6" xfId="14065" xr:uid="{944BD33C-BC03-4ECA-8058-07C53A9CECA4}"/>
    <cellStyle name="Normal 7 4 7 2 5" xfId="2659" xr:uid="{00000000-0005-0000-0000-0000C3080000}"/>
    <cellStyle name="Normal 7 4 7 2 5 2" xfId="5919" xr:uid="{443DCE2B-1BCC-4789-BC72-DF370AE7C418}"/>
    <cellStyle name="Normal 7 4 7 2 5 2 2" xfId="28338" xr:uid="{8B00CD0F-65F8-4F19-92C2-FBEC85C3723B}"/>
    <cellStyle name="Normal 7 4 7 2 5 2 3" xfId="15331" xr:uid="{BC3654FF-F640-4849-BBE5-A074CF7AE471}"/>
    <cellStyle name="Normal 7 4 7 2 5 3" xfId="7784" xr:uid="{96DFB3CC-A7FD-4EDB-A126-275A452086D4}"/>
    <cellStyle name="Normal 7 4 7 2 5 3 2" xfId="18164" xr:uid="{BB748B09-C445-4262-A3D2-665784591EBE}"/>
    <cellStyle name="Normal 7 4 7 2 5 4" xfId="10617" xr:uid="{9E00C11B-8CA0-4262-9313-24F7205A5E35}"/>
    <cellStyle name="Normal 7 4 7 2 5 4 2" xfId="20997" xr:uid="{44ACAF02-FCC8-46FF-BCFC-1AC8A436311E}"/>
    <cellStyle name="Normal 7 4 7 2 5 5" xfId="24249" xr:uid="{9652E4A4-661C-461F-A4E5-6C30D82367C9}"/>
    <cellStyle name="Normal 7 4 7 2 5 6" xfId="13061" xr:uid="{497D5461-BAB8-482E-AEF1-32484752C112}"/>
    <cellStyle name="Normal 7 4 7 2 6" xfId="2406" xr:uid="{00000000-0005-0000-0000-0000BE080000}"/>
    <cellStyle name="Normal 7 4 7 2 6 2" xfId="7533" xr:uid="{12C15163-D3D2-4099-AD4D-3F32D16C7917}"/>
    <cellStyle name="Normal 7 4 7 2 6 2 2" xfId="17913" xr:uid="{752FFE43-BDC1-4658-8EE9-E42E01502B7F}"/>
    <cellStyle name="Normal 7 4 7 2 6 3" xfId="10366" xr:uid="{414B79A5-C223-41B1-8954-D6404FDB9F63}"/>
    <cellStyle name="Normal 7 4 7 2 6 3 2" xfId="20746" xr:uid="{8E74309E-0898-4694-8E1E-F07D1D4CC7CA}"/>
    <cellStyle name="Normal 7 4 7 2 6 4" xfId="24277" xr:uid="{9D38924A-EC67-40DF-9F6E-C50DBBED1E9D}"/>
    <cellStyle name="Normal 7 4 7 2 6 5" xfId="15080" xr:uid="{73E8DB9B-F18A-47A6-8E5F-C8FA1EF47659}"/>
    <cellStyle name="Normal 7 4 7 2 7" xfId="4106" xr:uid="{D87A775D-18FB-45E1-96AA-50CF7B162F1F}"/>
    <cellStyle name="Normal 7 4 7 2 7 2" xfId="8880" xr:uid="{DF991E6F-1F0C-44AE-BA6A-543E71D4749D}"/>
    <cellStyle name="Normal 7 4 7 2 7 2 2" xfId="19260" xr:uid="{3B727B29-FCC8-4D2C-8F00-B26C7C7D7724}"/>
    <cellStyle name="Normal 7 4 7 2 7 3" xfId="11713" xr:uid="{16BF8E4F-AD5A-4707-A9DC-F6654F932618}"/>
    <cellStyle name="Normal 7 4 7 2 7 3 2" xfId="22093" xr:uid="{97491C52-85E1-4BAA-A2A7-BD76FA8D6397}"/>
    <cellStyle name="Normal 7 4 7 2 7 4" xfId="16427" xr:uid="{A5E909EF-B5C4-4877-941B-A3659F729203}"/>
    <cellStyle name="Normal 7 4 7 2 8" xfId="5466" xr:uid="{6F0B7010-59EE-490E-8ED4-B783C191CA87}"/>
    <cellStyle name="Normal 7 4 7 2 8 2" xfId="14763" xr:uid="{78E2288B-5128-4C6D-9A0F-3CB5109E590F}"/>
    <cellStyle name="Normal 7 4 7 2 9" xfId="7216" xr:uid="{F4913F37-2E7F-4915-B248-3364406353F7}"/>
    <cellStyle name="Normal 7 4 7 2 9 2" xfId="17596" xr:uid="{4B90E811-204E-4212-A726-358031C684E7}"/>
    <cellStyle name="Normal 7 4 7 3" xfId="1450" xr:uid="{00000000-0005-0000-0000-000081070000}"/>
    <cellStyle name="Normal 7 4 7 3 2" xfId="3480" xr:uid="{00000000-0005-0000-0000-0000C5080000}"/>
    <cellStyle name="Normal 7 4 7 3 2 2" xfId="6535" xr:uid="{61706EA8-5D82-469E-B186-E0431E394375}"/>
    <cellStyle name="Normal 7 4 7 3 2 2 2" xfId="25750" xr:uid="{ECFDC6EF-3C9F-4A61-BFBD-7FDC7F3C51B4}"/>
    <cellStyle name="Normal 7 4 7 3 2 2 3" xfId="28069" xr:uid="{7AFE8E7C-95E4-4E6B-ACC6-3E6100D2653B}"/>
    <cellStyle name="Normal 7 4 7 3 2 2 4" xfId="16106" xr:uid="{4493339F-23EC-4A52-A00A-F6BE7069BBA3}"/>
    <cellStyle name="Normal 7 4 7 3 2 3" xfId="8559" xr:uid="{335C79E9-6054-4027-BE5B-C25C41F48C52}"/>
    <cellStyle name="Normal 7 4 7 3 2 3 2" xfId="28947" xr:uid="{B5E39330-300B-4FD5-ACC7-490077C31DCA}"/>
    <cellStyle name="Normal 7 4 7 3 2 3 3" xfId="18939" xr:uid="{6FA3E757-27A9-4C60-9684-D2642DBB38CC}"/>
    <cellStyle name="Normal 7 4 7 3 2 4" xfId="11392" xr:uid="{086E2616-65C5-472F-8D1A-8BD68DCA150D}"/>
    <cellStyle name="Normal 7 4 7 3 2 4 2" xfId="21772" xr:uid="{F7D4E1DB-B764-47EB-B5F7-06B498E5C787}"/>
    <cellStyle name="Normal 7 4 7 3 2 5" xfId="23230" xr:uid="{4AB5FA36-6094-498D-AF13-7EB6F3BD39B5}"/>
    <cellStyle name="Normal 7 4 7 3 2 6" xfId="14068" xr:uid="{753790BE-DA64-4AB2-9067-92DD94E84573}"/>
    <cellStyle name="Normal 7 4 7 3 3" xfId="2838" xr:uid="{00000000-0005-0000-0000-0000C6080000}"/>
    <cellStyle name="Normal 7 4 7 3 3 2" xfId="6054" xr:uid="{8DE4C71E-332A-403D-A415-A81138DD4354}"/>
    <cellStyle name="Normal 7 4 7 3 3 2 2" xfId="26054" xr:uid="{D388C9E6-6518-457A-8D14-B941CACB46EC}"/>
    <cellStyle name="Normal 7 4 7 3 3 2 3" xfId="15508" xr:uid="{E0B7F2D8-A1B1-452C-A864-AEFFD9A3EB8E}"/>
    <cellStyle name="Normal 7 4 7 3 3 3" xfId="7961" xr:uid="{BBE9A254-9019-4A38-B50A-12B081FC8543}"/>
    <cellStyle name="Normal 7 4 7 3 3 3 2" xfId="18341" xr:uid="{7CEA1581-C4CF-43FD-8F79-132B725EA5F5}"/>
    <cellStyle name="Normal 7 4 7 3 3 4" xfId="10794" xr:uid="{03794532-AD69-4E82-B4E9-AF8643F71B54}"/>
    <cellStyle name="Normal 7 4 7 3 3 4 2" xfId="21174" xr:uid="{1B24BDCB-82BC-4609-BCA8-2D409AFBA1C1}"/>
    <cellStyle name="Normal 7 4 7 3 3 5" xfId="23420" xr:uid="{00DB68DD-9B57-4227-8DE6-69BEA69A5BDB}"/>
    <cellStyle name="Normal 7 4 7 3 3 6" xfId="13317" xr:uid="{79771691-01FB-4CD5-A8C5-73D033E20F8D}"/>
    <cellStyle name="Normal 7 4 7 3 4" xfId="4224" xr:uid="{868E8642-FD9A-4C16-A2A9-CB4C8F6EC4D8}"/>
    <cellStyle name="Normal 7 4 7 3 4 2" xfId="8996" xr:uid="{4A114C44-F849-4837-A218-8C4BFC20DB6C}"/>
    <cellStyle name="Normal 7 4 7 3 4 2 2" xfId="29073" xr:uid="{D37E2849-96A6-402D-BF6D-51D76082C881}"/>
    <cellStyle name="Normal 7 4 7 3 4 2 3" xfId="19376" xr:uid="{04B4192F-13C7-40A9-B41F-D9FDD757D52F}"/>
    <cellStyle name="Normal 7 4 7 3 4 3" xfId="11829" xr:uid="{3E2A0BF3-04EF-4A8F-A8FE-C3832F6D8A17}"/>
    <cellStyle name="Normal 7 4 7 3 4 3 2" xfId="22209" xr:uid="{D5CE6415-826C-4C7E-B729-9BC35B831ED8}"/>
    <cellStyle name="Normal 7 4 7 3 4 4" xfId="23217" xr:uid="{15E37647-CD6C-4DA4-BBA4-28A47CCC4BEB}"/>
    <cellStyle name="Normal 7 4 7 3 4 5" xfId="16543" xr:uid="{AD8FF9A8-C77A-44FB-9887-9087FCBC4094}"/>
    <cellStyle name="Normal 7 4 7 3 5" xfId="5468" xr:uid="{8D25D220-2FF2-43BE-BC8F-56B4161337FE}"/>
    <cellStyle name="Normal 7 4 7 3 5 2" xfId="27926" xr:uid="{2BBADF59-D9E5-42CB-B28C-CEA4A398C5D1}"/>
    <cellStyle name="Normal 7 4 7 3 5 3" xfId="14765" xr:uid="{D8A35B42-5228-4B3B-9E71-60B74908A532}"/>
    <cellStyle name="Normal 7 4 7 3 6" xfId="7218" xr:uid="{126128AB-A05E-4E92-A97F-5888BB8AD877}"/>
    <cellStyle name="Normal 7 4 7 3 6 2" xfId="17598" xr:uid="{436869C4-895A-4BA2-967B-234A76F89593}"/>
    <cellStyle name="Normal 7 4 7 3 7" xfId="10051" xr:uid="{2CCB0FF7-08CC-42D7-90B9-D3F0BB1A6436}"/>
    <cellStyle name="Normal 7 4 7 3 7 2" xfId="20431" xr:uid="{CD933EEC-61EC-456A-8E02-A24EDE00DC1D}"/>
    <cellStyle name="Normal 7 4 7 3 8" xfId="24365" xr:uid="{BD47C77D-257C-4527-977A-0E9C6C74B7D7}"/>
    <cellStyle name="Normal 7 4 7 3 9" xfId="12798" xr:uid="{9A8FCB18-907D-4ABD-B53A-8AE5A6F7F03E}"/>
    <cellStyle name="Normal 7 4 7 4" xfId="1451" xr:uid="{00000000-0005-0000-0000-000082070000}"/>
    <cellStyle name="Normal 7 4 7 4 2" xfId="4597" xr:uid="{FB99FE3F-BCFD-4770-AC9D-0E013FACC6CA}"/>
    <cellStyle name="Normal 7 4 7 4 2 2" xfId="9369" xr:uid="{0289CCA7-D936-43D2-BC28-CC7ED5349085}"/>
    <cellStyle name="Normal 7 4 7 4 2 2 2" xfId="29339" xr:uid="{D4D4E986-8887-481B-82EF-15450503BCC6}"/>
    <cellStyle name="Normal 7 4 7 4 2 2 3" xfId="19749" xr:uid="{13D5F93D-EBD5-4BFA-8470-D17F42C52125}"/>
    <cellStyle name="Normal 7 4 7 4 2 3" xfId="12202" xr:uid="{02996C38-3969-42E9-BBB1-7FF44A0DEB9F}"/>
    <cellStyle name="Normal 7 4 7 4 2 3 2" xfId="22582" xr:uid="{E90656C2-4548-4684-A2EA-CCE35561E46B}"/>
    <cellStyle name="Normal 7 4 7 4 2 4" xfId="25707" xr:uid="{A431ED13-DEE9-4D05-BFBD-82AE9B4033C6}"/>
    <cellStyle name="Normal 7 4 7 4 2 5" xfId="16916" xr:uid="{DDF9C28C-4DC4-4803-85E5-CD40F5201F86}"/>
    <cellStyle name="Normal 7 4 7 4 3" xfId="5469" xr:uid="{FCC12BAB-EB74-49EA-92F5-4DD47FAEF40D}"/>
    <cellStyle name="Normal 7 4 7 4 3 2" xfId="27196" xr:uid="{005C267B-13B8-4241-9E1F-9D6D0C8A2373}"/>
    <cellStyle name="Normal 7 4 7 4 3 3" xfId="14766" xr:uid="{F961C8CD-6951-4227-9997-B8ED73975A66}"/>
    <cellStyle name="Normal 7 4 7 4 4" xfId="7219" xr:uid="{78F1A636-2A49-46B5-B168-6DA0297DA514}"/>
    <cellStyle name="Normal 7 4 7 4 4 2" xfId="17599" xr:uid="{A0C1DAC9-3967-4DE6-A4E0-BC2933ECC7B0}"/>
    <cellStyle name="Normal 7 4 7 4 5" xfId="10052" xr:uid="{247CB7BF-F3AB-4FAB-8849-615BBF88BFE3}"/>
    <cellStyle name="Normal 7 4 7 4 5 2" xfId="20432" xr:uid="{433360EF-24F2-44FE-B491-00832D4F3C4C}"/>
    <cellStyle name="Normal 7 4 7 4 6" xfId="23942" xr:uid="{4B8E3C43-E3F8-45A4-B209-D344009322F9}"/>
    <cellStyle name="Normal 7 4 7 4 7" xfId="14069" xr:uid="{D6F7031A-BBD4-41CE-8452-F3D01734CF83}"/>
    <cellStyle name="Normal 7 4 7 5" xfId="2997" xr:uid="{00000000-0005-0000-0000-0000C8080000}"/>
    <cellStyle name="Normal 7 4 7 5 2" xfId="6147" xr:uid="{6BCE8B4A-9675-40C0-A2D5-6294386B68E9}"/>
    <cellStyle name="Normal 7 4 7 5 2 2" xfId="25621" xr:uid="{00D2962E-FF70-4896-8991-B69B1A34BC5D}"/>
    <cellStyle name="Normal 7 4 7 5 2 3" xfId="28713" xr:uid="{1A2B71F5-5B9A-42F3-9242-0C02BE2F4E8E}"/>
    <cellStyle name="Normal 7 4 7 5 2 4" xfId="15625" xr:uid="{2979D8AD-8A6A-430C-8D78-829E0661FEAF}"/>
    <cellStyle name="Normal 7 4 7 5 3" xfId="8078" xr:uid="{C3649476-9B69-458C-A42E-9F7BADBA0F44}"/>
    <cellStyle name="Normal 7 4 7 5 3 2" xfId="28771" xr:uid="{1FA1714F-F91C-4808-A63D-01DAD61C1825}"/>
    <cellStyle name="Normal 7 4 7 5 3 3" xfId="18458" xr:uid="{150810D6-BA47-481C-BE74-1A7170BE9834}"/>
    <cellStyle name="Normal 7 4 7 5 4" xfId="10911" xr:uid="{76AF9BC8-791B-41D3-8DDC-70BADCC74451}"/>
    <cellStyle name="Normal 7 4 7 5 4 2" xfId="21291" xr:uid="{464574B5-8425-4615-97A5-7E829E354DC4}"/>
    <cellStyle name="Normal 7 4 7 5 5" xfId="23237" xr:uid="{E90100EE-4289-4EA3-A0A4-25E461D2A1AE}"/>
    <cellStyle name="Normal 7 4 7 5 6" xfId="13496" xr:uid="{369EE70D-046F-4304-922A-298A8F178DE4}"/>
    <cellStyle name="Normal 7 4 7 6" xfId="2509" xr:uid="{00000000-0005-0000-0000-0000C9080000}"/>
    <cellStyle name="Normal 7 4 7 6 2" xfId="5789" xr:uid="{3282F4A4-00CD-4F19-9E65-F7B74C6C665F}"/>
    <cellStyle name="Normal 7 4 7 6 2 2" xfId="26983" xr:uid="{66B53AA0-BEFE-4749-A86C-02568B55DDB5}"/>
    <cellStyle name="Normal 7 4 7 6 2 3" xfId="15181" xr:uid="{55CD1FC0-6CF1-4FB1-83EE-30066C9FC681}"/>
    <cellStyle name="Normal 7 4 7 6 3" xfId="7634" xr:uid="{5D6AE3A2-45AE-49DD-BB38-14E2B4134932}"/>
    <cellStyle name="Normal 7 4 7 6 3 2" xfId="18014" xr:uid="{88E4946E-65D9-4531-AB80-D4140E7F23CD}"/>
    <cellStyle name="Normal 7 4 7 6 4" xfId="10467" xr:uid="{24758081-1C61-4D2A-94E1-4C6478F91DAC}"/>
    <cellStyle name="Normal 7 4 7 6 4 2" xfId="20847" xr:uid="{B09CA23A-6034-47FF-992D-9130CACE3CFB}"/>
    <cellStyle name="Normal 7 4 7 6 5" xfId="22837" xr:uid="{F640ABDA-F9FF-4991-9312-581AA991DA9E}"/>
    <cellStyle name="Normal 7 4 7 6 6" xfId="12897" xr:uid="{5B8820CC-2D2B-48FD-9836-B40397742CA8}"/>
    <cellStyle name="Normal 7 4 7 7" xfId="2264" xr:uid="{00000000-0005-0000-0000-0000BD080000}"/>
    <cellStyle name="Normal 7 4 7 7 2" xfId="7391" xr:uid="{E74BE3B4-261E-444B-A27C-4F00352E7831}"/>
    <cellStyle name="Normal 7 4 7 7 2 2" xfId="17771" xr:uid="{6CEFC5A1-6090-4C2C-B75A-8C0909309771}"/>
    <cellStyle name="Normal 7 4 7 7 3" xfId="10224" xr:uid="{65CE8179-84B8-4688-8184-4749C187FB18}"/>
    <cellStyle name="Normal 7 4 7 7 3 2" xfId="20604" xr:uid="{DF899853-DDB0-4671-B968-05FF263CF7A4}"/>
    <cellStyle name="Normal 7 4 7 7 4" xfId="24889" xr:uid="{47D07235-046B-4F6B-81B0-576B8D303214}"/>
    <cellStyle name="Normal 7 4 7 7 5" xfId="14938" xr:uid="{87694CAD-8FC6-450E-952E-6ED1E3EC09BD}"/>
    <cellStyle name="Normal 7 4 7 8" xfId="4074" xr:uid="{70E150A0-3A47-4E60-B8FA-194FFB563C3E}"/>
    <cellStyle name="Normal 7 4 7 8 2" xfId="8854" xr:uid="{5DF1E159-61F3-4D49-AA29-426995D42922}"/>
    <cellStyle name="Normal 7 4 7 8 2 2" xfId="19234" xr:uid="{5A6D3A2F-AFA5-4626-99E0-6FE492875E7B}"/>
    <cellStyle name="Normal 7 4 7 8 3" xfId="11687" xr:uid="{DBB786BC-AF1E-4169-916E-BD0BE84ED065}"/>
    <cellStyle name="Normal 7 4 7 8 3 2" xfId="22067" xr:uid="{9A3746EF-A789-4423-AE61-8B8F3818B0B2}"/>
    <cellStyle name="Normal 7 4 7 8 4" xfId="16401" xr:uid="{085B9D30-FF63-40A6-AD5F-27858B14E95D}"/>
    <cellStyle name="Normal 7 4 7 9" xfId="5465" xr:uid="{9299171B-9C8B-4B60-AB4A-96F4C3795E5F}"/>
    <cellStyle name="Normal 7 4 7 9 2" xfId="14762" xr:uid="{A42887CF-1C94-4F1E-9F18-7545BC723F24}"/>
    <cellStyle name="Normal 7 4 8" xfId="1452" xr:uid="{00000000-0005-0000-0000-000083070000}"/>
    <cellStyle name="Normal 7 4 8 10" xfId="10053" xr:uid="{EF1712B9-C7CB-4AE8-AF0F-EEFD4CA74A28}"/>
    <cellStyle name="Normal 7 4 8 10 2" xfId="20433" xr:uid="{3C6DBDF1-9C3E-4E2D-8524-E76C6490384E}"/>
    <cellStyle name="Normal 7 4 8 11" xfId="23573" xr:uid="{43D06133-5809-4FC6-8DC4-450E476CEC4E}"/>
    <cellStyle name="Normal 7 4 8 12" xfId="12641" xr:uid="{6961CC9C-F0C5-4FCB-B4DB-A0EB2B36D790}"/>
    <cellStyle name="Normal 7 4 8 2" xfId="1453" xr:uid="{00000000-0005-0000-0000-000084070000}"/>
    <cellStyle name="Normal 7 4 8 2 2" xfId="1454" xr:uid="{00000000-0005-0000-0000-000085070000}"/>
    <cellStyle name="Normal 7 4 8 2 2 2" xfId="5472" xr:uid="{3636D283-D47D-4334-9F84-556F35350CD4}"/>
    <cellStyle name="Normal 7 4 8 2 2 2 2" xfId="22857" xr:uid="{001F5703-3C79-4AFC-97A0-E655D62F5145}"/>
    <cellStyle name="Normal 7 4 8 2 2 2 3" xfId="26531" xr:uid="{7B3488E1-EC29-470F-8BCA-EE71F9B0E4F4}"/>
    <cellStyle name="Normal 7 4 8 2 2 2 4" xfId="14769" xr:uid="{0E4F747D-C5F0-4A33-9086-928DFCEC4AE7}"/>
    <cellStyle name="Normal 7 4 8 2 2 3" xfId="7222" xr:uid="{114E8657-7A27-4839-9190-62CF8DE676B8}"/>
    <cellStyle name="Normal 7 4 8 2 2 3 2" xfId="27673" xr:uid="{CDF11442-3C64-4690-8B34-D1E2879987F5}"/>
    <cellStyle name="Normal 7 4 8 2 2 3 3" xfId="27224" xr:uid="{00A3FBD5-8822-4EE3-BB33-4BB4B90B7BFE}"/>
    <cellStyle name="Normal 7 4 8 2 2 3 4" xfId="17602" xr:uid="{64BCE88B-475D-4F81-BBBF-81734BD592D1}"/>
    <cellStyle name="Normal 7 4 8 2 2 4" xfId="10055" xr:uid="{F90B0E8E-6484-4357-8D7A-CF9A58E95B54}"/>
    <cellStyle name="Normal 7 4 8 2 2 4 2" xfId="29462" xr:uid="{1DD9C4E6-F108-4FE3-B158-0F11A48A747D}"/>
    <cellStyle name="Normal 7 4 8 2 2 4 3" xfId="20435" xr:uid="{B151CD92-979C-4289-BA81-31E625EE1FB0}"/>
    <cellStyle name="Normal 7 4 8 2 2 5" xfId="22983" xr:uid="{DC1D515C-8D40-4010-B201-28E36CD742B8}"/>
    <cellStyle name="Normal 7 4 8 2 2 6" xfId="14070" xr:uid="{6269B15C-ED57-4E8D-9118-1C43CE8D3032}"/>
    <cellStyle name="Normal 7 4 8 2 3" xfId="2839" xr:uid="{00000000-0005-0000-0000-0000CD080000}"/>
    <cellStyle name="Normal 7 4 8 2 3 2" xfId="6055" xr:uid="{533E40A1-DF87-4FA6-AE2C-A2B63E3428C2}"/>
    <cellStyle name="Normal 7 4 8 2 3 2 2" xfId="27976" xr:uid="{B6DBF4DC-96B9-4B03-8C95-8AEF8EB0838E}"/>
    <cellStyle name="Normal 7 4 8 2 3 2 3" xfId="15509" xr:uid="{43E36D2B-2CE5-46AC-A934-BEF148DDBB44}"/>
    <cellStyle name="Normal 7 4 8 2 3 3" xfId="7962" xr:uid="{04A2E131-B306-4793-8B45-EB3B6D12F2D2}"/>
    <cellStyle name="Normal 7 4 8 2 3 3 2" xfId="18342" xr:uid="{0291A93E-8044-4E13-8231-4795AD85073F}"/>
    <cellStyle name="Normal 7 4 8 2 3 4" xfId="10795" xr:uid="{CCBF599F-2B4A-4F20-82CB-CACDF3B1F18F}"/>
    <cellStyle name="Normal 7 4 8 2 3 4 2" xfId="21175" xr:uid="{9E42111E-D727-414C-BB03-DCEC354A0271}"/>
    <cellStyle name="Normal 7 4 8 2 3 5" xfId="25545" xr:uid="{5B2D9023-73DA-4C07-93E9-9A05B412FA11}"/>
    <cellStyle name="Normal 7 4 8 2 3 6" xfId="13319" xr:uid="{372EB46D-FBCB-4920-A543-58B0CE78C24C}"/>
    <cellStyle name="Normal 7 4 8 2 4" xfId="4225" xr:uid="{8E084ECD-D9A3-44A4-A982-75C1FF528684}"/>
    <cellStyle name="Normal 7 4 8 2 4 2" xfId="8997" xr:uid="{079480DA-C2A6-4B8B-BD2D-0CE02AB0AE0C}"/>
    <cellStyle name="Normal 7 4 8 2 4 2 2" xfId="29074" xr:uid="{6DB4ED39-4019-42DC-B1AD-57FF195097E3}"/>
    <cellStyle name="Normal 7 4 8 2 4 2 3" xfId="19377" xr:uid="{C6F3931D-3785-40C9-9691-4E0B7196FB77}"/>
    <cellStyle name="Normal 7 4 8 2 4 3" xfId="11830" xr:uid="{CDA35758-37F4-4F93-AA7D-79E55E812167}"/>
    <cellStyle name="Normal 7 4 8 2 4 3 2" xfId="22210" xr:uid="{11D3B409-E9D6-41C2-A7CE-B4EEEF93B14D}"/>
    <cellStyle name="Normal 7 4 8 2 4 4" xfId="24112" xr:uid="{0B9D6056-DDE6-48B5-BA68-07BA3D8C25C7}"/>
    <cellStyle name="Normal 7 4 8 2 4 5" xfId="16544" xr:uid="{93347217-0AD9-43A3-A432-8A0B4AB0976F}"/>
    <cellStyle name="Normal 7 4 8 2 5" xfId="5471" xr:uid="{D16A82EB-F898-4D42-B341-781736254535}"/>
    <cellStyle name="Normal 7 4 8 2 5 2" xfId="28591" xr:uid="{07B1A7FE-5DA6-4522-B8AB-1D6656A4C352}"/>
    <cellStyle name="Normal 7 4 8 2 5 3" xfId="14768" xr:uid="{EF28EBA3-8C92-4F02-A28C-B91C1791E825}"/>
    <cellStyle name="Normal 7 4 8 2 6" xfId="7221" xr:uid="{F82626F9-B023-4DD5-99F4-C3233264730A}"/>
    <cellStyle name="Normal 7 4 8 2 6 2" xfId="17601" xr:uid="{65417845-AEB1-42BC-9F5C-EC07F3813DF3}"/>
    <cellStyle name="Normal 7 4 8 2 7" xfId="10054" xr:uid="{E3A0AD72-330F-4E16-9251-6FF44E174797}"/>
    <cellStyle name="Normal 7 4 8 2 7 2" xfId="20434" xr:uid="{92058508-752E-41BD-A1E3-6A7ECF2FF9AE}"/>
    <cellStyle name="Normal 7 4 8 2 8" xfId="23182" xr:uid="{D1A9F8F7-5B3D-47D5-9AB4-485129EF5884}"/>
    <cellStyle name="Normal 7 4 8 2 9" xfId="12799" xr:uid="{E5314721-3A8C-4084-92F5-27E37DA35265}"/>
    <cellStyle name="Normal 7 4 8 3" xfId="1455" xr:uid="{00000000-0005-0000-0000-000086070000}"/>
    <cellStyle name="Normal 7 4 8 3 2" xfId="4598" xr:uid="{0552F609-7B1B-4E64-BC29-4822327C096B}"/>
    <cellStyle name="Normal 7 4 8 3 2 2" xfId="9370" xr:uid="{EFB8727F-0BF3-4E35-A6CA-126317C3646D}"/>
    <cellStyle name="Normal 7 4 8 3 2 2 2" xfId="29340" xr:uid="{4FD2DF76-9645-465E-9B70-515351FB064B}"/>
    <cellStyle name="Normal 7 4 8 3 2 2 3" xfId="19750" xr:uid="{D0EAD18A-C677-44DB-BB26-6E71FE56911A}"/>
    <cellStyle name="Normal 7 4 8 3 2 3" xfId="12203" xr:uid="{41AA11EC-67D3-42D5-857C-D96D3CF6C217}"/>
    <cellStyle name="Normal 7 4 8 3 2 3 2" xfId="22583" xr:uid="{B914BBE6-A71D-4D37-848C-FD9C5600B136}"/>
    <cellStyle name="Normal 7 4 8 3 2 4" xfId="24049" xr:uid="{BC81B891-0337-4B68-A938-824B9F85EF89}"/>
    <cellStyle name="Normal 7 4 8 3 2 5" xfId="16917" xr:uid="{45508FF6-ADAC-476C-999C-574F428865E5}"/>
    <cellStyle name="Normal 7 4 8 3 3" xfId="5473" xr:uid="{9EB788E9-C458-4241-97E0-0A5708A4F013}"/>
    <cellStyle name="Normal 7 4 8 3 3 2" xfId="26873" xr:uid="{5864A27F-D222-4694-889D-07BC791B4827}"/>
    <cellStyle name="Normal 7 4 8 3 3 3" xfId="27753" xr:uid="{970D654A-3A39-468E-9FF8-6EEF5B872978}"/>
    <cellStyle name="Normal 7 4 8 3 3 4" xfId="14770" xr:uid="{D6471D8E-B8AD-4F07-A492-B59D7BA115C2}"/>
    <cellStyle name="Normal 7 4 8 3 4" xfId="7223" xr:uid="{CFB8BE2B-B057-4463-9007-F5A746AEEFA8}"/>
    <cellStyle name="Normal 7 4 8 3 4 2" xfId="27448" xr:uid="{2C111934-A6EB-4C1C-9E28-2B305E91DA34}"/>
    <cellStyle name="Normal 7 4 8 3 4 3" xfId="26542" xr:uid="{BA28009A-4CCE-42DC-847A-665A79744884}"/>
    <cellStyle name="Normal 7 4 8 3 4 4" xfId="17603" xr:uid="{7553F6F9-5D53-48F7-AEB8-ECD0645E5423}"/>
    <cellStyle name="Normal 7 4 8 3 5" xfId="10056" xr:uid="{53D5B659-CC9A-4282-AFB6-6FC4A325B9AF}"/>
    <cellStyle name="Normal 7 4 8 3 5 2" xfId="29463" xr:uid="{ED9AC750-B820-45ED-9DBD-C803097122AA}"/>
    <cellStyle name="Normal 7 4 8 3 5 3" xfId="20436" xr:uid="{199DA9D9-5D95-4BAD-B915-2F7DEE3B0A69}"/>
    <cellStyle name="Normal 7 4 8 3 6" xfId="24086" xr:uid="{C42B40C5-0926-44A6-864E-A770011B03A1}"/>
    <cellStyle name="Normal 7 4 8 3 7" xfId="14071" xr:uid="{2387A4F3-8807-408B-8776-012E16C10264}"/>
    <cellStyle name="Normal 7 4 8 4" xfId="1456" xr:uid="{00000000-0005-0000-0000-000087070000}"/>
    <cellStyle name="Normal 7 4 8 4 2" xfId="5474" xr:uid="{958CCFC7-A3AA-4E91-A046-F3DE252E7A43}"/>
    <cellStyle name="Normal 7 4 8 4 2 2" xfId="22869" xr:uid="{26AC1B0C-17C8-4C3C-9674-A1DBA9D4E53F}"/>
    <cellStyle name="Normal 7 4 8 4 2 3" xfId="28395" xr:uid="{4B196243-582F-478C-AA12-1B90DF8A5532}"/>
    <cellStyle name="Normal 7 4 8 4 2 4" xfId="14771" xr:uid="{078F1B5B-9148-46E4-A2CF-592D9DA8B159}"/>
    <cellStyle name="Normal 7 4 8 4 3" xfId="7224" xr:uid="{DFEAD6C0-7EC2-498F-B1CF-0095E0E59A1D}"/>
    <cellStyle name="Normal 7 4 8 4 3 2" xfId="27716" xr:uid="{DD897E5F-461E-405A-A6B7-D6F62706497F}"/>
    <cellStyle name="Normal 7 4 8 4 3 3" xfId="17604" xr:uid="{73799A35-854B-47AA-BF6B-D745F5F9AE43}"/>
    <cellStyle name="Normal 7 4 8 4 4" xfId="10057" xr:uid="{274713DF-9C4F-4F39-B0C6-CC78A3E62918}"/>
    <cellStyle name="Normal 7 4 8 4 4 2" xfId="20437" xr:uid="{3C396B5E-E960-4686-A80A-8B1A6FA7ECDA}"/>
    <cellStyle name="Normal 7 4 8 4 5" xfId="25226" xr:uid="{CA4E3F5D-FCCF-4226-B39A-0FBDEB279BA7}"/>
    <cellStyle name="Normal 7 4 8 4 6" xfId="13497" xr:uid="{4E555D96-9475-4A85-A500-2A06EECEF281}"/>
    <cellStyle name="Normal 7 4 8 5" xfId="2569" xr:uid="{00000000-0005-0000-0000-0000D0080000}"/>
    <cellStyle name="Normal 7 4 8 5 2" xfId="5838" xr:uid="{0B4A4FB7-E628-4771-9D78-2BE2F5A0CC9A}"/>
    <cellStyle name="Normal 7 4 8 5 2 2" xfId="27445" xr:uid="{1CBA59C3-48A6-4C5B-9198-9C49E59DEBC6}"/>
    <cellStyle name="Normal 7 4 8 5 2 3" xfId="15241" xr:uid="{84425239-7B88-447E-A96A-BA3BA78301FC}"/>
    <cellStyle name="Normal 7 4 8 5 3" xfId="7694" xr:uid="{FF7E3AB0-9D5B-4C6B-AAA9-013CDB84EC1F}"/>
    <cellStyle name="Normal 7 4 8 5 3 2" xfId="18074" xr:uid="{AAB89A67-DE61-47AA-A2A6-73C10586305C}"/>
    <cellStyle name="Normal 7 4 8 5 4" xfId="10527" xr:uid="{F7532814-E583-40F2-A2FF-CBD1218C2FF6}"/>
    <cellStyle name="Normal 7 4 8 5 4 2" xfId="20907" xr:uid="{84ADA1D1-FA62-44CA-B030-636B308291F0}"/>
    <cellStyle name="Normal 7 4 8 5 5" xfId="23703" xr:uid="{4027B57F-1CD2-4D4D-A090-33B6A7F2C613}"/>
    <cellStyle name="Normal 7 4 8 5 6" xfId="12957" xr:uid="{268865C0-322C-4EE8-BE9D-00E2CBABDD0C}"/>
    <cellStyle name="Normal 7 4 8 6" xfId="2407" xr:uid="{00000000-0005-0000-0000-0000CA080000}"/>
    <cellStyle name="Normal 7 4 8 6 2" xfId="7534" xr:uid="{A7B3FD74-6C53-412E-86D9-EF8903CBBE17}"/>
    <cellStyle name="Normal 7 4 8 6 2 2" xfId="26368" xr:uid="{39E3F7FF-2F09-4F7F-A9AD-B4DB0A684011}"/>
    <cellStyle name="Normal 7 4 8 6 2 3" xfId="17914" xr:uid="{B1256805-C7C5-4C0B-BA11-9A8F4E51285D}"/>
    <cellStyle name="Normal 7 4 8 6 3" xfId="10367" xr:uid="{357387AB-895E-4C97-BA1B-D5593175AC1E}"/>
    <cellStyle name="Normal 7 4 8 6 3 2" xfId="20747" xr:uid="{7921721A-A43F-41A0-8E28-79734A2F6035}"/>
    <cellStyle name="Normal 7 4 8 6 4" xfId="23366" xr:uid="{6FA3567B-2144-49ED-90E4-FC728EDA7B23}"/>
    <cellStyle name="Normal 7 4 8 6 5" xfId="15081" xr:uid="{5E7F0B08-7B2C-46AF-B59F-7D7551AA5123}"/>
    <cellStyle name="Normal 7 4 8 7" xfId="4075" xr:uid="{0960D526-1A98-4C15-8071-4F9A5745CC87}"/>
    <cellStyle name="Normal 7 4 8 7 2" xfId="8855" xr:uid="{DE5A15D0-8DC0-4101-8A38-F8E39D609947}"/>
    <cellStyle name="Normal 7 4 8 7 2 2" xfId="19235" xr:uid="{A8B73B77-4E88-4475-9F15-A36B45F1D723}"/>
    <cellStyle name="Normal 7 4 8 7 3" xfId="11688" xr:uid="{638EF884-A8AF-4064-ABC9-C467478312EA}"/>
    <cellStyle name="Normal 7 4 8 7 3 2" xfId="22068" xr:uid="{0B07804D-300E-47CC-89C7-F11AD7EAE2D8}"/>
    <cellStyle name="Normal 7 4 8 7 4" xfId="26796" xr:uid="{D442B26F-BA01-4D34-AAF2-C52342F27401}"/>
    <cellStyle name="Normal 7 4 8 7 5" xfId="16402" xr:uid="{2E4142AA-993D-483A-8966-B1CE97751566}"/>
    <cellStyle name="Normal 7 4 8 8" xfId="5470" xr:uid="{684AF55B-A0B4-4691-A806-7BC4B2CAB0C4}"/>
    <cellStyle name="Normal 7 4 8 8 2" xfId="14767" xr:uid="{56AB07C7-698B-401C-BD1B-D480F5B5CC29}"/>
    <cellStyle name="Normal 7 4 8 9" xfId="7220" xr:uid="{0F50CFEF-AF0B-45D4-9190-0FE1F1CDA087}"/>
    <cellStyle name="Normal 7 4 8 9 2" xfId="17600" xr:uid="{4BA2EB9D-922F-4E67-9D93-6F9A42F6CA96}"/>
    <cellStyle name="Normal 7 4 9" xfId="1457" xr:uid="{00000000-0005-0000-0000-000088070000}"/>
    <cellStyle name="Normal 7 4 9 10" xfId="25206" xr:uid="{7241CE05-D77C-43DB-A46C-C1B42A29B8E7}"/>
    <cellStyle name="Normal 7 4 9 11" xfId="12642" xr:uid="{3348A1C7-23FF-4553-B2D0-CAA7C2FEE860}"/>
    <cellStyle name="Normal 7 4 9 2" xfId="1458" xr:uid="{00000000-0005-0000-0000-000089070000}"/>
    <cellStyle name="Normal 7 4 9 2 2" xfId="3481" xr:uid="{00000000-0005-0000-0000-0000D3080000}"/>
    <cellStyle name="Normal 7 4 9 2 2 2" xfId="6536" xr:uid="{BA36B20E-5840-4A1D-B488-DFCC8F41A966}"/>
    <cellStyle name="Normal 7 4 9 2 2 2 2" xfId="28441" xr:uid="{D6EC271F-1033-42EC-BCC4-C111AA9739D7}"/>
    <cellStyle name="Normal 7 4 9 2 2 2 3" xfId="26053" xr:uid="{D6AEC97E-0F0C-4673-98BE-D6D52C7F62A4}"/>
    <cellStyle name="Normal 7 4 9 2 2 2 4" xfId="16107" xr:uid="{8BF22692-E9F8-494C-9A6B-4241FC5D6979}"/>
    <cellStyle name="Normal 7 4 9 2 2 3" xfId="8560" xr:uid="{059B61F9-92CF-4CE2-8726-6E51F0F784E1}"/>
    <cellStyle name="Normal 7 4 9 2 2 3 2" xfId="28948" xr:uid="{0A996F82-AA77-4746-9D04-6C2DA4C2F325}"/>
    <cellStyle name="Normal 7 4 9 2 2 3 3" xfId="18940" xr:uid="{F05DFFB1-DF31-43BE-A1DE-0DD45D4E96CB}"/>
    <cellStyle name="Normal 7 4 9 2 2 4" xfId="11393" xr:uid="{9F19B492-0FA2-48FF-A20C-B3E232687F08}"/>
    <cellStyle name="Normal 7 4 9 2 2 4 2" xfId="21773" xr:uid="{C34E92A8-B2C0-4916-ACDC-E064A3D90D7D}"/>
    <cellStyle name="Normal 7 4 9 2 2 5" xfId="24233" xr:uid="{409C5A68-292E-455E-8879-B09DBDC74F9A}"/>
    <cellStyle name="Normal 7 4 9 2 2 6" xfId="14072" xr:uid="{2C07340D-D89B-493A-AD4B-3B07D3EB92A4}"/>
    <cellStyle name="Normal 7 4 9 2 3" xfId="4226" xr:uid="{596C2C39-C518-4720-A6D0-F9BE8BDE57CA}"/>
    <cellStyle name="Normal 7 4 9 2 3 2" xfId="8998" xr:uid="{D3CFC366-2233-4F6C-B642-ED89E0F0C967}"/>
    <cellStyle name="Normal 7 4 9 2 3 2 2" xfId="29075" xr:uid="{FD2DA22B-237A-45D1-842A-050C7C47708B}"/>
    <cellStyle name="Normal 7 4 9 2 3 2 3" xfId="19378" xr:uid="{281CFFE6-2F57-4FCE-9539-7A33A062615C}"/>
    <cellStyle name="Normal 7 4 9 2 3 3" xfId="11831" xr:uid="{8EEFBD95-578D-419A-8ED8-F67E64F7B848}"/>
    <cellStyle name="Normal 7 4 9 2 3 3 2" xfId="22211" xr:uid="{81B9662E-3C24-4D48-AE45-898BC0B0A91D}"/>
    <cellStyle name="Normal 7 4 9 2 3 4" xfId="24769" xr:uid="{9204D11A-797E-4CDB-96F3-EFA40F92FDCE}"/>
    <cellStyle name="Normal 7 4 9 2 3 5" xfId="16545" xr:uid="{92792AC9-0339-4CFE-B08D-FC8D8DA12481}"/>
    <cellStyle name="Normal 7 4 9 2 4" xfId="5476" xr:uid="{F7D4DD52-F08A-491D-81DB-28C7127D001F}"/>
    <cellStyle name="Normal 7 4 9 2 4 2" xfId="27602" xr:uid="{1EC68115-1AF4-449C-A038-4F9044C92822}"/>
    <cellStyle name="Normal 7 4 9 2 4 3" xfId="27806" xr:uid="{F0339573-60E5-4002-918F-93569A80834E}"/>
    <cellStyle name="Normal 7 4 9 2 4 4" xfId="14773" xr:uid="{F5BBF738-CA06-4029-8192-1C40D3FEF50A}"/>
    <cellStyle name="Normal 7 4 9 2 5" xfId="7226" xr:uid="{AAC930F3-8E13-4B24-B773-D88136900BCE}"/>
    <cellStyle name="Normal 7 4 9 2 5 2" xfId="27800" xr:uid="{7161DC4A-CA9F-45BF-965B-4BAAF68A711F}"/>
    <cellStyle name="Normal 7 4 9 2 5 3" xfId="17606" xr:uid="{050BF83E-08D8-4B51-A14B-822887668489}"/>
    <cellStyle name="Normal 7 4 9 2 6" xfId="10059" xr:uid="{A1AB6BF3-ACFE-4CA6-8113-69FA37E93CDF}"/>
    <cellStyle name="Normal 7 4 9 2 6 2" xfId="20439" xr:uid="{6C7DEB65-E8D2-485F-988E-80A6D5DAE483}"/>
    <cellStyle name="Normal 7 4 9 2 7" xfId="23449" xr:uid="{ECB327FF-942C-49BB-B733-2341E1DAA505}"/>
    <cellStyle name="Normal 7 4 9 2 8" xfId="12800" xr:uid="{25890BCF-C627-49BF-A851-B35582533F92}"/>
    <cellStyle name="Normal 7 4 9 3" xfId="1459" xr:uid="{00000000-0005-0000-0000-00008A070000}"/>
    <cellStyle name="Normal 7 4 9 3 2" xfId="5477" xr:uid="{34FC27ED-9267-4FE6-804B-4B6B659DACF4}"/>
    <cellStyle name="Normal 7 4 9 3 2 2" xfId="25514" xr:uid="{ECBF6AE4-3B42-442A-B397-A47093BAA862}"/>
    <cellStyle name="Normal 7 4 9 3 2 3" xfId="28639" xr:uid="{FBE8799A-8110-4913-BBAD-AC016AF95620}"/>
    <cellStyle name="Normal 7 4 9 3 2 4" xfId="14774" xr:uid="{93071C95-B1DC-490F-994E-C804B09ED584}"/>
    <cellStyle name="Normal 7 4 9 3 3" xfId="7227" xr:uid="{CD11F4D1-4581-4F93-A457-798636273C9F}"/>
    <cellStyle name="Normal 7 4 9 3 3 2" xfId="27158" xr:uid="{3E22AF7B-8B3D-4F56-8ADD-62DB11A0E0EF}"/>
    <cellStyle name="Normal 7 4 9 3 3 3" xfId="25831" xr:uid="{951EB23D-D78B-46E0-8017-A74A3458DCA0}"/>
    <cellStyle name="Normal 7 4 9 3 3 4" xfId="17607" xr:uid="{50F913BF-F798-4DD0-AEBA-A8B491D17827}"/>
    <cellStyle name="Normal 7 4 9 3 4" xfId="10060" xr:uid="{AFDD6B66-0556-4939-B25D-3B996FBB9A2C}"/>
    <cellStyle name="Normal 7 4 9 3 4 2" xfId="26574" xr:uid="{4027B8DC-26EC-4C8C-A66F-E12FF5141C14}"/>
    <cellStyle name="Normal 7 4 9 3 4 3" xfId="29464" xr:uid="{CEAFC507-E9CD-4663-AF1E-05BEE35F8A93}"/>
    <cellStyle name="Normal 7 4 9 3 4 4" xfId="20440" xr:uid="{2EE181E1-A004-444C-9B6F-F734AC31831E}"/>
    <cellStyle name="Normal 7 4 9 3 5" xfId="23140" xr:uid="{2AF327B9-2D1D-40BF-9B1A-2480DE36D783}"/>
    <cellStyle name="Normal 7 4 9 3 6" xfId="27908" xr:uid="{2B94D36C-826D-4C6A-8ACC-DD1229001485}"/>
    <cellStyle name="Normal 7 4 9 3 7" xfId="13498" xr:uid="{AA8FEBD0-D55B-46DB-9349-45F5D78FB400}"/>
    <cellStyle name="Normal 7 4 9 4" xfId="2840" xr:uid="{00000000-0005-0000-0000-0000D5080000}"/>
    <cellStyle name="Normal 7 4 9 4 2" xfId="6056" xr:uid="{CA35AE32-8A49-4A1D-91F3-DB3B40F122BB}"/>
    <cellStyle name="Normal 7 4 9 4 2 2" xfId="27956" xr:uid="{F560F6A6-140A-400F-87EB-1F4947E73B88}"/>
    <cellStyle name="Normal 7 4 9 4 2 3" xfId="15510" xr:uid="{5CFD9CBC-FC1E-42AA-ABBE-8CCFCE4DE975}"/>
    <cellStyle name="Normal 7 4 9 4 3" xfId="7963" xr:uid="{44734FEC-A5EC-4868-8F46-984BBB606219}"/>
    <cellStyle name="Normal 7 4 9 4 3 2" xfId="18343" xr:uid="{600C4E21-9490-4C71-A5AF-A2F76E03C564}"/>
    <cellStyle name="Normal 7 4 9 4 4" xfId="10796" xr:uid="{3EB39DCA-A7D2-4A88-A314-E1390084789F}"/>
    <cellStyle name="Normal 7 4 9 4 4 2" xfId="21176" xr:uid="{C7E13083-4768-4A29-8D0F-7F432AD845A7}"/>
    <cellStyle name="Normal 7 4 9 4 5" xfId="25358" xr:uid="{0CB459D8-1683-498E-B309-B7437B03D01D}"/>
    <cellStyle name="Normal 7 4 9 4 6" xfId="13320" xr:uid="{0C7D5F92-015A-40C3-8658-AEFA983A7BB8}"/>
    <cellStyle name="Normal 7 4 9 5" xfId="2408" xr:uid="{00000000-0005-0000-0000-0000D1080000}"/>
    <cellStyle name="Normal 7 4 9 5 2" xfId="7535" xr:uid="{EA42B910-957F-406C-BBBC-C6DAF86D86FE}"/>
    <cellStyle name="Normal 7 4 9 5 2 2" xfId="27247" xr:uid="{9FBA0F6A-3E29-4A8F-B6CC-742C60529986}"/>
    <cellStyle name="Normal 7 4 9 5 2 3" xfId="17915" xr:uid="{78DC0D4E-C4F6-49C6-BEB9-F2A5C3EE8159}"/>
    <cellStyle name="Normal 7 4 9 5 3" xfId="10368" xr:uid="{86718D3C-0642-4DCF-BDE5-480BBF1B24B2}"/>
    <cellStyle name="Normal 7 4 9 5 3 2" xfId="20748" xr:uid="{7A76C505-1F7A-4AF0-992A-613760DD97E2}"/>
    <cellStyle name="Normal 7 4 9 5 4" xfId="24928" xr:uid="{A3747C55-5DBC-47EF-BFDD-BB8F9424984E}"/>
    <cellStyle name="Normal 7 4 9 5 5" xfId="15082" xr:uid="{2A282EA6-6DD9-4676-BA80-36F3388B61BC}"/>
    <cellStyle name="Normal 7 4 9 6" xfId="4076" xr:uid="{ECFEC964-18E2-4A55-9DDE-17A187421C86}"/>
    <cellStyle name="Normal 7 4 9 6 2" xfId="8856" xr:uid="{05369801-56D3-4D72-A3C4-13544C799199}"/>
    <cellStyle name="Normal 7 4 9 6 2 2" xfId="28998" xr:uid="{985A2476-8016-48C6-B19B-8E5A095831BA}"/>
    <cellStyle name="Normal 7 4 9 6 2 3" xfId="19236" xr:uid="{64AA5B8D-8160-4A3E-ADD4-0FA6DAA3D899}"/>
    <cellStyle name="Normal 7 4 9 6 3" xfId="11689" xr:uid="{5A407977-0356-48BB-B948-B9E2BF6E857D}"/>
    <cellStyle name="Normal 7 4 9 6 3 2" xfId="22069" xr:uid="{003FE15E-2013-4C8D-86ED-88B751E3DD2C}"/>
    <cellStyle name="Normal 7 4 9 6 4" xfId="28172" xr:uid="{1CCE1AE5-BE80-4AA7-85BF-C9A73A3EA59B}"/>
    <cellStyle name="Normal 7 4 9 6 5" xfId="16403" xr:uid="{1F7BD514-47B8-46FD-A352-A22BFCFA7682}"/>
    <cellStyle name="Normal 7 4 9 7" xfId="5475" xr:uid="{CCEF96D4-FC6A-423C-B1B0-072A0C3E5B8F}"/>
    <cellStyle name="Normal 7 4 9 7 2" xfId="28305" xr:uid="{D50CC486-3BAB-43DF-A9AF-FF380362D7CD}"/>
    <cellStyle name="Normal 7 4 9 7 3" xfId="14772" xr:uid="{2F958CE7-9EE8-42DA-8FA1-7E82351CCECD}"/>
    <cellStyle name="Normal 7 4 9 8" xfId="7225" xr:uid="{C11C0213-DE70-4B4C-910B-94E9A71F0D83}"/>
    <cellStyle name="Normal 7 4 9 8 2" xfId="17605" xr:uid="{EA06E039-073F-4D18-BECB-3A1FE3F10177}"/>
    <cellStyle name="Normal 7 4 9 9" xfId="10058" xr:uid="{BEF1D5CA-EBE5-46A7-A649-AEC3EEFC11C3}"/>
    <cellStyle name="Normal 7 4 9 9 2" xfId="20438" xr:uid="{83FDCABE-BF8A-47D5-829B-2000387E3BAA}"/>
    <cellStyle name="Normal 7 5" xfId="1460" xr:uid="{00000000-0005-0000-0000-00008B070000}"/>
    <cellStyle name="Normal 7 6" xfId="1461" xr:uid="{00000000-0005-0000-0000-00008C070000}"/>
    <cellStyle name="Normal 7 6 10" xfId="1462" xr:uid="{00000000-0005-0000-0000-00008D070000}"/>
    <cellStyle name="Normal 7 6 10 2" xfId="1463" xr:uid="{00000000-0005-0000-0000-00008E070000}"/>
    <cellStyle name="Normal 7 6 10 2 2" xfId="1464" xr:uid="{00000000-0005-0000-0000-00008F070000}"/>
    <cellStyle name="Normal 7 6 10 2 2 2" xfId="23867" xr:uid="{203ECEE9-28AC-4CA7-BFCE-356C379A39D2}"/>
    <cellStyle name="Normal 7 6 10 2 2 3" xfId="25006" xr:uid="{6823BFC9-1FCE-4FD7-B367-57FB0194A201}"/>
    <cellStyle name="Normal 7 6 10 2 3" xfId="1465" xr:uid="{00000000-0005-0000-0000-000090070000}"/>
    <cellStyle name="Normal 7 6 10 2 3 2" xfId="2031" xr:uid="{00000000-0005-0000-0000-000091070000}"/>
    <cellStyle name="Normal 7 6 10 2 3 3" xfId="3766" xr:uid="{00000000-0005-0000-0000-0000F0060000}"/>
    <cellStyle name="Normal 7 6 10 2 3 3 2" xfId="4757" xr:uid="{BE653DD7-1A95-4D05-ACBC-B4D6D2120D32}"/>
    <cellStyle name="Normal 7 6 10 2 3 3 3" xfId="30291" xr:uid="{CB1BD4F2-F63B-4AC6-A611-52768EB82BEB}"/>
    <cellStyle name="Normal 7 6 10 2 3 3 3 2" xfId="31434" xr:uid="{39266993-B013-4166-A920-C26B0A484995}"/>
    <cellStyle name="Normal 7 6 10 2 3 3 4" xfId="31631" xr:uid="{E1F93840-EE29-493B-A5F9-44A29EBD528D}"/>
    <cellStyle name="Normal 7 6 10 2 4" xfId="25604" xr:uid="{1F88F4F4-8E7E-4A10-9831-AB18C3F05F2C}"/>
    <cellStyle name="Normal 7 6 10 3" xfId="1466" xr:uid="{00000000-0005-0000-0000-000092070000}"/>
    <cellStyle name="Normal 7 6 10 4" xfId="2998" xr:uid="{00000000-0005-0000-0000-0000DB080000}"/>
    <cellStyle name="Normal 7 6 10 4 2" xfId="31283" xr:uid="{69027C77-DB7A-41A6-AD44-B417C9A1F73E}"/>
    <cellStyle name="Normal 7 6 10 5" xfId="2151" xr:uid="{00000000-0005-0000-0000-000024030000}"/>
    <cellStyle name="Normal 7 6 10 5 2" xfId="4681" xr:uid="{64225ED7-B81F-4829-937E-4C8F86992647}"/>
    <cellStyle name="Normal 7 6 10 5 3" xfId="30232" xr:uid="{E8A66BD3-D076-4AC4-9CB9-C69A4F84E392}"/>
    <cellStyle name="Normal 7 6 10 5 3 2" xfId="31376" xr:uid="{D1DAB6D5-9CCE-40FC-902D-9DEE317FF735}"/>
    <cellStyle name="Normal 7 6 10 5 4" xfId="31572" xr:uid="{11601000-5713-4821-958F-68BE4ED60597}"/>
    <cellStyle name="Normal 7 6 10 6" xfId="4079" xr:uid="{5A04D94C-6FA8-4354-90B5-CFB60835C8E6}"/>
    <cellStyle name="Normal 7 6 10 6 2" xfId="4824" xr:uid="{0FEEC669-8F27-4B5E-8A98-CFDB8125CE32}"/>
    <cellStyle name="Normal 7 6 10 6 3" xfId="30346" xr:uid="{F9587E97-63EE-407D-AB4F-67E8F50E4485}"/>
    <cellStyle name="Normal 7 6 10 6 3 2" xfId="31488" xr:uid="{1B8E676E-0AA8-4F0A-8F3B-F346F6626895}"/>
    <cellStyle name="Normal 7 6 10 6 4" xfId="31686" xr:uid="{8B0FF327-4B58-4E9D-B7E2-13B7E118E2F7}"/>
    <cellStyle name="Normal 7 6 10 7" xfId="30165" xr:uid="{12C3815A-038F-484F-AD47-98D3CF0EAE5F}"/>
    <cellStyle name="Normal 7 6 10 7 2" xfId="30535" xr:uid="{0238211A-81EA-4FE4-8F6A-61EEA3D894FA}"/>
    <cellStyle name="Normal 7 6 11" xfId="1467" xr:uid="{00000000-0005-0000-0000-000093070000}"/>
    <cellStyle name="Normal 7 6 11 10" xfId="12643" xr:uid="{4994F450-78F0-4D7A-AAC7-62621D59190D}"/>
    <cellStyle name="Normal 7 6 11 2" xfId="2424" xr:uid="{00000000-0005-0000-0000-0000DD080000}"/>
    <cellStyle name="Normal 7 6 11 2 2" xfId="2999" xr:uid="{00000000-0005-0000-0000-0000DE080000}"/>
    <cellStyle name="Normal 7 6 11 2 2 2" xfId="6148" xr:uid="{3AC7CF31-3B91-4166-A372-BC7763FFCF1D}"/>
    <cellStyle name="Normal 7 6 11 2 2 2 2" xfId="28149" xr:uid="{03FA1087-3B6E-4E72-8978-31D40D60E86C}"/>
    <cellStyle name="Normal 7 6 11 2 2 2 3" xfId="15626" xr:uid="{20161C1B-6017-4CDA-A29A-0102EDBEA5C3}"/>
    <cellStyle name="Normal 7 6 11 2 2 3" xfId="8079" xr:uid="{5E8D8961-5478-4CBE-BBDE-7EFC17FF8191}"/>
    <cellStyle name="Normal 7 6 11 2 2 3 2" xfId="18459" xr:uid="{BBB956AF-DFF1-4A67-B026-B9E16F6B9CC2}"/>
    <cellStyle name="Normal 7 6 11 2 2 4" xfId="10912" xr:uid="{3D74FEE2-D5B9-47DE-B190-ADE5D9E806EA}"/>
    <cellStyle name="Normal 7 6 11 2 2 4 2" xfId="21292" xr:uid="{7553158E-4646-4A2E-8950-DD4335E18336}"/>
    <cellStyle name="Normal 7 6 11 2 2 5" xfId="24372" xr:uid="{1CBCCA99-94AC-4230-979D-F81491E7E872}"/>
    <cellStyle name="Normal 7 6 11 2 2 6" xfId="13499" xr:uid="{92BCA6AD-5261-4290-88CB-25848BB8B0C3}"/>
    <cellStyle name="Normal 7 6 11 2 3" xfId="5724" xr:uid="{0C1D1DA6-3D1F-4E81-8A71-AC06F1C7C3AE}"/>
    <cellStyle name="Normal 7 6 11 2 3 2" xfId="26861" xr:uid="{86813863-7573-450B-8DAE-522DAD0AA597}"/>
    <cellStyle name="Normal 7 6 11 2 3 3" xfId="28088" xr:uid="{D75F17B0-65BB-480E-A52F-70B24F227861}"/>
    <cellStyle name="Normal 7 6 11 2 3 4" xfId="15098" xr:uid="{6A8E30D2-0E52-446B-B141-6C3E947D31E1}"/>
    <cellStyle name="Normal 7 6 11 2 4" xfId="7551" xr:uid="{19757AE8-A20E-4D43-B592-50A4FA82CE74}"/>
    <cellStyle name="Normal 7 6 11 2 4 2" xfId="27922" xr:uid="{BBE86201-DC1F-4FF6-9EBC-D8E968F51AF4}"/>
    <cellStyle name="Normal 7 6 11 2 4 3" xfId="17931" xr:uid="{DFA0D98A-67C2-4EEA-8877-4E00D8A21C99}"/>
    <cellStyle name="Normal 7 6 11 2 5" xfId="10384" xr:uid="{0BF49B14-911C-4DCA-B35A-7A442AC926C8}"/>
    <cellStyle name="Normal 7 6 11 2 5 2" xfId="20764" xr:uid="{5EBBEF21-D2B7-458D-A837-3D936316FF8C}"/>
    <cellStyle name="Normal 7 6 11 2 6" xfId="23441" xr:uid="{A3FF67C1-A1FC-4029-9CBD-98AE9B8E0075}"/>
    <cellStyle name="Normal 7 6 11 2 7" xfId="12801" xr:uid="{707CB870-238C-4E67-9DCB-86E13B5BF97A}"/>
    <cellStyle name="Normal 7 6 11 3" xfId="2841" xr:uid="{00000000-0005-0000-0000-0000DF080000}"/>
    <cellStyle name="Normal 7 6 11 3 2" xfId="6057" xr:uid="{0E66994F-AB92-4AE2-96D3-9E1476833E76}"/>
    <cellStyle name="Normal 7 6 11 3 2 2" xfId="28230" xr:uid="{90FBAF69-CCF2-42A5-BF1C-3A6F5F067F8F}"/>
    <cellStyle name="Normal 7 6 11 3 2 3" xfId="15511" xr:uid="{B5BE4AC8-6972-486A-9ECA-9CE45E91FADA}"/>
    <cellStyle name="Normal 7 6 11 3 3" xfId="7964" xr:uid="{A6137628-7F20-44C7-A345-B77B06069AB7}"/>
    <cellStyle name="Normal 7 6 11 3 3 2" xfId="18344" xr:uid="{5DD65BE9-E751-4A83-8338-FC6103F31FD9}"/>
    <cellStyle name="Normal 7 6 11 3 4" xfId="10797" xr:uid="{C820DEBB-9274-4C0C-93FC-B21E42B69993}"/>
    <cellStyle name="Normal 7 6 11 3 4 2" xfId="21177" xr:uid="{9DC86F1B-0AD8-41F1-9FEB-2C201D73B9DF}"/>
    <cellStyle name="Normal 7 6 11 3 5" xfId="24608" xr:uid="{001A71B5-1DBB-40D1-875D-925F704F1CD1}"/>
    <cellStyle name="Normal 7 6 11 3 6" xfId="13321" xr:uid="{96A8BCE1-FD6F-4D3C-B983-1D7D1555A729}"/>
    <cellStyle name="Normal 7 6 11 4" xfId="2409" xr:uid="{00000000-0005-0000-0000-0000DC080000}"/>
    <cellStyle name="Normal 7 6 11 4 2" xfId="7536" xr:uid="{AD2413B8-EBE9-49A2-BF62-6FA8BA92C6BA}"/>
    <cellStyle name="Normal 7 6 11 4 2 2" xfId="28150" xr:uid="{763A2114-8416-4167-99CE-F128ECACC10F}"/>
    <cellStyle name="Normal 7 6 11 4 2 3" xfId="17916" xr:uid="{7C3F0325-3EF4-4C37-B104-D0635FEB5EBF}"/>
    <cellStyle name="Normal 7 6 11 4 3" xfId="10369" xr:uid="{9023DCF8-60CC-48E8-99B6-35D3BD4D656C}"/>
    <cellStyle name="Normal 7 6 11 4 3 2" xfId="20749" xr:uid="{1BB90C20-7D78-4E49-9A7F-692C99895E0F}"/>
    <cellStyle name="Normal 7 6 11 4 4" xfId="23053" xr:uid="{1FB59AC9-B6FC-455D-9F5B-3D4148D5424E}"/>
    <cellStyle name="Normal 7 6 11 4 5" xfId="15083" xr:uid="{49648981-1940-424A-AF31-125BD8D9AD04}"/>
    <cellStyle name="Normal 7 6 11 5" xfId="4080" xr:uid="{29A54018-86C1-4A02-A68F-6FE599A9096C}"/>
    <cellStyle name="Normal 7 6 11 5 2" xfId="8858" xr:uid="{65C6C44F-2DCC-4DF3-8E09-472C2819728F}"/>
    <cellStyle name="Normal 7 6 11 5 2 2" xfId="19238" xr:uid="{375611D9-874F-4022-B426-FEDC446BD18B}"/>
    <cellStyle name="Normal 7 6 11 5 3" xfId="11691" xr:uid="{EE0497FB-2F90-477E-9FD1-5F91B9FE8910}"/>
    <cellStyle name="Normal 7 6 11 5 3 2" xfId="22071" xr:uid="{8FE4A299-C19E-40AF-839F-006BFA2FC9C8}"/>
    <cellStyle name="Normal 7 6 11 5 4" xfId="28366" xr:uid="{4AF83121-8555-436F-B8E0-9382F2D155A1}"/>
    <cellStyle name="Normal 7 6 11 5 5" xfId="16405" xr:uid="{362022DB-A9EF-45F7-9B15-4DD83BF95245}"/>
    <cellStyle name="Normal 7 6 11 6" xfId="5478" xr:uid="{5D97CF1F-2749-4B34-998A-6C1D9A483679}"/>
    <cellStyle name="Normal 7 6 11 6 2" xfId="14775" xr:uid="{ADCFD7A9-F5D7-4A62-ADD7-ECA794330AA8}"/>
    <cellStyle name="Normal 7 6 11 7" xfId="7228" xr:uid="{B44B0FFA-7DF7-42E6-BF6C-909BD4DBFEF0}"/>
    <cellStyle name="Normal 7 6 11 7 2" xfId="17608" xr:uid="{FAFFFF1C-D94B-4D7D-BAC2-5D4812C6F508}"/>
    <cellStyle name="Normal 7 6 11 8" xfId="10061" xr:uid="{19AC1174-BF6A-442B-ACEE-30994F3F1F93}"/>
    <cellStyle name="Normal 7 6 11 8 2" xfId="20441" xr:uid="{244D7068-1150-4E32-9D14-FCEF0CE33CC3}"/>
    <cellStyle name="Normal 7 6 11 9" xfId="24344" xr:uid="{64354268-5E2B-4139-B183-9BD32696B582}"/>
    <cellStyle name="Normal 7 6 12" xfId="1468" xr:uid="{00000000-0005-0000-0000-000094070000}"/>
    <cellStyle name="Normal 7 6 12 2" xfId="1469" xr:uid="{00000000-0005-0000-0000-000095070000}"/>
    <cellStyle name="Normal 7 6 12 2 2" xfId="1470" xr:uid="{00000000-0005-0000-0000-000096070000}"/>
    <cellStyle name="Normal 7 6 12 2 2 2" xfId="7229" xr:uid="{827BC4BE-2AD5-432F-B7C7-325F08217BCC}"/>
    <cellStyle name="Normal 7 6 12 2 2 2 2" xfId="26110" xr:uid="{9418F1EA-2734-413D-8500-BB6C4AB45D6E}"/>
    <cellStyle name="Normal 7 6 12 2 2 2 3" xfId="17609" xr:uid="{A2391066-30A0-43F6-88D2-5FA6F36424A2}"/>
    <cellStyle name="Normal 7 6 12 2 2 3" xfId="10062" xr:uid="{595E208F-F756-4A10-8055-19FC6787F55B}"/>
    <cellStyle name="Normal 7 6 12 2 2 3 2" xfId="20442" xr:uid="{63C8C390-FE77-4EEF-B461-6CAF46B2A5A7}"/>
    <cellStyle name="Normal 7 6 12 2 2 4" xfId="24993" xr:uid="{6AF005A0-6095-4522-898B-BB64A806890B}"/>
    <cellStyle name="Normal 7 6 12 2 2 5" xfId="14776" xr:uid="{CA0D64A7-87C4-40FB-8E31-79D53531E706}"/>
    <cellStyle name="Normal 7 6 12 2 3" xfId="26127" xr:uid="{DE1761FF-B39A-4DEF-BB17-1AF5EDCE2CAB}"/>
    <cellStyle name="Normal 7 6 12 3" xfId="1471" xr:uid="{00000000-0005-0000-0000-000097070000}"/>
    <cellStyle name="Normal 7 6 12 3 2" xfId="4658" xr:uid="{97AB34FA-8022-4EDD-B4EE-6D0A8751C733}"/>
    <cellStyle name="Normal 7 6 12 3 2 2" xfId="4781" xr:uid="{1283EBFF-7AA6-4AF6-9F77-7BA3E62CC93D}"/>
    <cellStyle name="Normal 7 6 12 3 2 3" xfId="30351" xr:uid="{32EA88A3-08AC-49A9-88D9-78D4B3CF965A}"/>
    <cellStyle name="Normal 7 6 12 3 2 3 2" xfId="31491" xr:uid="{4E36D0A4-F1F3-4DA5-BD91-14C17BE12718}"/>
    <cellStyle name="Normal 7 6 12 3 2 4" xfId="31691" xr:uid="{4EB2BB40-362C-4EB4-A380-9BF8050F35EC}"/>
    <cellStyle name="Normal 7 6 12 3 3" xfId="22886" xr:uid="{EEFDE06D-FAD0-4B2C-B4EC-7A08AE158797}"/>
    <cellStyle name="Normal 7 6 12 4" xfId="2032" xr:uid="{00000000-0005-0000-0000-000098070000}"/>
    <cellStyle name="Normal 7 6 12 4 2" xfId="23741" xr:uid="{79817153-0D54-48A8-826F-2B970D536EE6}"/>
    <cellStyle name="Normal 7 6 12 4 2 2" xfId="26431" xr:uid="{C49203E7-1566-434F-BAE6-BF94EB7F9C20}"/>
    <cellStyle name="Normal 7 6 12 4 3" xfId="25192" xr:uid="{F061C7BC-0996-4741-82A0-31A69AC23C4A}"/>
    <cellStyle name="Normal 7 6 12 4 3 2" xfId="26655" xr:uid="{F87E6003-60F4-45AF-8490-D1CC2D385632}"/>
    <cellStyle name="Normal 7 6 12 4 4" xfId="26354" xr:uid="{FB10D5FA-D50A-43CE-A72A-FAB2CDEE87C7}"/>
    <cellStyle name="Normal 7 6 12 5" xfId="2154" xr:uid="{00000000-0005-0000-0000-000027030000}"/>
    <cellStyle name="Normal 7 6 12 5 2" xfId="4790" xr:uid="{41EDDE25-589E-426C-B333-2F90E7438841}"/>
    <cellStyle name="Normal 7 6 12 5 2 2" xfId="28351" xr:uid="{3EB7436E-C897-4D37-A74A-339AD61DBDE8}"/>
    <cellStyle name="Normal 7 6 12 5 3" xfId="30235" xr:uid="{83457AE9-53E7-4626-824E-8BAF1E027614}"/>
    <cellStyle name="Normal 7 6 12 5 3 2" xfId="30408" xr:uid="{BBED2A49-C521-4234-9A68-3423CCBF2CC3}"/>
    <cellStyle name="Normal 7 6 12 5 4" xfId="31575" xr:uid="{F51BCC98-4641-44BA-970F-92381F3BC744}"/>
    <cellStyle name="Normal 7 6 12 6" xfId="4107" xr:uid="{30A2C7AC-688D-49BA-80A4-9263C9BFA06B}"/>
    <cellStyle name="Normal 7 6 12 6 2" xfId="4760" xr:uid="{A9321574-1AD7-4B70-B5D3-A6DF307B9A1E}"/>
    <cellStyle name="Normal 7 6 12 6 3" xfId="30349" xr:uid="{92066A0A-D760-4CC8-B1AD-E90895EDD322}"/>
    <cellStyle name="Normal 7 6 12 6 3 2" xfId="30470" xr:uid="{F372F407-C5C1-421C-B0DA-539207397CF2}"/>
    <cellStyle name="Normal 7 6 12 6 4" xfId="31689" xr:uid="{AF9DAF71-AEF0-46C2-AF8D-5CD1CE61D7A8}"/>
    <cellStyle name="Normal 7 6 12 7" xfId="25333" xr:uid="{F7D8B81A-047F-48C6-A186-A40F67FBBC1A}"/>
    <cellStyle name="Normal 7 6 12 7 2" xfId="26410" xr:uid="{92E5298E-5151-4BC5-8530-0F8A55FB4F6C}"/>
    <cellStyle name="Normal 7 6 12 7 3" xfId="31158" xr:uid="{2374E897-A2DD-4365-809D-E07045FA949F}"/>
    <cellStyle name="Normal 7 6 13" xfId="1472" xr:uid="{00000000-0005-0000-0000-000099070000}"/>
    <cellStyle name="Normal 7 6 13 2" xfId="4599" xr:uid="{3B4DDB37-5983-43FF-ACEF-860659222593}"/>
    <cellStyle name="Normal 7 6 13 2 2" xfId="9371" xr:uid="{CDEC0402-8630-454A-8E5A-5AC7B33D7A9D}"/>
    <cellStyle name="Normal 7 6 13 2 2 2" xfId="29341" xr:uid="{1398F320-3620-46AB-8D56-93072B29C3C1}"/>
    <cellStyle name="Normal 7 6 13 2 2 3" xfId="19751" xr:uid="{C0A6EE25-B01C-4B52-BECC-E276B0C87655}"/>
    <cellStyle name="Normal 7 6 13 2 3" xfId="12204" xr:uid="{43D41024-C8FE-4C65-B95F-208F8619F646}"/>
    <cellStyle name="Normal 7 6 13 2 3 2" xfId="22584" xr:uid="{3DF9474A-F397-4E1D-8623-AA6FF160C46C}"/>
    <cellStyle name="Normal 7 6 13 2 4" xfId="25323" xr:uid="{98ECA508-CF63-41EA-B13E-B59CBA420D04}"/>
    <cellStyle name="Normal 7 6 13 2 5" xfId="16918" xr:uid="{0CB1D580-E7FB-4A27-9476-70C921428E95}"/>
    <cellStyle name="Normal 7 6 13 3" xfId="5479" xr:uid="{CE46A238-16DD-4E36-BA20-268E23F60FCA}"/>
    <cellStyle name="Normal 7 6 13 3 2" xfId="23513" xr:uid="{1BC609B7-6C52-437C-A2E9-194250405883}"/>
    <cellStyle name="Normal 7 6 13 3 3" xfId="27939" xr:uid="{F9065EAC-74DE-4D0F-8B98-36D70B44BF47}"/>
    <cellStyle name="Normal 7 6 13 3 4" xfId="14777" xr:uid="{73B0D313-E46F-4BB7-9250-4D30D966D483}"/>
    <cellStyle name="Normal 7 6 13 4" xfId="7230" xr:uid="{A57384AF-2504-4427-ACE1-93DE4EDA52C9}"/>
    <cellStyle name="Normal 7 6 13 4 2" xfId="24385" xr:uid="{B1C46D47-275D-425D-ADBB-E99F9000C558}"/>
    <cellStyle name="Normal 7 6 13 4 3" xfId="28697" xr:uid="{A229D5F5-BE03-4E55-8618-2F91B811C9DB}"/>
    <cellStyle name="Normal 7 6 13 4 4" xfId="17610" xr:uid="{EEBC38E0-0F65-4135-BD17-F4E424EC63C7}"/>
    <cellStyle name="Normal 7 6 13 5" xfId="10063" xr:uid="{AAACA06A-32C1-487F-8989-1B393794C0E5}"/>
    <cellStyle name="Normal 7 6 13 5 2" xfId="29465" xr:uid="{18463E07-0ECC-4E05-84C7-B841D4A96E41}"/>
    <cellStyle name="Normal 7 6 13 5 3" xfId="20443" xr:uid="{C83BDC38-E3E2-47CA-BF4C-1C4B25CD76BF}"/>
    <cellStyle name="Normal 7 6 13 6" xfId="25178" xr:uid="{23CC18F1-B5FD-43D3-ACE6-4D68C924481A}"/>
    <cellStyle name="Normal 7 6 13 7" xfId="14073" xr:uid="{EA591954-F772-48CC-8DF0-65618EB3BC16}"/>
    <cellStyle name="Normal 7 6 14" xfId="1473" xr:uid="{00000000-0005-0000-0000-00009A070000}"/>
    <cellStyle name="Normal 7 6 14 2" xfId="1474" xr:uid="{00000000-0005-0000-0000-00009B070000}"/>
    <cellStyle name="Normal 7 6 14 3" xfId="3767" xr:uid="{00000000-0005-0000-0000-0000F9060000}"/>
    <cellStyle name="Normal 7 6 14 3 2" xfId="4765" xr:uid="{54A32A04-56ED-4AB1-B7BA-D2EE0846373E}"/>
    <cellStyle name="Normal 7 6 14 3 2 2" xfId="27604" xr:uid="{5CE32205-96EA-49E5-8C23-87FB17C255E3}"/>
    <cellStyle name="Normal 7 6 14 3 3" xfId="28622" xr:uid="{50B7BDC0-20CD-4F0E-861C-3C44806BB4F1}"/>
    <cellStyle name="Normal 7 6 14 3 4" xfId="30292" xr:uid="{FAC2BF2A-86D0-46D4-9C19-960A9118AE4A}"/>
    <cellStyle name="Normal 7 6 14 3 4 2" xfId="31435" xr:uid="{1A077638-1BB3-4622-90A7-D76601927321}"/>
    <cellStyle name="Normal 7 6 14 3 5" xfId="31632" xr:uid="{F015D07E-7A10-4562-9261-1F62D0680FB5}"/>
    <cellStyle name="Normal 7 6 14 4" xfId="28272" xr:uid="{76CFB33E-5912-4B74-BBBF-6DD865E37708}"/>
    <cellStyle name="Normal 7 6 15" xfId="2441" xr:uid="{00000000-0005-0000-0000-0000E4080000}"/>
    <cellStyle name="Normal 7 6 15 2" xfId="5736" xr:uid="{495C43A3-3574-42FB-866D-BB7B70A3AE84}"/>
    <cellStyle name="Normal 7 6 15 2 2" xfId="28257" xr:uid="{A7F5FD02-FE5F-4F52-9BDE-3CDFDEDF93F6}"/>
    <cellStyle name="Normal 7 6 15 2 3" xfId="15113" xr:uid="{A605DAC2-51E2-4793-85BE-FDF33844A779}"/>
    <cellStyle name="Normal 7 6 15 3" xfId="7566" xr:uid="{B1FBA154-3591-4765-849C-DC8A096E34E7}"/>
    <cellStyle name="Normal 7 6 15 3 2" xfId="17946" xr:uid="{95A63BD3-3AA5-4531-9C1F-2173606782E4}"/>
    <cellStyle name="Normal 7 6 15 4" xfId="10399" xr:uid="{F98C58F5-E2A2-46E9-A62C-89E1E7F78CB6}"/>
    <cellStyle name="Normal 7 6 15 4 2" xfId="20779" xr:uid="{6FF81C5F-5DE3-4A3F-B5BA-3A215ECF90ED}"/>
    <cellStyle name="Normal 7 6 15 5" xfId="23163" xr:uid="{10624513-C597-4EC4-8C9B-6ABB485F5B22}"/>
    <cellStyle name="Normal 7 6 15 6" xfId="12828" xr:uid="{D57B35CA-7752-4FA8-BF85-3846C00B7CF1}"/>
    <cellStyle name="Normal 7 6 16" xfId="2171" xr:uid="{00000000-0005-0000-0000-0000D7080000}"/>
    <cellStyle name="Normal 7 6 16 2" xfId="7298" xr:uid="{B69C3657-7ADD-440C-989D-222D5F260A6C}"/>
    <cellStyle name="Normal 7 6 16 2 2" xfId="28356" xr:uid="{D6C497BB-3960-49BA-854A-2D36942534BD}"/>
    <cellStyle name="Normal 7 6 16 2 3" xfId="17678" xr:uid="{3F943B67-BF68-46FE-8EDA-A84648BC5EE8}"/>
    <cellStyle name="Normal 7 6 16 3" xfId="10131" xr:uid="{255D5F4D-71A3-4CA9-A87C-1319BF01B770}"/>
    <cellStyle name="Normal 7 6 16 3 2" xfId="20511" xr:uid="{093DA020-9795-4CA2-889A-A189C62135C3}"/>
    <cellStyle name="Normal 7 6 16 4" xfId="24530" xr:uid="{EB3C2B4A-5266-490D-9B9B-69216121C96F}"/>
    <cellStyle name="Normal 7 6 16 5" xfId="14845" xr:uid="{889E0779-BA30-46AE-A624-D2769B733098}"/>
    <cellStyle name="Normal 7 6 17" xfId="2150" xr:uid="{00000000-0005-0000-0000-000023030000}"/>
    <cellStyle name="Normal 7 6 17 2" xfId="4752" xr:uid="{96FA94DC-ED9F-4AD7-A7E8-D4EAB8FFA409}"/>
    <cellStyle name="Normal 7 6 17 2 2" xfId="27349" xr:uid="{AA61CBCD-A41A-4F57-8D53-D196359313E1}"/>
    <cellStyle name="Normal 7 6 17 3" xfId="27002" xr:uid="{CF3F67CA-7171-40A7-8B27-2E3B488C6464}"/>
    <cellStyle name="Normal 7 6 17 4" xfId="30231" xr:uid="{22805842-D57A-4294-947D-0526512732D1}"/>
    <cellStyle name="Normal 7 6 17 4 2" xfId="31375" xr:uid="{3A52D4CE-12B1-451F-B61D-7FA7D4D520E5}"/>
    <cellStyle name="Normal 7 6 17 5" xfId="31571" xr:uid="{F2A4B6CE-C68B-42CC-9C27-3F458A1293BD}"/>
    <cellStyle name="Normal 7 6 18" xfId="4078" xr:uid="{0FEC4EED-31A4-4E9D-A539-4F81C2FE41D8}"/>
    <cellStyle name="Normal 7 6 18 2" xfId="4693" xr:uid="{BF19DB26-08D9-499A-A4F6-1D49D2A37102}"/>
    <cellStyle name="Normal 7 6 18 3" xfId="30345" xr:uid="{097B12CA-5FBD-4FCE-AC04-16616058D705}"/>
    <cellStyle name="Normal 7 6 18 3 2" xfId="31487" xr:uid="{FF36C13B-12D4-45EE-9BDA-D2A65682F0F4}"/>
    <cellStyle name="Normal 7 6 18 4" xfId="31685" xr:uid="{84FA38DB-E8D3-4A3F-894E-B6DF80BE9978}"/>
    <cellStyle name="Normal 7 6 19" xfId="24158" xr:uid="{0B50E127-6DDF-46B3-9CFD-D81FF9105BDA}"/>
    <cellStyle name="Normal 7 6 2" xfId="1475" xr:uid="{00000000-0005-0000-0000-00009C070000}"/>
    <cellStyle name="Normal 7 6 2 10" xfId="28662" xr:uid="{0B934B43-1FFE-4900-9038-D4630AE52971}"/>
    <cellStyle name="Normal 7 6 2 11" xfId="12426" xr:uid="{2CBCC447-7587-426D-ACC9-4DB969F5CB85}"/>
    <cellStyle name="Normal 7 6 2 2" xfId="1476" xr:uid="{00000000-0005-0000-0000-00009D070000}"/>
    <cellStyle name="Normal 7 6 2 2 2" xfId="1477" xr:uid="{00000000-0005-0000-0000-00009E070000}"/>
    <cellStyle name="Normal 7 6 2 2 2 10" xfId="29982" xr:uid="{04EAF5DC-CECD-4DF5-8341-46D11520E3B2}"/>
    <cellStyle name="Normal 7 6 2 2 2 2" xfId="1478" xr:uid="{00000000-0005-0000-0000-00009F070000}"/>
    <cellStyle name="Normal 7 6 2 2 2 2 2" xfId="3483" xr:uid="{00000000-0005-0000-0000-0000E9080000}"/>
    <cellStyle name="Normal 7 6 2 2 2 2 2 2" xfId="6538" xr:uid="{3C43956B-92BD-42AF-94BE-7873034E45CC}"/>
    <cellStyle name="Normal 7 6 2 2 2 2 2 2 2" xfId="27971" xr:uid="{2C749FF5-9938-4C6E-8B13-46B6B9A118DE}"/>
    <cellStyle name="Normal 7 6 2 2 2 2 2 2 3" xfId="16109" xr:uid="{2E6F8660-BB0A-44BB-8411-930BB6C75FE5}"/>
    <cellStyle name="Normal 7 6 2 2 2 2 2 3" xfId="8562" xr:uid="{2D4F33BD-E1F5-48A7-B377-7ECD0C2B92E7}"/>
    <cellStyle name="Normal 7 6 2 2 2 2 2 3 2" xfId="18942" xr:uid="{F5908889-B071-4103-B187-EB026C3E9830}"/>
    <cellStyle name="Normal 7 6 2 2 2 2 2 4" xfId="11395" xr:uid="{198D3C54-6DB1-4A1B-9407-0DF7C2AEC7A3}"/>
    <cellStyle name="Normal 7 6 2 2 2 2 2 4 2" xfId="21775" xr:uid="{633C6899-E9CE-4394-8B2D-E18E351F1D3E}"/>
    <cellStyle name="Normal 7 6 2 2 2 2 2 5" xfId="23961" xr:uid="{4E1EA9D4-EA7B-4C15-8C17-E4CCEA800507}"/>
    <cellStyle name="Normal 7 6 2 2 2 2 2 6" xfId="14075" xr:uid="{917D2B9E-EF24-48CE-8383-273F4C0A52F4}"/>
    <cellStyle name="Normal 7 6 2 2 2 2 3" xfId="4377" xr:uid="{D4997153-9B6F-4C01-BE23-261C435D3A09}"/>
    <cellStyle name="Normal 7 6 2 2 2 2 3 2" xfId="9149" xr:uid="{73921F97-1065-4407-9809-495CBAD68613}"/>
    <cellStyle name="Normal 7 6 2 2 2 2 3 2 2" xfId="29192" xr:uid="{91EB5C62-EBF0-4364-A59B-31E9A108C41D}"/>
    <cellStyle name="Normal 7 6 2 2 2 2 3 2 3" xfId="19529" xr:uid="{82AB5975-74DF-48AA-A235-1243C30AF6E3}"/>
    <cellStyle name="Normal 7 6 2 2 2 2 3 3" xfId="11982" xr:uid="{0973E22F-3FBD-4A8F-A200-C78C9B6F33BB}"/>
    <cellStyle name="Normal 7 6 2 2 2 2 3 3 2" xfId="22362" xr:uid="{AFD10173-F0B6-48A8-B1EE-63990D38F079}"/>
    <cellStyle name="Normal 7 6 2 2 2 2 3 4" xfId="24427" xr:uid="{E6D7019A-E718-45E4-AFE1-762534489854}"/>
    <cellStyle name="Normal 7 6 2 2 2 2 3 5" xfId="16696" xr:uid="{F733C953-EF2A-4647-8D0D-E83858C2CA8F}"/>
    <cellStyle name="Normal 7 6 2 2 2 2 4" xfId="5480" xr:uid="{8DE60161-2BB3-4693-B577-A20D4692DEE6}"/>
    <cellStyle name="Normal 7 6 2 2 2 2 4 2" xfId="27358" xr:uid="{ADA7C34E-C8D7-4230-BA87-C3C3B92F3FB3}"/>
    <cellStyle name="Normal 7 6 2 2 2 2 4 3" xfId="14778" xr:uid="{2DA40E8B-A8D0-4E42-830B-4975E2564D1D}"/>
    <cellStyle name="Normal 7 6 2 2 2 2 5" xfId="7231" xr:uid="{AD3D54A5-6FF3-41E4-9694-D1AF111A41E0}"/>
    <cellStyle name="Normal 7 6 2 2 2 2 5 2" xfId="17611" xr:uid="{5CED58A6-1C51-42F3-A14D-7733BB90C807}"/>
    <cellStyle name="Normal 7 6 2 2 2 2 6" xfId="10064" xr:uid="{30F6F61F-22B1-464B-B9AA-148D29C8E096}"/>
    <cellStyle name="Normal 7 6 2 2 2 2 6 2" xfId="20444" xr:uid="{B11F13BF-C2A2-4741-BD41-3B0CA0F60C47}"/>
    <cellStyle name="Normal 7 6 2 2 2 2 7" xfId="25239" xr:uid="{297D51F8-69E1-48CA-A6D4-16811EF48A4E}"/>
    <cellStyle name="Normal 7 6 2 2 2 2 8" xfId="13322" xr:uid="{7D0E37C6-3D86-4C1F-9001-C790F89B8C34}"/>
    <cellStyle name="Normal 7 6 2 2 2 3" xfId="3484" xr:uid="{00000000-0005-0000-0000-0000EA080000}"/>
    <cellStyle name="Normal 7 6 2 2 2 3 2" xfId="4600" xr:uid="{F7E77E51-AF70-477D-915D-5CFCE89872C9}"/>
    <cellStyle name="Normal 7 6 2 2 2 3 2 2" xfId="9372" xr:uid="{6B21FC2E-9F3C-4C23-A412-2B431DD3ECBF}"/>
    <cellStyle name="Normal 7 6 2 2 2 3 2 2 2" xfId="29342" xr:uid="{062C8278-7C0B-4592-AAF6-FAF7FD1824CF}"/>
    <cellStyle name="Normal 7 6 2 2 2 3 2 2 3" xfId="19752" xr:uid="{540803B5-EB63-4312-ABB0-07CDC1D1382B}"/>
    <cellStyle name="Normal 7 6 2 2 2 3 2 3" xfId="12205" xr:uid="{E1162E05-973F-43E3-A05B-36A698B81043}"/>
    <cellStyle name="Normal 7 6 2 2 2 3 2 3 2" xfId="22585" xr:uid="{DB5AFD22-FB56-4383-9283-BD1C5CCDAD02}"/>
    <cellStyle name="Normal 7 6 2 2 2 3 2 4" xfId="25645" xr:uid="{CD6A38B1-3877-49CE-9454-AA7495112144}"/>
    <cellStyle name="Normal 7 6 2 2 2 3 2 5" xfId="16919" xr:uid="{FB7A93D7-025A-431A-A577-50FB9725D6E0}"/>
    <cellStyle name="Normal 7 6 2 2 2 3 3" xfId="6539" xr:uid="{0E10CFB7-73A1-4A1D-A4DC-825547754653}"/>
    <cellStyle name="Normal 7 6 2 2 2 3 3 2" xfId="27719" xr:uid="{2E469244-C77B-4BD3-960A-CFAD5B5A5197}"/>
    <cellStyle name="Normal 7 6 2 2 2 3 3 3" xfId="16110" xr:uid="{20249134-12C7-42F4-AA3F-D689BFD52AC9}"/>
    <cellStyle name="Normal 7 6 2 2 2 3 4" xfId="8563" xr:uid="{19B320F8-C9DF-4C65-847F-6BD39620D6EA}"/>
    <cellStyle name="Normal 7 6 2 2 2 3 4 2" xfId="18943" xr:uid="{5CD72663-E027-4421-9CC7-289E793CFD77}"/>
    <cellStyle name="Normal 7 6 2 2 2 3 4 3" xfId="29856" xr:uid="{F5A0251C-89B3-4ED2-B453-D31D90B62909}"/>
    <cellStyle name="Normal 7 6 2 2 2 3 5" xfId="11396" xr:uid="{FAC59828-E1EB-4737-81CE-DE16F306EB80}"/>
    <cellStyle name="Normal 7 6 2 2 2 3 5 2" xfId="21776" xr:uid="{474D0F86-4834-490D-A723-2FBB179E9695}"/>
    <cellStyle name="Normal 7 6 2 2 2 3 6" xfId="25365" xr:uid="{0F583448-3F60-430D-9CCC-94406A5FEA53}"/>
    <cellStyle name="Normal 7 6 2 2 2 3 7" xfId="25683" xr:uid="{6BEFCE0B-27F9-42CB-B022-6CCAE86597D8}"/>
    <cellStyle name="Normal 7 6 2 2 2 3 8" xfId="14076" xr:uid="{9FD870AE-3489-4168-934F-1025B36A5561}"/>
    <cellStyle name="Normal 7 6 2 2 2 4" xfId="3482" xr:uid="{00000000-0005-0000-0000-0000EB080000}"/>
    <cellStyle name="Normal 7 6 2 2 2 4 2" xfId="6537" xr:uid="{2320380E-A1D5-49AB-8E4A-A47391D43B4B}"/>
    <cellStyle name="Normal 7 6 2 2 2 4 2 2" xfId="27320" xr:uid="{1A19FDD6-EB0B-4C8E-A246-77221CE44C0A}"/>
    <cellStyle name="Normal 7 6 2 2 2 4 2 3" xfId="16108" xr:uid="{45DEF5E9-4AF0-432D-8F89-6A7ADEDA0AF0}"/>
    <cellStyle name="Normal 7 6 2 2 2 4 3" xfId="8561" xr:uid="{0A133847-C4E7-43AD-8ACD-B4957DABDD78}"/>
    <cellStyle name="Normal 7 6 2 2 2 4 3 2" xfId="18941" xr:uid="{FCEC1B20-9B09-42E7-BD3A-2B8A7462B387}"/>
    <cellStyle name="Normal 7 6 2 2 2 4 4" xfId="11394" xr:uid="{AA87D188-B539-4C73-BD47-2E0C1D4213FB}"/>
    <cellStyle name="Normal 7 6 2 2 2 4 4 2" xfId="21774" xr:uid="{E374D47B-912C-4DA9-88B5-2B7D5300E3C8}"/>
    <cellStyle name="Normal 7 6 2 2 2 4 5" xfId="23671" xr:uid="{1761F923-A575-4080-9E2C-8E823506DC55}"/>
    <cellStyle name="Normal 7 6 2 2 2 4 6" xfId="14074" xr:uid="{22FCA1B1-9327-4628-9DC9-AFD8BE8D4685}"/>
    <cellStyle name="Normal 7 6 2 2 2 5" xfId="2651" xr:uid="{00000000-0005-0000-0000-0000EC080000}"/>
    <cellStyle name="Normal 7 6 2 2 2 5 2" xfId="5913" xr:uid="{04EDB135-DE1E-44A7-AFBC-FCA5C83F406B}"/>
    <cellStyle name="Normal 7 6 2 2 2 5 2 2" xfId="28281" xr:uid="{11CC99B3-A87C-4175-91A2-9C4672B38B5C}"/>
    <cellStyle name="Normal 7 6 2 2 2 5 2 3" xfId="15323" xr:uid="{86CBC41F-3252-4286-A051-4D6F9B4B9CC8}"/>
    <cellStyle name="Normal 7 6 2 2 2 5 3" xfId="7776" xr:uid="{628AE643-BC3E-4EEC-8727-E55DCDB2A884}"/>
    <cellStyle name="Normal 7 6 2 2 2 5 3 2" xfId="18156" xr:uid="{C4AEBD2D-8F2E-4C83-BE00-B39F03431BCC}"/>
    <cellStyle name="Normal 7 6 2 2 2 5 4" xfId="10609" xr:uid="{A9A8B79E-C40F-46BD-8F9E-67BE47AD219F}"/>
    <cellStyle name="Normal 7 6 2 2 2 5 4 2" xfId="20989" xr:uid="{BC6C5DBE-8C7C-47A5-8E02-7EEE113AAD58}"/>
    <cellStyle name="Normal 7 6 2 2 2 5 5" xfId="23781" xr:uid="{B69EE12D-5EBE-4254-9996-F147571C3F8A}"/>
    <cellStyle name="Normal 7 6 2 2 2 5 6" xfId="13051" xr:uid="{0F059C69-DC57-4447-848B-B885E4C1D202}"/>
    <cellStyle name="Normal 7 6 2 2 2 6" xfId="4108" xr:uid="{14AB8BEC-B9AC-4B4E-AB64-5487A5CF4C35}"/>
    <cellStyle name="Normal 7 6 2 2 2 7" xfId="25095" xr:uid="{2DD6EE98-696C-462E-BCC5-900432B06F90}"/>
    <cellStyle name="Normal 7 6 2 2 2 7 2" xfId="29683" xr:uid="{9C6F49DB-D23B-4106-9F39-763D45CC4D93}"/>
    <cellStyle name="Normal 7 6 2 2 2 7 2 2" xfId="31156" xr:uid="{319D062E-984D-495E-A6B1-EDF1A68F4600}"/>
    <cellStyle name="Normal 7 6 2 2 2 8" xfId="29671" xr:uid="{A6916481-21A3-435F-B144-A91FBB42ED2B}"/>
    <cellStyle name="Normal 7 6 2 2 2 9" xfId="29837" xr:uid="{9D9C830E-9D27-4D5D-A596-7040B62EB861}"/>
    <cellStyle name="Normal 7 6 2 2 3" xfId="1479" xr:uid="{00000000-0005-0000-0000-0000A0070000}"/>
    <cellStyle name="Normal 7 6 2 2 3 2" xfId="3485" xr:uid="{00000000-0005-0000-0000-0000EE080000}"/>
    <cellStyle name="Normal 7 6 2 2 3 2 2" xfId="6540" xr:uid="{FF18CD6A-4F26-4260-80A0-2005F66843B1}"/>
    <cellStyle name="Normal 7 6 2 2 3 2 2 2" xfId="28384" xr:uid="{07ECBAA9-9252-4872-A60C-A39FAE87088B}"/>
    <cellStyle name="Normal 7 6 2 2 3 2 2 3" xfId="16111" xr:uid="{6D800536-7678-4839-A8DC-19931B69DAFF}"/>
    <cellStyle name="Normal 7 6 2 2 3 2 3" xfId="8564" xr:uid="{A1BAE006-68DD-4C66-A71D-005340E3CC91}"/>
    <cellStyle name="Normal 7 6 2 2 3 2 3 2" xfId="18944" xr:uid="{E4D20621-0EB1-4163-B085-EFFE44787647}"/>
    <cellStyle name="Normal 7 6 2 2 3 2 4" xfId="11397" xr:uid="{EF40E55E-F2FD-46FF-A2A3-F2C8962B2EC8}"/>
    <cellStyle name="Normal 7 6 2 2 3 2 4 2" xfId="21777" xr:uid="{ADA49CD4-49EE-469A-AD60-21774BDCB933}"/>
    <cellStyle name="Normal 7 6 2 2 3 2 5" xfId="23482" xr:uid="{4DF0783F-7C7F-4C4C-82E0-206F0EAEE840}"/>
    <cellStyle name="Normal 7 6 2 2 3 2 6" xfId="14077" xr:uid="{16A9736A-144E-4928-9AF6-4EFDD1065295}"/>
    <cellStyle name="Normal 7 6 2 2 3 3" xfId="2843" xr:uid="{00000000-0005-0000-0000-0000ED080000}"/>
    <cellStyle name="Normal 7 6 2 2 3 3 2" xfId="7965" xr:uid="{7249D37C-1CE1-44C4-AB44-0C06094481CB}"/>
    <cellStyle name="Normal 7 6 2 2 3 3 2 2" xfId="26587" xr:uid="{4936CB13-CFAD-4C01-B8A0-C873FE6357D9}"/>
    <cellStyle name="Normal 7 6 2 2 3 3 2 3" xfId="18345" xr:uid="{767D9DE3-8BA8-4ECE-8DDF-A5DE470B5A45}"/>
    <cellStyle name="Normal 7 6 2 2 3 3 3" xfId="10798" xr:uid="{1384BC0E-AF6C-4966-8D47-C417BF01370D}"/>
    <cellStyle name="Normal 7 6 2 2 3 3 3 2" xfId="21178" xr:uid="{9ABF4405-E1F5-42AA-8EE4-047FB517FF60}"/>
    <cellStyle name="Normal 7 6 2 2 3 3 4" xfId="23158" xr:uid="{45CB43B7-725A-457E-BE64-9BA44477EA48}"/>
    <cellStyle name="Normal 7 6 2 2 3 3 5" xfId="15512" xr:uid="{B4B0CDB4-80E8-43B1-832A-7E27644129C5}"/>
    <cellStyle name="Normal 7 6 2 2 3 4" xfId="3804" xr:uid="{28B2792A-E4C2-42BA-AC1C-BAFBCE227706}"/>
    <cellStyle name="Normal 7 6 2 2 3 4 2" xfId="8640" xr:uid="{78F59A9D-589F-4C8B-9D37-7FAF077F9C38}"/>
    <cellStyle name="Normal 7 6 2 2 3 4 2 2" xfId="19020" xr:uid="{3A43083D-68EB-4073-BB41-542ACCDC4DD5}"/>
    <cellStyle name="Normal 7 6 2 2 3 4 3" xfId="11473" xr:uid="{77914C42-79A0-45E7-A6D5-C13A38D0FBFB}"/>
    <cellStyle name="Normal 7 6 2 2 3 4 3 2" xfId="21853" xr:uid="{6469B20A-8342-4E19-8943-E9F35BF15376}"/>
    <cellStyle name="Normal 7 6 2 2 3 4 4" xfId="27422" xr:uid="{F1090F80-B0C1-46E5-B080-330F0302A84D}"/>
    <cellStyle name="Normal 7 6 2 2 3 4 5" xfId="16187" xr:uid="{13904CB8-1769-410C-A745-D63646D406DF}"/>
    <cellStyle name="Normal 7 6 2 2 3 5" xfId="5481" xr:uid="{049B8662-1A99-4A8B-A424-009D4B14D026}"/>
    <cellStyle name="Normal 7 6 2 2 3 5 2" xfId="14779" xr:uid="{0AB0EF44-AADF-4F49-92B0-4065F856268C}"/>
    <cellStyle name="Normal 7 6 2 2 3 6" xfId="7232" xr:uid="{1FC6158B-B2CD-42C7-B621-C330C4EAC1A0}"/>
    <cellStyle name="Normal 7 6 2 2 3 6 2" xfId="17612" xr:uid="{68EE18A3-D37E-42DA-9C03-37DC158E6A58}"/>
    <cellStyle name="Normal 7 6 2 2 3 7" xfId="10065" xr:uid="{F7111006-E276-435A-93CD-33A3271CCB09}"/>
    <cellStyle name="Normal 7 6 2 2 3 7 2" xfId="20445" xr:uid="{0412B25D-50C0-4063-9B20-08869A45F482}"/>
    <cellStyle name="Normal 7 6 2 2 3 8" xfId="24088" xr:uid="{E2C51115-D68E-431A-8B6A-FB0455416D5A}"/>
    <cellStyle name="Normal 7 6 2 2 3 9" xfId="13323" xr:uid="{9E346B45-7006-4F4B-A3B6-4BDF7DD67189}"/>
    <cellStyle name="Normal 7 6 2 2 4" xfId="2842" xr:uid="{00000000-0005-0000-0000-0000EF080000}"/>
    <cellStyle name="Normal 7 6 2 2 5" xfId="3486" xr:uid="{00000000-0005-0000-0000-0000F0080000}"/>
    <cellStyle name="Normal 7 6 2 2 5 2" xfId="4601" xr:uid="{5382A3A7-0759-4813-94AB-A76BF14657A6}"/>
    <cellStyle name="Normal 7 6 2 2 5 2 2" xfId="9373" xr:uid="{4D3D6C70-B861-4573-814D-03A56D0F782A}"/>
    <cellStyle name="Normal 7 6 2 2 5 2 2 2" xfId="19753" xr:uid="{17D1EA00-D755-4FB7-89C1-504E5DBF8B1B}"/>
    <cellStyle name="Normal 7 6 2 2 5 2 3" xfId="12206" xr:uid="{97C9921C-C018-44E5-8721-8F39A9FF8C06}"/>
    <cellStyle name="Normal 7 6 2 2 5 2 3 2" xfId="22586" xr:uid="{69B2F764-A1F2-4BE8-AF28-B9F55204C887}"/>
    <cellStyle name="Normal 7 6 2 2 5 2 4" xfId="26736" xr:uid="{934F4AF8-BE69-4D83-8C74-1814C6B5140D}"/>
    <cellStyle name="Normal 7 6 2 2 5 2 5" xfId="16920" xr:uid="{040E12F0-1115-44F0-B8BF-02F016E01AB1}"/>
    <cellStyle name="Normal 7 6 2 2 5 3" xfId="6541" xr:uid="{61CB24AD-EF4B-4C70-8A05-E1ED25D7E49E}"/>
    <cellStyle name="Normal 7 6 2 2 5 3 2" xfId="16112" xr:uid="{D929F99D-2176-487F-9CC7-C2BD318A8A3C}"/>
    <cellStyle name="Normal 7 6 2 2 5 4" xfId="8565" xr:uid="{1B046643-6896-4EBD-A8BC-F4FE2D2C7ED5}"/>
    <cellStyle name="Normal 7 6 2 2 5 4 2" xfId="18945" xr:uid="{D8EEE973-8CA6-4140-90F5-0B6F16E7D485}"/>
    <cellStyle name="Normal 7 6 2 2 5 5" xfId="11398" xr:uid="{8A9DBD6E-90C5-4E9B-99D1-92A6BAC7FB19}"/>
    <cellStyle name="Normal 7 6 2 2 5 5 2" xfId="21778" xr:uid="{5BF316AA-94AB-4134-8F00-A333BEFF6EE0}"/>
    <cellStyle name="Normal 7 6 2 2 5 6" xfId="24562" xr:uid="{3E76B5FF-1B9A-4161-87A4-751D4B3E9752}"/>
    <cellStyle name="Normal 7 6 2 2 5 7" xfId="14078" xr:uid="{4DDD2D37-CA5D-497E-BC0D-7E552FC39117}"/>
    <cellStyle name="Normal 7 6 2 2 6" xfId="2560" xr:uid="{00000000-0005-0000-0000-0000F1080000}"/>
    <cellStyle name="Normal 7 6 2 2 6 2" xfId="5830" xr:uid="{B66FAA02-2061-4C28-94CA-12E640BE358B}"/>
    <cellStyle name="Normal 7 6 2 2 6 2 2" xfId="28672" xr:uid="{B0FFD673-EFD7-4AF0-A637-F37D84DBAEDF}"/>
    <cellStyle name="Normal 7 6 2 2 6 2 3" xfId="15232" xr:uid="{9DFBBEA0-13F0-460E-A223-45BA0E6D6AA1}"/>
    <cellStyle name="Normal 7 6 2 2 6 3" xfId="7685" xr:uid="{63FA4D9A-472C-4BCB-9C4D-EBF0C0779232}"/>
    <cellStyle name="Normal 7 6 2 2 6 3 2" xfId="18065" xr:uid="{AA1276C8-F94F-4E02-9918-E5158BBD146E}"/>
    <cellStyle name="Normal 7 6 2 2 6 4" xfId="10518" xr:uid="{39AA716C-C051-4882-8AB7-1A507ADBEE45}"/>
    <cellStyle name="Normal 7 6 2 2 6 4 2" xfId="20898" xr:uid="{6A7A902D-7399-4B15-ADA7-3A63D562E9E1}"/>
    <cellStyle name="Normal 7 6 2 2 6 5" xfId="23879" xr:uid="{B97EB2A7-DC6C-47FB-9D73-FFC054BBD131}"/>
    <cellStyle name="Normal 7 6 2 2 6 6" xfId="12948" xr:uid="{5C138EAE-DEA9-4AD5-A5FC-91C0DB1C2EFB}"/>
    <cellStyle name="Normal 7 6 2 2 7" xfId="2254" xr:uid="{00000000-0005-0000-0000-0000E6080000}"/>
    <cellStyle name="Normal 7 6 2 2 7 2" xfId="7381" xr:uid="{FF82BE85-CF7E-4D30-9509-E49B9532792C}"/>
    <cellStyle name="Normal 7 6 2 2 7 2 2" xfId="17761" xr:uid="{757A19E5-54D2-47FB-9AAD-B0C917D4B4BB}"/>
    <cellStyle name="Normal 7 6 2 2 7 3" xfId="10214" xr:uid="{9E5C0D3E-2C0D-4C99-8AC6-38661FC76CAE}"/>
    <cellStyle name="Normal 7 6 2 2 7 3 2" xfId="20594" xr:uid="{E32D5685-E2FB-49A1-A380-BF6348883FF4}"/>
    <cellStyle name="Normal 7 6 2 2 7 4" xfId="22862" xr:uid="{1D27C0B9-DB74-48FE-AB51-476EA2630360}"/>
    <cellStyle name="Normal 7 6 2 2 7 5" xfId="14928" xr:uid="{1AE6BEDE-C5EE-45E3-B1A0-392B2C209929}"/>
    <cellStyle name="Normal 7 6 2 2 8" xfId="23548" xr:uid="{C5CE898B-5079-473C-B569-1516EB8A0480}"/>
    <cellStyle name="Normal 7 6 2 2 9" xfId="12486" xr:uid="{39F8E732-094A-4460-B449-9D1468C045E8}"/>
    <cellStyle name="Normal 7 6 2 3" xfId="1480" xr:uid="{00000000-0005-0000-0000-0000A1070000}"/>
    <cellStyle name="Normal 7 6 2 3 10" xfId="10066" xr:uid="{1E1A3F6E-F969-4BAE-9F6F-3AA572EF8B3A}"/>
    <cellStyle name="Normal 7 6 2 3 10 2" xfId="20446" xr:uid="{256AC34C-FBD0-4F27-88CC-FEFDC0ABDECA}"/>
    <cellStyle name="Normal 7 6 2 3 11" xfId="25393" xr:uid="{167A9EED-2DEA-4CC9-B832-6DB0C5C99144}"/>
    <cellStyle name="Normal 7 6 2 3 12" xfId="12644" xr:uid="{E8BC95D7-541E-43E5-A0AF-7043290B7F2A}"/>
    <cellStyle name="Normal 7 6 2 3 2" xfId="2425" xr:uid="{00000000-0005-0000-0000-0000F3080000}"/>
    <cellStyle name="Normal 7 6 2 3 2 2" xfId="3487" xr:uid="{00000000-0005-0000-0000-0000F4080000}"/>
    <cellStyle name="Normal 7 6 2 3 2 2 2" xfId="6542" xr:uid="{2ED177E0-8D34-47F6-A550-BB54CD807983}"/>
    <cellStyle name="Normal 7 6 2 3 2 2 2 2" xfId="27736" xr:uid="{7B4B4AD0-D389-448D-9CF1-2C7A12CFAB15}"/>
    <cellStyle name="Normal 7 6 2 3 2 2 2 3" xfId="27486" xr:uid="{974FFAAC-0323-4FC9-A221-BF7EAC317557}"/>
    <cellStyle name="Normal 7 6 2 3 2 2 2 4" xfId="16113" xr:uid="{943B722A-1B6D-485C-BE3E-606506E530D2}"/>
    <cellStyle name="Normal 7 6 2 3 2 2 3" xfId="8566" xr:uid="{FA3BE7CA-8711-46A0-ACF0-5961A05AB851}"/>
    <cellStyle name="Normal 7 6 2 3 2 2 3 2" xfId="28949" xr:uid="{A37E3316-1CDF-4325-9EA6-9E73D2DB4680}"/>
    <cellStyle name="Normal 7 6 2 3 2 2 3 3" xfId="18946" xr:uid="{DF22B7A1-C024-4378-99DA-6E0A161155FE}"/>
    <cellStyle name="Normal 7 6 2 3 2 2 4" xfId="11399" xr:uid="{5880DDF9-8A56-4C4D-9CD8-7088981D7E9F}"/>
    <cellStyle name="Normal 7 6 2 3 2 2 4 2" xfId="21779" xr:uid="{4CB6013D-D85D-4607-B82A-4F2B066B2D34}"/>
    <cellStyle name="Normal 7 6 2 3 2 2 5" xfId="24797" xr:uid="{3EA3BD21-3DB5-4AE3-BB45-0A9CADD59DC2}"/>
    <cellStyle name="Normal 7 6 2 3 2 2 6" xfId="14079" xr:uid="{CC47A00B-1AB7-464B-A96F-1B0D14F90019}"/>
    <cellStyle name="Normal 7 6 2 3 2 3" xfId="2844" xr:uid="{00000000-0005-0000-0000-0000F5080000}"/>
    <cellStyle name="Normal 7 6 2 3 2 3 2" xfId="6058" xr:uid="{28B2E169-D7C2-4667-819D-0471C974F8D7}"/>
    <cellStyle name="Normal 7 6 2 3 2 3 2 2" xfId="26561" xr:uid="{74A0F5AF-D0CB-49BF-8753-E75A9FB067B3}"/>
    <cellStyle name="Normal 7 6 2 3 2 3 2 3" xfId="15513" xr:uid="{11978ACD-762B-44EB-A880-BC19191F914D}"/>
    <cellStyle name="Normal 7 6 2 3 2 3 3" xfId="7966" xr:uid="{B0545A4D-8699-4CA2-B39E-1B70F4A32311}"/>
    <cellStyle name="Normal 7 6 2 3 2 3 3 2" xfId="18346" xr:uid="{0DA7AE16-5A69-446A-A742-5D1BA50817CC}"/>
    <cellStyle name="Normal 7 6 2 3 2 3 4" xfId="10799" xr:uid="{A22CF988-77B7-483B-B476-BEAFAE84D019}"/>
    <cellStyle name="Normal 7 6 2 3 2 3 4 2" xfId="21179" xr:uid="{52400798-466A-47CC-86FE-E125E28CA297}"/>
    <cellStyle name="Normal 7 6 2 3 2 3 5" xfId="23176" xr:uid="{CF5192CA-0014-421A-99D0-F4FCC99E05C3}"/>
    <cellStyle name="Normal 7 6 2 3 2 3 6" xfId="13324" xr:uid="{613B7118-BE5A-48C6-B989-DE44F6BDA5DE}"/>
    <cellStyle name="Normal 7 6 2 3 2 4" xfId="4227" xr:uid="{4C5857AD-234B-4557-ADE5-B8289ADFA87B}"/>
    <cellStyle name="Normal 7 6 2 3 2 4 2" xfId="8999" xr:uid="{CB3B5041-B31D-497A-9D0B-64FC5C0E3A11}"/>
    <cellStyle name="Normal 7 6 2 3 2 4 2 2" xfId="19379" xr:uid="{60104DF8-912C-4105-A482-48B17DE8EA36}"/>
    <cellStyle name="Normal 7 6 2 3 2 4 3" xfId="11832" xr:uid="{2A4BF771-42B9-4F8D-B0E4-FB6E90789D39}"/>
    <cellStyle name="Normal 7 6 2 3 2 4 3 2" xfId="22212" xr:uid="{180518FC-28E0-4F1D-B9E9-975CB149259E}"/>
    <cellStyle name="Normal 7 6 2 3 2 4 4" xfId="23191" xr:uid="{DF7D4F32-EB8C-4BB1-AF49-8F4DEC3925B3}"/>
    <cellStyle name="Normal 7 6 2 3 2 4 5" xfId="16546" xr:uid="{16983FF2-37E5-4C2D-9694-40C4B52EDD4E}"/>
    <cellStyle name="Normal 7 6 2 3 2 5" xfId="5725" xr:uid="{CEE0CD0B-5F26-4751-88D7-0A0E532635CB}"/>
    <cellStyle name="Normal 7 6 2 3 2 5 2" xfId="15099" xr:uid="{C6DBCB33-7F20-48A6-9F48-D85BE71DD538}"/>
    <cellStyle name="Normal 7 6 2 3 2 6" xfId="7552" xr:uid="{189EF68A-E256-4796-89AE-AC0F3FAF7D8E}"/>
    <cellStyle name="Normal 7 6 2 3 2 6 2" xfId="17932" xr:uid="{43FB66C0-390C-4279-B678-C9FDF62130EE}"/>
    <cellStyle name="Normal 7 6 2 3 2 7" xfId="10385" xr:uid="{DBB79F94-F3C9-4812-B61F-AFDCD4D42AF7}"/>
    <cellStyle name="Normal 7 6 2 3 2 7 2" xfId="20765" xr:uid="{3C339B12-A6EB-4E4B-8738-0FBB837DE6F7}"/>
    <cellStyle name="Normal 7 6 2 3 2 8" xfId="23597" xr:uid="{46362229-43AB-4867-8795-752F1117C320}"/>
    <cellStyle name="Normal 7 6 2 3 2 9" xfId="12802" xr:uid="{00811522-1434-49F0-9892-C89467140CF9}"/>
    <cellStyle name="Normal 7 6 2 3 3" xfId="3488" xr:uid="{00000000-0005-0000-0000-0000F6080000}"/>
    <cellStyle name="Normal 7 6 2 3 3 2" xfId="4602" xr:uid="{4517D012-AB3F-4A50-A0AE-6DC9C9AABA35}"/>
    <cellStyle name="Normal 7 6 2 3 3 2 2" xfId="9374" xr:uid="{C788363A-D2D0-4902-9FC0-2B01B7C53F29}"/>
    <cellStyle name="Normal 7 6 2 3 3 2 2 2" xfId="29343" xr:uid="{F7D3D6A1-47D2-48DF-964B-7A00284DE874}"/>
    <cellStyle name="Normal 7 6 2 3 3 2 2 3" xfId="19754" xr:uid="{2595AF05-3149-411D-B2A3-9AB2965C3326}"/>
    <cellStyle name="Normal 7 6 2 3 3 2 3" xfId="12207" xr:uid="{8306838D-A175-48DF-9E22-7CCECC7A46AF}"/>
    <cellStyle name="Normal 7 6 2 3 3 2 3 2" xfId="22587" xr:uid="{666A7408-14DC-4E23-BF53-D70A7F51D1CC}"/>
    <cellStyle name="Normal 7 6 2 3 3 2 4" xfId="23845" xr:uid="{E19D32D2-28B6-4847-815D-8D68D928324E}"/>
    <cellStyle name="Normal 7 6 2 3 3 2 5" xfId="16921" xr:uid="{1F763406-0259-44E6-8D78-7596465B723C}"/>
    <cellStyle name="Normal 7 6 2 3 3 3" xfId="6543" xr:uid="{935A2752-8B7F-4C6A-BF5C-9EDD067E1A9A}"/>
    <cellStyle name="Normal 7 6 2 3 3 3 2" xfId="26797" xr:uid="{88148196-7D1B-4249-9D88-AFD134F9481F}"/>
    <cellStyle name="Normal 7 6 2 3 3 3 3" xfId="16114" xr:uid="{5C68F48B-039B-4724-A7FE-555E7C0A0FE3}"/>
    <cellStyle name="Normal 7 6 2 3 3 4" xfId="8567" xr:uid="{A34AC5BC-0734-4227-9483-F63AE9FA58A4}"/>
    <cellStyle name="Normal 7 6 2 3 3 4 2" xfId="18947" xr:uid="{DA7AF1A6-8AED-419E-8558-7AA2EF1EDAAE}"/>
    <cellStyle name="Normal 7 6 2 3 3 5" xfId="11400" xr:uid="{ADA725C3-BAC9-4DE8-B058-DE956EBE7BD5}"/>
    <cellStyle name="Normal 7 6 2 3 3 5 2" xfId="21780" xr:uid="{106E1BA2-A679-4A52-8A91-C8AD22D52F32}"/>
    <cellStyle name="Normal 7 6 2 3 3 6" xfId="23952" xr:uid="{3DF65DFE-68C1-4814-B5DB-D46D28CCC849}"/>
    <cellStyle name="Normal 7 6 2 3 3 7" xfId="14080" xr:uid="{2AAC3EB0-648E-4039-A54B-70CFFB60586E}"/>
    <cellStyle name="Normal 7 6 2 3 4" xfId="3000" xr:uid="{00000000-0005-0000-0000-0000F7080000}"/>
    <cellStyle name="Normal 7 6 2 3 4 2" xfId="6149" xr:uid="{8CE6BF8B-0E9F-4452-84EA-E1F3441688C5}"/>
    <cellStyle name="Normal 7 6 2 3 4 2 2" xfId="26411" xr:uid="{58070C94-302A-4FED-9388-BC7FD3B37CC0}"/>
    <cellStyle name="Normal 7 6 2 3 4 2 3" xfId="15627" xr:uid="{0C47AA3F-AB24-4930-9F11-72E8E2853579}"/>
    <cellStyle name="Normal 7 6 2 3 4 3" xfId="8080" xr:uid="{DE95BD2A-6FEC-43D3-99B0-B0875EAAA115}"/>
    <cellStyle name="Normal 7 6 2 3 4 3 2" xfId="18460" xr:uid="{ED7BAE7D-93BA-4869-9024-02B2F0BF21BA}"/>
    <cellStyle name="Normal 7 6 2 3 4 4" xfId="10913" xr:uid="{B17E3A17-CCA1-40F8-B55A-5C7F6649D437}"/>
    <cellStyle name="Normal 7 6 2 3 4 4 2" xfId="21293" xr:uid="{E8854CB8-4A7B-42B7-B6C5-59EAF2B0AF74}"/>
    <cellStyle name="Normal 7 6 2 3 4 5" xfId="24932" xr:uid="{CD25090A-1621-41C6-A210-0964DFF056A3}"/>
    <cellStyle name="Normal 7 6 2 3 4 6" xfId="13500" xr:uid="{FBD1A3F5-66E5-42B8-A13E-5BBCC43129D9}"/>
    <cellStyle name="Normal 7 6 2 3 5" xfId="2603" xr:uid="{00000000-0005-0000-0000-0000F8080000}"/>
    <cellStyle name="Normal 7 6 2 3 5 2" xfId="5868" xr:uid="{68540AEA-0E8E-4490-B917-D8E157903F73}"/>
    <cellStyle name="Normal 7 6 2 3 5 2 2" xfId="25873" xr:uid="{99D1D200-427F-4337-BF8F-46411779011E}"/>
    <cellStyle name="Normal 7 6 2 3 5 2 3" xfId="15275" xr:uid="{7B3CE3F2-FBE3-4F86-B53B-87E78ECF1E4D}"/>
    <cellStyle name="Normal 7 6 2 3 5 3" xfId="7728" xr:uid="{46B538C4-698E-407A-A73A-E6508947368F}"/>
    <cellStyle name="Normal 7 6 2 3 5 3 2" xfId="18108" xr:uid="{8C020935-67DA-4919-8F95-EE48A1028C02}"/>
    <cellStyle name="Normal 7 6 2 3 5 4" xfId="10561" xr:uid="{A7DF25E5-D097-4AB6-8A00-5C02D02AC826}"/>
    <cellStyle name="Normal 7 6 2 3 5 4 2" xfId="20941" xr:uid="{31A32AC7-551F-4906-BAB2-3B442B016CFC}"/>
    <cellStyle name="Normal 7 6 2 3 5 5" xfId="22926" xr:uid="{DCFA66F2-A4CC-4D03-88FA-4D2DEDA2B454}"/>
    <cellStyle name="Normal 7 6 2 3 5 6" xfId="12991" xr:uid="{F0E67ACF-9FBC-40E0-A18F-2E957BAD3AC0}"/>
    <cellStyle name="Normal 7 6 2 3 6" xfId="2410" xr:uid="{00000000-0005-0000-0000-0000F2080000}"/>
    <cellStyle name="Normal 7 6 2 3 6 2" xfId="7537" xr:uid="{78E3D2FD-30E3-475C-A30E-3B2F53C80C2E}"/>
    <cellStyle name="Normal 7 6 2 3 6 2 2" xfId="17917" xr:uid="{81BE1BC3-C79A-4BCB-A37E-0F1B6A11141F}"/>
    <cellStyle name="Normal 7 6 2 3 6 3" xfId="10370" xr:uid="{BC48B4BF-DD1D-4F5D-8422-249DC6A0F923}"/>
    <cellStyle name="Normal 7 6 2 3 6 3 2" xfId="20750" xr:uid="{186FE3F9-E38C-4563-937D-AF0E6A552712}"/>
    <cellStyle name="Normal 7 6 2 3 6 4" xfId="25440" xr:uid="{FEDB20F1-CD1B-4AB9-9D41-85153BDA663B}"/>
    <cellStyle name="Normal 7 6 2 3 6 5" xfId="15084" xr:uid="{94E2F247-9332-4E0E-A9F1-EE55A5533C72}"/>
    <cellStyle name="Normal 7 6 2 3 7" xfId="4081" xr:uid="{A6B066F1-DD96-4C23-A370-41D05A534855}"/>
    <cellStyle name="Normal 7 6 2 3 7 2" xfId="8859" xr:uid="{667C695F-D196-43B0-9454-E2BEAC50E32B}"/>
    <cellStyle name="Normal 7 6 2 3 7 2 2" xfId="19239" xr:uid="{58A1C407-A8BF-4947-968E-83CFCDF6891D}"/>
    <cellStyle name="Normal 7 6 2 3 7 3" xfId="11692" xr:uid="{D348FA38-632B-4CDE-8A66-F8DC1E6E7289}"/>
    <cellStyle name="Normal 7 6 2 3 7 3 2" xfId="22072" xr:uid="{860FD70A-BDAB-4B4D-84BD-620614E8FCD7}"/>
    <cellStyle name="Normal 7 6 2 3 7 4" xfId="16406" xr:uid="{95D5832A-9277-429F-AC12-EB7E130781B2}"/>
    <cellStyle name="Normal 7 6 2 3 8" xfId="5482" xr:uid="{7A635B9E-6B33-46CF-BC6A-D7E5668F196F}"/>
    <cellStyle name="Normal 7 6 2 3 8 2" xfId="14780" xr:uid="{A9FE8C30-9E0C-4D99-BCA5-24D0BB0B4012}"/>
    <cellStyle name="Normal 7 6 2 3 9" xfId="7233" xr:uid="{69B6C9D1-4B47-4FD4-9E52-B740DF431ACF}"/>
    <cellStyle name="Normal 7 6 2 3 9 2" xfId="17613" xr:uid="{B773A3F7-250A-44AB-B434-737FFFE34FD5}"/>
    <cellStyle name="Normal 7 6 2 4" xfId="1481" xr:uid="{00000000-0005-0000-0000-0000A2070000}"/>
    <cellStyle name="Normal 7 6 2 4 2" xfId="1482" xr:uid="{00000000-0005-0000-0000-0000A3070000}"/>
    <cellStyle name="Normal 7 6 2 4 2 2" xfId="7234" xr:uid="{6E122A99-0A2B-481E-941E-1A629EFDA561}"/>
    <cellStyle name="Normal 7 6 2 4 2 2 2" xfId="28573" xr:uid="{83729F6A-F6F6-4A57-98C1-F05D08D6747E}"/>
    <cellStyle name="Normal 7 6 2 4 2 2 3" xfId="28472" xr:uid="{B2F2DA54-1103-42A2-9A7C-76FB970A49FC}"/>
    <cellStyle name="Normal 7 6 2 4 2 2 4" xfId="17614" xr:uid="{D3ADCC34-AB49-487F-8203-E8A8E112658B}"/>
    <cellStyle name="Normal 7 6 2 4 2 3" xfId="10067" xr:uid="{CEDBC37A-7193-45AF-A6B6-FCA2810ED39C}"/>
    <cellStyle name="Normal 7 6 2 4 2 3 2" xfId="29466" xr:uid="{2956D692-3D13-45A4-A872-ED62089834FD}"/>
    <cellStyle name="Normal 7 6 2 4 2 3 3" xfId="20447" xr:uid="{6A1C4D72-F17D-4E46-9A7F-286D12EE63B6}"/>
    <cellStyle name="Normal 7 6 2 4 2 4" xfId="22635" xr:uid="{4D6831AF-81DC-4B28-8CFE-4A01A6C21AFC}"/>
    <cellStyle name="Normal 7 6 2 4 2 5" xfId="14781" xr:uid="{724AB0AE-DCBD-447A-9A5F-559E64BBAC60}"/>
    <cellStyle name="Normal 7 6 2 4 3" xfId="27384" xr:uid="{FA1FF1D9-E270-4A7D-A943-E427F0729186}"/>
    <cellStyle name="Normal 7 6 2 4 4" xfId="27362" xr:uid="{5E3A2284-2B4C-4BE2-948C-47C09382975B}"/>
    <cellStyle name="Normal 7 6 2 5" xfId="1483" xr:uid="{00000000-0005-0000-0000-0000A4070000}"/>
    <cellStyle name="Normal 7 6 2 5 2" xfId="4603" xr:uid="{12B5E42F-D790-45DA-9D1D-5C233CD01BAE}"/>
    <cellStyle name="Normal 7 6 2 5 2 2" xfId="9375" xr:uid="{2F3F45FC-EC56-4E7D-93DD-DA14367C6125}"/>
    <cellStyle name="Normal 7 6 2 5 2 2 2" xfId="29344" xr:uid="{19A9BD2C-7CD5-4F36-819D-FCF0DCCAC26D}"/>
    <cellStyle name="Normal 7 6 2 5 2 2 3" xfId="19755" xr:uid="{6D73268A-E381-41BB-9B34-46954B025484}"/>
    <cellStyle name="Normal 7 6 2 5 2 3" xfId="12208" xr:uid="{B541EE0C-4218-421C-9358-C9821E1A6070}"/>
    <cellStyle name="Normal 7 6 2 5 2 3 2" xfId="22588" xr:uid="{012FB8A7-B699-401A-B4CF-B396529CC047}"/>
    <cellStyle name="Normal 7 6 2 5 2 4" xfId="22819" xr:uid="{5A2CA262-985D-488C-8315-7CA4E45DF330}"/>
    <cellStyle name="Normal 7 6 2 5 2 5" xfId="16922" xr:uid="{3BAEB2FB-CA7F-4AFE-9FED-04598FABBA68}"/>
    <cellStyle name="Normal 7 6 2 5 3" xfId="5483" xr:uid="{9BFE6913-B7FD-46C9-B7DA-1CA04FBD48E1}"/>
    <cellStyle name="Normal 7 6 2 5 3 2" xfId="23480" xr:uid="{FB55B3A7-7CC4-4B33-81ED-58C90816DEA3}"/>
    <cellStyle name="Normal 7 6 2 5 3 3" xfId="26130" xr:uid="{E82DA417-FF46-4F52-9655-06161D003715}"/>
    <cellStyle name="Normal 7 6 2 5 3 4" xfId="14782" xr:uid="{35CE0722-3881-4B50-B822-855499230C93}"/>
    <cellStyle name="Normal 7 6 2 5 4" xfId="7235" xr:uid="{61D9F8CE-C3A3-4C75-975A-5683861D81A8}"/>
    <cellStyle name="Normal 7 6 2 5 4 2" xfId="24405" xr:uid="{FF928902-5FAB-491E-94A9-CC6410DAF7CB}"/>
    <cellStyle name="Normal 7 6 2 5 4 3" xfId="26436" xr:uid="{92080964-D7FF-4FC2-9B39-69DF9E261DF5}"/>
    <cellStyle name="Normal 7 6 2 5 4 4" xfId="17615" xr:uid="{A1508B5E-4B42-4C5E-8E1E-D427EE683154}"/>
    <cellStyle name="Normal 7 6 2 5 5" xfId="10068" xr:uid="{5E8CB66E-C768-459E-B683-3A13F096FB12}"/>
    <cellStyle name="Normal 7 6 2 5 5 2" xfId="29467" xr:uid="{A01A7646-22A0-41C3-B691-FACD4DA56448}"/>
    <cellStyle name="Normal 7 6 2 5 5 3" xfId="20448" xr:uid="{E4F574C7-E9B7-468D-9451-085997566E7D}"/>
    <cellStyle name="Normal 7 6 2 5 6" xfId="25144" xr:uid="{1CD5A22A-E0C0-40E0-BF04-96020AA18368}"/>
    <cellStyle name="Normal 7 6 2 5 7" xfId="14081" xr:uid="{6F77A334-7E8D-454F-9079-979D25F26416}"/>
    <cellStyle name="Normal 7 6 2 6" xfId="1484" xr:uid="{00000000-0005-0000-0000-0000A5070000}"/>
    <cellStyle name="Normal 7 6 2 6 2" xfId="2500" xr:uid="{00000000-0005-0000-0000-0000FB080000}"/>
    <cellStyle name="Normal 7 6 2 6 2 2" xfId="7625" xr:uid="{6DA91824-4395-46A4-B38A-CA6BA7737022}"/>
    <cellStyle name="Normal 7 6 2 6 2 2 2" xfId="18005" xr:uid="{B286C0FC-B35F-4A65-8F1E-46A4D3D798C7}"/>
    <cellStyle name="Normal 7 6 2 6 2 3" xfId="10458" xr:uid="{F0F27D90-69BA-4FBF-9D6A-63517C68C43B}"/>
    <cellStyle name="Normal 7 6 2 6 2 3 2" xfId="20838" xr:uid="{5D964759-6C67-4757-A5AD-5C7EDC1A05BE}"/>
    <cellStyle name="Normal 7 6 2 6 2 4" xfId="28457" xr:uid="{14B8BD50-F673-4976-A063-187232F799C6}"/>
    <cellStyle name="Normal 7 6 2 6 2 5" xfId="15172" xr:uid="{B518ABFA-065B-423C-BD0E-6902CAC24386}"/>
    <cellStyle name="Normal 7 6 2 6 3" xfId="2047" xr:uid="{00000000-0005-0000-0000-0000A5070000}"/>
    <cellStyle name="Normal 7 6 2 6 4" xfId="5484" xr:uid="{A67FD77B-8C42-46EF-8626-0391DF1149CC}"/>
    <cellStyle name="Normal 7 6 2 6 4 2" xfId="29747" xr:uid="{5D856566-71DC-4B60-BA54-4AAFB41ABC56}"/>
    <cellStyle name="Normal 7 6 2 6 5" xfId="22767" xr:uid="{55D9A16F-D7A4-4684-8925-24433A61B1FE}"/>
    <cellStyle name="Normal 7 6 2 6 6" xfId="12888" xr:uid="{23CC4D2E-FB2B-433A-8457-8D4F882A536F}"/>
    <cellStyle name="Normal 7 6 2 7" xfId="2194" xr:uid="{00000000-0005-0000-0000-0000E5080000}"/>
    <cellStyle name="Normal 7 6 2 7 2" xfId="7321" xr:uid="{BF72EEEC-0363-42E3-BC13-D45899A28E16}"/>
    <cellStyle name="Normal 7 6 2 7 2 2" xfId="25934" xr:uid="{B86B97D5-6C7E-4598-A23A-995132FA8F68}"/>
    <cellStyle name="Normal 7 6 2 7 2 3" xfId="17701" xr:uid="{4BEFBD65-26C5-4811-A175-AF2DB6BCCA56}"/>
    <cellStyle name="Normal 7 6 2 7 3" xfId="10154" xr:uid="{21A3D271-F3A0-4463-94E9-EDCAD5111008}"/>
    <cellStyle name="Normal 7 6 2 7 3 2" xfId="20534" xr:uid="{E0479714-0684-4F81-93CE-59DB467146FA}"/>
    <cellStyle name="Normal 7 6 2 7 4" xfId="24913" xr:uid="{8956E53A-E2B5-4656-A712-A63BE9BA9A20}"/>
    <cellStyle name="Normal 7 6 2 7 5" xfId="14868" xr:uid="{53DC5CB4-8DC4-4461-95A0-784F72F2BAF7}"/>
    <cellStyle name="Normal 7 6 2 8" xfId="24378" xr:uid="{ED4EC8EF-5843-457B-AF88-4D7D2FF16CC9}"/>
    <cellStyle name="Normal 7 6 2 8 2" xfId="26104" xr:uid="{1718AF5F-58E8-4B0F-AB17-E916184D4514}"/>
    <cellStyle name="Normal 7 6 2 9" xfId="26699" xr:uid="{6293BA1F-4F0E-4845-A691-991D33328C21}"/>
    <cellStyle name="Normal 7 6 20" xfId="12403" xr:uid="{4D736B5C-A5E8-4CE8-A84B-CC95F0450F18}"/>
    <cellStyle name="Normal 7 6 21" xfId="29836" xr:uid="{14591012-5BF2-4661-84EF-D3C202A421F1}"/>
    <cellStyle name="Normal 7 6 21 2" xfId="31505" xr:uid="{AE07DE1B-668E-4B16-88FD-3A9EC54BD8AE}"/>
    <cellStyle name="Normal 7 6 22" xfId="29981" xr:uid="{9BCCC15C-78C9-486F-A701-1A52E6003D5D}"/>
    <cellStyle name="Normal 7 6 23" xfId="30164" xr:uid="{49D357EA-AD67-4E3B-A3C0-C67DEDCA22C2}"/>
    <cellStyle name="Normal 7 6 3" xfId="1485" xr:uid="{00000000-0005-0000-0000-0000A6070000}"/>
    <cellStyle name="Normal 7 6 3 10" xfId="5485" xr:uid="{0FF0B9C9-C1B6-4F32-B56F-A6E9F15C0064}"/>
    <cellStyle name="Normal 7 6 3 10 2" xfId="14783" xr:uid="{11F63485-85EE-419C-92E1-1121CED9FCEE}"/>
    <cellStyle name="Normal 7 6 3 11" xfId="7236" xr:uid="{C03B5CF4-3859-4FAB-B0F8-AD00D31F5CD5}"/>
    <cellStyle name="Normal 7 6 3 11 2" xfId="17616" xr:uid="{3965AFF5-D500-4564-8608-7B8F9F639B94}"/>
    <cellStyle name="Normal 7 6 3 12" xfId="10069" xr:uid="{FB397A62-BE51-4249-8822-47E85F69ACF6}"/>
    <cellStyle name="Normal 7 6 3 12 2" xfId="20449" xr:uid="{2017A004-559C-4D69-BB7E-AF23B9128025}"/>
    <cellStyle name="Normal 7 6 3 13" xfId="24060" xr:uid="{00283BD8-6DFE-4D42-A8C9-DE55BB8542D4}"/>
    <cellStyle name="Normal 7 6 3 14" xfId="12463" xr:uid="{330A2FA6-1B02-4750-856C-3013779CABB4}"/>
    <cellStyle name="Normal 7 6 3 2" xfId="1486" xr:uid="{00000000-0005-0000-0000-0000A7070000}"/>
    <cellStyle name="Normal 7 6 3 2 10" xfId="10070" xr:uid="{C384459C-EE0B-4E33-B24B-329E5047D295}"/>
    <cellStyle name="Normal 7 6 3 2 10 2" xfId="20450" xr:uid="{36061472-8AC3-4274-8073-CEF844A71F48}"/>
    <cellStyle name="Normal 7 6 3 2 11" xfId="24505" xr:uid="{4204AB79-5DC5-4919-B457-C0C5904DDC3B}"/>
    <cellStyle name="Normal 7 6 3 2 12" xfId="12645" xr:uid="{22329E4F-DB2C-4C3F-9CF0-92AE194A115C}"/>
    <cellStyle name="Normal 7 6 3 2 2" xfId="1487" xr:uid="{00000000-0005-0000-0000-0000A8070000}"/>
    <cellStyle name="Normal 7 6 3 2 2 2" xfId="3490" xr:uid="{00000000-0005-0000-0000-0000FF080000}"/>
    <cellStyle name="Normal 7 6 3 2 2 2 2" xfId="6545" xr:uid="{A75AD212-DE64-4528-9504-E8C40F6BFFD9}"/>
    <cellStyle name="Normal 7 6 3 2 2 2 2 2" xfId="24605" xr:uid="{A8C4C092-3BDF-4E13-8A90-AF197A9ED4D0}"/>
    <cellStyle name="Normal 7 6 3 2 2 2 2 3" xfId="27048" xr:uid="{2ED1A404-9ADC-44F3-A047-EBCF7D564F86}"/>
    <cellStyle name="Normal 7 6 3 2 2 2 2 4" xfId="16116" xr:uid="{EF263C13-2736-4C6F-8F51-B5CEE61F346C}"/>
    <cellStyle name="Normal 7 6 3 2 2 2 3" xfId="8569" xr:uid="{32111021-159F-4647-B700-FE0DBF32DC34}"/>
    <cellStyle name="Normal 7 6 3 2 2 2 3 2" xfId="28950" xr:uid="{EAA0EE0C-4FE5-4161-BCED-F3045E4F6B01}"/>
    <cellStyle name="Normal 7 6 3 2 2 2 3 3" xfId="18949" xr:uid="{BFC8A839-9433-4509-8CDC-EE5B8F75A796}"/>
    <cellStyle name="Normal 7 6 3 2 2 2 4" xfId="11402" xr:uid="{3903FC95-6D88-43D5-B48C-BF1168E91186}"/>
    <cellStyle name="Normal 7 6 3 2 2 2 4 2" xfId="21782" xr:uid="{85F0D391-5129-4115-8BDB-5E45211D7ADD}"/>
    <cellStyle name="Normal 7 6 3 2 2 2 5" xfId="24106" xr:uid="{53B646B6-BDEF-47EF-BC18-89C8554F3A50}"/>
    <cellStyle name="Normal 7 6 3 2 2 2 6" xfId="14083" xr:uid="{BAE7D445-FB7C-42D7-AD8B-B9AC3626DEDA}"/>
    <cellStyle name="Normal 7 6 3 2 2 3" xfId="4378" xr:uid="{C162742C-DE66-4955-A711-6E4484B11279}"/>
    <cellStyle name="Normal 7 6 3 2 2 3 2" xfId="9150" xr:uid="{0918B151-3C2B-4B85-A6EE-AA68960CB029}"/>
    <cellStyle name="Normal 7 6 3 2 2 3 2 2" xfId="29193" xr:uid="{88587D24-EEEF-4814-86EC-5BC5CAA19DD2}"/>
    <cellStyle name="Normal 7 6 3 2 2 3 2 3" xfId="19530" xr:uid="{8B3E029C-4D34-4CE9-B3C5-4B123FC6AEC1}"/>
    <cellStyle name="Normal 7 6 3 2 2 3 3" xfId="11983" xr:uid="{266513DF-7348-434C-8067-A7FDC9FC347D}"/>
    <cellStyle name="Normal 7 6 3 2 2 3 3 2" xfId="22363" xr:uid="{F34BC78C-C166-4889-B870-241F722142EB}"/>
    <cellStyle name="Normal 7 6 3 2 2 3 4" xfId="24116" xr:uid="{9C2A6350-DC11-4F7E-A855-98DE6405744B}"/>
    <cellStyle name="Normal 7 6 3 2 2 3 5" xfId="16697" xr:uid="{EA3FD3EA-104B-4372-8508-1829A0B44B5A}"/>
    <cellStyle name="Normal 7 6 3 2 2 4" xfId="5487" xr:uid="{F6EB880C-ED38-43AD-9751-1348F342E406}"/>
    <cellStyle name="Normal 7 6 3 2 2 4 2" xfId="26682" xr:uid="{174D04E0-A481-4349-AFBB-03F3FEE58C33}"/>
    <cellStyle name="Normal 7 6 3 2 2 4 3" xfId="14785" xr:uid="{1351964C-5036-4720-AC2B-4923681CF4AE}"/>
    <cellStyle name="Normal 7 6 3 2 2 5" xfId="7238" xr:uid="{B202CF5B-A6DC-4139-A90D-747D11398E52}"/>
    <cellStyle name="Normal 7 6 3 2 2 5 2" xfId="17618" xr:uid="{B893D070-4A71-4F7A-9322-7BF783E4AD36}"/>
    <cellStyle name="Normal 7 6 3 2 2 6" xfId="10071" xr:uid="{4F20E983-D5B4-4F3B-9774-CCF5C3CD4021}"/>
    <cellStyle name="Normal 7 6 3 2 2 6 2" xfId="20451" xr:uid="{EF6D2DA0-8AC6-416D-AB1F-40B3D31A6C2B}"/>
    <cellStyle name="Normal 7 6 3 2 2 7" xfId="25106" xr:uid="{89018BB3-8938-462E-AEA3-006F14FFFBAD}"/>
    <cellStyle name="Normal 7 6 3 2 2 8" xfId="13326" xr:uid="{61F590E0-3462-4D35-AD10-130D37A535D8}"/>
    <cellStyle name="Normal 7 6 3 2 3" xfId="3491" xr:uid="{00000000-0005-0000-0000-000000090000}"/>
    <cellStyle name="Normal 7 6 3 2 3 2" xfId="4604" xr:uid="{39ECBFA1-EFA7-434E-B5B7-F7621C6DED91}"/>
    <cellStyle name="Normal 7 6 3 2 3 2 2" xfId="9376" xr:uid="{6A24BE19-D00A-402A-BF36-29A11EF1785A}"/>
    <cellStyle name="Normal 7 6 3 2 3 2 2 2" xfId="29345" xr:uid="{1EFC031E-8BC5-41C9-B3F7-ADEFFFCEF88E}"/>
    <cellStyle name="Normal 7 6 3 2 3 2 2 3" xfId="19756" xr:uid="{F8C1338B-9D46-4335-A532-D1A8DCD6CDB1}"/>
    <cellStyle name="Normal 7 6 3 2 3 2 3" xfId="12209" xr:uid="{E79DF795-2412-48C3-839B-400AC4100CB6}"/>
    <cellStyle name="Normal 7 6 3 2 3 2 3 2" xfId="22589" xr:uid="{90C6B6F4-9B46-4D95-BA39-EA67B5D745C0}"/>
    <cellStyle name="Normal 7 6 3 2 3 2 4" xfId="25653" xr:uid="{2CE1781A-5E26-4029-AEFA-75D6D87258A2}"/>
    <cellStyle name="Normal 7 6 3 2 3 2 5" xfId="16923" xr:uid="{9B51D3E1-8B40-45FB-B22D-E8E0CBC33D80}"/>
    <cellStyle name="Normal 7 6 3 2 3 3" xfId="6546" xr:uid="{E4F7623D-6662-4A7F-8469-B85FD6B2A69A}"/>
    <cellStyle name="Normal 7 6 3 2 3 3 2" xfId="26834" xr:uid="{EBEE138B-E2C0-41E6-96F2-23A53F2328CC}"/>
    <cellStyle name="Normal 7 6 3 2 3 3 3" xfId="16117" xr:uid="{94112684-D143-469E-B73F-BA75177662C5}"/>
    <cellStyle name="Normal 7 6 3 2 3 4" xfId="8570" xr:uid="{204587C1-477C-4F02-AC2C-FB776FA0CC80}"/>
    <cellStyle name="Normal 7 6 3 2 3 4 2" xfId="18950" xr:uid="{5C79DCA2-4A5F-46C4-AAFF-A42ADB2FB554}"/>
    <cellStyle name="Normal 7 6 3 2 3 5" xfId="11403" xr:uid="{AEB043DD-3436-4ACC-B81C-0B3407855D19}"/>
    <cellStyle name="Normal 7 6 3 2 3 5 2" xfId="21783" xr:uid="{BAC586FA-8088-469D-8538-E78A0BE57809}"/>
    <cellStyle name="Normal 7 6 3 2 3 6" xfId="24227" xr:uid="{8EED4C54-AB70-4569-8CE6-1053658155E5}"/>
    <cellStyle name="Normal 7 6 3 2 3 7" xfId="14084" xr:uid="{30054B3B-B915-405B-ADE7-584368C336C6}"/>
    <cellStyle name="Normal 7 6 3 2 4" xfId="3489" xr:uid="{00000000-0005-0000-0000-000001090000}"/>
    <cellStyle name="Normal 7 6 3 2 4 2" xfId="6544" xr:uid="{7B6E7000-0441-4622-945D-CE45B7D4AB6B}"/>
    <cellStyle name="Normal 7 6 3 2 4 2 2" xfId="26593" xr:uid="{4BCE06FB-C81E-4322-B29F-BBE14600E106}"/>
    <cellStyle name="Normal 7 6 3 2 4 2 3" xfId="16115" xr:uid="{3A1732FA-27B6-45A2-AF77-63EB64C97D89}"/>
    <cellStyle name="Normal 7 6 3 2 4 3" xfId="8568" xr:uid="{9DD597EA-EC23-4792-894C-E9B1C33E94AE}"/>
    <cellStyle name="Normal 7 6 3 2 4 3 2" xfId="18948" xr:uid="{362CFB7D-F2B8-4926-B044-983395B01BA1}"/>
    <cellStyle name="Normal 7 6 3 2 4 4" xfId="11401" xr:uid="{D92811AC-761B-403F-B3BF-E85A22387678}"/>
    <cellStyle name="Normal 7 6 3 2 4 4 2" xfId="21781" xr:uid="{FB91684D-B12B-42F6-90A5-428E33A98090}"/>
    <cellStyle name="Normal 7 6 3 2 4 5" xfId="23524" xr:uid="{8A11F309-5766-481E-9FEA-7954DA7B47B4}"/>
    <cellStyle name="Normal 7 6 3 2 4 6" xfId="14082" xr:uid="{CE988D99-B1B8-4C92-985D-D11FA4B9C379}"/>
    <cellStyle name="Normal 7 6 3 2 5" xfId="2537" xr:uid="{00000000-0005-0000-0000-000002090000}"/>
    <cellStyle name="Normal 7 6 3 2 5 2" xfId="5811" xr:uid="{F4DFDF64-7DF7-4B91-90EE-A93EAE6980E3}"/>
    <cellStyle name="Normal 7 6 3 2 5 2 2" xfId="27623" xr:uid="{63BA84BA-A60E-4664-B663-17E1FEC0AD59}"/>
    <cellStyle name="Normal 7 6 3 2 5 2 3" xfId="15209" xr:uid="{BBE616B4-4FED-4FAD-9B28-D5068FF531DD}"/>
    <cellStyle name="Normal 7 6 3 2 5 3" xfId="7662" xr:uid="{61134F25-A1A6-4156-9344-85714967A00C}"/>
    <cellStyle name="Normal 7 6 3 2 5 3 2" xfId="18042" xr:uid="{05AE6B0B-E90F-496D-9F41-02F654425368}"/>
    <cellStyle name="Normal 7 6 3 2 5 4" xfId="10495" xr:uid="{5797FCFC-89AF-49F9-9975-DF75035D6631}"/>
    <cellStyle name="Normal 7 6 3 2 5 4 2" xfId="20875" xr:uid="{D1EF8E00-47DB-4AF1-89E3-031429467C7E}"/>
    <cellStyle name="Normal 7 6 3 2 5 5" xfId="24103" xr:uid="{037A8E6B-0580-4D89-A363-ABD4DA75EE1C}"/>
    <cellStyle name="Normal 7 6 3 2 5 6" xfId="12925" xr:uid="{F05D9D0A-05DF-4E0B-BA3C-4F5C0046ED46}"/>
    <cellStyle name="Normal 7 6 3 2 6" xfId="2411" xr:uid="{00000000-0005-0000-0000-0000FD080000}"/>
    <cellStyle name="Normal 7 6 3 2 6 2" xfId="7538" xr:uid="{0AF1B255-9782-4AA0-85B9-E2F027122566}"/>
    <cellStyle name="Normal 7 6 3 2 6 2 2" xfId="17918" xr:uid="{A8F0BB78-33FF-4A33-9C14-85171F59F9D7}"/>
    <cellStyle name="Normal 7 6 3 2 6 3" xfId="10371" xr:uid="{748D5359-7EA2-4C9F-A25C-AC466CAA6C64}"/>
    <cellStyle name="Normal 7 6 3 2 6 3 2" xfId="20751" xr:uid="{21BAC3C7-CA48-4471-B2F8-D6F7724DCB22}"/>
    <cellStyle name="Normal 7 6 3 2 6 4" xfId="24579" xr:uid="{7DA92AAD-0C30-4D70-8EF8-F92F27EDCF5E}"/>
    <cellStyle name="Normal 7 6 3 2 6 5" xfId="15085" xr:uid="{3F5B5856-726F-4C40-B48C-00F81E228475}"/>
    <cellStyle name="Normal 7 6 3 2 7" xfId="4083" xr:uid="{8905C58B-3AA2-4522-9658-D1A4F26EBCA6}"/>
    <cellStyle name="Normal 7 6 3 2 7 2" xfId="8861" xr:uid="{AE4A32B9-46AF-4B7A-9737-F3E5908BFA7F}"/>
    <cellStyle name="Normal 7 6 3 2 7 2 2" xfId="19241" xr:uid="{9A3E086B-6CD9-4D34-9AB3-3AECDBA64CA3}"/>
    <cellStyle name="Normal 7 6 3 2 7 3" xfId="11694" xr:uid="{6653D4D5-6BF4-413E-A5D3-BE0A02CE4719}"/>
    <cellStyle name="Normal 7 6 3 2 7 3 2" xfId="22074" xr:uid="{0D8C75DD-86CE-40BD-B9F8-D0241E611C28}"/>
    <cellStyle name="Normal 7 6 3 2 7 4" xfId="16408" xr:uid="{24095FED-6EE3-4AC6-9E67-DA564407F3A5}"/>
    <cellStyle name="Normal 7 6 3 2 8" xfId="5486" xr:uid="{1C04D63F-2527-4922-B84E-C8532F610DB5}"/>
    <cellStyle name="Normal 7 6 3 2 8 2" xfId="14784" xr:uid="{FE9598D6-D404-4D12-A2A9-953F6914CC16}"/>
    <cellStyle name="Normal 7 6 3 2 9" xfId="7237" xr:uid="{EF280821-8194-4C2F-9C83-1E7EDD85217C}"/>
    <cellStyle name="Normal 7 6 3 2 9 2" xfId="17617" xr:uid="{74D5B46C-9487-40D8-BBB3-53F2C6750AFE}"/>
    <cellStyle name="Normal 7 6 3 3" xfId="1488" xr:uid="{00000000-0005-0000-0000-0000A9070000}"/>
    <cellStyle name="Normal 7 6 3 3 2" xfId="1489" xr:uid="{00000000-0005-0000-0000-0000AA070000}"/>
    <cellStyle name="Normal 7 6 3 3 2 2" xfId="1490" xr:uid="{00000000-0005-0000-0000-0000AB070000}"/>
    <cellStyle name="Normal 7 6 3 3 2 2 2" xfId="3494" xr:uid="{00000000-0005-0000-0000-000005090000}"/>
    <cellStyle name="Normal 7 6 3 3 2 2 2 2" xfId="8572" xr:uid="{8B74FCD3-3004-4FF9-A207-3B34207350F0}"/>
    <cellStyle name="Normal 7 6 3 3 2 2 2 2 2" xfId="28952" xr:uid="{7332878A-36D6-4C54-9958-DC49BDBA1940}"/>
    <cellStyle name="Normal 7 6 3 3 2 2 2 2 3" xfId="18952" xr:uid="{5421953C-2644-4634-A08A-92CAB110B78D}"/>
    <cellStyle name="Normal 7 6 3 3 2 2 2 3" xfId="11405" xr:uid="{595A7502-EE64-4239-A595-0E27D4A90B57}"/>
    <cellStyle name="Normal 7 6 3 3 2 2 2 3 2" xfId="21785" xr:uid="{AD091209-4EC8-4E66-94C2-820E502DE9F6}"/>
    <cellStyle name="Normal 7 6 3 3 2 2 2 4" xfId="23834" xr:uid="{1CC13E34-5A25-404A-9A23-D6B30847F204}"/>
    <cellStyle name="Normal 7 6 3 3 2 2 2 5" xfId="16119" xr:uid="{2C6D172E-98DF-4EBB-AA83-BFF35D6113D1}"/>
    <cellStyle name="Normal 7 6 3 3 2 2 3" xfId="3624" xr:uid="{00000000-0005-0000-0000-0000AB070000}"/>
    <cellStyle name="Normal 7 6 3 3 2 2 3 2" xfId="28144" xr:uid="{8EEB4BA7-6823-4210-B5A8-6255A1ED9AD1}"/>
    <cellStyle name="Normal 7 6 3 3 2 2 3 3" xfId="26091" xr:uid="{EB27B8F3-FCF2-43E1-9E0B-18AE21233D3B}"/>
    <cellStyle name="Normal 7 6 3 3 2 2 4" xfId="5488" xr:uid="{3D8DF5C9-2CCE-4182-AF0F-F0C5756989A7}"/>
    <cellStyle name="Normal 7 6 3 3 2 2 4 2" xfId="29786" xr:uid="{AEE5E8D0-64E0-4EF2-B258-9A2F3F526AE1}"/>
    <cellStyle name="Normal 7 6 3 3 2 2 5" xfId="24559" xr:uid="{B922943A-682E-4BDA-97D1-4B15684C58BE}"/>
    <cellStyle name="Normal 7 6 3 3 2 2 6" xfId="14086" xr:uid="{962D000C-A1AC-4453-ACAB-73642BEFA1C9}"/>
    <cellStyle name="Normal 7 6 3 3 2 3" xfId="3493" xr:uid="{00000000-0005-0000-0000-000006090000}"/>
    <cellStyle name="Normal 7 6 3 3 2 3 2" xfId="30074" xr:uid="{32C9490F-223B-4F54-991F-4B3A7967E779}"/>
    <cellStyle name="Normal 7 6 3 3 2 4" xfId="2846" xr:uid="{00000000-0005-0000-0000-000004090000}"/>
    <cellStyle name="Normal 7 6 3 3 2 4 2" xfId="7968" xr:uid="{7FEAC7C5-8702-4A4A-B139-616752534E0F}"/>
    <cellStyle name="Normal 7 6 3 3 2 4 2 2" xfId="26705" xr:uid="{CB561070-5FA2-49DC-A8AE-EB062A357746}"/>
    <cellStyle name="Normal 7 6 3 3 2 4 2 3" xfId="18348" xr:uid="{B7D03DF5-BD0B-495C-8930-FF0F2A8CD2C0}"/>
    <cellStyle name="Normal 7 6 3 3 2 4 3" xfId="10801" xr:uid="{F0E2E89E-372C-4389-8A1A-DBA4DCC2754E}"/>
    <cellStyle name="Normal 7 6 3 3 2 4 3 2" xfId="21181" xr:uid="{10594F66-5859-4BA2-8F95-ABD9FCBFBF80}"/>
    <cellStyle name="Normal 7 6 3 3 2 4 4" xfId="22794" xr:uid="{19E007BA-7098-4A3F-9530-9818CE4A424A}"/>
    <cellStyle name="Normal 7 6 3 3 2 4 5" xfId="15515" xr:uid="{08EB1DFA-FFE2-4B40-9F7A-2B80C57D678F}"/>
    <cellStyle name="Normal 7 6 3 3 2 5" xfId="3768" xr:uid="{00000000-0005-0000-0000-000009070000}"/>
    <cellStyle name="Normal 7 6 3 3 2 5 2" xfId="4095" xr:uid="{9ECDFCFE-9E25-458F-A3CA-22ABFB47DDE6}"/>
    <cellStyle name="Normal 7 6 3 3 2 5 2 2" xfId="29806" xr:uid="{5B30EC69-E692-4A67-825D-515A3CD295B3}"/>
    <cellStyle name="Normal 7 6 3 3 2 5 3" xfId="23112" xr:uid="{8B9C337C-9F1F-4B71-B33C-4BBF8768F2B4}"/>
    <cellStyle name="Normal 7 6 3 3 2 5 3 2" xfId="30094" xr:uid="{704ABBA2-7391-4C03-A229-8C5BE6596277}"/>
    <cellStyle name="Normal 7 6 3 3 2 5 4" xfId="25624" xr:uid="{08F19465-FA20-4EFC-BDBA-F333EA0FE99C}"/>
    <cellStyle name="Normal 7 6 3 3 2 5 5" xfId="30293" xr:uid="{B0B0FC5E-A681-4C7A-9402-587E6D246449}"/>
    <cellStyle name="Normal 7 6 3 3 2 5 5 2" xfId="31436" xr:uid="{0C479F8B-31BC-4A83-A9FF-C393F1C53DF5}"/>
    <cellStyle name="Normal 7 6 3 3 2 5 6" xfId="31633" xr:uid="{30D63F68-2665-4D62-BFD1-4D3B105583A0}"/>
    <cellStyle name="Normal 7 6 3 3 2 6" xfId="23049" xr:uid="{6A1329E9-4F61-4AE7-A038-DC47D92FCBA5}"/>
    <cellStyle name="Normal 7 6 3 3 2 6 2" xfId="31146" xr:uid="{34B83ACE-44A3-4940-AFE5-B4EF022905B3}"/>
    <cellStyle name="Normal 7 6 3 3 2 6 3" xfId="30914" xr:uid="{6E2A21CD-035E-489F-A7DE-293D595960DB}"/>
    <cellStyle name="Normal 7 6 3 3 2 7" xfId="13327" xr:uid="{F64208F4-0E3F-4CEE-8256-88031B63933C}"/>
    <cellStyle name="Normal 7 6 3 3 2 8" xfId="30926" xr:uid="{9FCF0968-A979-4539-AD90-D2D9D79CDAFE}"/>
    <cellStyle name="Normal 7 6 3 3 3" xfId="1491" xr:uid="{00000000-0005-0000-0000-0000AC070000}"/>
    <cellStyle name="Normal 7 6 3 3 3 2" xfId="3495" xr:uid="{00000000-0005-0000-0000-000007090000}"/>
    <cellStyle name="Normal 7 6 3 3 3 2 2" xfId="8573" xr:uid="{EF5855A4-E2C1-49DF-9504-E2EA90CE0347}"/>
    <cellStyle name="Normal 7 6 3 3 3 2 2 2" xfId="28953" xr:uid="{025541B1-DBD4-4EEF-9100-08DB729F7508}"/>
    <cellStyle name="Normal 7 6 3 3 3 2 2 3" xfId="18953" xr:uid="{63D9C151-495E-40D9-AF42-DAF5A7960CFA}"/>
    <cellStyle name="Normal 7 6 3 3 3 2 2 4" xfId="29816" xr:uid="{A6D295F5-EE7B-4174-AF97-372C2354F921}"/>
    <cellStyle name="Normal 7 6 3 3 3 2 3" xfId="11406" xr:uid="{36AF5DE9-B923-43DA-853A-9DA9024BB51D}"/>
    <cellStyle name="Normal 7 6 3 3 3 2 3 2" xfId="21786" xr:uid="{1F465D1C-26CD-4943-9251-547D0E3620B2}"/>
    <cellStyle name="Normal 7 6 3 3 3 2 4" xfId="25234" xr:uid="{ACDE281D-914C-4269-A204-0BEA3AA49052}"/>
    <cellStyle name="Normal 7 6 3 3 3 2 5" xfId="24790" xr:uid="{E7424FEE-A287-4278-8785-A45E7B369859}"/>
    <cellStyle name="Normal 7 6 3 3 3 2 6" xfId="16120" xr:uid="{36AD8D00-0916-4C96-8A04-308D4955D853}"/>
    <cellStyle name="Normal 7 6 3 3 3 3" xfId="3582" xr:uid="{00000000-0005-0000-0000-0000AC070000}"/>
    <cellStyle name="Normal 7 6 3 3 3 3 2" xfId="22702" xr:uid="{AA2F5C75-DC2C-4230-A5D8-101807C85474}"/>
    <cellStyle name="Normal 7 6 3 3 3 3 2 2" xfId="29819" xr:uid="{780A20BF-D728-490A-A368-FF54E81B0461}"/>
    <cellStyle name="Normal 7 6 3 3 3 3 3" xfId="23939" xr:uid="{BF96C682-830A-4B3C-86E6-BED0BFAFAB1E}"/>
    <cellStyle name="Normal 7 6 3 3 3 4" xfId="4605" xr:uid="{B2D18F5D-868F-400D-8613-513DEF26BB5F}"/>
    <cellStyle name="Normal 7 6 3 3 3 4 2" xfId="9377" xr:uid="{0425B6A6-629F-4611-80FC-EDBECEF46DCF}"/>
    <cellStyle name="Normal 7 6 3 3 3 4 2 2" xfId="19757" xr:uid="{F252610E-686D-4982-B396-9C861E514B40}"/>
    <cellStyle name="Normal 7 6 3 3 3 4 2 3" xfId="31107" xr:uid="{8CB3474E-5571-49FA-AE72-8D5E115219A0}"/>
    <cellStyle name="Normal 7 6 3 3 3 4 2 4" xfId="30915" xr:uid="{DE5E27BB-B822-402D-923F-F9EA10B0EB4E}"/>
    <cellStyle name="Normal 7 6 3 3 3 4 3" xfId="12210" xr:uid="{380CCD94-C053-4C53-BD94-FFD08E872D30}"/>
    <cellStyle name="Normal 7 6 3 3 3 4 3 2" xfId="22590" xr:uid="{6FDC5E10-66D4-454D-ADAD-CEBBF6359800}"/>
    <cellStyle name="Normal 7 6 3 3 3 4 4" xfId="16924" xr:uid="{F6ECB581-5B9B-47AF-9F76-84B6EC88C8E6}"/>
    <cellStyle name="Normal 7 6 3 3 3 5" xfId="5489" xr:uid="{E526189A-FBBF-4CD8-BD80-1D49B21A9FC2}"/>
    <cellStyle name="Normal 7 6 3 3 3 5 2" xfId="29710" xr:uid="{04BD60D3-49F8-449A-9143-0C78D84BF8AD}"/>
    <cellStyle name="Normal 7 6 3 3 3 5 2 2" xfId="30953" xr:uid="{B3D80988-D845-47B0-B2DE-F9006412263D}"/>
    <cellStyle name="Normal 7 6 3 3 3 6" xfId="22964" xr:uid="{A39247FC-957C-4179-8B1D-E102D3CFAC6C}"/>
    <cellStyle name="Normal 7 6 3 3 3 6 2" xfId="29674" xr:uid="{CA9E9E34-311D-47F7-9DA7-90D58AC2FE83}"/>
    <cellStyle name="Normal 7 6 3 3 3 7" xfId="25779" xr:uid="{E22A0136-BAAB-4D71-B4B6-C80D15B87F53}"/>
    <cellStyle name="Normal 7 6 3 3 3 8" xfId="14087" xr:uid="{574FAC05-942C-4FEA-9B51-28FD901D0829}"/>
    <cellStyle name="Normal 7 6 3 3 4" xfId="3492" xr:uid="{00000000-0005-0000-0000-000008090000}"/>
    <cellStyle name="Normal 7 6 3 3 4 2" xfId="6547" xr:uid="{F5FEA776-40B7-467D-A373-0714A130124A}"/>
    <cellStyle name="Normal 7 6 3 3 4 2 2" xfId="23242" xr:uid="{51F7082C-2196-41C7-B373-69BB56C93B1A}"/>
    <cellStyle name="Normal 7 6 3 3 4 2 3" xfId="28160" xr:uid="{DC6147DF-82B5-4E3B-916F-0BCF6F0F8E91}"/>
    <cellStyle name="Normal 7 6 3 3 4 2 4" xfId="16118" xr:uid="{30F026B2-B805-4647-990F-CDDA94500353}"/>
    <cellStyle name="Normal 7 6 3 3 4 2 5" xfId="30570" xr:uid="{84B7872D-76F9-4A5E-9DB5-AB13DBD0B9B6}"/>
    <cellStyle name="Normal 7 6 3 3 4 3" xfId="8571" xr:uid="{1B8B625A-97E3-41E8-AF27-40244788585F}"/>
    <cellStyle name="Normal 7 6 3 3 4 3 2" xfId="28951" xr:uid="{3B3AD2CA-9486-42DA-8189-C299B1046117}"/>
    <cellStyle name="Normal 7 6 3 3 4 3 3" xfId="18951" xr:uid="{82189C2D-B2BE-4B80-88E4-6F1F020896B9}"/>
    <cellStyle name="Normal 7 6 3 3 4 4" xfId="11404" xr:uid="{303873E4-CF73-49B2-B038-F358E018E3BA}"/>
    <cellStyle name="Normal 7 6 3 3 4 4 2" xfId="21784" xr:uid="{5ED4D9AD-9B8A-4975-ACB2-0C70ABBDF531}"/>
    <cellStyle name="Normal 7 6 3 3 4 5" xfId="23498" xr:uid="{32B2BFD8-525E-4378-91D5-DDA650781DB0}"/>
    <cellStyle name="Normal 7 6 3 3 4 6" xfId="26302" xr:uid="{7E74C817-56EC-4084-A037-5AED7963C962}"/>
    <cellStyle name="Normal 7 6 3 3 4 7" xfId="14085" xr:uid="{470675C5-9F8B-41C5-B2C5-F6046364DB90}"/>
    <cellStyle name="Normal 7 6 3 3 5" xfId="2639" xr:uid="{00000000-0005-0000-0000-000009090000}"/>
    <cellStyle name="Normal 7 6 3 3 5 2" xfId="5901" xr:uid="{48132DCA-E8C2-4B60-8DE5-7EB3B66FFC2A}"/>
    <cellStyle name="Normal 7 6 3 3 5 2 2" xfId="15311" xr:uid="{0F63A216-69B1-45FD-AB2D-0A9A1A2FF379}"/>
    <cellStyle name="Normal 7 6 3 3 5 3" xfId="7764" xr:uid="{DBB43D33-4A0F-4C79-9AD8-720A439FBA15}"/>
    <cellStyle name="Normal 7 6 3 3 5 3 2" xfId="18144" xr:uid="{8030CBFF-0684-4121-AA6D-DB623D42B6E4}"/>
    <cellStyle name="Normal 7 6 3 3 5 4" xfId="10597" xr:uid="{389C6673-130F-44DE-BAD7-639E6FAAE7BC}"/>
    <cellStyle name="Normal 7 6 3 3 5 4 2" xfId="20977" xr:uid="{132AC504-2503-4B3D-AFD5-9A34968FC33D}"/>
    <cellStyle name="Normal 7 6 3 3 5 5" xfId="22690" xr:uid="{3688B1EF-53C5-488A-ACE0-5EA188193F00}"/>
    <cellStyle name="Normal 7 6 3 3 5 6" xfId="27189" xr:uid="{C5DA87B6-E3B5-4F70-81FF-F04A3C4CD07F}"/>
    <cellStyle name="Normal 7 6 3 3 5 7" xfId="13028" xr:uid="{CEBC3EB5-DFC0-40A5-A11A-60194FAE245D}"/>
    <cellStyle name="Normal 7 6 3 3 6" xfId="2152" xr:uid="{00000000-0005-0000-0000-000031030000}"/>
    <cellStyle name="Normal 7 6 3 3 6 2" xfId="4639" xr:uid="{DDD6DC4B-9466-4B61-9B06-D6792D4BBF9B}"/>
    <cellStyle name="Normal 7 6 3 3 6 3" xfId="30233" xr:uid="{6645CF52-C51C-46A3-B69A-670BFF6D043C}"/>
    <cellStyle name="Normal 7 6 3 3 6 3 2" xfId="31377" xr:uid="{9C0664F1-2BC2-4486-BD5C-A88F2827CD6E}"/>
    <cellStyle name="Normal 7 6 3 3 6 4" xfId="31573" xr:uid="{B935607C-FA16-46A0-8678-73DBE2437CBD}"/>
    <cellStyle name="Normal 7 6 3 3 7" xfId="4084" xr:uid="{FF6F513F-DDB9-462A-B13C-92776B7D2349}"/>
    <cellStyle name="Normal 7 6 3 3 7 2" xfId="4736" xr:uid="{CF2CB097-34DC-4247-8F0E-ABB43BA53B2B}"/>
    <cellStyle name="Normal 7 6 3 3 7 2 2" xfId="27718" xr:uid="{1EDD18A6-6835-40A8-88E3-C4F11ED69DE5}"/>
    <cellStyle name="Normal 7 6 3 3 7 3" xfId="26788" xr:uid="{96671C3B-A1B1-44DF-9104-304A20AEB2C0}"/>
    <cellStyle name="Normal 7 6 3 3 7 3 2" xfId="31185" xr:uid="{6E7833E5-778C-465E-8DE0-065A447A6E20}"/>
    <cellStyle name="Normal 7 6 3 3 7 4" xfId="27627" xr:uid="{D690042B-48A8-4B37-88B6-2BF49BC9445A}"/>
    <cellStyle name="Normal 7 6 3 3 7 5" xfId="30347" xr:uid="{9CC4D4A5-A59A-485D-9725-F0B5952F9150}"/>
    <cellStyle name="Normal 7 6 3 3 7 5 2" xfId="31489" xr:uid="{7896352E-95E3-41EA-B176-36FF0CEE565A}"/>
    <cellStyle name="Normal 7 6 3 3 7 6" xfId="31687" xr:uid="{D11F685F-83BD-4E7B-A8DA-FFB6C0997B38}"/>
    <cellStyle name="Normal 7 6 3 3 8" xfId="29682" xr:uid="{DDD031FA-DD35-4F20-99A5-AA11D3C98D44}"/>
    <cellStyle name="Normal 7 6 3 3 8 2" xfId="30545" xr:uid="{DE3B6B93-E2A5-480B-9010-B39AA1DCB833}"/>
    <cellStyle name="Normal 7 6 3 3 9" xfId="29670" xr:uid="{5A811436-6D74-48D3-AB9A-EE7538A6A6FC}"/>
    <cellStyle name="Normal 7 6 3 4" xfId="1492" xr:uid="{00000000-0005-0000-0000-0000AD070000}"/>
    <cellStyle name="Normal 7 6 3 4 2" xfId="3496" xr:uid="{00000000-0005-0000-0000-00000B090000}"/>
    <cellStyle name="Normal 7 6 3 4 2 2" xfId="6548" xr:uid="{BDCE6B7E-62BD-4044-B894-D9E0A2E850C9}"/>
    <cellStyle name="Normal 7 6 3 4 2 2 2" xfId="25817" xr:uid="{7B4532F0-478E-4AB7-9ED1-5AA482BF542A}"/>
    <cellStyle name="Normal 7 6 3 4 2 2 3" xfId="16121" xr:uid="{35E135D1-54BB-4081-99BA-AEF677987A76}"/>
    <cellStyle name="Normal 7 6 3 4 2 3" xfId="8574" xr:uid="{90BA02D6-CC03-4693-9CC9-BCB83579C29B}"/>
    <cellStyle name="Normal 7 6 3 4 2 3 2" xfId="18954" xr:uid="{65545394-FAE5-44BB-B2F1-507185147897}"/>
    <cellStyle name="Normal 7 6 3 4 2 4" xfId="11407" xr:uid="{CFF84FD6-9744-4EFE-86F3-8F7164451CEF}"/>
    <cellStyle name="Normal 7 6 3 4 2 4 2" xfId="21787" xr:uid="{1D951B25-C0C3-4BD6-96F5-5A17B8028CF0}"/>
    <cellStyle name="Normal 7 6 3 4 2 5" xfId="23155" xr:uid="{2B59EF41-2E53-450E-A5F1-810ABB2CF3ED}"/>
    <cellStyle name="Normal 7 6 3 4 2 6" xfId="14088" xr:uid="{9879ECFA-35C0-46D6-8663-23859D7AC2AF}"/>
    <cellStyle name="Normal 7 6 3 4 3" xfId="2845" xr:uid="{00000000-0005-0000-0000-00000C090000}"/>
    <cellStyle name="Normal 7 6 3 4 3 2" xfId="6059" xr:uid="{7FB49BD6-6F31-4B45-B557-17E3453C031E}"/>
    <cellStyle name="Normal 7 6 3 4 3 2 2" xfId="27111" xr:uid="{55A0543A-1117-4D83-A7B8-F9A9D7E41E40}"/>
    <cellStyle name="Normal 7 6 3 4 3 2 3" xfId="15514" xr:uid="{D16F7FB5-F41D-421D-A9B9-779147882517}"/>
    <cellStyle name="Normal 7 6 3 4 3 3" xfId="7967" xr:uid="{15655578-63B4-41BF-A5B3-024B7D70EB39}"/>
    <cellStyle name="Normal 7 6 3 4 3 3 2" xfId="18347" xr:uid="{630A5C95-8882-492D-8B3C-D91C8593B88B}"/>
    <cellStyle name="Normal 7 6 3 4 3 4" xfId="10800" xr:uid="{3EEDB382-2C2E-4827-8256-DD31D1484B28}"/>
    <cellStyle name="Normal 7 6 3 4 3 4 2" xfId="21180" xr:uid="{9D54FC28-AC6C-48D7-AEFC-121BF1CB48EB}"/>
    <cellStyle name="Normal 7 6 3 4 3 5" xfId="25338" xr:uid="{16C01234-1BA7-4D1A-9A8A-A36392ED2FF9}"/>
    <cellStyle name="Normal 7 6 3 4 3 6" xfId="13325" xr:uid="{DE1E783A-8BA0-4C3B-8CCC-83EDD34DE2B3}"/>
    <cellStyle name="Normal 7 6 3 4 4" xfId="4228" xr:uid="{32C5111D-E894-401D-8BA7-B9AF0DE3D009}"/>
    <cellStyle name="Normal 7 6 3 4 4 2" xfId="9000" xr:uid="{75079CD1-BECF-4205-B52C-BD9B59C4C153}"/>
    <cellStyle name="Normal 7 6 3 4 4 2 2" xfId="19380" xr:uid="{F7166BD3-B39C-465F-B5F9-DDCE8F8F3F52}"/>
    <cellStyle name="Normal 7 6 3 4 4 3" xfId="11833" xr:uid="{1463F024-B423-4C98-815A-F12B8C80C849}"/>
    <cellStyle name="Normal 7 6 3 4 4 3 2" xfId="22213" xr:uid="{13DD88AD-FF73-4A21-BE70-28E43FA1F7E0}"/>
    <cellStyle name="Normal 7 6 3 4 4 4" xfId="23208" xr:uid="{BBA65995-B27D-45A9-BD56-3555EE9DE275}"/>
    <cellStyle name="Normal 7 6 3 4 4 5" xfId="16547" xr:uid="{23563D06-ACFA-4D53-8FAB-2687F20D5518}"/>
    <cellStyle name="Normal 7 6 3 4 5" xfId="5490" xr:uid="{B1CB6DCF-31E2-43F8-A244-6C39885D46AF}"/>
    <cellStyle name="Normal 7 6 3 4 5 2" xfId="14786" xr:uid="{95E64EF2-3171-4025-9C61-DD362010BBE1}"/>
    <cellStyle name="Normal 7 6 3 4 6" xfId="7239" xr:uid="{108BD58C-916F-48C3-9672-7A310AE010EF}"/>
    <cellStyle name="Normal 7 6 3 4 6 2" xfId="17619" xr:uid="{C5E76D88-3368-4496-BCBD-A49B920BB512}"/>
    <cellStyle name="Normal 7 6 3 4 7" xfId="10072" xr:uid="{1CFE59E8-5846-4B0B-A048-57B198C01098}"/>
    <cellStyle name="Normal 7 6 3 4 7 2" xfId="20452" xr:uid="{2EC0ED5F-C82F-46A2-8D96-111897ACAF92}"/>
    <cellStyle name="Normal 7 6 3 4 8" xfId="25111" xr:uid="{1645CE95-CC52-4795-AA28-D0ACA599BC28}"/>
    <cellStyle name="Normal 7 6 3 4 9" xfId="12803" xr:uid="{861CFB80-084F-49F2-BC7A-8CE1FD2B9E70}"/>
    <cellStyle name="Normal 7 6 3 5" xfId="1493" xr:uid="{00000000-0005-0000-0000-0000AE070000}"/>
    <cellStyle name="Normal 7 6 3 5 2" xfId="4606" xr:uid="{334770A4-F9AD-44B1-9E35-20123E2610C4}"/>
    <cellStyle name="Normal 7 6 3 5 2 2" xfId="9378" xr:uid="{0A3E0FEE-8653-4C0D-A345-B0A5A370D5F5}"/>
    <cellStyle name="Normal 7 6 3 5 2 2 2" xfId="29346" xr:uid="{BA7A14BD-8546-4157-B552-4D65E2B154EF}"/>
    <cellStyle name="Normal 7 6 3 5 2 2 3" xfId="19758" xr:uid="{55B73C30-5F3E-4A07-AAD1-7978DB1C75D8}"/>
    <cellStyle name="Normal 7 6 3 5 2 3" xfId="12211" xr:uid="{00F0E0D4-CA95-4E8F-A0C3-023838EADDCF}"/>
    <cellStyle name="Normal 7 6 3 5 2 3 2" xfId="22591" xr:uid="{2DBB6977-B16C-4C03-9F51-82159352EC90}"/>
    <cellStyle name="Normal 7 6 3 5 2 4" xfId="25453" xr:uid="{F2EF33B9-DD57-4843-BF51-CF9E8EF3466B}"/>
    <cellStyle name="Normal 7 6 3 5 2 5" xfId="16925" xr:uid="{8A2C4A4E-12AD-476D-B7FD-3F9AE25A9C30}"/>
    <cellStyle name="Normal 7 6 3 5 3" xfId="5491" xr:uid="{78A76860-74B0-42D7-8CAB-5F737FE07FBE}"/>
    <cellStyle name="Normal 7 6 3 5 3 2" xfId="27481" xr:uid="{7F98AA3E-87F5-46D2-8F9F-22BC5432271A}"/>
    <cellStyle name="Normal 7 6 3 5 3 3" xfId="14787" xr:uid="{4591BEF2-F23B-4A12-B0A5-E1E40B0CBD23}"/>
    <cellStyle name="Normal 7 6 3 5 4" xfId="7240" xr:uid="{C134C1AF-352F-41CC-A63F-8160F9B16606}"/>
    <cellStyle name="Normal 7 6 3 5 4 2" xfId="17620" xr:uid="{908330EF-5FDB-4180-9CAA-5D7CAC7F7E2B}"/>
    <cellStyle name="Normal 7 6 3 5 5" xfId="10073" xr:uid="{8374ABE6-97A6-401D-8078-3437C41512B6}"/>
    <cellStyle name="Normal 7 6 3 5 5 2" xfId="20453" xr:uid="{A09BCBE1-F36A-4F23-8013-7B3682F03646}"/>
    <cellStyle name="Normal 7 6 3 5 6" xfId="24065" xr:uid="{F27258FD-AF9D-4FDF-AFF2-21ACF01FCDB7}"/>
    <cellStyle name="Normal 7 6 3 5 7" xfId="14089" xr:uid="{6FE82AB9-A0E6-4E41-AB83-B9B16AA87F12}"/>
    <cellStyle name="Normal 7 6 3 6" xfId="3001" xr:uid="{00000000-0005-0000-0000-00000E090000}"/>
    <cellStyle name="Normal 7 6 3 6 2" xfId="6150" xr:uid="{D2225D40-537E-4931-856D-C80A52FF4BFA}"/>
    <cellStyle name="Normal 7 6 3 6 2 2" xfId="24293" xr:uid="{26C16EB9-858D-4BD4-9CFC-A8959CDF03BA}"/>
    <cellStyle name="Normal 7 6 3 6 2 3" xfId="15628" xr:uid="{27642C92-841C-4AFF-A755-FBC6D1CD5A2F}"/>
    <cellStyle name="Normal 7 6 3 6 3" xfId="8081" xr:uid="{CAC6634D-B02E-46B0-97B1-64A92891BB5A}"/>
    <cellStyle name="Normal 7 6 3 6 3 2" xfId="18461" xr:uid="{011E2817-E21F-42F8-8972-6FD23128CA95}"/>
    <cellStyle name="Normal 7 6 3 6 4" xfId="10914" xr:uid="{A9C75B3C-8F6C-49E9-9579-D72106984BF7}"/>
    <cellStyle name="Normal 7 6 3 6 4 2" xfId="21294" xr:uid="{2DDB2999-8856-41A9-BB9E-8E60C308C139}"/>
    <cellStyle name="Normal 7 6 3 6 5" xfId="23062" xr:uid="{E42710B7-7567-4CFC-8C13-A58F2CF6B02A}"/>
    <cellStyle name="Normal 7 6 3 6 6" xfId="13501" xr:uid="{262120CC-206C-4228-98C6-2FE900E4E433}"/>
    <cellStyle name="Normal 7 6 3 7" xfId="2477" xr:uid="{00000000-0005-0000-0000-00000F090000}"/>
    <cellStyle name="Normal 7 6 3 7 2" xfId="5765" xr:uid="{D54B627D-F2BB-47A4-8AAC-8C90500B1422}"/>
    <cellStyle name="Normal 7 6 3 7 2 2" xfId="27190" xr:uid="{5AE2C8CB-5B95-4C16-9ED1-D003474EDB5F}"/>
    <cellStyle name="Normal 7 6 3 7 2 3" xfId="15149" xr:uid="{228B54B7-1555-4C16-BE58-ACEEF3A67042}"/>
    <cellStyle name="Normal 7 6 3 7 3" xfId="7602" xr:uid="{4BD16946-689F-47B3-8C7A-0D7BA2F18EA5}"/>
    <cellStyle name="Normal 7 6 3 7 3 2" xfId="17982" xr:uid="{8F73512D-077C-4320-8FF6-BC40E720BEE9}"/>
    <cellStyle name="Normal 7 6 3 7 4" xfId="10435" xr:uid="{2CFE7D18-FF92-4123-B761-3B4491F2CFA2}"/>
    <cellStyle name="Normal 7 6 3 7 4 2" xfId="20815" xr:uid="{2707D9FB-9E67-43DB-962B-7B7F5F705B63}"/>
    <cellStyle name="Normal 7 6 3 7 5" xfId="23768" xr:uid="{936336D0-0778-4AE6-9464-D33BF9F6A356}"/>
    <cellStyle name="Normal 7 6 3 7 6" xfId="12865" xr:uid="{082891E5-27E3-4D78-A5F1-3147C37C3EE4}"/>
    <cellStyle name="Normal 7 6 3 8" xfId="2231" xr:uid="{00000000-0005-0000-0000-0000FC080000}"/>
    <cellStyle name="Normal 7 6 3 8 2" xfId="7358" xr:uid="{B0DD7F28-8B64-421D-811E-519E770901DA}"/>
    <cellStyle name="Normal 7 6 3 8 2 2" xfId="17738" xr:uid="{BB0AB26C-8DA6-4783-AA0E-4EAA007CB7EF}"/>
    <cellStyle name="Normal 7 6 3 8 3" xfId="10191" xr:uid="{BEBBE2B1-8816-4318-AE32-5D46A10282F2}"/>
    <cellStyle name="Normal 7 6 3 8 3 2" xfId="20571" xr:uid="{B88BB2F0-AE3C-4FF5-95A4-01B02DFB5404}"/>
    <cellStyle name="Normal 7 6 3 8 4" xfId="23684" xr:uid="{CED53B9C-BA16-4491-B6F8-6BD65392DCD9}"/>
    <cellStyle name="Normal 7 6 3 8 5" xfId="14905" xr:uid="{7AF9EC48-2BFE-41A4-97B8-C7DC6094307C}"/>
    <cellStyle name="Normal 7 6 3 9" xfId="4082" xr:uid="{EF2773C0-75F8-4338-8D49-6A223B83D823}"/>
    <cellStyle name="Normal 7 6 3 9 2" xfId="8860" xr:uid="{C24C100F-3C93-4C78-BABE-8D3DA12C1E19}"/>
    <cellStyle name="Normal 7 6 3 9 2 2" xfId="19240" xr:uid="{B526C73A-CE7A-462A-BBCE-70A06B044FE8}"/>
    <cellStyle name="Normal 7 6 3 9 3" xfId="11693" xr:uid="{A39B2275-139E-43AE-9E93-1C45495EAD8D}"/>
    <cellStyle name="Normal 7 6 3 9 3 2" xfId="22073" xr:uid="{24D02D32-3058-49EF-824F-F7408B5EB3A0}"/>
    <cellStyle name="Normal 7 6 3 9 4" xfId="16407" xr:uid="{F289F06D-4061-4F56-A06D-D8BCDAA2EEB2}"/>
    <cellStyle name="Normal 7 6 4" xfId="1494" xr:uid="{00000000-0005-0000-0000-0000AF070000}"/>
    <cellStyle name="Normal 7 6 4 10" xfId="7241" xr:uid="{035EE198-4A52-4876-87A0-070F5F7708CF}"/>
    <cellStyle name="Normal 7 6 4 10 2" xfId="17621" xr:uid="{D89DF4CC-0987-4DE1-8B85-5A0C99566751}"/>
    <cellStyle name="Normal 7 6 4 11" xfId="10074" xr:uid="{F5343F40-5D9A-4340-8BBF-07E79251F3C3}"/>
    <cellStyle name="Normal 7 6 4 11 2" xfId="20454" xr:uid="{B702B95F-96D1-4434-9D40-676A330F5478}"/>
    <cellStyle name="Normal 7 6 4 12" xfId="24699" xr:uid="{0F9783B3-1B61-4494-BDB0-5321A3955761}"/>
    <cellStyle name="Normal 7 6 4 13" xfId="12443" xr:uid="{E596B25F-4216-4C7F-AFEA-51C74067E89C}"/>
    <cellStyle name="Normal 7 6 4 2" xfId="1495" xr:uid="{00000000-0005-0000-0000-0000B0070000}"/>
    <cellStyle name="Normal 7 6 4 2 10" xfId="10075" xr:uid="{49AB007F-0B85-4E9B-9297-7FAB9EDD1A13}"/>
    <cellStyle name="Normal 7 6 4 2 10 2" xfId="20455" xr:uid="{07B8A567-6003-482F-A8D1-6F8D08720156}"/>
    <cellStyle name="Normal 7 6 4 2 11" xfId="24834" xr:uid="{84097491-E54A-4F8D-89AD-642D736C2ECF}"/>
    <cellStyle name="Normal 7 6 4 2 12" xfId="12646" xr:uid="{D133F7A5-CB7E-41D0-B1D2-C6384AA4A48A}"/>
    <cellStyle name="Normal 7 6 4 2 2" xfId="1496" xr:uid="{00000000-0005-0000-0000-0000B1070000}"/>
    <cellStyle name="Normal 7 6 4 2 2 2" xfId="3498" xr:uid="{00000000-0005-0000-0000-000013090000}"/>
    <cellStyle name="Normal 7 6 4 2 2 2 2" xfId="6550" xr:uid="{214EEB64-1D93-45D2-8CEE-24CCB5F09020}"/>
    <cellStyle name="Normal 7 6 4 2 2 2 2 2" xfId="26710" xr:uid="{2A3AD107-4414-477B-8FB4-A88673D3BC25}"/>
    <cellStyle name="Normal 7 6 4 2 2 2 2 3" xfId="27005" xr:uid="{39EEA1F4-25C0-4828-9CB9-0A7767AB67EE}"/>
    <cellStyle name="Normal 7 6 4 2 2 2 2 4" xfId="16123" xr:uid="{C223E3D0-527D-4D4A-AC2A-7D30010B4321}"/>
    <cellStyle name="Normal 7 6 4 2 2 2 3" xfId="8576" xr:uid="{CA2E8B40-3298-401D-9DF9-9D47F9083327}"/>
    <cellStyle name="Normal 7 6 4 2 2 2 3 2" xfId="28954" xr:uid="{285D4BB7-57D0-491B-8105-EBF2388F0C4C}"/>
    <cellStyle name="Normal 7 6 4 2 2 2 3 3" xfId="18956" xr:uid="{A56A4225-07CA-4D6C-95D3-ED802EA7B0A3}"/>
    <cellStyle name="Normal 7 6 4 2 2 2 4" xfId="11409" xr:uid="{DA0BBD34-69D9-440E-BD34-6F0EE9C954A7}"/>
    <cellStyle name="Normal 7 6 4 2 2 2 4 2" xfId="21789" xr:uid="{674CA4BB-0812-40C8-A408-5A3CF9E6C347}"/>
    <cellStyle name="Normal 7 6 4 2 2 2 5" xfId="25576" xr:uid="{2A25585F-AAD2-4C72-8326-06640CEA80EE}"/>
    <cellStyle name="Normal 7 6 4 2 2 2 6" xfId="14091" xr:uid="{62891AED-D085-4513-83D0-0FDF749C6787}"/>
    <cellStyle name="Normal 7 6 4 2 2 3" xfId="4379" xr:uid="{6B0C6F2C-F1EA-4317-B151-4A0E02E17B31}"/>
    <cellStyle name="Normal 7 6 4 2 2 3 2" xfId="9151" xr:uid="{5E25D483-94C1-4C6C-8F93-262F279AE31D}"/>
    <cellStyle name="Normal 7 6 4 2 2 3 2 2" xfId="29194" xr:uid="{1C357637-EB2A-4B49-B8E1-5CFCFBEF3DA0}"/>
    <cellStyle name="Normal 7 6 4 2 2 3 2 3" xfId="19531" xr:uid="{008419AC-12D3-4030-8471-7A11685807FB}"/>
    <cellStyle name="Normal 7 6 4 2 2 3 3" xfId="11984" xr:uid="{CE59ADFC-3D0E-4D8E-A1E0-67BF151C7A21}"/>
    <cellStyle name="Normal 7 6 4 2 2 3 3 2" xfId="22364" xr:uid="{D470C0D9-346B-4FF2-AE3C-7631F48FE8B6}"/>
    <cellStyle name="Normal 7 6 4 2 2 3 4" xfId="24133" xr:uid="{01CA1647-475F-4DAE-A951-51BAB4AE9EB2}"/>
    <cellStyle name="Normal 7 6 4 2 2 3 5" xfId="16698" xr:uid="{ADD8F09B-422D-4159-884D-963C9A8967E0}"/>
    <cellStyle name="Normal 7 6 4 2 2 4" xfId="5494" xr:uid="{C30A7CF7-8099-4867-879B-2A15BF15C23D}"/>
    <cellStyle name="Normal 7 6 4 2 2 4 2" xfId="26927" xr:uid="{51714018-8DA3-4B95-8778-06DDBC6938DC}"/>
    <cellStyle name="Normal 7 6 4 2 2 4 3" xfId="14790" xr:uid="{76D31EED-C37C-4B0B-9F52-FB4C8E514434}"/>
    <cellStyle name="Normal 7 6 4 2 2 5" xfId="7243" xr:uid="{80EAA8DB-BAA0-4ABA-8A4D-573BCCD6D179}"/>
    <cellStyle name="Normal 7 6 4 2 2 5 2" xfId="17623" xr:uid="{96D2DF67-A618-41C9-9E6F-6575B034B959}"/>
    <cellStyle name="Normal 7 6 4 2 2 6" xfId="10076" xr:uid="{5C6DCC4E-28BF-4E27-8114-ADE19AE0B452}"/>
    <cellStyle name="Normal 7 6 4 2 2 6 2" xfId="20456" xr:uid="{8A009F11-04D3-497F-9B78-CB0EFDD8CB6B}"/>
    <cellStyle name="Normal 7 6 4 2 2 7" xfId="24578" xr:uid="{1A61F48B-7205-49C2-AA4D-4F3208C1919B}"/>
    <cellStyle name="Normal 7 6 4 2 2 8" xfId="13329" xr:uid="{6FA52218-8A77-4EF4-94F5-80A5FB768C2E}"/>
    <cellStyle name="Normal 7 6 4 2 3" xfId="3499" xr:uid="{00000000-0005-0000-0000-000014090000}"/>
    <cellStyle name="Normal 7 6 4 2 3 2" xfId="4607" xr:uid="{66F6D489-D49B-45AF-ADD0-5A63CD6F86D1}"/>
    <cellStyle name="Normal 7 6 4 2 3 2 2" xfId="9379" xr:uid="{13F6ED99-B520-4F0F-962D-7C6496C77841}"/>
    <cellStyle name="Normal 7 6 4 2 3 2 2 2" xfId="29347" xr:uid="{111B7E26-43CD-4734-AC48-BDB1414D34B9}"/>
    <cellStyle name="Normal 7 6 4 2 3 2 2 3" xfId="19759" xr:uid="{0AAD0977-7135-4C42-8D21-D2C61851AABF}"/>
    <cellStyle name="Normal 7 6 4 2 3 2 3" xfId="12212" xr:uid="{0428E7B4-13B1-4215-8937-D2289B0A14E5}"/>
    <cellStyle name="Normal 7 6 4 2 3 2 3 2" xfId="22592" xr:uid="{A0B6B42E-F3D2-408A-BC8A-BADCC9B082A8}"/>
    <cellStyle name="Normal 7 6 4 2 3 2 4" xfId="23245" xr:uid="{09DA1CB3-B645-49A8-8DCF-D310CFCEAA5B}"/>
    <cellStyle name="Normal 7 6 4 2 3 2 5" xfId="16926" xr:uid="{C7D63BF1-7F62-45F4-BCC1-DEFBD46C845A}"/>
    <cellStyle name="Normal 7 6 4 2 3 3" xfId="6551" xr:uid="{F5922A6E-BDD9-4825-BAF7-237878C34A8D}"/>
    <cellStyle name="Normal 7 6 4 2 3 3 2" xfId="27769" xr:uid="{D3CFDD13-73FD-4080-8D31-72CE817E5517}"/>
    <cellStyle name="Normal 7 6 4 2 3 3 3" xfId="16124" xr:uid="{569ACA0E-6D2C-41EF-9BF3-A6E20F299AFA}"/>
    <cellStyle name="Normal 7 6 4 2 3 4" xfId="8577" xr:uid="{0B4CADA8-46D5-435B-AE28-90CAFED1AF89}"/>
    <cellStyle name="Normal 7 6 4 2 3 4 2" xfId="18957" xr:uid="{34F622B0-3350-4944-8D8B-BC2F93F58DE3}"/>
    <cellStyle name="Normal 7 6 4 2 3 5" xfId="11410" xr:uid="{31F6793A-534E-42E2-AD39-BA9DD8743DB4}"/>
    <cellStyle name="Normal 7 6 4 2 3 5 2" xfId="21790" xr:uid="{5673C078-898F-4C9D-B37B-B7F3C28FF66A}"/>
    <cellStyle name="Normal 7 6 4 2 3 6" xfId="23960" xr:uid="{D783E5CE-2E14-4883-88B2-8675FBE6978F}"/>
    <cellStyle name="Normal 7 6 4 2 3 7" xfId="14092" xr:uid="{E2CF11E8-08A7-456F-ABF1-92CDC18F2C5C}"/>
    <cellStyle name="Normal 7 6 4 2 4" xfId="3497" xr:uid="{00000000-0005-0000-0000-000015090000}"/>
    <cellStyle name="Normal 7 6 4 2 4 2" xfId="6549" xr:uid="{CD82B9AD-1120-4375-8BF3-85B1EB5A0DFC}"/>
    <cellStyle name="Normal 7 6 4 2 4 2 2" xfId="26287" xr:uid="{8525F22A-04E3-4DB9-A4BB-91F8DD646266}"/>
    <cellStyle name="Normal 7 6 4 2 4 2 3" xfId="16122" xr:uid="{623069F8-A423-469D-A071-FE11F0374414}"/>
    <cellStyle name="Normal 7 6 4 2 4 3" xfId="8575" xr:uid="{49DD5175-9EA0-48AC-BDD5-DEB9FB6E8565}"/>
    <cellStyle name="Normal 7 6 4 2 4 3 2" xfId="18955" xr:uid="{337F8F82-4C28-41F2-B7E5-F877F277B9EE}"/>
    <cellStyle name="Normal 7 6 4 2 4 4" xfId="11408" xr:uid="{2368853A-E8C0-46E9-A1A2-939D1BB14FD5}"/>
    <cellStyle name="Normal 7 6 4 2 4 4 2" xfId="21788" xr:uid="{69D7CCEF-F97D-42F4-94BB-EB13570F5694}"/>
    <cellStyle name="Normal 7 6 4 2 4 5" xfId="22703" xr:uid="{297823CD-807C-4D59-BFA8-2B0411ACC5E4}"/>
    <cellStyle name="Normal 7 6 4 2 4 6" xfId="14090" xr:uid="{03F4B3A2-BAFC-45D5-9F9A-E46A98E9A94B}"/>
    <cellStyle name="Normal 7 6 4 2 5" xfId="2620" xr:uid="{00000000-0005-0000-0000-000016090000}"/>
    <cellStyle name="Normal 7 6 4 2 5 2" xfId="5882" xr:uid="{CA82C9FA-ECBB-4830-AAC9-1A35263FD096}"/>
    <cellStyle name="Normal 7 6 4 2 5 2 2" xfId="27735" xr:uid="{B4311067-D804-4D03-B5B7-74D45B43874D}"/>
    <cellStyle name="Normal 7 6 4 2 5 2 3" xfId="15292" xr:uid="{062D6E6D-9851-4F2C-B5D5-BD6F47412466}"/>
    <cellStyle name="Normal 7 6 4 2 5 3" xfId="7745" xr:uid="{D11D1D9F-CBC8-439E-9280-87A8061AD43A}"/>
    <cellStyle name="Normal 7 6 4 2 5 3 2" xfId="18125" xr:uid="{C2F39C00-C66C-4C15-BBDB-2798A8E8031C}"/>
    <cellStyle name="Normal 7 6 4 2 5 4" xfId="10578" xr:uid="{03D8FC28-5C5B-4C0F-95C5-F44C702848F1}"/>
    <cellStyle name="Normal 7 6 4 2 5 4 2" xfId="20958" xr:uid="{BA2958BA-73A3-40F8-BDF5-31AD53E6180E}"/>
    <cellStyle name="Normal 7 6 4 2 5 5" xfId="23642" xr:uid="{89F6BECF-0EC9-478F-B1DE-95553FB28B0C}"/>
    <cellStyle name="Normal 7 6 4 2 5 6" xfId="13008" xr:uid="{B1E7B27F-1398-479E-9BD9-CC4DE1E4F93F}"/>
    <cellStyle name="Normal 7 6 4 2 6" xfId="2412" xr:uid="{00000000-0005-0000-0000-000011090000}"/>
    <cellStyle name="Normal 7 6 4 2 6 2" xfId="7539" xr:uid="{909C80D6-F97A-4A5F-9535-F2822C42DD2D}"/>
    <cellStyle name="Normal 7 6 4 2 6 2 2" xfId="17919" xr:uid="{2E747C5F-4256-4B90-9FCC-72116FC8D146}"/>
    <cellStyle name="Normal 7 6 4 2 6 3" xfId="10372" xr:uid="{DA9631A7-2BA3-48D2-B158-0A801C9D75EF}"/>
    <cellStyle name="Normal 7 6 4 2 6 3 2" xfId="20752" xr:uid="{218BD272-9FA9-449E-989D-FAA0659443DC}"/>
    <cellStyle name="Normal 7 6 4 2 6 4" xfId="22963" xr:uid="{DB140B91-8617-458B-A1D6-A52A595FFBAA}"/>
    <cellStyle name="Normal 7 6 4 2 6 5" xfId="15086" xr:uid="{9D2CFA7D-55B1-4DF9-9125-26CBC1EC63D4}"/>
    <cellStyle name="Normal 7 6 4 2 7" xfId="4109" xr:uid="{77E46761-4AE2-4ED7-BEE7-7728377FC1FB}"/>
    <cellStyle name="Normal 7 6 4 2 7 2" xfId="8881" xr:uid="{6C0F0865-8587-43DB-AB1E-FC6EE651C3FE}"/>
    <cellStyle name="Normal 7 6 4 2 7 2 2" xfId="19261" xr:uid="{79693B14-F256-438F-80F3-2E9EAE2685D3}"/>
    <cellStyle name="Normal 7 6 4 2 7 3" xfId="11714" xr:uid="{BD46F7F7-AF10-44E4-A8E7-4A239FB3CAE8}"/>
    <cellStyle name="Normal 7 6 4 2 7 3 2" xfId="22094" xr:uid="{4BC53BCB-BF34-4BCB-87E8-584A463F96BE}"/>
    <cellStyle name="Normal 7 6 4 2 7 4" xfId="16428" xr:uid="{161D2999-90BA-4C98-82B4-AAA544CB94F7}"/>
    <cellStyle name="Normal 7 6 4 2 8" xfId="5493" xr:uid="{ED208182-AB4A-43E2-B8D4-3D0E4CE3FC3D}"/>
    <cellStyle name="Normal 7 6 4 2 8 2" xfId="14789" xr:uid="{827BB9A6-6F22-42F9-97F6-75D452236B82}"/>
    <cellStyle name="Normal 7 6 4 2 9" xfId="7242" xr:uid="{5FCE118D-9011-46AC-97E4-C1A923D60652}"/>
    <cellStyle name="Normal 7 6 4 2 9 2" xfId="17622" xr:uid="{F5FC5549-0709-4391-A1B4-7DFCAB1765FB}"/>
    <cellStyle name="Normal 7 6 4 3" xfId="1497" xr:uid="{00000000-0005-0000-0000-0000B2070000}"/>
    <cellStyle name="Normal 7 6 4 3 2" xfId="3500" xr:uid="{00000000-0005-0000-0000-000018090000}"/>
    <cellStyle name="Normal 7 6 4 3 2 2" xfId="6552" xr:uid="{D5D721FD-4294-41E9-9E53-B39918ABA39F}"/>
    <cellStyle name="Normal 7 6 4 3 2 2 2" xfId="23055" xr:uid="{3BE78620-1BC4-4DF3-A5DE-DB2C98BC7C91}"/>
    <cellStyle name="Normal 7 6 4 3 2 2 3" xfId="26088" xr:uid="{F8B224D6-DEB0-48B7-8C9E-E1D80A12A2C2}"/>
    <cellStyle name="Normal 7 6 4 3 2 2 4" xfId="16125" xr:uid="{A36195B5-1EBC-40F4-A100-AC26DF93E762}"/>
    <cellStyle name="Normal 7 6 4 3 2 3" xfId="8578" xr:uid="{937966F0-4210-4544-AC52-3D1795A1E072}"/>
    <cellStyle name="Normal 7 6 4 3 2 3 2" xfId="28955" xr:uid="{A459C81F-790B-4A1C-B115-EB72415FCA89}"/>
    <cellStyle name="Normal 7 6 4 3 2 3 3" xfId="18958" xr:uid="{C9A2FCA2-BCF3-40D5-9E91-1625D7C4269A}"/>
    <cellStyle name="Normal 7 6 4 3 2 4" xfId="11411" xr:uid="{781009EA-ACEE-4181-95A0-1AD5234FF42C}"/>
    <cellStyle name="Normal 7 6 4 3 2 4 2" xfId="21791" xr:uid="{DF504D84-6586-4591-BEFB-5063037976D2}"/>
    <cellStyle name="Normal 7 6 4 3 2 5" xfId="24723" xr:uid="{E9ECF8B6-8C80-4E7D-A69B-84FDD893AE7D}"/>
    <cellStyle name="Normal 7 6 4 3 2 6" xfId="14093" xr:uid="{82571571-29DA-43BB-B6F9-C12F49F1DAAC}"/>
    <cellStyle name="Normal 7 6 4 3 3" xfId="2847" xr:uid="{00000000-0005-0000-0000-000019090000}"/>
    <cellStyle name="Normal 7 6 4 3 3 2" xfId="6060" xr:uid="{0DA2B59D-B791-46D6-8532-4C10B6B91FBA}"/>
    <cellStyle name="Normal 7 6 4 3 3 2 2" xfId="28357" xr:uid="{5D105145-8517-4BE2-A09D-ECFB5DEA7455}"/>
    <cellStyle name="Normal 7 6 4 3 3 2 3" xfId="15516" xr:uid="{096319CA-E769-4DE6-BECA-93CE94F800F8}"/>
    <cellStyle name="Normal 7 6 4 3 3 3" xfId="7969" xr:uid="{2F5CE179-3A0F-4A9D-B401-53D318BCBD18}"/>
    <cellStyle name="Normal 7 6 4 3 3 3 2" xfId="18349" xr:uid="{FBFA4E50-9252-468E-8F29-60E2C05BE592}"/>
    <cellStyle name="Normal 7 6 4 3 3 4" xfId="10802" xr:uid="{3E22AB5A-4335-420E-80AD-C0134BE393BF}"/>
    <cellStyle name="Normal 7 6 4 3 3 4 2" xfId="21182" xr:uid="{8CE11DFB-2E08-48D4-ABB7-4E2446763A20}"/>
    <cellStyle name="Normal 7 6 4 3 3 5" xfId="24987" xr:uid="{2B1A971E-F5B0-47FF-8658-F8F56EDA747D}"/>
    <cellStyle name="Normal 7 6 4 3 3 6" xfId="13328" xr:uid="{4E9911BA-E1F1-432A-85FE-474B10F1C98E}"/>
    <cellStyle name="Normal 7 6 4 3 4" xfId="4229" xr:uid="{5644E9A4-EBAE-4A30-A3A7-814AEB5E2BBD}"/>
    <cellStyle name="Normal 7 6 4 3 4 2" xfId="9001" xr:uid="{1F1E9345-0D5F-4EB5-BC77-66AA88AF8084}"/>
    <cellStyle name="Normal 7 6 4 3 4 2 2" xfId="29076" xr:uid="{04EF2121-8F9D-47E1-95D6-2A96462046A0}"/>
    <cellStyle name="Normal 7 6 4 3 4 2 3" xfId="19381" xr:uid="{00120F8E-2E91-487F-AC3F-BD77EFA709C8}"/>
    <cellStyle name="Normal 7 6 4 3 4 3" xfId="11834" xr:uid="{3133CD66-DEC5-48F4-9AAD-E488D033F91C}"/>
    <cellStyle name="Normal 7 6 4 3 4 3 2" xfId="22214" xr:uid="{AB3E41C7-A31C-482C-8829-CDF220706801}"/>
    <cellStyle name="Normal 7 6 4 3 4 4" xfId="22916" xr:uid="{117F10E1-0F2A-436E-ACBF-F6C29F47C5A9}"/>
    <cellStyle name="Normal 7 6 4 3 4 5" xfId="16548" xr:uid="{A5BEF6C1-15E3-4E49-8272-A8C2C967417A}"/>
    <cellStyle name="Normal 7 6 4 3 5" xfId="5495" xr:uid="{B08F0AA9-0A61-4228-BEC0-06332A122D18}"/>
    <cellStyle name="Normal 7 6 4 3 5 2" xfId="28396" xr:uid="{761A86C3-ED31-49F1-93DC-0C7D04858817}"/>
    <cellStyle name="Normal 7 6 4 3 5 3" xfId="14791" xr:uid="{49F51432-65E2-4899-8358-EACE04E00462}"/>
    <cellStyle name="Normal 7 6 4 3 6" xfId="7244" xr:uid="{F646D13A-AED6-4D8D-A845-E6F81DC4ECAA}"/>
    <cellStyle name="Normal 7 6 4 3 6 2" xfId="17624" xr:uid="{F4ED4057-A56C-40B8-B84C-F083BD5C8E7D}"/>
    <cellStyle name="Normal 7 6 4 3 7" xfId="10077" xr:uid="{DF3E602C-AE99-4F19-BF5D-BA08004E781C}"/>
    <cellStyle name="Normal 7 6 4 3 7 2" xfId="20457" xr:uid="{6D5DAEA5-68AE-4405-8C12-ECE841313B1E}"/>
    <cellStyle name="Normal 7 6 4 3 8" xfId="23341" xr:uid="{635B3F8E-57FD-4427-A73F-46D378261E0D}"/>
    <cellStyle name="Normal 7 6 4 3 9" xfId="12804" xr:uid="{6E0D6631-0B8D-43E8-9700-2101A92FE9BC}"/>
    <cellStyle name="Normal 7 6 4 4" xfId="1498" xr:uid="{00000000-0005-0000-0000-0000B3070000}"/>
    <cellStyle name="Normal 7 6 4 4 2" xfId="4608" xr:uid="{B16931EB-7DAE-4907-8E70-D8B738510EE6}"/>
    <cellStyle name="Normal 7 6 4 4 2 2" xfId="9380" xr:uid="{D3C7172B-6501-44FC-BC19-3FAAE562FBFB}"/>
    <cellStyle name="Normal 7 6 4 4 2 2 2" xfId="29348" xr:uid="{5028358C-192B-4348-BDD4-2BD130CC8A4F}"/>
    <cellStyle name="Normal 7 6 4 4 2 2 3" xfId="19760" xr:uid="{13D538F3-9528-4969-A811-47504BBADF1D}"/>
    <cellStyle name="Normal 7 6 4 4 2 3" xfId="12213" xr:uid="{74B0E405-8302-4CE7-8775-ECA51A499A38}"/>
    <cellStyle name="Normal 7 6 4 4 2 3 2" xfId="22593" xr:uid="{A8AB96D9-7258-42D5-99A1-55B661C2972D}"/>
    <cellStyle name="Normal 7 6 4 4 2 4" xfId="23737" xr:uid="{9C5B22E1-2BF8-44D0-8F15-C795EA035DF6}"/>
    <cellStyle name="Normal 7 6 4 4 2 5" xfId="16927" xr:uid="{7512255A-B8C1-4313-98A9-B8AAA554676D}"/>
    <cellStyle name="Normal 7 6 4 4 3" xfId="5496" xr:uid="{0773F734-9059-4CFF-8EC5-101FF109C416}"/>
    <cellStyle name="Normal 7 6 4 4 3 2" xfId="27784" xr:uid="{1A12C115-CC31-43A4-9197-A7CD1F6F391C}"/>
    <cellStyle name="Normal 7 6 4 4 3 3" xfId="14792" xr:uid="{C18CF4CC-B277-44AB-828B-A04FF0926824}"/>
    <cellStyle name="Normal 7 6 4 4 4" xfId="7245" xr:uid="{6240168D-E640-496A-96A9-F337D8E4203C}"/>
    <cellStyle name="Normal 7 6 4 4 4 2" xfId="17625" xr:uid="{525548CA-F646-40DD-BC6F-23687FEDF6FD}"/>
    <cellStyle name="Normal 7 6 4 4 5" xfId="10078" xr:uid="{CE001266-510D-4FC6-B297-6ECD56E12BDC}"/>
    <cellStyle name="Normal 7 6 4 4 5 2" xfId="20458" xr:uid="{B242D98E-EABD-4686-955D-F8E4E40B0A18}"/>
    <cellStyle name="Normal 7 6 4 4 6" xfId="23474" xr:uid="{D2D71813-8875-4C5D-B3D6-044D13BE8A19}"/>
    <cellStyle name="Normal 7 6 4 4 7" xfId="14094" xr:uid="{AD175A59-4B0F-44EC-9EE9-E862184E4AF4}"/>
    <cellStyle name="Normal 7 6 4 5" xfId="3002" xr:uid="{00000000-0005-0000-0000-00001B090000}"/>
    <cellStyle name="Normal 7 6 4 5 2" xfId="6151" xr:uid="{90578136-11C7-49EF-81BA-156BF174B318}"/>
    <cellStyle name="Normal 7 6 4 5 2 2" xfId="25647" xr:uid="{50B6CDAF-0D17-4CD8-90BD-95FF3A06F049}"/>
    <cellStyle name="Normal 7 6 4 5 2 3" xfId="27508" xr:uid="{E3DABAFF-4279-48AD-9175-C601B5BFAC61}"/>
    <cellStyle name="Normal 7 6 4 5 2 4" xfId="15629" xr:uid="{59D28FE0-3EBB-4B33-8B51-3592740E3B8E}"/>
    <cellStyle name="Normal 7 6 4 5 3" xfId="8082" xr:uid="{1593290C-B0DA-4379-A3E0-534ACFF6909F}"/>
    <cellStyle name="Normal 7 6 4 5 3 2" xfId="28772" xr:uid="{03946E0B-3269-497D-B1B4-77B97149BEDE}"/>
    <cellStyle name="Normal 7 6 4 5 3 3" xfId="18462" xr:uid="{BF16C1A0-9822-4D47-A742-0B5348BF515D}"/>
    <cellStyle name="Normal 7 6 4 5 4" xfId="10915" xr:uid="{15D1B895-427B-42C9-8218-BC101DA53385}"/>
    <cellStyle name="Normal 7 6 4 5 4 2" xfId="21295" xr:uid="{07E05386-D6B5-4F0F-9541-E2ADBF877C18}"/>
    <cellStyle name="Normal 7 6 4 5 5" xfId="22988" xr:uid="{AA691454-5113-4FB4-87D2-11739E7C604C}"/>
    <cellStyle name="Normal 7 6 4 5 6" xfId="13502" xr:uid="{80EDD499-EB67-449A-A662-417C08D2759D}"/>
    <cellStyle name="Normal 7 6 4 6" xfId="2457" xr:uid="{00000000-0005-0000-0000-00001C090000}"/>
    <cellStyle name="Normal 7 6 4 6 2" xfId="5749" xr:uid="{5C7ECC11-5A5E-4742-93C1-93ABCAF451DD}"/>
    <cellStyle name="Normal 7 6 4 6 2 2" xfId="27519" xr:uid="{0B431D5C-5A9F-40C1-A469-B3FB46C54045}"/>
    <cellStyle name="Normal 7 6 4 6 2 3" xfId="15129" xr:uid="{7786E342-5940-4005-A46E-4386156685AA}"/>
    <cellStyle name="Normal 7 6 4 6 3" xfId="7582" xr:uid="{6614F47F-3B61-438F-A015-54D8ED0B784D}"/>
    <cellStyle name="Normal 7 6 4 6 3 2" xfId="17962" xr:uid="{582818AA-C3A4-4DAA-8F13-7948F36C02D0}"/>
    <cellStyle name="Normal 7 6 4 6 4" xfId="10415" xr:uid="{0840C9DB-4E69-40F0-BEE7-88E70FFD731F}"/>
    <cellStyle name="Normal 7 6 4 6 4 2" xfId="20795" xr:uid="{12344003-0DAF-491F-972E-91BB6DFF52CC}"/>
    <cellStyle name="Normal 7 6 4 6 5" xfId="23396" xr:uid="{9FA5B035-2601-4F75-8A83-5A87EB96104D}"/>
    <cellStyle name="Normal 7 6 4 6 6" xfId="12845" xr:uid="{9ED57ABB-C750-4436-896D-DA1DBDFB3F0B}"/>
    <cellStyle name="Normal 7 6 4 7" xfId="2211" xr:uid="{00000000-0005-0000-0000-000010090000}"/>
    <cellStyle name="Normal 7 6 4 7 2" xfId="7338" xr:uid="{C6DD2CEB-8E2E-467D-BAE0-3FBCF447319B}"/>
    <cellStyle name="Normal 7 6 4 7 2 2" xfId="17718" xr:uid="{29EE4852-5465-45F1-8671-6D1F0111BE9B}"/>
    <cellStyle name="Normal 7 6 4 7 3" xfId="10171" xr:uid="{41AD4F93-CE63-4CAF-8287-65AE5F09F554}"/>
    <cellStyle name="Normal 7 6 4 7 3 2" xfId="20551" xr:uid="{438D9016-FB78-4B8E-BF5E-6395939B03E9}"/>
    <cellStyle name="Normal 7 6 4 7 4" xfId="23895" xr:uid="{0CADA542-F7D4-4031-8302-CBD27A5EA11C}"/>
    <cellStyle name="Normal 7 6 4 7 5" xfId="14885" xr:uid="{2FCCF03A-40FB-4A4C-BEB3-A1933E008AB1}"/>
    <cellStyle name="Normal 7 6 4 8" xfId="4085" xr:uid="{11850CE3-2A1F-47EF-B471-999DD0D6EC39}"/>
    <cellStyle name="Normal 7 6 4 8 2" xfId="8862" xr:uid="{FE95634D-8F33-41D2-9E6C-F65192F00752}"/>
    <cellStyle name="Normal 7 6 4 8 2 2" xfId="19242" xr:uid="{8BE33F30-94BC-4BBC-8383-2CB6173F8692}"/>
    <cellStyle name="Normal 7 6 4 8 3" xfId="11695" xr:uid="{CE13F861-80D1-45D9-B0C6-B1E764EFA1C2}"/>
    <cellStyle name="Normal 7 6 4 8 3 2" xfId="22075" xr:uid="{95A5F071-E116-4268-8948-93F70ECB1FF0}"/>
    <cellStyle name="Normal 7 6 4 8 4" xfId="16409" xr:uid="{C8F0C22F-C200-44E0-8CBD-0716BEC85CC9}"/>
    <cellStyle name="Normal 7 6 4 9" xfId="5492" xr:uid="{D292BAB4-4D87-46A6-BF4A-6386D5DA9302}"/>
    <cellStyle name="Normal 7 6 4 9 2" xfId="14788" xr:uid="{50E78859-CACB-4E35-B1CA-1A390D183C89}"/>
    <cellStyle name="Normal 7 6 5" xfId="1499" xr:uid="{00000000-0005-0000-0000-0000B4070000}"/>
    <cellStyle name="Normal 7 6 5 10" xfId="10079" xr:uid="{DF3FBC87-0B9B-40A1-AE4C-0EAC5DF663CA}"/>
    <cellStyle name="Normal 7 6 5 10 2" xfId="20459" xr:uid="{4EC8ADD7-9EF6-408B-969E-A98714B64BE2}"/>
    <cellStyle name="Normal 7 6 5 11" xfId="24069" xr:uid="{E61F5D74-F8CC-4F82-8A62-7F385A9996D1}"/>
    <cellStyle name="Normal 7 6 5 12" xfId="12647" xr:uid="{FB75F0C5-BC27-4FA1-8CDF-8AB2BD8454C9}"/>
    <cellStyle name="Normal 7 6 5 2" xfId="1500" xr:uid="{00000000-0005-0000-0000-0000B5070000}"/>
    <cellStyle name="Normal 7 6 5 2 2" xfId="1501" xr:uid="{00000000-0005-0000-0000-0000B6070000}"/>
    <cellStyle name="Normal 7 6 5 2 2 2" xfId="5499" xr:uid="{E7D01064-A9DA-43E2-BD7F-8BE99A6CBE46}"/>
    <cellStyle name="Normal 7 6 5 2 2 2 2" xfId="24804" xr:uid="{D74CCB81-EE89-40BD-A651-D2397EED77F1}"/>
    <cellStyle name="Normal 7 6 5 2 2 2 3" xfId="27836" xr:uid="{858DF70D-599C-44FE-BC8D-CCEEAE3631E2}"/>
    <cellStyle name="Normal 7 6 5 2 2 2 4" xfId="14795" xr:uid="{5AFCEABD-88CD-4BC1-A9F3-858BA1A0DB98}"/>
    <cellStyle name="Normal 7 6 5 2 2 3" xfId="7248" xr:uid="{205E6962-B9B9-4764-A254-6B36C81DAA70}"/>
    <cellStyle name="Normal 7 6 5 2 2 3 2" xfId="27680" xr:uid="{903D530F-9213-4378-A3E2-20DB1D6D8E2E}"/>
    <cellStyle name="Normal 7 6 5 2 2 3 3" xfId="27830" xr:uid="{B8EB2944-3F2D-4394-970A-437B5D6F330F}"/>
    <cellStyle name="Normal 7 6 5 2 2 3 4" xfId="17628" xr:uid="{51A2E2CE-64DE-40DE-A6A2-316D44780599}"/>
    <cellStyle name="Normal 7 6 5 2 2 4" xfId="10081" xr:uid="{1A92C8BC-D39C-4639-8D36-28691DFCA540}"/>
    <cellStyle name="Normal 7 6 5 2 2 4 2" xfId="29468" xr:uid="{9F20443E-21B9-494F-B24D-1211805F4477}"/>
    <cellStyle name="Normal 7 6 5 2 2 4 3" xfId="20461" xr:uid="{93EC5B0D-A3C5-4AFE-ADC9-40F688624D8C}"/>
    <cellStyle name="Normal 7 6 5 2 2 5" xfId="24687" xr:uid="{DE10F9B7-7379-4872-8B6A-23698B840900}"/>
    <cellStyle name="Normal 7 6 5 2 2 6" xfId="14095" xr:uid="{B0BE8522-4076-441B-96EA-40824BB98BCA}"/>
    <cellStyle name="Normal 7 6 5 2 3" xfId="2848" xr:uid="{00000000-0005-0000-0000-000020090000}"/>
    <cellStyle name="Normal 7 6 5 2 3 2" xfId="6061" xr:uid="{2D925E2C-A4E9-4D58-917A-11A3E56E570C}"/>
    <cellStyle name="Normal 7 6 5 2 3 2 2" xfId="27687" xr:uid="{08579B00-37A0-4D2D-B741-0D76075C24B8}"/>
    <cellStyle name="Normal 7 6 5 2 3 2 3" xfId="15517" xr:uid="{937FC035-2C2E-4A21-989C-416B995AE6D9}"/>
    <cellStyle name="Normal 7 6 5 2 3 3" xfId="7970" xr:uid="{564FBD73-78CC-4849-8011-285DF5FAEA1D}"/>
    <cellStyle name="Normal 7 6 5 2 3 3 2" xfId="18350" xr:uid="{4B9EECFA-4E80-40F4-8D21-9F0CD286499E}"/>
    <cellStyle name="Normal 7 6 5 2 3 4" xfId="10803" xr:uid="{643B0A30-BEED-4CC2-9056-F8CB97C651AA}"/>
    <cellStyle name="Normal 7 6 5 2 3 4 2" xfId="21183" xr:uid="{BC6BBA72-C174-4E41-B37A-38CFFE3AF547}"/>
    <cellStyle name="Normal 7 6 5 2 3 5" xfId="24230" xr:uid="{2DD603A8-BED6-4F04-BFF2-A5BDD9C3C6AE}"/>
    <cellStyle name="Normal 7 6 5 2 3 6" xfId="13330" xr:uid="{E11FFCF2-C722-4897-80E4-2E9BB38A8AAB}"/>
    <cellStyle name="Normal 7 6 5 2 4" xfId="4230" xr:uid="{BEFF7DA6-1B62-4455-981F-FF52525144C4}"/>
    <cellStyle name="Normal 7 6 5 2 4 2" xfId="9002" xr:uid="{052E31BB-E2DA-475B-AF01-E6B7DC9A4042}"/>
    <cellStyle name="Normal 7 6 5 2 4 2 2" xfId="29077" xr:uid="{F6532E92-B218-496F-A9A0-A9A7BD61A0F8}"/>
    <cellStyle name="Normal 7 6 5 2 4 2 3" xfId="19382" xr:uid="{7DD29C7B-D90B-4FBB-A9F7-7C6E62FCEBD4}"/>
    <cellStyle name="Normal 7 6 5 2 4 3" xfId="11835" xr:uid="{33D767A8-829E-46E3-896D-5754A6CF897C}"/>
    <cellStyle name="Normal 7 6 5 2 4 3 2" xfId="22215" xr:uid="{DD737A68-9990-408A-95BA-F9BE69979620}"/>
    <cellStyle name="Normal 7 6 5 2 4 4" xfId="23844" xr:uid="{D76A78E7-45C2-4F5D-8A2F-1A50B7832796}"/>
    <cellStyle name="Normal 7 6 5 2 4 5" xfId="16549" xr:uid="{2890542C-1270-4BDE-AF4B-E1326976F566}"/>
    <cellStyle name="Normal 7 6 5 2 5" xfId="5498" xr:uid="{57B78EE6-7841-42ED-A2A6-9BDAEA7C889A}"/>
    <cellStyle name="Normal 7 6 5 2 5 2" xfId="27139" xr:uid="{3CB9700E-5A5C-4819-AB08-22F6E62D5BE7}"/>
    <cellStyle name="Normal 7 6 5 2 5 3" xfId="14794" xr:uid="{A7FE7C76-E922-4743-B111-09BC9106E9CC}"/>
    <cellStyle name="Normal 7 6 5 2 6" xfId="7247" xr:uid="{4862564F-D428-4D96-A80C-2DCBD8993F2B}"/>
    <cellStyle name="Normal 7 6 5 2 6 2" xfId="17627" xr:uid="{562F2376-9098-419C-95D0-4E76847DFC1B}"/>
    <cellStyle name="Normal 7 6 5 2 7" xfId="10080" xr:uid="{DC63A437-50E5-491A-AD3F-C1CABC2759BE}"/>
    <cellStyle name="Normal 7 6 5 2 7 2" xfId="20460" xr:uid="{5124A459-17B2-48D3-91D4-BD503E8A9CF2}"/>
    <cellStyle name="Normal 7 6 5 2 8" xfId="23238" xr:uid="{9E3CA18B-B945-400C-9C14-33091210BAF6}"/>
    <cellStyle name="Normal 7 6 5 2 9" xfId="12805" xr:uid="{C37684F4-A37F-4EA8-AAA9-4B7A6619FBB3}"/>
    <cellStyle name="Normal 7 6 5 3" xfId="1502" xr:uid="{00000000-0005-0000-0000-0000B7070000}"/>
    <cellStyle name="Normal 7 6 5 3 2" xfId="4609" xr:uid="{A31E5E11-9452-49DF-82C6-7A872B65B43C}"/>
    <cellStyle name="Normal 7 6 5 3 2 2" xfId="9381" xr:uid="{5D7F5286-3528-42BB-8D71-FDB46231D195}"/>
    <cellStyle name="Normal 7 6 5 3 2 2 2" xfId="29349" xr:uid="{6FA31A69-84ED-4BEC-A0E2-88DDF5E61206}"/>
    <cellStyle name="Normal 7 6 5 3 2 2 3" xfId="19761" xr:uid="{9FBC37E3-2557-4260-A526-F7BB117EF95D}"/>
    <cellStyle name="Normal 7 6 5 3 2 3" xfId="12214" xr:uid="{3BB80120-C50E-4D9B-8D76-121F08A551F3}"/>
    <cellStyle name="Normal 7 6 5 3 2 3 2" xfId="22594" xr:uid="{6BF84990-48C2-4EC4-9B8F-77256D126BCB}"/>
    <cellStyle name="Normal 7 6 5 3 2 4" xfId="23875" xr:uid="{A4373488-25F7-4AE1-A30A-4A24639504D8}"/>
    <cellStyle name="Normal 7 6 5 3 2 5" xfId="16928" xr:uid="{EAA94611-9138-4B12-9179-5EA06D298EEA}"/>
    <cellStyle name="Normal 7 6 5 3 3" xfId="5500" xr:uid="{E7DAD043-6AE3-4AC1-B786-9BBFE7339374}"/>
    <cellStyle name="Normal 7 6 5 3 3 2" xfId="25801" xr:uid="{44967C79-7D0B-4E84-A99E-681F3E8F24C1}"/>
    <cellStyle name="Normal 7 6 5 3 3 3" xfId="28114" xr:uid="{B93C29BC-09E4-4A66-8E44-8F0A6CF78288}"/>
    <cellStyle name="Normal 7 6 5 3 3 4" xfId="14796" xr:uid="{D165794D-EA70-4A47-8B38-33BA446E4169}"/>
    <cellStyle name="Normal 7 6 5 3 4" xfId="7249" xr:uid="{81B50CBF-AC87-4D6C-8852-00497000B5CD}"/>
    <cellStyle name="Normal 7 6 5 3 4 2" xfId="24855" xr:uid="{FE06049C-30C1-43B9-B38C-3DFFB8716974}"/>
    <cellStyle name="Normal 7 6 5 3 4 3" xfId="27206" xr:uid="{63796442-6B39-4ABD-BFF2-28A58284432A}"/>
    <cellStyle name="Normal 7 6 5 3 4 4" xfId="17629" xr:uid="{A5F050B3-85E0-4682-A9DB-664CDC9A79EF}"/>
    <cellStyle name="Normal 7 6 5 3 5" xfId="10082" xr:uid="{D7DC216D-1E73-4623-8389-1E20B8153073}"/>
    <cellStyle name="Normal 7 6 5 3 5 2" xfId="29469" xr:uid="{200210D5-41D4-42EC-8CE0-4DC6FEF33C50}"/>
    <cellStyle name="Normal 7 6 5 3 5 3" xfId="20462" xr:uid="{A19966B2-E5BB-4CC7-A122-3C1E264E1887}"/>
    <cellStyle name="Normal 7 6 5 3 6" xfId="23590" xr:uid="{82992022-37F0-40A8-9867-021839D0216E}"/>
    <cellStyle name="Normal 7 6 5 3 7" xfId="14096" xr:uid="{B9886D02-1060-421F-98E1-3B9D47822D62}"/>
    <cellStyle name="Normal 7 6 5 4" xfId="1503" xr:uid="{00000000-0005-0000-0000-0000B8070000}"/>
    <cellStyle name="Normal 7 6 5 4 2" xfId="5501" xr:uid="{0448C5CA-400A-4F9A-9F2C-FFC0C2A5BC16}"/>
    <cellStyle name="Normal 7 6 5 4 2 2" xfId="25065" xr:uid="{6D85387C-BEE5-4EA8-8562-29F7FEAF8C54}"/>
    <cellStyle name="Normal 7 6 5 4 2 3" xfId="28317" xr:uid="{5BA3CC29-3443-4898-BCAE-1DE0AD6F8EB1}"/>
    <cellStyle name="Normal 7 6 5 4 2 4" xfId="14797" xr:uid="{F6A537C0-D38D-49E9-A143-B03E526A3625}"/>
    <cellStyle name="Normal 7 6 5 4 3" xfId="7250" xr:uid="{D3E2AE04-D1F3-4C38-A891-B9B7297207D2}"/>
    <cellStyle name="Normal 7 6 5 4 3 2" xfId="27311" xr:uid="{96C97A13-D7ED-428C-8971-01428BF5CD64}"/>
    <cellStyle name="Normal 7 6 5 4 3 3" xfId="17630" xr:uid="{137D9BBF-689C-40AD-98C7-64A77D725B87}"/>
    <cellStyle name="Normal 7 6 5 4 4" xfId="10083" xr:uid="{0A5C38E3-CD4B-488F-97E0-91E36EEDF728}"/>
    <cellStyle name="Normal 7 6 5 4 4 2" xfId="20463" xr:uid="{39388F70-C8A2-4962-AC8A-626FD65554AC}"/>
    <cellStyle name="Normal 7 6 5 4 5" xfId="23554" xr:uid="{98F9B7CA-BCF9-44B6-A03D-846CA1C21B07}"/>
    <cellStyle name="Normal 7 6 5 4 6" xfId="13503" xr:uid="{8D2DF42F-EFC1-44D8-9472-20F47BF14A7E}"/>
    <cellStyle name="Normal 7 6 5 5" xfId="2517" xr:uid="{00000000-0005-0000-0000-000023090000}"/>
    <cellStyle name="Normal 7 6 5 5 2" xfId="5795" xr:uid="{A9F19D54-6E6A-46E2-9C4C-8DF33B402472}"/>
    <cellStyle name="Normal 7 6 5 5 2 2" xfId="26308" xr:uid="{60489D58-1A9D-4CF3-9EED-BEEB248944F9}"/>
    <cellStyle name="Normal 7 6 5 5 2 3" xfId="15189" xr:uid="{59C38AAD-98DE-48FB-8D51-B5ED5DB69078}"/>
    <cellStyle name="Normal 7 6 5 5 3" xfId="7642" xr:uid="{114DA3DD-D026-404F-B1D3-2312EE0C354A}"/>
    <cellStyle name="Normal 7 6 5 5 3 2" xfId="18022" xr:uid="{0DD8FB3C-2F4B-4FDF-AF12-910BBC8759CD}"/>
    <cellStyle name="Normal 7 6 5 5 4" xfId="10475" xr:uid="{3E356359-D060-4D23-991E-B97B13F06CB5}"/>
    <cellStyle name="Normal 7 6 5 5 4 2" xfId="20855" xr:uid="{44EECC84-9E0F-4F15-B137-F654756F5474}"/>
    <cellStyle name="Normal 7 6 5 5 5" xfId="23906" xr:uid="{E3F90392-059D-469A-AC0E-0BDACDF09501}"/>
    <cellStyle name="Normal 7 6 5 5 6" xfId="12905" xr:uid="{C1D38FF7-5C92-4681-BF21-05503F8663E1}"/>
    <cellStyle name="Normal 7 6 5 6" xfId="2413" xr:uid="{00000000-0005-0000-0000-00001D090000}"/>
    <cellStyle name="Normal 7 6 5 6 2" xfId="7540" xr:uid="{3508834D-B89E-46C8-B299-CDA7B4274BBE}"/>
    <cellStyle name="Normal 7 6 5 6 2 2" xfId="28431" xr:uid="{4C9CF324-6BA4-4F60-B99D-0370AA4F4A93}"/>
    <cellStyle name="Normal 7 6 5 6 2 3" xfId="17920" xr:uid="{99EA2127-49D3-4607-95F1-053C6827513B}"/>
    <cellStyle name="Normal 7 6 5 6 3" xfId="10373" xr:uid="{B72334EA-2842-42B8-AE23-5F70208D013F}"/>
    <cellStyle name="Normal 7 6 5 6 3 2" xfId="20753" xr:uid="{FA60AE56-242F-41F8-94D0-21A1BEDA3DB4}"/>
    <cellStyle name="Normal 7 6 5 6 4" xfId="24940" xr:uid="{CFE09879-813F-4BF0-BF6F-92F31AC8B8AC}"/>
    <cellStyle name="Normal 7 6 5 6 5" xfId="15087" xr:uid="{5E843A23-20EA-4DBC-8888-73032B54F864}"/>
    <cellStyle name="Normal 7 6 5 7" xfId="4086" xr:uid="{B50348EB-0804-4161-A015-D162F110C8BD}"/>
    <cellStyle name="Normal 7 6 5 7 2" xfId="8863" xr:uid="{24B99DFC-2ACB-4ED6-90AC-1BBEFE0B71C7}"/>
    <cellStyle name="Normal 7 6 5 7 2 2" xfId="19243" xr:uid="{4C2B3425-55F2-43B2-9249-D780CDF9D891}"/>
    <cellStyle name="Normal 7 6 5 7 3" xfId="11696" xr:uid="{2357267F-3C24-4CB3-8332-CAA36D5BC0A7}"/>
    <cellStyle name="Normal 7 6 5 7 3 2" xfId="22076" xr:uid="{2DD6BFAA-42BC-4F91-A4AF-9EC1FA3D0BA3}"/>
    <cellStyle name="Normal 7 6 5 7 4" xfId="27365" xr:uid="{DBD02698-3E7A-4D39-940A-E12FE30B168E}"/>
    <cellStyle name="Normal 7 6 5 7 5" xfId="16410" xr:uid="{A55057EA-B0DE-44A3-86F5-D09B84CC644A}"/>
    <cellStyle name="Normal 7 6 5 8" xfId="5497" xr:uid="{C4B4A565-1729-4507-AEF3-F0F3746693D0}"/>
    <cellStyle name="Normal 7 6 5 8 2" xfId="14793" xr:uid="{39D3E485-0063-4AE3-A647-329FAC49358D}"/>
    <cellStyle name="Normal 7 6 5 9" xfId="7246" xr:uid="{FDBB60B6-CCCA-4215-9EBD-417F9A818965}"/>
    <cellStyle name="Normal 7 6 5 9 2" xfId="17626" xr:uid="{4C1C3760-73F1-4520-AA0E-3E8190282C36}"/>
    <cellStyle name="Normal 7 6 6" xfId="1504" xr:uid="{00000000-0005-0000-0000-0000B9070000}"/>
    <cellStyle name="Normal 7 6 6 10" xfId="10084" xr:uid="{9B121F16-A290-4197-B44F-6E69836089B0}"/>
    <cellStyle name="Normal 7 6 6 10 2" xfId="20464" xr:uid="{30DC266A-56CA-4C6B-A34D-80F0098443A0}"/>
    <cellStyle name="Normal 7 6 6 11" xfId="24361" xr:uid="{6410A27D-6B69-46D0-8F51-0ED5BF83BC57}"/>
    <cellStyle name="Normal 7 6 6 12" xfId="12648" xr:uid="{E9519333-2B6F-4A8D-856E-C824E5F393D6}"/>
    <cellStyle name="Normal 7 6 6 2" xfId="1505" xr:uid="{00000000-0005-0000-0000-0000BA070000}"/>
    <cellStyle name="Normal 7 6 6 2 2" xfId="1506" xr:uid="{00000000-0005-0000-0000-0000BB070000}"/>
    <cellStyle name="Normal 7 6 6 2 2 2" xfId="5504" xr:uid="{66B9D532-A4E6-42C2-84FA-23C65AFFCF31}"/>
    <cellStyle name="Normal 7 6 6 2 2 2 2" xfId="25084" xr:uid="{6B52F8F8-4313-4B80-9398-0AA11670A4A1}"/>
    <cellStyle name="Normal 7 6 6 2 2 2 3" xfId="26242" xr:uid="{84E34A4D-CE0E-4BF4-81D8-3BF44BBD6CCA}"/>
    <cellStyle name="Normal 7 6 6 2 2 2 4" xfId="14800" xr:uid="{E26BC03C-90D7-4629-8D61-133D401B09F6}"/>
    <cellStyle name="Normal 7 6 6 2 2 3" xfId="7253" xr:uid="{E8C4E03D-37ED-4BEB-8E4B-2F11686E682B}"/>
    <cellStyle name="Normal 7 6 6 2 2 3 2" xfId="27682" xr:uid="{65B0E04E-FBEA-48B1-9F0A-4B5EAF851E1F}"/>
    <cellStyle name="Normal 7 6 6 2 2 3 3" xfId="27640" xr:uid="{D0868920-65DE-48FA-BE3C-429C1847C4D3}"/>
    <cellStyle name="Normal 7 6 6 2 2 3 4" xfId="17633" xr:uid="{1605AD8E-97AD-4CF4-BDFA-4E6722E783FB}"/>
    <cellStyle name="Normal 7 6 6 2 2 4" xfId="10086" xr:uid="{D4EFA8F4-58C7-4071-B63C-6B349D4907A1}"/>
    <cellStyle name="Normal 7 6 6 2 2 4 2" xfId="29470" xr:uid="{9D218204-F3AE-4304-ACCF-308F57A75CDE}"/>
    <cellStyle name="Normal 7 6 6 2 2 4 3" xfId="20466" xr:uid="{D9DB5CF1-0839-47D2-9A8B-2EB8139606C1}"/>
    <cellStyle name="Normal 7 6 6 2 2 5" xfId="23187" xr:uid="{8F807369-CD25-4CCE-A376-550BCE61BF84}"/>
    <cellStyle name="Normal 7 6 6 2 2 6" xfId="14097" xr:uid="{A23A3A3E-B6FB-4F24-99A8-FF3721C11DFB}"/>
    <cellStyle name="Normal 7 6 6 2 3" xfId="2849" xr:uid="{00000000-0005-0000-0000-000027090000}"/>
    <cellStyle name="Normal 7 6 6 2 3 2" xfId="6062" xr:uid="{EC8937D3-ACD6-45B5-BB65-2C456B8FDA71}"/>
    <cellStyle name="Normal 7 6 6 2 3 2 2" xfId="26790" xr:uid="{3C319A9D-AB1A-4A43-AF91-B55E12066FFB}"/>
    <cellStyle name="Normal 7 6 6 2 3 2 3" xfId="15518" xr:uid="{54B92E17-B78D-4634-8730-CE48B4B24AAB}"/>
    <cellStyle name="Normal 7 6 6 2 3 3" xfId="7971" xr:uid="{AD8F4644-535B-4915-883A-88DC203AB579}"/>
    <cellStyle name="Normal 7 6 6 2 3 3 2" xfId="18351" xr:uid="{87FB52A6-6CE3-4283-BEB4-B7E4BFC29F79}"/>
    <cellStyle name="Normal 7 6 6 2 3 4" xfId="10804" xr:uid="{C3DD5877-10AA-4D2E-9371-104F91F5B5C6}"/>
    <cellStyle name="Normal 7 6 6 2 3 4 2" xfId="21184" xr:uid="{884396C8-AED6-46D9-A577-228829186CC5}"/>
    <cellStyle name="Normal 7 6 6 2 3 5" xfId="24224" xr:uid="{C9354425-C819-4EC8-8BD8-F1436EE5B4A5}"/>
    <cellStyle name="Normal 7 6 6 2 3 6" xfId="13331" xr:uid="{48A48117-C8D3-4B37-9DDF-316FB5CE0346}"/>
    <cellStyle name="Normal 7 6 6 2 4" xfId="4231" xr:uid="{96586672-87B1-4913-984A-17E53571DCBA}"/>
    <cellStyle name="Normal 7 6 6 2 4 2" xfId="9003" xr:uid="{7AE56A67-32F7-4039-AA29-2DF78912FDB0}"/>
    <cellStyle name="Normal 7 6 6 2 4 2 2" xfId="29078" xr:uid="{85A50398-B79F-4714-9769-7B93ABC37BED}"/>
    <cellStyle name="Normal 7 6 6 2 4 2 3" xfId="19383" xr:uid="{74EAF74C-BCFA-4DE5-8BD8-45CE8CE70AEB}"/>
    <cellStyle name="Normal 7 6 6 2 4 3" xfId="11836" xr:uid="{CCE31F3E-1130-444E-ACBD-CC971A255CB3}"/>
    <cellStyle name="Normal 7 6 6 2 4 3 2" xfId="22216" xr:uid="{7676A053-1EDB-4EE4-ADD5-287BA4D75F4C}"/>
    <cellStyle name="Normal 7 6 6 2 4 4" xfId="23141" xr:uid="{7DACF0CB-2FDB-41C4-AE40-507DD9740409}"/>
    <cellStyle name="Normal 7 6 6 2 4 5" xfId="16550" xr:uid="{72D1934E-2114-4BE2-80BA-195B8E688A8F}"/>
    <cellStyle name="Normal 7 6 6 2 5" xfId="5503" xr:uid="{60C0B025-1DC6-42ED-8C10-81AF1593DD4B}"/>
    <cellStyle name="Normal 7 6 6 2 5 2" xfId="28110" xr:uid="{BEA1BF45-6A94-4922-B8F9-A7D08A4CAD92}"/>
    <cellStyle name="Normal 7 6 6 2 5 3" xfId="14799" xr:uid="{8011D1AE-A096-49B3-A833-5A3211D0A05D}"/>
    <cellStyle name="Normal 7 6 6 2 6" xfId="7252" xr:uid="{7CF328A4-4908-44FA-B972-75D59A28DDA1}"/>
    <cellStyle name="Normal 7 6 6 2 6 2" xfId="17632" xr:uid="{2938AFDE-3D6F-4AFC-A431-0AFC23B4817B}"/>
    <cellStyle name="Normal 7 6 6 2 7" xfId="10085" xr:uid="{B600220D-9330-452C-85B4-091C21D3E5D2}"/>
    <cellStyle name="Normal 7 6 6 2 7 2" xfId="20465" xr:uid="{1CF45A2F-4BDD-463E-8AE8-125CAD9CE958}"/>
    <cellStyle name="Normal 7 6 6 2 8" xfId="25387" xr:uid="{5569986E-846C-48E9-B343-C5A293E1820F}"/>
    <cellStyle name="Normal 7 6 6 2 9" xfId="12806" xr:uid="{C145EB29-7EE7-41FA-8EEE-0623BCB2FF8B}"/>
    <cellStyle name="Normal 7 6 6 3" xfId="1507" xr:uid="{00000000-0005-0000-0000-0000BC070000}"/>
    <cellStyle name="Normal 7 6 6 3 2" xfId="4610" xr:uid="{F14CE967-CAE8-4480-8105-4FCB90A37042}"/>
    <cellStyle name="Normal 7 6 6 3 2 2" xfId="9382" xr:uid="{C99E997D-08CD-4908-985C-5EC8E1428681}"/>
    <cellStyle name="Normal 7 6 6 3 2 2 2" xfId="29350" xr:uid="{8727CD08-8DE0-4178-8FAB-9EEDB235D22A}"/>
    <cellStyle name="Normal 7 6 6 3 2 2 3" xfId="19762" xr:uid="{06F669DE-4B87-41B7-8C2F-116D16D00B6F}"/>
    <cellStyle name="Normal 7 6 6 3 2 3" xfId="12215" xr:uid="{D7CCF65F-3506-4683-96F9-F5E823D11A84}"/>
    <cellStyle name="Normal 7 6 6 3 2 3 2" xfId="22595" xr:uid="{AAFEA359-EC7A-4C13-808A-D5B42C63E00B}"/>
    <cellStyle name="Normal 7 6 6 3 2 4" xfId="22979" xr:uid="{C7FDCBBD-6BCC-405C-A3A9-76D67F1E25D8}"/>
    <cellStyle name="Normal 7 6 6 3 2 5" xfId="16929" xr:uid="{4DC315E7-0311-4131-B8D5-1E08462052FA}"/>
    <cellStyle name="Normal 7 6 6 3 3" xfId="5505" xr:uid="{8522F306-649E-4170-97FC-7493F82F02D9}"/>
    <cellStyle name="Normal 7 6 6 3 3 2" xfId="26885" xr:uid="{01DA18E4-630B-407C-90D8-A91D7245FB40}"/>
    <cellStyle name="Normal 7 6 6 3 3 3" xfId="28169" xr:uid="{7C2D3BB2-4CDA-4B63-808A-80FBE4F1B9CF}"/>
    <cellStyle name="Normal 7 6 6 3 3 4" xfId="14801" xr:uid="{D8150843-5B72-4389-80BE-739888821749}"/>
    <cellStyle name="Normal 7 6 6 3 4" xfId="7254" xr:uid="{F509454B-227C-426F-970A-B489BD7153BC}"/>
    <cellStyle name="Normal 7 6 6 3 4 2" xfId="25901" xr:uid="{03B433BB-282D-4668-99EA-A3DFFEF34C56}"/>
    <cellStyle name="Normal 7 6 6 3 4 3" xfId="28640" xr:uid="{2FC4DC22-583C-4AE0-B574-3F4737361CF8}"/>
    <cellStyle name="Normal 7 6 6 3 4 4" xfId="17634" xr:uid="{632C8BC2-1B4E-4244-AC82-F2BB44834442}"/>
    <cellStyle name="Normal 7 6 6 3 5" xfId="10087" xr:uid="{33884DD8-7790-4C34-9D44-87B0B9071B03}"/>
    <cellStyle name="Normal 7 6 6 3 5 2" xfId="29471" xr:uid="{D657E74B-A85A-4BE1-B0EF-D68ABA591894}"/>
    <cellStyle name="Normal 7 6 6 3 5 3" xfId="20467" xr:uid="{17476645-C583-4B81-BAB9-3D431711E7D8}"/>
    <cellStyle name="Normal 7 6 6 3 6" xfId="24551" xr:uid="{7F04EA5A-7CA8-4E0F-A5D3-9DBD12856DA2}"/>
    <cellStyle name="Normal 7 6 6 3 7" xfId="14098" xr:uid="{2083B337-D404-4396-BEBD-396F3F4FB296}"/>
    <cellStyle name="Normal 7 6 6 4" xfId="1508" xr:uid="{00000000-0005-0000-0000-0000BD070000}"/>
    <cellStyle name="Normal 7 6 6 4 2" xfId="5506" xr:uid="{B1732BA7-F99E-4741-8EAB-B210D7C053B9}"/>
    <cellStyle name="Normal 7 6 6 4 2 2" xfId="24096" xr:uid="{FA1B13A7-D167-4EA2-A350-A98617B2D303}"/>
    <cellStyle name="Normal 7 6 6 4 2 3" xfId="28267" xr:uid="{56DBB3E1-308A-4947-82A4-B10BE50C8A1B}"/>
    <cellStyle name="Normal 7 6 6 4 2 4" xfId="14802" xr:uid="{7E7F5B2D-6716-44CD-94E9-DC067523BD92}"/>
    <cellStyle name="Normal 7 6 6 4 3" xfId="7255" xr:uid="{F8A11A8C-8BFF-48F3-A1FD-EF29614361A6}"/>
    <cellStyle name="Normal 7 6 6 4 3 2" xfId="28370" xr:uid="{FEF2D7E9-A34A-4940-8224-435FEFF01F1D}"/>
    <cellStyle name="Normal 7 6 6 4 3 3" xfId="17635" xr:uid="{4ED87E50-93AE-4538-9786-4F9D0E2789A3}"/>
    <cellStyle name="Normal 7 6 6 4 4" xfId="10088" xr:uid="{FEB4022C-F1E3-4EEA-BC90-D9D14035388A}"/>
    <cellStyle name="Normal 7 6 6 4 4 2" xfId="20468" xr:uid="{FF1819DC-C74B-4760-AC62-38CC67072738}"/>
    <cellStyle name="Normal 7 6 6 4 5" xfId="25459" xr:uid="{884E5F05-DE08-4D40-BA10-0149E35848F9}"/>
    <cellStyle name="Normal 7 6 6 4 6" xfId="13504" xr:uid="{FB128930-BA0C-4BB7-850E-07204CFDD584}"/>
    <cellStyle name="Normal 7 6 6 5" xfId="2580" xr:uid="{00000000-0005-0000-0000-00002A090000}"/>
    <cellStyle name="Normal 7 6 6 5 2" xfId="5845" xr:uid="{FC07E65B-AECC-4723-8B85-42B93FFCFF2A}"/>
    <cellStyle name="Normal 7 6 6 5 2 2" xfId="27772" xr:uid="{9518A7A9-2E88-4A12-8133-4CDBCE5423B9}"/>
    <cellStyle name="Normal 7 6 6 5 2 3" xfId="15252" xr:uid="{08C635A3-EA47-4E40-9C92-EBF23F30B52F}"/>
    <cellStyle name="Normal 7 6 6 5 3" xfId="7705" xr:uid="{0318551E-54D7-4162-BC80-5B7FEAC080D4}"/>
    <cellStyle name="Normal 7 6 6 5 3 2" xfId="18085" xr:uid="{AB883187-AEFB-401B-98C3-A91990143091}"/>
    <cellStyle name="Normal 7 6 6 5 4" xfId="10538" xr:uid="{623578DD-EDBB-4CB0-B8A4-201B6942FEDD}"/>
    <cellStyle name="Normal 7 6 6 5 4 2" xfId="20918" xr:uid="{30F4F925-14E5-44E2-A19C-94BA78423C76}"/>
    <cellStyle name="Normal 7 6 6 5 5" xfId="25131" xr:uid="{0B389366-22C8-49F9-AF34-069A9E312800}"/>
    <cellStyle name="Normal 7 6 6 5 6" xfId="12968" xr:uid="{797A1FFD-B612-440A-BE6B-1FFE202CD8F2}"/>
    <cellStyle name="Normal 7 6 6 6" xfId="2414" xr:uid="{00000000-0005-0000-0000-000024090000}"/>
    <cellStyle name="Normal 7 6 6 6 2" xfId="7541" xr:uid="{4FDC4E51-6D31-4A25-8512-CBBA185C9F63}"/>
    <cellStyle name="Normal 7 6 6 6 2 2" xfId="26820" xr:uid="{A4D45A25-76E5-4F37-89C4-1606FF657ECD}"/>
    <cellStyle name="Normal 7 6 6 6 2 3" xfId="17921" xr:uid="{D7558F3D-D4B8-467E-8F01-332C6031EECD}"/>
    <cellStyle name="Normal 7 6 6 6 3" xfId="10374" xr:uid="{EFA65DA9-A015-4BE6-BEA2-4A7A7C5A90AA}"/>
    <cellStyle name="Normal 7 6 6 6 3 2" xfId="20754" xr:uid="{48359B26-D60F-4260-833C-0AC33A063146}"/>
    <cellStyle name="Normal 7 6 6 6 4" xfId="24882" xr:uid="{817D6BB7-50E5-497B-B0F2-3248DEC74781}"/>
    <cellStyle name="Normal 7 6 6 6 5" xfId="15088" xr:uid="{BA3BE017-311B-43EA-8080-8C40EA3F788B}"/>
    <cellStyle name="Normal 7 6 6 7" xfId="4087" xr:uid="{AD82AA17-F863-4080-AE76-D5694A4D0A0D}"/>
    <cellStyle name="Normal 7 6 6 7 2" xfId="8864" xr:uid="{736F0F43-2BD4-47E7-955C-8BE517273D03}"/>
    <cellStyle name="Normal 7 6 6 7 2 2" xfId="19244" xr:uid="{C64B38B8-5287-4B1A-BE40-405A749A9673}"/>
    <cellStyle name="Normal 7 6 6 7 3" xfId="11697" xr:uid="{59C47437-3B8A-4A7D-8C7C-B854A9B0C1D9}"/>
    <cellStyle name="Normal 7 6 6 7 3 2" xfId="22077" xr:uid="{BBA0E55D-6FC3-47E8-A22A-86BC5E1155B7}"/>
    <cellStyle name="Normal 7 6 6 7 4" xfId="28090" xr:uid="{64006040-061F-4846-90B0-61C074CBA756}"/>
    <cellStyle name="Normal 7 6 6 7 5" xfId="16411" xr:uid="{89E87FA3-C5C8-4FE7-9FD5-82141A46A5F7}"/>
    <cellStyle name="Normal 7 6 6 8" xfId="5502" xr:uid="{8C2001EF-CE6E-4312-9B27-D4ED056D7F73}"/>
    <cellStyle name="Normal 7 6 6 8 2" xfId="14798" xr:uid="{AC29F6D8-C066-4EB8-8AAF-790769E45F74}"/>
    <cellStyle name="Normal 7 6 6 9" xfId="7251" xr:uid="{BCFA341F-BBF9-4B76-8716-B250CFC70BA2}"/>
    <cellStyle name="Normal 7 6 6 9 2" xfId="17631" xr:uid="{4A490468-A8E8-4FE8-9B9B-7E76C4A83845}"/>
    <cellStyle name="Normal 7 6 7" xfId="1509" xr:uid="{00000000-0005-0000-0000-0000BE070000}"/>
    <cellStyle name="Normal 7 6 7 10" xfId="12649" xr:uid="{6613BBB2-E1A1-4A0A-B1C4-F1A50DD76820}"/>
    <cellStyle name="Normal 7 6 7 2" xfId="1510" xr:uid="{00000000-0005-0000-0000-0000BF070000}"/>
    <cellStyle name="Normal 7 6 7 2 2" xfId="3003" xr:uid="{00000000-0005-0000-0000-00002D090000}"/>
    <cellStyle name="Normal 7 6 7 2 2 2" xfId="6152" xr:uid="{080ABE97-B2E2-4E61-8652-1A37699BBBF3}"/>
    <cellStyle name="Normal 7 6 7 2 2 2 2" xfId="27714" xr:uid="{27DD2297-39A5-4C35-A642-8D66ED12C58C}"/>
    <cellStyle name="Normal 7 6 7 2 2 2 3" xfId="28216" xr:uid="{6F8031B1-E034-4FD5-9844-F89DC6F10E87}"/>
    <cellStyle name="Normal 7 6 7 2 2 2 4" xfId="15630" xr:uid="{EFBAB4C5-27F5-4952-8540-ABD00479F2B5}"/>
    <cellStyle name="Normal 7 6 7 2 2 3" xfId="8083" xr:uid="{F1B62941-20EB-4DE6-8854-23C934EA88B7}"/>
    <cellStyle name="Normal 7 6 7 2 2 3 2" xfId="28773" xr:uid="{C802CC61-F50C-4C41-8073-E79A2A6DE01B}"/>
    <cellStyle name="Normal 7 6 7 2 2 3 3" xfId="18463" xr:uid="{192526C5-1B6C-409F-B402-201E9EAE43F4}"/>
    <cellStyle name="Normal 7 6 7 2 2 4" xfId="10916" xr:uid="{A810FF71-D6A1-4B30-B447-46D407037906}"/>
    <cellStyle name="Normal 7 6 7 2 2 4 2" xfId="21296" xr:uid="{EF98612A-D2AC-459E-AB5E-66F8C3EB41D6}"/>
    <cellStyle name="Normal 7 6 7 2 2 5" xfId="22732" xr:uid="{BDD1352B-9AF1-4EB1-839C-479DBC5D6CF0}"/>
    <cellStyle name="Normal 7 6 7 2 2 6" xfId="13505" xr:uid="{B40B867E-575C-48C2-96E2-8087B463203C}"/>
    <cellStyle name="Normal 7 6 7 2 3" xfId="5508" xr:uid="{0D1C3F98-7444-4796-9719-7935A150882F}"/>
    <cellStyle name="Normal 7 6 7 2 3 2" xfId="23507" xr:uid="{4B0EDB46-F5A1-417D-AA76-5E18DB7A653B}"/>
    <cellStyle name="Normal 7 6 7 2 3 3" xfId="26811" xr:uid="{A7DBD1A4-A307-40D4-A554-9B49C072DE4B}"/>
    <cellStyle name="Normal 7 6 7 2 3 4" xfId="14804" xr:uid="{6D8CDFE8-C924-40F1-BF4F-87F16F5C7BAF}"/>
    <cellStyle name="Normal 7 6 7 2 4" xfId="7257" xr:uid="{7B4AD736-9165-47FF-8869-95C08FC07855}"/>
    <cellStyle name="Normal 7 6 7 2 4 2" xfId="28089" xr:uid="{272CA894-78E3-437B-854F-B62209FDCA6A}"/>
    <cellStyle name="Normal 7 6 7 2 4 3" xfId="27580" xr:uid="{9381158D-9526-44F0-A16B-A01CC9FE2035}"/>
    <cellStyle name="Normal 7 6 7 2 4 4" xfId="17637" xr:uid="{4AB6D8D8-6B86-4136-BCAD-100867AD5B06}"/>
    <cellStyle name="Normal 7 6 7 2 5" xfId="10090" xr:uid="{5D942458-53FB-4B9E-9596-47BAB7BE0CC8}"/>
    <cellStyle name="Normal 7 6 7 2 5 2" xfId="29472" xr:uid="{E10E9DCB-37C1-4BED-B673-516D0B36DA47}"/>
    <cellStyle name="Normal 7 6 7 2 5 3" xfId="20470" xr:uid="{8CF82372-2F7F-460E-8D13-DE3A3C7EE63E}"/>
    <cellStyle name="Normal 7 6 7 2 6" xfId="24366" xr:uid="{F7B5B9B8-0479-469B-B68B-99E0D8F6747A}"/>
    <cellStyle name="Normal 7 6 7 2 7" xfId="12807" xr:uid="{8E4EE383-B604-480E-BBF7-9D69D7A8B6A6}"/>
    <cellStyle name="Normal 7 6 7 3" xfId="1511" xr:uid="{00000000-0005-0000-0000-0000C0070000}"/>
    <cellStyle name="Normal 7 6 7 3 2" xfId="5509" xr:uid="{34F986F0-B558-46D8-92F7-4FB60422883D}"/>
    <cellStyle name="Normal 7 6 7 3 2 2" xfId="28509" xr:uid="{409834E1-969F-4E1F-9261-1088BCA14ED7}"/>
    <cellStyle name="Normal 7 6 7 3 2 3" xfId="26982" xr:uid="{5045E64F-960D-4A8E-BC82-D7ABA7EF7E8E}"/>
    <cellStyle name="Normal 7 6 7 3 2 4" xfId="14805" xr:uid="{739C2D90-EC90-404C-BA85-EC612F0D9090}"/>
    <cellStyle name="Normal 7 6 7 3 3" xfId="7258" xr:uid="{14C9598E-269D-4F8B-8BB0-669E07821B82}"/>
    <cellStyle name="Normal 7 6 7 3 3 2" xfId="26877" xr:uid="{4BB77D7B-DE4F-4C44-A3AE-A9B7983EA802}"/>
    <cellStyle name="Normal 7 6 7 3 3 3" xfId="27975" xr:uid="{F7BB6B8E-073F-4937-85E9-F14842BDE935}"/>
    <cellStyle name="Normal 7 6 7 3 3 4" xfId="17638" xr:uid="{9D70DA91-48F7-4CD0-9518-4D629D7B8D35}"/>
    <cellStyle name="Normal 7 6 7 3 4" xfId="10091" xr:uid="{136BE510-F66E-4D9E-AF0B-D21EEA11AD1F}"/>
    <cellStyle name="Normal 7 6 7 3 4 2" xfId="29473" xr:uid="{C620F071-D9C4-44CC-8F65-4810C8762C5A}"/>
    <cellStyle name="Normal 7 6 7 3 4 3" xfId="20471" xr:uid="{2E6C462F-8B17-467B-992A-2AFF6727BFD9}"/>
    <cellStyle name="Normal 7 6 7 3 5" xfId="22721" xr:uid="{9EADBDAF-129B-48A4-B542-9DBCA21F384E}"/>
    <cellStyle name="Normal 7 6 7 3 6" xfId="13332" xr:uid="{4C52449C-8F2A-4028-A5A3-3704AF93FD5B}"/>
    <cellStyle name="Normal 7 6 7 4" xfId="2415" xr:uid="{00000000-0005-0000-0000-00002B090000}"/>
    <cellStyle name="Normal 7 6 7 4 2" xfId="7542" xr:uid="{08EB01D6-AB8E-4775-A28B-1EAF80F723E8}"/>
    <cellStyle name="Normal 7 6 7 4 2 2" xfId="28436" xr:uid="{96CDC6F0-1E1B-4294-95F6-6B4B18CFCCA2}"/>
    <cellStyle name="Normal 7 6 7 4 2 3" xfId="17922" xr:uid="{B996FC26-B713-4B53-919A-06E3B34AA916}"/>
    <cellStyle name="Normal 7 6 7 4 3" xfId="10375" xr:uid="{C82718F1-4981-4C5B-8D4B-47DEC2D44FA2}"/>
    <cellStyle name="Normal 7 6 7 4 3 2" xfId="20755" xr:uid="{33A6C9FE-E2BB-4FE8-A69E-B999139845C0}"/>
    <cellStyle name="Normal 7 6 7 4 4" xfId="23925" xr:uid="{8962E17B-97F8-422A-A065-8D564CAC16D7}"/>
    <cellStyle name="Normal 7 6 7 4 5" xfId="15089" xr:uid="{801BA0D2-29DD-457B-A574-172CF5D56217}"/>
    <cellStyle name="Normal 7 6 7 5" xfId="4088" xr:uid="{5447E32B-0A0F-40AE-B370-2B5373924D12}"/>
    <cellStyle name="Normal 7 6 7 5 2" xfId="8865" xr:uid="{4DD92BC6-9875-4460-9CFF-95B3697BAE4B}"/>
    <cellStyle name="Normal 7 6 7 5 2 2" xfId="28999" xr:uid="{2B955F8C-32A2-49D6-BD12-923BA7BE86AD}"/>
    <cellStyle name="Normal 7 6 7 5 2 3" xfId="19245" xr:uid="{339F6D67-D6EB-4190-A170-28821FB76135}"/>
    <cellStyle name="Normal 7 6 7 5 3" xfId="11698" xr:uid="{F50B4B69-54DE-4CA3-8803-277F5240FACE}"/>
    <cellStyle name="Normal 7 6 7 5 3 2" xfId="22078" xr:uid="{4AEA814F-AA9D-4EBF-BD8A-3ADC1E179C3F}"/>
    <cellStyle name="Normal 7 6 7 5 4" xfId="24985" xr:uid="{651AFEB9-E3F7-485D-9E17-42CBD082B1A7}"/>
    <cellStyle name="Normal 7 6 7 5 5" xfId="16412" xr:uid="{5240F479-5ADC-4124-99F2-2DF6F521B8DC}"/>
    <cellStyle name="Normal 7 6 7 6" xfId="5507" xr:uid="{7D013370-A388-4364-BB0A-927C952754BD}"/>
    <cellStyle name="Normal 7 6 7 6 2" xfId="28187" xr:uid="{27220882-AE72-42F7-9892-2AA2D872B6D2}"/>
    <cellStyle name="Normal 7 6 7 6 3" xfId="26097" xr:uid="{B8C32442-4CEC-40FB-826C-CAF41DCA68B8}"/>
    <cellStyle name="Normal 7 6 7 6 4" xfId="14803" xr:uid="{F3ACB335-189C-4282-8A6E-887CA1DA89CE}"/>
    <cellStyle name="Normal 7 6 7 7" xfId="7256" xr:uid="{9A0C3AF1-1982-425A-A7D2-2271FF6BE6FC}"/>
    <cellStyle name="Normal 7 6 7 7 2" xfId="25968" xr:uid="{DB732E0C-CE5D-46CF-8221-5040249B02DE}"/>
    <cellStyle name="Normal 7 6 7 7 3" xfId="17636" xr:uid="{8BA47303-40CB-4C40-85AD-3D9AF7C28189}"/>
    <cellStyle name="Normal 7 6 7 8" xfId="10089" xr:uid="{761919A9-7EFF-4657-BDAA-1C96AFE884F4}"/>
    <cellStyle name="Normal 7 6 7 8 2" xfId="20469" xr:uid="{11FFC442-1C67-45F5-A45D-85E4A1F393F1}"/>
    <cellStyle name="Normal 7 6 7 9" xfId="23150" xr:uid="{5BF4DAFD-94AD-489C-A856-6462CEAE81AE}"/>
    <cellStyle name="Normal 7 6 8" xfId="1512" xr:uid="{00000000-0005-0000-0000-0000C1070000}"/>
    <cellStyle name="Normal 7 6 8 10" xfId="12650" xr:uid="{554EF0C8-2CAF-4171-8C8E-D3D4A4494C79}"/>
    <cellStyle name="Normal 7 6 8 2" xfId="1513" xr:uid="{00000000-0005-0000-0000-0000C2070000}"/>
    <cellStyle name="Normal 7 6 8 2 2" xfId="3004" xr:uid="{00000000-0005-0000-0000-000031090000}"/>
    <cellStyle name="Normal 7 6 8 2 2 2" xfId="6153" xr:uid="{CC140979-0A8B-4FC7-A6E0-1DA3F65E100B}"/>
    <cellStyle name="Normal 7 6 8 2 2 2 2" xfId="27239" xr:uid="{1F315FCD-6B19-4D94-8E5D-3756A45B62F6}"/>
    <cellStyle name="Normal 7 6 8 2 2 2 3" xfId="27516" xr:uid="{2DEB4296-D487-454C-93AA-17F127C0E66A}"/>
    <cellStyle name="Normal 7 6 8 2 2 2 4" xfId="15631" xr:uid="{205D61BA-E6B1-40F9-B3D7-75B50B0AAF82}"/>
    <cellStyle name="Normal 7 6 8 2 2 3" xfId="8084" xr:uid="{826BCC74-F38F-4FEC-A952-AC965578CD6B}"/>
    <cellStyle name="Normal 7 6 8 2 2 3 2" xfId="28774" xr:uid="{656A6E39-2F70-452E-9E11-6A870201D508}"/>
    <cellStyle name="Normal 7 6 8 2 2 3 3" xfId="18464" xr:uid="{17E9700F-9E8B-40A8-BDD6-D59C4AFEF4C9}"/>
    <cellStyle name="Normal 7 6 8 2 2 4" xfId="10917" xr:uid="{5784923F-C5DA-4ED9-96C9-C9E735129722}"/>
    <cellStyle name="Normal 7 6 8 2 2 4 2" xfId="21297" xr:uid="{E094762C-B45A-4663-BAA3-BF7302EC2FD6}"/>
    <cellStyle name="Normal 7 6 8 2 2 5" xfId="24590" xr:uid="{B7D3F56C-7CBC-40E0-8725-AD3257430DA5}"/>
    <cellStyle name="Normal 7 6 8 2 2 6" xfId="13506" xr:uid="{817E433A-E7F3-491F-83E8-97ED8CB429A3}"/>
    <cellStyle name="Normal 7 6 8 2 3" xfId="5511" xr:uid="{52CF00B2-7171-4170-A4FE-F6A5EE947A9D}"/>
    <cellStyle name="Normal 7 6 8 2 3 2" xfId="25044" xr:uid="{DC7F0F18-D9DC-47CB-BA79-F5EB7F822477}"/>
    <cellStyle name="Normal 7 6 8 2 3 3" xfId="27052" xr:uid="{A7714589-F090-46F3-9ABF-D91F8E2BAFD3}"/>
    <cellStyle name="Normal 7 6 8 2 3 4" xfId="14807" xr:uid="{62FC836F-55EE-49EC-A952-822D62A01DDC}"/>
    <cellStyle name="Normal 7 6 8 2 4" xfId="7260" xr:uid="{CD7CFFB2-EE8E-4FEC-B5F5-93CCF6AC1410}"/>
    <cellStyle name="Normal 7 6 8 2 4 2" xfId="27802" xr:uid="{72607EB8-5B14-491F-90F5-7C9C14E39708}"/>
    <cellStyle name="Normal 7 6 8 2 4 3" xfId="26951" xr:uid="{33E49809-0D74-482A-B4ED-F288A9708BA5}"/>
    <cellStyle name="Normal 7 6 8 2 4 4" xfId="17640" xr:uid="{9FC55906-7CB2-4561-8C40-99CC00785CB7}"/>
    <cellStyle name="Normal 7 6 8 2 5" xfId="10093" xr:uid="{789D05B8-2E3D-4ECC-A80D-2993A33489FB}"/>
    <cellStyle name="Normal 7 6 8 2 5 2" xfId="29474" xr:uid="{667EB77B-1A80-4318-AD74-42920ADC3936}"/>
    <cellStyle name="Normal 7 6 8 2 5 3" xfId="20473" xr:uid="{F5E30A7E-E2DF-4D4B-B6B6-CB117F302806}"/>
    <cellStyle name="Normal 7 6 8 2 6" xfId="25133" xr:uid="{9A77F4ED-6C9E-4E29-BFBB-3F66EA865EB2}"/>
    <cellStyle name="Normal 7 6 8 2 7" xfId="12808" xr:uid="{B7D3FC20-7E19-4C7C-84AB-95CECF16A3AC}"/>
    <cellStyle name="Normal 7 6 8 3" xfId="1514" xr:uid="{00000000-0005-0000-0000-0000C3070000}"/>
    <cellStyle name="Normal 7 6 8 3 2" xfId="5512" xr:uid="{B72048B6-0134-4663-BD71-836DDABD42ED}"/>
    <cellStyle name="Normal 7 6 8 3 2 2" xfId="26432" xr:uid="{D360AD84-AB31-47D4-9B09-6CC34916B15E}"/>
    <cellStyle name="Normal 7 6 8 3 2 3" xfId="27465" xr:uid="{966EDC14-457F-4731-9E9E-9A7D295841F5}"/>
    <cellStyle name="Normal 7 6 8 3 2 4" xfId="14808" xr:uid="{4A3FC10F-15B4-4416-90A8-97C0218A902C}"/>
    <cellStyle name="Normal 7 6 8 3 3" xfId="7261" xr:uid="{DD2F54F9-01EF-41D5-8D71-BAEA5EB97AB2}"/>
    <cellStyle name="Normal 7 6 8 3 3 2" xfId="28732" xr:uid="{61D759C3-F0AF-4F79-8D32-4CD39E251A9F}"/>
    <cellStyle name="Normal 7 6 8 3 3 3" xfId="27144" xr:uid="{6079D208-AA83-4A3C-9F0C-DA77242C1108}"/>
    <cellStyle name="Normal 7 6 8 3 3 4" xfId="17641" xr:uid="{12C583DD-6D8F-43DD-81FA-89F597737CEB}"/>
    <cellStyle name="Normal 7 6 8 3 4" xfId="10094" xr:uid="{C6049051-5F2D-4558-9F0E-33787B49DD90}"/>
    <cellStyle name="Normal 7 6 8 3 4 2" xfId="29475" xr:uid="{C3490728-ADAD-44F7-9697-9906C012B277}"/>
    <cellStyle name="Normal 7 6 8 3 4 3" xfId="20474" xr:uid="{A75AB428-9466-42F3-B9BB-2CC6E5C59975}"/>
    <cellStyle name="Normal 7 6 8 3 5" xfId="22980" xr:uid="{F6DBF923-C9F4-4D49-9494-65B04710DE73}"/>
    <cellStyle name="Normal 7 6 8 3 6" xfId="13333" xr:uid="{1369D01F-A10E-49C7-82AB-9D1E5C89697F}"/>
    <cellStyle name="Normal 7 6 8 4" xfId="2416" xr:uid="{00000000-0005-0000-0000-00002F090000}"/>
    <cellStyle name="Normal 7 6 8 4 2" xfId="7543" xr:uid="{C11B5D9B-82E1-4B2F-A1E0-57C0FAA092D5}"/>
    <cellStyle name="Normal 7 6 8 4 2 2" xfId="26462" xr:uid="{99F765B3-02EF-448A-A5DE-D643F9456262}"/>
    <cellStyle name="Normal 7 6 8 4 2 3" xfId="17923" xr:uid="{5D816BAD-016A-4946-9938-937901AC8CE7}"/>
    <cellStyle name="Normal 7 6 8 4 3" xfId="10376" xr:uid="{2F18354F-5E69-4AA1-9CAE-C436E194D724}"/>
    <cellStyle name="Normal 7 6 8 4 3 2" xfId="20756" xr:uid="{69FD87EF-4DC7-4390-B4C4-2BFBBEBCC2CF}"/>
    <cellStyle name="Normal 7 6 8 4 4" xfId="24814" xr:uid="{604949DB-AF2B-489E-ADD6-7C677EF3D0E1}"/>
    <cellStyle name="Normal 7 6 8 4 5" xfId="15090" xr:uid="{5DED99FE-B5E4-4BD5-99B2-F71871C767A3}"/>
    <cellStyle name="Normal 7 6 8 5" xfId="4089" xr:uid="{D9041D1F-885D-434D-AAE9-9E4554E7130B}"/>
    <cellStyle name="Normal 7 6 8 5 2" xfId="8866" xr:uid="{227165F0-0C24-47CF-B5D0-CBC412E44D02}"/>
    <cellStyle name="Normal 7 6 8 5 2 2" xfId="29000" xr:uid="{E80C4487-2BB7-4CB7-86BD-0A5C32B56ADA}"/>
    <cellStyle name="Normal 7 6 8 5 2 3" xfId="19246" xr:uid="{0DACE2F1-CE37-44B0-A659-77EB73846BBE}"/>
    <cellStyle name="Normal 7 6 8 5 3" xfId="11699" xr:uid="{D90B6D2A-7125-4880-909F-BEC13BECF37D}"/>
    <cellStyle name="Normal 7 6 8 5 3 2" xfId="22079" xr:uid="{B07C2314-2E84-479C-95B7-AD9FAFB85B34}"/>
    <cellStyle name="Normal 7 6 8 5 4" xfId="22813" xr:uid="{62FF5670-8968-49EF-B138-03D58E0DC197}"/>
    <cellStyle name="Normal 7 6 8 5 5" xfId="16413" xr:uid="{D25DEB90-37FF-49D3-91CF-BEBF5CF42DB4}"/>
    <cellStyle name="Normal 7 6 8 6" xfId="5510" xr:uid="{158CAD52-D7BF-4F02-8F11-03D9841D0936}"/>
    <cellStyle name="Normal 7 6 8 6 2" xfId="27231" xr:uid="{C56D41CB-4D33-4319-B9D1-37B83C6813E8}"/>
    <cellStyle name="Normal 7 6 8 6 3" xfId="28506" xr:uid="{9A3C800A-03FC-41E2-9A02-1689263DA470}"/>
    <cellStyle name="Normal 7 6 8 6 4" xfId="14806" xr:uid="{7DE166AB-36BD-4CEF-B846-4F5428411E67}"/>
    <cellStyle name="Normal 7 6 8 7" xfId="7259" xr:uid="{6D67B509-3936-48F8-B3E7-C1597928E3DF}"/>
    <cellStyle name="Normal 7 6 8 7 2" xfId="26353" xr:uid="{14C69467-F8F7-4C34-9E1B-82A31847E70A}"/>
    <cellStyle name="Normal 7 6 8 7 3" xfId="17639" xr:uid="{E57FAD4F-7EDC-4D4A-85AE-C8312005B7E4}"/>
    <cellStyle name="Normal 7 6 8 8" xfId="10092" xr:uid="{81DB28D6-C3A6-426F-97FC-0A0E81209779}"/>
    <cellStyle name="Normal 7 6 8 8 2" xfId="20472" xr:uid="{5D1CE01E-DF35-4B11-8062-5C3761B2B427}"/>
    <cellStyle name="Normal 7 6 8 9" xfId="25388" xr:uid="{B3F5AD1B-E2A5-4545-A3E7-526CFA7A2F0B}"/>
    <cellStyle name="Normal 7 6 9" xfId="1515" xr:uid="{00000000-0005-0000-0000-0000C4070000}"/>
    <cellStyle name="Normal 7 6 9 2" xfId="30417" xr:uid="{AB45C2D4-D1A5-4191-A2B5-6B3B04A57500}"/>
    <cellStyle name="Normal 7 6 9 3" xfId="30418" xr:uid="{878EED05-4C5D-4667-BCA2-DAD249232A25}"/>
    <cellStyle name="Normal 7 6 9 3 2" xfId="30571" xr:uid="{1BBA716F-322A-443F-9F1C-34B4B91E48F1}"/>
    <cellStyle name="Normal 7 6 9 3 2 2" xfId="30610" xr:uid="{4BD1B694-F951-4017-95A9-FF534FEB7058}"/>
    <cellStyle name="Normal 7 6 9 3 2 3" xfId="30629" xr:uid="{D926D891-B7C7-4693-8B9F-A282844D3DAF}"/>
    <cellStyle name="Normal 7 6 9 3 2 4" xfId="30936" xr:uid="{D974361E-AECE-4B32-BC25-92B53BFBEF24}"/>
    <cellStyle name="Normal 7 6 9 3 3" xfId="30597" xr:uid="{1CB22FE2-C93E-4B7A-9F83-F05BC42F8988}"/>
    <cellStyle name="Normal 7 6 9 3 3 2" xfId="30638" xr:uid="{0E85BEEA-8502-4FB9-9D7B-9B39FC6894C4}"/>
    <cellStyle name="Normal 7 6 9 3 3 3" xfId="30949" xr:uid="{10A0B2B1-C014-460B-B97B-1F8715293478}"/>
    <cellStyle name="Normal 7 6 9 3 4" xfId="30626" xr:uid="{D5B2EEA1-BA41-4ECF-8645-DC7FCB362E6F}"/>
    <cellStyle name="Normal 7 6 9 3 5" xfId="30924" xr:uid="{59272B79-6782-498A-A565-B27F383EE7E8}"/>
    <cellStyle name="Normal 7 6 9 4" xfId="30574" xr:uid="{AF443EFD-BF75-488F-8C96-3A07A286175C}"/>
    <cellStyle name="Normal 7 6 9 4 2" xfId="30613" xr:uid="{93E0A71D-1FCA-4C1A-8893-2D82F9B7C858}"/>
    <cellStyle name="Normal 7 6 9 4 3" xfId="30632" xr:uid="{32F1BC2F-10D3-4E71-AD07-986C280704B2}"/>
    <cellStyle name="Normal 7 6 9 4 4" xfId="30940" xr:uid="{D4C2894F-E69E-46C0-825F-9DFEC6921BF8}"/>
    <cellStyle name="Normal 7 7" xfId="1516" xr:uid="{00000000-0005-0000-0000-0000C5070000}"/>
    <cellStyle name="Normal 7 7 10" xfId="5513" xr:uid="{B65931B3-EFA4-461D-A169-E0EDDDD36F2D}"/>
    <cellStyle name="Normal 7 7 10 2" xfId="14809" xr:uid="{0644F959-A9B9-428F-B781-384083067488}"/>
    <cellStyle name="Normal 7 7 11" xfId="7262" xr:uid="{F781D481-6E98-44FC-931A-7A16F23FEF0F}"/>
    <cellStyle name="Normal 7 7 11 2" xfId="17642" xr:uid="{882EE3F5-913E-4D35-BF8A-106AC651D1DB}"/>
    <cellStyle name="Normal 7 7 12" xfId="10095" xr:uid="{0A216596-F8DE-459F-BF6E-75A6C3E8BDD6}"/>
    <cellStyle name="Normal 7 7 12 2" xfId="20475" xr:uid="{8091C60B-559A-4150-8F18-7605712FBE1A}"/>
    <cellStyle name="Normal 7 7 13" xfId="24127" xr:uid="{76ABBC37-BB4A-4EAE-8FEE-A63D322C2D72}"/>
    <cellStyle name="Normal 7 7 14" xfId="12417" xr:uid="{A1FE8148-2A66-4DAD-8241-526212D23733}"/>
    <cellStyle name="Normal 7 7 2" xfId="1517" xr:uid="{00000000-0005-0000-0000-0000C6070000}"/>
    <cellStyle name="Normal 7 7 2 10" xfId="7263" xr:uid="{5725BABE-2C86-4433-A52E-0A0E203CEAA2}"/>
    <cellStyle name="Normal 7 7 2 10 2" xfId="17643" xr:uid="{2CF5C8C6-EF94-41E7-AE84-942A241CE748}"/>
    <cellStyle name="Normal 7 7 2 11" xfId="10096" xr:uid="{503BA08A-61CD-4257-80A0-F8CED33380E4}"/>
    <cellStyle name="Normal 7 7 2 11 2" xfId="20476" xr:uid="{1CE5763B-B8A7-4049-AAB9-D0EFD31794BE}"/>
    <cellStyle name="Normal 7 7 2 12" xfId="23662" xr:uid="{203F4F39-A45F-4E4A-BC0F-0D7F44832D20}"/>
    <cellStyle name="Normal 7 7 2 13" xfId="12477" xr:uid="{FE7C9CD0-B5EC-4C63-98D6-58344E375680}"/>
    <cellStyle name="Normal 7 7 2 2" xfId="1518" xr:uid="{00000000-0005-0000-0000-0000C7070000}"/>
    <cellStyle name="Normal 7 7 2 2 10" xfId="13042" xr:uid="{68D862B1-D3A2-4966-8087-882C6E650677}"/>
    <cellStyle name="Normal 7 7 2 2 2" xfId="2852" xr:uid="{00000000-0005-0000-0000-000037090000}"/>
    <cellStyle name="Normal 7 7 2 2 2 2" xfId="3503" xr:uid="{00000000-0005-0000-0000-000038090000}"/>
    <cellStyle name="Normal 7 7 2 2 2 2 2" xfId="6555" xr:uid="{8A7F56BB-97F8-43CC-8A61-6B07154BC05C}"/>
    <cellStyle name="Normal 7 7 2 2 2 2 2 2" xfId="28595" xr:uid="{97BDA337-4F9D-4FD6-A3AC-7B1075FE8142}"/>
    <cellStyle name="Normal 7 7 2 2 2 2 2 3" xfId="16128" xr:uid="{749F2506-1275-4FE1-9B3C-CDBBA18209C4}"/>
    <cellStyle name="Normal 7 7 2 2 2 2 3" xfId="8581" xr:uid="{A27FDD61-B51F-4FF3-A34D-50C81E058EA0}"/>
    <cellStyle name="Normal 7 7 2 2 2 2 3 2" xfId="18961" xr:uid="{070E0826-5C0A-4EAC-A5D5-B9B8AE0D3F26}"/>
    <cellStyle name="Normal 7 7 2 2 2 2 4" xfId="11414" xr:uid="{AD85F889-70BF-4B6F-86E2-4CAF020A8D65}"/>
    <cellStyle name="Normal 7 7 2 2 2 2 4 2" xfId="21794" xr:uid="{666F27A8-083A-41CF-B434-33B854BF45B3}"/>
    <cellStyle name="Normal 7 7 2 2 2 2 5" xfId="23129" xr:uid="{1544CB35-C14E-4597-954C-49812D8BC5E9}"/>
    <cellStyle name="Normal 7 7 2 2 2 2 6" xfId="14101" xr:uid="{39E9F013-8260-4ABF-8905-3CF26F0B8C49}"/>
    <cellStyle name="Normal 7 7 2 2 2 3" xfId="4381" xr:uid="{85F90BBB-79EA-478E-BDB4-7E8FEF344D4D}"/>
    <cellStyle name="Normal 7 7 2 2 2 3 2" xfId="9153" xr:uid="{38B64029-21D7-4897-BA77-1B347FF4F390}"/>
    <cellStyle name="Normal 7 7 2 2 2 3 2 2" xfId="29196" xr:uid="{06DD33A1-CE5A-4EB3-BCBC-B5C0CA49173F}"/>
    <cellStyle name="Normal 7 7 2 2 2 3 2 3" xfId="19533" xr:uid="{A598D3CF-E9CF-409E-8B97-CC87BF0FF12F}"/>
    <cellStyle name="Normal 7 7 2 2 2 3 3" xfId="11986" xr:uid="{D373C97D-45CF-4BEF-A073-82DDB7413D83}"/>
    <cellStyle name="Normal 7 7 2 2 2 3 3 2" xfId="22366" xr:uid="{BEC795A3-CE18-4BE7-BBEC-62059D814D08}"/>
    <cellStyle name="Normal 7 7 2 2 2 3 4" xfId="25311" xr:uid="{1D2493A3-FDCA-495A-A00D-9054AC1C4C25}"/>
    <cellStyle name="Normal 7 7 2 2 2 3 5" xfId="16700" xr:uid="{BA564E98-3E95-425F-9FA4-5844E35C1F0A}"/>
    <cellStyle name="Normal 7 7 2 2 2 4" xfId="6065" xr:uid="{4913AD3F-20F7-4BDA-9BB3-4CE0BCC21811}"/>
    <cellStyle name="Normal 7 7 2 2 2 4 2" xfId="27103" xr:uid="{8A02BD49-AC21-4A59-ABA4-8342BADB1107}"/>
    <cellStyle name="Normal 7 7 2 2 2 4 3" xfId="15521" xr:uid="{EDB941BA-97FF-4D0B-8BF8-E415CA77F7C7}"/>
    <cellStyle name="Normal 7 7 2 2 2 5" xfId="7974" xr:uid="{83DC090E-6FEF-4203-A51F-15D01AE05D3E}"/>
    <cellStyle name="Normal 7 7 2 2 2 5 2" xfId="18354" xr:uid="{2B273C8A-00DB-48EA-81A1-692E752B9199}"/>
    <cellStyle name="Normal 7 7 2 2 2 6" xfId="10807" xr:uid="{ECE1C341-1B68-4022-8AEA-999CFBB31D2C}"/>
    <cellStyle name="Normal 7 7 2 2 2 6 2" xfId="21187" xr:uid="{2C6C8BF7-8425-4C9F-9CE3-1FD679234A8B}"/>
    <cellStyle name="Normal 7 7 2 2 2 7" xfId="22809" xr:uid="{9745E6A6-F7C5-449A-A002-2EFF8514DA9F}"/>
    <cellStyle name="Normal 7 7 2 2 2 8" xfId="13336" xr:uid="{F701AE6D-CFB1-425D-8A6E-47148B9CE4F5}"/>
    <cellStyle name="Normal 7 7 2 2 3" xfId="3504" xr:uid="{00000000-0005-0000-0000-000039090000}"/>
    <cellStyle name="Normal 7 7 2 2 3 2" xfId="4611" xr:uid="{CE2BAE83-4160-4C93-BE4F-5776AB29D064}"/>
    <cellStyle name="Normal 7 7 2 2 3 2 2" xfId="9383" xr:uid="{611FFDF8-3421-4D2D-8B18-059E921A591E}"/>
    <cellStyle name="Normal 7 7 2 2 3 2 2 2" xfId="19763" xr:uid="{60986F51-A049-4B2D-98B9-635DA865E423}"/>
    <cellStyle name="Normal 7 7 2 2 3 2 3" xfId="12216" xr:uid="{B849224E-1C69-47F9-A9C3-81F3BDC81132}"/>
    <cellStyle name="Normal 7 7 2 2 3 2 3 2" xfId="22596" xr:uid="{9A475CEB-EAD1-42D7-A212-781A1D748227}"/>
    <cellStyle name="Normal 7 7 2 2 3 2 4" xfId="27484" xr:uid="{2695481F-4E16-4567-94BC-F425171C3220}"/>
    <cellStyle name="Normal 7 7 2 2 3 2 5" xfId="16930" xr:uid="{CFFD335A-CFC9-483B-9AA9-8A636E873DAD}"/>
    <cellStyle name="Normal 7 7 2 2 3 3" xfId="6556" xr:uid="{6A997E21-21D9-4D28-BB9F-EFF44D1DEC54}"/>
    <cellStyle name="Normal 7 7 2 2 3 3 2" xfId="16129" xr:uid="{98EA32EC-176A-4F2A-A1E5-AB0855E7FDF9}"/>
    <cellStyle name="Normal 7 7 2 2 3 4" xfId="8582" xr:uid="{A94759A3-7CAD-458E-AFD5-E11467111F6E}"/>
    <cellStyle name="Normal 7 7 2 2 3 4 2" xfId="18962" xr:uid="{F67D37A4-7FAD-4B31-817F-AD4EC7DD8553}"/>
    <cellStyle name="Normal 7 7 2 2 3 5" xfId="11415" xr:uid="{4FDF9CA4-E128-44DD-9D8E-A74EA72AE15C}"/>
    <cellStyle name="Normal 7 7 2 2 3 5 2" xfId="21795" xr:uid="{2124FE84-72A1-4CA6-9CBA-212E6C07F703}"/>
    <cellStyle name="Normal 7 7 2 2 3 6" xfId="25125" xr:uid="{CA259301-9E2C-45FF-8833-2E2A107B0C1C}"/>
    <cellStyle name="Normal 7 7 2 2 3 7" xfId="14102" xr:uid="{05C014A3-96AE-4AB2-AC0C-ECF1386EEE7D}"/>
    <cellStyle name="Normal 7 7 2 2 4" xfId="3502" xr:uid="{00000000-0005-0000-0000-00003A090000}"/>
    <cellStyle name="Normal 7 7 2 2 4 2" xfId="6554" xr:uid="{B95E6696-FDC6-4E21-8239-05764AEE9548}"/>
    <cellStyle name="Normal 7 7 2 2 4 2 2" xfId="28430" xr:uid="{06B56C5B-3707-41FB-BA0C-C9CA506A321E}"/>
    <cellStyle name="Normal 7 7 2 2 4 2 3" xfId="16127" xr:uid="{EC1CB896-F84C-4D63-9AA4-FA793E838C91}"/>
    <cellStyle name="Normal 7 7 2 2 4 3" xfId="8580" xr:uid="{195E87B3-5AA1-4A48-A601-AD26DCC7C1F0}"/>
    <cellStyle name="Normal 7 7 2 2 4 3 2" xfId="18960" xr:uid="{F962E145-9005-4470-9F8D-C8C2B973C01D}"/>
    <cellStyle name="Normal 7 7 2 2 4 4" xfId="11413" xr:uid="{DA19A551-FC06-42D2-8792-781DC09997D7}"/>
    <cellStyle name="Normal 7 7 2 2 4 4 2" xfId="21793" xr:uid="{8174A278-1E41-4832-A302-CBBAE22B57A2}"/>
    <cellStyle name="Normal 7 7 2 2 4 5" xfId="22770" xr:uid="{A0C9C968-AA72-45F4-9E8F-B6D3CF0D4FC2}"/>
    <cellStyle name="Normal 7 7 2 2 4 6" xfId="14100" xr:uid="{353CAE13-8D4C-46D6-9905-B586747E12DF}"/>
    <cellStyle name="Normal 7 7 2 2 5" xfId="4243" xr:uid="{02C7555F-C4FD-492B-8F94-B1D216A041FD}"/>
    <cellStyle name="Normal 7 7 2 2 5 2" xfId="9015" xr:uid="{7DF9B4B5-E7FA-41F8-B2DB-8E3BC72C2903}"/>
    <cellStyle name="Normal 7 7 2 2 5 2 2" xfId="29086" xr:uid="{BBB082D7-D16D-4803-ABDB-876E5E068720}"/>
    <cellStyle name="Normal 7 7 2 2 5 2 3" xfId="19395" xr:uid="{F570B7DD-221F-47C6-9633-EBAF1981BB43}"/>
    <cellStyle name="Normal 7 7 2 2 5 3" xfId="11848" xr:uid="{76711169-FECD-4892-B761-A9AFAFC415D1}"/>
    <cellStyle name="Normal 7 7 2 2 5 3 2" xfId="22228" xr:uid="{4BB2516E-AEFA-4EA7-A252-4C1E062D57F0}"/>
    <cellStyle name="Normal 7 7 2 2 5 4" xfId="24416" xr:uid="{170A7A7D-C5AD-4006-AFF0-83ABD7F0A9D6}"/>
    <cellStyle name="Normal 7 7 2 2 5 5" xfId="16562" xr:uid="{25434C06-C725-4848-8B23-7CB867832F3D}"/>
    <cellStyle name="Normal 7 7 2 2 6" xfId="5515" xr:uid="{EA6BF84F-EF85-44FD-B505-0BD2CD2D6439}"/>
    <cellStyle name="Normal 7 7 2 2 6 2" xfId="26752" xr:uid="{535669B0-D7BE-4815-953A-A0E07F2ECAA3}"/>
    <cellStyle name="Normal 7 7 2 2 6 3" xfId="14811" xr:uid="{4A8885DF-14D8-480D-ABE4-644DA944A0A4}"/>
    <cellStyle name="Normal 7 7 2 2 7" xfId="7264" xr:uid="{AA3516CF-9252-4C9E-9A3F-AAC0CBFA7F80}"/>
    <cellStyle name="Normal 7 7 2 2 7 2" xfId="17644" xr:uid="{7FFE5E33-05BA-4D50-A39E-539BBC0007B4}"/>
    <cellStyle name="Normal 7 7 2 2 8" xfId="10097" xr:uid="{334158FD-A5F5-4E42-A86B-BA8B0A40062D}"/>
    <cellStyle name="Normal 7 7 2 2 8 2" xfId="20477" xr:uid="{9DE1F241-217F-4C6A-9172-1BFCA0E5912A}"/>
    <cellStyle name="Normal 7 7 2 2 9" xfId="22729" xr:uid="{BB04A600-8A16-4C3E-9E6F-DC38BB302AC7}"/>
    <cellStyle name="Normal 7 7 2 3" xfId="2851" xr:uid="{00000000-0005-0000-0000-00003B090000}"/>
    <cellStyle name="Normal 7 7 2 3 2" xfId="3505" xr:uid="{00000000-0005-0000-0000-00003C090000}"/>
    <cellStyle name="Normal 7 7 2 3 2 2" xfId="6557" xr:uid="{74C32873-4400-4FDE-BE43-EBFF4EB983DA}"/>
    <cellStyle name="Normal 7 7 2 3 2 2 2" xfId="28233" xr:uid="{CC7EF20A-BAF7-4373-81C4-99490C3B13DD}"/>
    <cellStyle name="Normal 7 7 2 3 2 2 3" xfId="16130" xr:uid="{C8D02C5F-17F1-4725-9205-7E487E442A5B}"/>
    <cellStyle name="Normal 7 7 2 3 2 3" xfId="8583" xr:uid="{75B88EDC-E732-4C87-8875-B89974FECFEF}"/>
    <cellStyle name="Normal 7 7 2 3 2 3 2" xfId="18963" xr:uid="{47FD6994-A31C-4DA0-826F-BB8704FBEB0B}"/>
    <cellStyle name="Normal 7 7 2 3 2 4" xfId="11416" xr:uid="{360655D1-6344-4F6B-BF55-EE289793D602}"/>
    <cellStyle name="Normal 7 7 2 3 2 4 2" xfId="21796" xr:uid="{2C9FEAA2-CA1A-4DDB-B8E3-59DB57CAF968}"/>
    <cellStyle name="Normal 7 7 2 3 2 5" xfId="24328" xr:uid="{E303D694-140B-447F-A192-9E37FB506793}"/>
    <cellStyle name="Normal 7 7 2 3 2 6" xfId="14103" xr:uid="{D99ABD0F-A978-4142-958A-BDD5E38D9E01}"/>
    <cellStyle name="Normal 7 7 2 3 3" xfId="4380" xr:uid="{11705BEB-5E02-4E11-AB5F-7A28B705A6EB}"/>
    <cellStyle name="Normal 7 7 2 3 3 2" xfId="9152" xr:uid="{DC88A757-CBE9-4871-98FB-470EF2AF4483}"/>
    <cellStyle name="Normal 7 7 2 3 3 2 2" xfId="29195" xr:uid="{CE364987-8BB2-408D-A423-FE4299C75767}"/>
    <cellStyle name="Normal 7 7 2 3 3 2 3" xfId="19532" xr:uid="{D6DF9143-5493-4087-869E-2B14BCB446BF}"/>
    <cellStyle name="Normal 7 7 2 3 3 3" xfId="11985" xr:uid="{441CD3BF-032E-462C-8A92-46A68399F7E4}"/>
    <cellStyle name="Normal 7 7 2 3 3 3 2" xfId="22365" xr:uid="{767C7C25-FFA2-4DD6-B662-D9ECA62A27F9}"/>
    <cellStyle name="Normal 7 7 2 3 3 4" xfId="23600" xr:uid="{6C98C5C0-C0B6-48E1-9DC3-5C7AFA9B2A2C}"/>
    <cellStyle name="Normal 7 7 2 3 3 5" xfId="16699" xr:uid="{26064FA9-A3CF-49E6-A2AE-E6CFDEF805AB}"/>
    <cellStyle name="Normal 7 7 2 3 4" xfId="6064" xr:uid="{910300EE-64A3-4AA8-9876-D5905525DDE7}"/>
    <cellStyle name="Normal 7 7 2 3 4 2" xfId="27193" xr:uid="{D6837CDE-3448-4E7A-8B46-01FF125A9F72}"/>
    <cellStyle name="Normal 7 7 2 3 4 3" xfId="15520" xr:uid="{ECF19E94-8C03-4482-B0B9-EDF99F2F95F9}"/>
    <cellStyle name="Normal 7 7 2 3 5" xfId="7973" xr:uid="{8D198D18-1126-4592-9441-15F49CA4550B}"/>
    <cellStyle name="Normal 7 7 2 3 5 2" xfId="18353" xr:uid="{4BB0996E-FB10-4A95-A636-B4C9250FCC36}"/>
    <cellStyle name="Normal 7 7 2 3 6" xfId="10806" xr:uid="{8AE028EE-40DB-4E3F-B2AC-45A6795FA071}"/>
    <cellStyle name="Normal 7 7 2 3 6 2" xfId="21186" xr:uid="{442527F8-D175-426B-8BCF-89A0BDD12D2A}"/>
    <cellStyle name="Normal 7 7 2 3 7" xfId="23250" xr:uid="{FE9FFA83-38C0-434F-9212-EDB55AC66800}"/>
    <cellStyle name="Normal 7 7 2 3 8" xfId="13335" xr:uid="{2AB79A17-E891-4166-B5A1-3B7735F0A94E}"/>
    <cellStyle name="Normal 7 7 2 4" xfId="3506" xr:uid="{00000000-0005-0000-0000-00003D090000}"/>
    <cellStyle name="Normal 7 7 2 4 2" xfId="4612" xr:uid="{18CAA640-6556-42AE-8F98-37BA36952E4C}"/>
    <cellStyle name="Normal 7 7 2 4 2 2" xfId="9384" xr:uid="{F93D302A-ABD3-47F5-ABAC-118282B8BA8D}"/>
    <cellStyle name="Normal 7 7 2 4 2 2 2" xfId="19764" xr:uid="{3BAB0E7C-A9A2-4610-B07F-49103E3E2BFF}"/>
    <cellStyle name="Normal 7 7 2 4 2 3" xfId="12217" xr:uid="{0290D4EB-95E3-4800-B034-DE84BE33121E}"/>
    <cellStyle name="Normal 7 7 2 4 2 3 2" xfId="22597" xr:uid="{63B5A958-CD44-4AA4-8665-DFA2B6927A0F}"/>
    <cellStyle name="Normal 7 7 2 4 2 4" xfId="26735" xr:uid="{83471AB3-1BEA-47B6-A89A-DC88358E0FC5}"/>
    <cellStyle name="Normal 7 7 2 4 2 5" xfId="16931" xr:uid="{01CBAAEA-9B2E-4411-A2DF-09E44DB7863D}"/>
    <cellStyle name="Normal 7 7 2 4 3" xfId="6558" xr:uid="{2C4972A3-539A-4EEF-81DF-322B26E56178}"/>
    <cellStyle name="Normal 7 7 2 4 3 2" xfId="16131" xr:uid="{7F54276A-4DED-4EE8-B380-72562D86ADE1}"/>
    <cellStyle name="Normal 7 7 2 4 4" xfId="8584" xr:uid="{02F6784B-F759-42E7-B1D2-3BF47A98356E}"/>
    <cellStyle name="Normal 7 7 2 4 4 2" xfId="18964" xr:uid="{5394B1FA-B686-44C9-AB3D-FD4E8C76B3BF}"/>
    <cellStyle name="Normal 7 7 2 4 5" xfId="11417" xr:uid="{78A4CAEC-81D6-4084-A8BB-60CCFA5D6450}"/>
    <cellStyle name="Normal 7 7 2 4 5 2" xfId="21797" xr:uid="{FB44EFB1-93E2-4525-8CD0-5B3A0590DE40}"/>
    <cellStyle name="Normal 7 7 2 4 6" xfId="25477" xr:uid="{FC04CEE0-1EF2-49D9-B678-B5E49C2DCCC7}"/>
    <cellStyle name="Normal 7 7 2 4 7" xfId="14104" xr:uid="{2DF58188-7F74-40DC-81D6-0BE8F5911262}"/>
    <cellStyle name="Normal 7 7 2 5" xfId="3501" xr:uid="{00000000-0005-0000-0000-00003E090000}"/>
    <cellStyle name="Normal 7 7 2 5 2" xfId="6553" xr:uid="{744E8FEC-BB66-403F-9219-1A9096D30CA3}"/>
    <cellStyle name="Normal 7 7 2 5 2 2" xfId="27447" xr:uid="{4318EE14-9EA5-4287-A009-C15F27EE49EF}"/>
    <cellStyle name="Normal 7 7 2 5 2 3" xfId="16126" xr:uid="{7CDE6C64-659F-4DE3-BD73-7B8A01EE1139}"/>
    <cellStyle name="Normal 7 7 2 5 3" xfId="8579" xr:uid="{4F0CB3D6-4986-472E-916C-8026CE28F1AA}"/>
    <cellStyle name="Normal 7 7 2 5 3 2" xfId="18959" xr:uid="{4A82204B-4A83-43F6-A1E7-B1AC6F7EF695}"/>
    <cellStyle name="Normal 7 7 2 5 4" xfId="11412" xr:uid="{2A46D254-9B3E-4597-946D-E560017E6407}"/>
    <cellStyle name="Normal 7 7 2 5 4 2" xfId="21792" xr:uid="{A75CC807-F6BC-48DB-9BFC-9CBCF0E393EB}"/>
    <cellStyle name="Normal 7 7 2 5 5" xfId="23077" xr:uid="{38185F1E-9A85-4922-ACD6-988073C3BE36}"/>
    <cellStyle name="Normal 7 7 2 5 6" xfId="14099" xr:uid="{AD4F087C-6797-4F8B-BC18-D91177481C8F}"/>
    <cellStyle name="Normal 7 7 2 6" xfId="2551" xr:uid="{00000000-0005-0000-0000-00003F090000}"/>
    <cellStyle name="Normal 7 7 2 6 2" xfId="5823" xr:uid="{55FDA0E5-B7A5-4C7D-A6AE-4E27236F019B}"/>
    <cellStyle name="Normal 7 7 2 6 2 2" xfId="26760" xr:uid="{FF5A90EE-9ED1-4201-8BAA-0570895F5DFD}"/>
    <cellStyle name="Normal 7 7 2 6 2 3" xfId="15223" xr:uid="{A1833B6B-45CB-4E2E-A29F-F98B210BA2AC}"/>
    <cellStyle name="Normal 7 7 2 6 3" xfId="7676" xr:uid="{0C046EB4-3079-4CF8-9250-B840841387EF}"/>
    <cellStyle name="Normal 7 7 2 6 3 2" xfId="18056" xr:uid="{A1819B08-C3E9-4709-9A61-311CE1A80C26}"/>
    <cellStyle name="Normal 7 7 2 6 4" xfId="10509" xr:uid="{E135B376-9EE0-4910-850C-9FF8DEC2F005}"/>
    <cellStyle name="Normal 7 7 2 6 4 2" xfId="20889" xr:uid="{D478F345-D789-4531-974D-0DB27AF6DCEE}"/>
    <cellStyle name="Normal 7 7 2 6 5" xfId="22829" xr:uid="{F828551F-C002-41D8-91B3-2456343F7AB8}"/>
    <cellStyle name="Normal 7 7 2 6 6" xfId="12939" xr:uid="{6466CFE4-7C87-4F70-A313-C28E5FA435CD}"/>
    <cellStyle name="Normal 7 7 2 7" xfId="2245" xr:uid="{00000000-0005-0000-0000-000035090000}"/>
    <cellStyle name="Normal 7 7 2 7 2" xfId="7372" xr:uid="{C90A7C76-9FBA-4F49-B74D-620A284E05B2}"/>
    <cellStyle name="Normal 7 7 2 7 2 2" xfId="17752" xr:uid="{214AC6BA-9E2E-4049-869A-D296B8488A81}"/>
    <cellStyle name="Normal 7 7 2 7 3" xfId="10205" xr:uid="{222B8ACB-F360-48CC-9C41-5C5F6E216311}"/>
    <cellStyle name="Normal 7 7 2 7 3 2" xfId="20585" xr:uid="{8EBA7DCE-D183-4FAA-B2B3-C3CAC029ADDA}"/>
    <cellStyle name="Normal 7 7 2 7 4" xfId="25370" xr:uid="{A2861691-64ED-4C59-A9EB-142B63F50E5A}"/>
    <cellStyle name="Normal 7 7 2 7 5" xfId="14919" xr:uid="{933DB0ED-1D3B-4955-BC4C-3152E12FEF4D}"/>
    <cellStyle name="Normal 7 7 2 8" xfId="3798" xr:uid="{E5E400FB-C358-4E4D-B459-DD38D66E6E48}"/>
    <cellStyle name="Normal 7 7 2 8 2" xfId="8634" xr:uid="{9C5CA804-3A2C-4EA5-A190-E58CF3A306D5}"/>
    <cellStyle name="Normal 7 7 2 8 2 2" xfId="19014" xr:uid="{DE7F16E4-AA72-4DC9-8C67-2B6F6F4E7487}"/>
    <cellStyle name="Normal 7 7 2 8 3" xfId="11467" xr:uid="{5F8BF3F2-0546-426E-919A-D58EB0D5EC30}"/>
    <cellStyle name="Normal 7 7 2 8 3 2" xfId="21847" xr:uid="{18DD9CC4-9F3D-449B-974E-5EA1558F48CB}"/>
    <cellStyle name="Normal 7 7 2 8 4" xfId="16181" xr:uid="{1695695F-2464-41D6-AAB1-EFDD296FE4A2}"/>
    <cellStyle name="Normal 7 7 2 9" xfId="5514" xr:uid="{67402623-62A7-484C-BBBD-29B0747A30AE}"/>
    <cellStyle name="Normal 7 7 2 9 2" xfId="14810" xr:uid="{C623544B-77DF-432D-98B2-3EFA6A5FBC1B}"/>
    <cellStyle name="Normal 7 7 3" xfId="1519" xr:uid="{00000000-0005-0000-0000-0000C8070000}"/>
    <cellStyle name="Normal 7 7 3 10" xfId="10098" xr:uid="{E889C744-B608-43B5-BB3E-ACFE2A4C50EA}"/>
    <cellStyle name="Normal 7 7 3 10 2" xfId="20478" xr:uid="{8D285B90-6549-4EE6-AB9F-079A362A9800}"/>
    <cellStyle name="Normal 7 7 3 11" xfId="22641" xr:uid="{A5951408-860D-411A-BD5F-CA66E2B35D51}"/>
    <cellStyle name="Normal 7 7 3 12" xfId="12651" xr:uid="{03EE881B-1C63-4E95-9385-147D60493E94}"/>
    <cellStyle name="Normal 7 7 3 2" xfId="2853" xr:uid="{00000000-0005-0000-0000-000041090000}"/>
    <cellStyle name="Normal 7 7 3 2 2" xfId="3508" xr:uid="{00000000-0005-0000-0000-000042090000}"/>
    <cellStyle name="Normal 7 7 3 2 2 2" xfId="6560" xr:uid="{2C71E10F-77E2-480D-992A-F093AC9F1BCE}"/>
    <cellStyle name="Normal 7 7 3 2 2 2 2" xfId="25912" xr:uid="{98416AC1-7510-4ECC-8DB9-CA572F2882A9}"/>
    <cellStyle name="Normal 7 7 3 2 2 2 3" xfId="16133" xr:uid="{D062C442-F187-4EAD-91F9-D04044821CDA}"/>
    <cellStyle name="Normal 7 7 3 2 2 3" xfId="8586" xr:uid="{B7C43149-46D8-4831-A649-740A5B6F2BDD}"/>
    <cellStyle name="Normal 7 7 3 2 2 3 2" xfId="18966" xr:uid="{E547BB34-0BE3-4C17-8AF5-1E2A567BE5AB}"/>
    <cellStyle name="Normal 7 7 3 2 2 4" xfId="11419" xr:uid="{FF2A3025-8A1F-441D-ACE8-64BDE0D1135C}"/>
    <cellStyle name="Normal 7 7 3 2 2 4 2" xfId="21799" xr:uid="{EA46ECA1-2BDF-4F03-977D-5861686BFB7C}"/>
    <cellStyle name="Normal 7 7 3 2 2 5" xfId="24043" xr:uid="{DE9FD3CB-5AE4-43AC-BED0-8D042F99DAA2}"/>
    <cellStyle name="Normal 7 7 3 2 2 6" xfId="14106" xr:uid="{759737F0-C4A8-4FBA-82DF-065AEDEA5EAA}"/>
    <cellStyle name="Normal 7 7 3 2 3" xfId="4382" xr:uid="{3C28BC18-1B7B-43C7-8BF0-93A4A445BB24}"/>
    <cellStyle name="Normal 7 7 3 2 3 2" xfId="9154" xr:uid="{2D561BC2-362F-450B-825F-BA789CCF5760}"/>
    <cellStyle name="Normal 7 7 3 2 3 2 2" xfId="29197" xr:uid="{A0E574BF-9E24-48E1-A271-0DFCAA34FABA}"/>
    <cellStyle name="Normal 7 7 3 2 3 2 3" xfId="19534" xr:uid="{ED971030-3520-4518-A462-0354BF77764C}"/>
    <cellStyle name="Normal 7 7 3 2 3 3" xfId="11987" xr:uid="{89053BC3-BE6D-4BA1-A02E-7C814AAD062A}"/>
    <cellStyle name="Normal 7 7 3 2 3 3 2" xfId="22367" xr:uid="{8FB6A495-6AAC-4A79-958E-26038FB2225B}"/>
    <cellStyle name="Normal 7 7 3 2 3 4" xfId="24519" xr:uid="{DABB4DE9-D7AF-438F-B64E-5FCAFC4C9344}"/>
    <cellStyle name="Normal 7 7 3 2 3 5" xfId="16701" xr:uid="{EC4484C3-4297-406D-8770-5C9C01B586CD}"/>
    <cellStyle name="Normal 7 7 3 2 4" xfId="6066" xr:uid="{6D51BC33-05C7-4AA0-91CE-E2E28C585877}"/>
    <cellStyle name="Normal 7 7 3 2 4 2" xfId="27251" xr:uid="{B1C0F13B-5457-42CF-BF0D-1810B67828FE}"/>
    <cellStyle name="Normal 7 7 3 2 4 3" xfId="15522" xr:uid="{3A80E960-9A1C-4E96-93ED-B76F8CFDB768}"/>
    <cellStyle name="Normal 7 7 3 2 5" xfId="7975" xr:uid="{DC3F4607-8FBF-4229-ABF0-992CE51C53E7}"/>
    <cellStyle name="Normal 7 7 3 2 5 2" xfId="18355" xr:uid="{FBCE5760-87AC-4838-A3E6-27D17E88049E}"/>
    <cellStyle name="Normal 7 7 3 2 6" xfId="10808" xr:uid="{33977F88-70FF-460E-B122-E4355F19D071}"/>
    <cellStyle name="Normal 7 7 3 2 6 2" xfId="21188" xr:uid="{CF81CA87-9367-4294-9F2C-D29238041B5A}"/>
    <cellStyle name="Normal 7 7 3 2 7" xfId="24268" xr:uid="{227AD105-8158-4CA4-8393-6C398F7799EA}"/>
    <cellStyle name="Normal 7 7 3 2 8" xfId="13337" xr:uid="{8548A3FC-6708-4D3D-8F1C-19F3CF3BD883}"/>
    <cellStyle name="Normal 7 7 3 3" xfId="3509" xr:uid="{00000000-0005-0000-0000-000043090000}"/>
    <cellStyle name="Normal 7 7 3 3 2" xfId="4613" xr:uid="{89F2C6BD-23ED-462B-BE28-A288060C0DFC}"/>
    <cellStyle name="Normal 7 7 3 3 2 2" xfId="9385" xr:uid="{6BD16B65-C7FD-4472-AF20-AED7BF8EB114}"/>
    <cellStyle name="Normal 7 7 3 3 2 2 2" xfId="29351" xr:uid="{CE945988-CE41-416F-9389-6C5A28DBEFB9}"/>
    <cellStyle name="Normal 7 7 3 3 2 2 3" xfId="19765" xr:uid="{4871CDDE-717F-4676-912F-B3C6676B08B2}"/>
    <cellStyle name="Normal 7 7 3 3 2 3" xfId="12218" xr:uid="{D5B51F42-3B77-4B7B-B20B-0F6862F78B2B}"/>
    <cellStyle name="Normal 7 7 3 3 2 3 2" xfId="22598" xr:uid="{DF955F6C-3FD3-4721-8986-CBB2F531CE8D}"/>
    <cellStyle name="Normal 7 7 3 3 2 4" xfId="22967" xr:uid="{B54F08A6-E4F0-4C15-9364-FFD55D32FD72}"/>
    <cellStyle name="Normal 7 7 3 3 2 5" xfId="16932" xr:uid="{7ED0E923-34C2-470F-8D78-EEDED3F9E55E}"/>
    <cellStyle name="Normal 7 7 3 3 3" xfId="6561" xr:uid="{C11160E3-667A-4FC9-A89C-BF99B699CA8C}"/>
    <cellStyle name="Normal 7 7 3 3 3 2" xfId="27298" xr:uid="{0C310A5A-8FD1-44F7-98A7-2D659CAC8830}"/>
    <cellStyle name="Normal 7 7 3 3 3 3" xfId="16134" xr:uid="{0AAD95AE-B8C3-43CD-AF1F-1564868FFB79}"/>
    <cellStyle name="Normal 7 7 3 3 4" xfId="8587" xr:uid="{E6D5297D-ED60-439D-AD45-2F6585040639}"/>
    <cellStyle name="Normal 7 7 3 3 4 2" xfId="18967" xr:uid="{88B25C48-3C6A-49D7-9A4F-506E5F76E153}"/>
    <cellStyle name="Normal 7 7 3 3 5" xfId="11420" xr:uid="{1429B78B-9DFC-4CD1-A4F4-38C8711203FD}"/>
    <cellStyle name="Normal 7 7 3 3 5 2" xfId="21800" xr:uid="{DD683835-E77C-4AFC-AD20-495BB7C4E235}"/>
    <cellStyle name="Normal 7 7 3 3 6" xfId="24142" xr:uid="{93DCECB9-975E-42C3-9907-5E74D5D2E8DB}"/>
    <cellStyle name="Normal 7 7 3 3 7" xfId="14107" xr:uid="{C4399ED8-7591-46FE-B310-02CB5B65204B}"/>
    <cellStyle name="Normal 7 7 3 4" xfId="3507" xr:uid="{00000000-0005-0000-0000-000044090000}"/>
    <cellStyle name="Normal 7 7 3 4 2" xfId="6559" xr:uid="{1984D6E0-282E-4076-8C31-6CB41BBB2BAF}"/>
    <cellStyle name="Normal 7 7 3 4 2 2" xfId="28593" xr:uid="{390798B3-EDAD-47F5-8E0D-7DF5B23894E0}"/>
    <cellStyle name="Normal 7 7 3 4 2 3" xfId="16132" xr:uid="{A16C6FA9-2BC2-409C-9085-BDEFC89B3A64}"/>
    <cellStyle name="Normal 7 7 3 4 3" xfId="8585" xr:uid="{F71AF641-77A0-4621-B5FD-59ADB04C380B}"/>
    <cellStyle name="Normal 7 7 3 4 3 2" xfId="18965" xr:uid="{20B68CA9-8F1E-4ABA-B033-087AE22CDEA6}"/>
    <cellStyle name="Normal 7 7 3 4 4" xfId="11418" xr:uid="{51AB0A02-1BA8-4DC5-968C-E30C5C243333}"/>
    <cellStyle name="Normal 7 7 3 4 4 2" xfId="21798" xr:uid="{C679DD6D-B400-4C98-A3D8-7480E708AAA5}"/>
    <cellStyle name="Normal 7 7 3 4 5" xfId="25215" xr:uid="{0D2936A6-6A59-4AD1-A31C-86CF60E30A99}"/>
    <cellStyle name="Normal 7 7 3 4 6" xfId="14105" xr:uid="{FB82D7A7-6D4D-4CCD-9DC5-6079FA52C303}"/>
    <cellStyle name="Normal 7 7 3 5" xfId="2594" xr:uid="{00000000-0005-0000-0000-000045090000}"/>
    <cellStyle name="Normal 7 7 3 5 2" xfId="5859" xr:uid="{65C0C5E9-B5FE-4B00-BB73-6D05B81BECA7}"/>
    <cellStyle name="Normal 7 7 3 5 2 2" xfId="27495" xr:uid="{8976DB23-6182-4E09-BB4E-85FDB6028B0E}"/>
    <cellStyle name="Normal 7 7 3 5 2 3" xfId="15266" xr:uid="{68F632A7-3E9A-4977-ACA3-0D0FB789A307}"/>
    <cellStyle name="Normal 7 7 3 5 3" xfId="7719" xr:uid="{9503F60A-FB99-424D-8528-B8769E72E29A}"/>
    <cellStyle name="Normal 7 7 3 5 3 2" xfId="18099" xr:uid="{A4130C95-0520-48FA-8FC7-9EB54D98CAC0}"/>
    <cellStyle name="Normal 7 7 3 5 4" xfId="10552" xr:uid="{CCC5433F-11C5-45BC-BBF3-AC5C8DDC16DB}"/>
    <cellStyle name="Normal 7 7 3 5 4 2" xfId="20932" xr:uid="{670411DC-1AAF-4A0F-9FCA-321B4DF9CB56}"/>
    <cellStyle name="Normal 7 7 3 5 5" xfId="23411" xr:uid="{12B9F687-3FC5-4F87-8D20-81FD6AA3783F}"/>
    <cellStyle name="Normal 7 7 3 5 6" xfId="12982" xr:uid="{1166DE3E-3C7B-42CF-B559-6D09ACE261F3}"/>
    <cellStyle name="Normal 7 7 3 6" xfId="2417" xr:uid="{00000000-0005-0000-0000-000040090000}"/>
    <cellStyle name="Normal 7 7 3 6 2" xfId="7544" xr:uid="{6B297C61-A426-42E2-BEFD-15D95033E98E}"/>
    <cellStyle name="Normal 7 7 3 6 2 2" xfId="17924" xr:uid="{2A0680CD-4EBA-46BD-9693-B834435C83CD}"/>
    <cellStyle name="Normal 7 7 3 6 3" xfId="10377" xr:uid="{AB717565-D3D4-4787-9882-274138B115C6}"/>
    <cellStyle name="Normal 7 7 3 6 3 2" xfId="20757" xr:uid="{62D5210C-DF24-409A-8CF5-423136382B68}"/>
    <cellStyle name="Normal 7 7 3 6 4" xfId="25473" xr:uid="{A8F125F6-B67B-425C-B4CD-736F07ADCDA6}"/>
    <cellStyle name="Normal 7 7 3 6 5" xfId="15091" xr:uid="{4EB859A2-46E3-428E-9E46-011564E713B6}"/>
    <cellStyle name="Normal 7 7 3 7" xfId="4110" xr:uid="{B189E86A-2154-44E9-9A33-0D9EF6B4E6B6}"/>
    <cellStyle name="Normal 7 7 3 7 2" xfId="8882" xr:uid="{43DA4BAD-E702-449B-8FA6-6CD0B1F3A39D}"/>
    <cellStyle name="Normal 7 7 3 7 2 2" xfId="19262" xr:uid="{2AEDCD54-9FC7-4366-9AB8-7514E84CF886}"/>
    <cellStyle name="Normal 7 7 3 7 3" xfId="11715" xr:uid="{C913724C-EE6F-4A03-9599-9950CD04EF4A}"/>
    <cellStyle name="Normal 7 7 3 7 3 2" xfId="22095" xr:uid="{261D23D1-D351-4F14-B881-34DEF734E131}"/>
    <cellStyle name="Normal 7 7 3 7 4" xfId="16429" xr:uid="{372E77CC-B278-4852-AA7D-CFAA1E13DB5F}"/>
    <cellStyle name="Normal 7 7 3 8" xfId="5516" xr:uid="{38CDE3D7-BD94-440F-BC4A-FFA35C9DF975}"/>
    <cellStyle name="Normal 7 7 3 8 2" xfId="14812" xr:uid="{2FD30E6F-6ED0-43C8-9631-418C3989C55B}"/>
    <cellStyle name="Normal 7 7 3 9" xfId="7265" xr:uid="{04B2EFA9-4445-41FD-8320-BF4E5323E45F}"/>
    <cellStyle name="Normal 7 7 3 9 2" xfId="17645" xr:uid="{6ACD7728-431E-47FD-8FFF-C9592A3F86FA}"/>
    <cellStyle name="Normal 7 7 4" xfId="1520" xr:uid="{00000000-0005-0000-0000-0000C9070000}"/>
    <cellStyle name="Normal 7 7 4 2" xfId="3510" xr:uid="{00000000-0005-0000-0000-000047090000}"/>
    <cellStyle name="Normal 7 7 4 2 2" xfId="6562" xr:uid="{5951E54E-719C-4037-AD11-C2C8F91FDB72}"/>
    <cellStyle name="Normal 7 7 4 2 2 2" xfId="27805" xr:uid="{DD56CBD4-AEC2-4087-8477-E394135DF909}"/>
    <cellStyle name="Normal 7 7 4 2 2 3" xfId="16135" xr:uid="{BD0338E6-F04C-4F98-B34C-AF7E98B7DEF8}"/>
    <cellStyle name="Normal 7 7 4 2 3" xfId="8588" xr:uid="{746314BD-1259-4FA7-9646-1C695E3C3E75}"/>
    <cellStyle name="Normal 7 7 4 2 3 2" xfId="18968" xr:uid="{B9FF924B-6B07-42E7-A558-E33F607CD720}"/>
    <cellStyle name="Normal 7 7 4 2 4" xfId="11421" xr:uid="{CDC3E7EF-FCED-47C5-9289-48FC29A3F926}"/>
    <cellStyle name="Normal 7 7 4 2 4 2" xfId="21801" xr:uid="{37B0ED64-278B-42A4-B264-31715841ADD8}"/>
    <cellStyle name="Normal 7 7 4 2 5" xfId="24849" xr:uid="{72FDC550-40FB-4880-A159-156CB101B6C4}"/>
    <cellStyle name="Normal 7 7 4 2 6" xfId="14108" xr:uid="{F3F1CB74-2384-47B2-9530-1C3EEAA9B51E}"/>
    <cellStyle name="Normal 7 7 4 3" xfId="2850" xr:uid="{00000000-0005-0000-0000-000048090000}"/>
    <cellStyle name="Normal 7 7 4 3 2" xfId="6063" xr:uid="{600D4439-761D-4C8F-B0E5-3E1CA5CB2EB5}"/>
    <cellStyle name="Normal 7 7 4 3 2 2" xfId="27962" xr:uid="{53570348-B679-4121-BCCE-C8F2FB6B97B7}"/>
    <cellStyle name="Normal 7 7 4 3 2 3" xfId="15519" xr:uid="{D2E905DC-110E-4CFC-A27D-AFBD9F6A5ACC}"/>
    <cellStyle name="Normal 7 7 4 3 3" xfId="7972" xr:uid="{6E0010E1-752C-4732-958B-C8C972E03978}"/>
    <cellStyle name="Normal 7 7 4 3 3 2" xfId="18352" xr:uid="{5C8CF515-945F-4F4F-A02D-D88D97E072F7}"/>
    <cellStyle name="Normal 7 7 4 3 4" xfId="10805" xr:uid="{2921DA33-5276-4965-97F6-DE9E839BA630}"/>
    <cellStyle name="Normal 7 7 4 3 4 2" xfId="21185" xr:uid="{7D8DC2DD-D5F1-4A0D-B41B-C5E71C854740}"/>
    <cellStyle name="Normal 7 7 4 3 5" xfId="24540" xr:uid="{C84E83C0-9320-4903-A72B-389578FC6790}"/>
    <cellStyle name="Normal 7 7 4 3 6" xfId="13334" xr:uid="{32DADDCA-2A3F-4968-9F75-3570127E37B7}"/>
    <cellStyle name="Normal 7 7 4 4" xfId="4232" xr:uid="{FED24733-1034-41B0-B4E3-3EAB52254506}"/>
    <cellStyle name="Normal 7 7 4 4 2" xfId="9004" xr:uid="{6DE852C9-6ECD-4166-B3D5-7D3FB8C76CB6}"/>
    <cellStyle name="Normal 7 7 4 4 2 2" xfId="19384" xr:uid="{AE2D6D5C-5F6E-4488-85D8-83AD15BFD4B8}"/>
    <cellStyle name="Normal 7 7 4 4 3" xfId="11837" xr:uid="{9D85BA2E-63D2-4AC6-9058-7570338D4AB8}"/>
    <cellStyle name="Normal 7 7 4 4 3 2" xfId="22217" xr:uid="{A11DE655-8593-432C-B1CE-9692FB6EBDE7}"/>
    <cellStyle name="Normal 7 7 4 4 4" xfId="22833" xr:uid="{3545043A-97C3-4BEB-9A86-224F9F340D6F}"/>
    <cellStyle name="Normal 7 7 4 4 5" xfId="16551" xr:uid="{A86AA6D0-CDE3-4675-9D71-9C1166E80231}"/>
    <cellStyle name="Normal 7 7 4 5" xfId="5517" xr:uid="{073EF0F5-9C31-416A-9755-CFE675F63728}"/>
    <cellStyle name="Normal 7 7 4 5 2" xfId="14813" xr:uid="{690DDAB2-3F10-4C76-8258-BAC99B58EFA9}"/>
    <cellStyle name="Normal 7 7 4 6" xfId="7266" xr:uid="{E72904BC-11DC-4089-A0A0-68665237A9C1}"/>
    <cellStyle name="Normal 7 7 4 6 2" xfId="17646" xr:uid="{5593957B-21CB-467A-A601-0DFB57B04A95}"/>
    <cellStyle name="Normal 7 7 4 7" xfId="10099" xr:uid="{6E160AC4-EE6C-4514-B4B6-94E8D49BF565}"/>
    <cellStyle name="Normal 7 7 4 7 2" xfId="20479" xr:uid="{7E63E60C-F133-4A48-A85B-351F15CEBEB1}"/>
    <cellStyle name="Normal 7 7 4 8" xfId="24255" xr:uid="{B4BBCC62-20CB-4D6D-9BA8-7EC9921C9202}"/>
    <cellStyle name="Normal 7 7 4 9" xfId="12809" xr:uid="{6248B075-03D7-4527-8BD0-355FE7F0EA73}"/>
    <cellStyle name="Normal 7 7 5" xfId="3511" xr:uid="{00000000-0005-0000-0000-000049090000}"/>
    <cellStyle name="Normal 7 7 5 2" xfId="4614" xr:uid="{AD7F6475-AC25-498F-97D9-95AEF50804B2}"/>
    <cellStyle name="Normal 7 7 5 2 2" xfId="9386" xr:uid="{8F7F0EAE-C9BE-4744-9F60-6386BF527B9E}"/>
    <cellStyle name="Normal 7 7 5 2 2 2" xfId="29352" xr:uid="{ECEBF970-57BF-4F36-B9D8-7772EBF484F1}"/>
    <cellStyle name="Normal 7 7 5 2 2 3" xfId="19766" xr:uid="{C0207E13-6EB3-430B-9E3B-7459000F30F7}"/>
    <cellStyle name="Normal 7 7 5 2 3" xfId="12219" xr:uid="{637C8A77-C2DA-41C7-B1C7-7452C0212BD0}"/>
    <cellStyle name="Normal 7 7 5 2 3 2" xfId="22599" xr:uid="{4642DD10-6988-4B16-8DC5-3B2E4EF5DFD9}"/>
    <cellStyle name="Normal 7 7 5 2 4" xfId="23409" xr:uid="{68B934D2-16B5-4574-930C-5F70319B41D6}"/>
    <cellStyle name="Normal 7 7 5 2 5" xfId="16933" xr:uid="{CD8851BF-4305-4276-A211-853AAEB2E18C}"/>
    <cellStyle name="Normal 7 7 5 3" xfId="6563" xr:uid="{D9F50B8A-EAE6-45D2-9757-96D41910DF33}"/>
    <cellStyle name="Normal 7 7 5 3 2" xfId="27705" xr:uid="{E24BC1D6-99A1-4DFF-A3D3-2E93013892F2}"/>
    <cellStyle name="Normal 7 7 5 3 3" xfId="16136" xr:uid="{982AD3F0-373E-4885-8FBF-EDF3A9C70E74}"/>
    <cellStyle name="Normal 7 7 5 4" xfId="8589" xr:uid="{1B986D95-9C6A-4E78-AC0F-DB0EAB511753}"/>
    <cellStyle name="Normal 7 7 5 4 2" xfId="18969" xr:uid="{054C9D3C-8909-4487-87C0-31393BA9DA6E}"/>
    <cellStyle name="Normal 7 7 5 5" xfId="11422" xr:uid="{37B2F39E-A31F-4EAB-87D8-22284A59451D}"/>
    <cellStyle name="Normal 7 7 5 5 2" xfId="21802" xr:uid="{90949D72-122E-4068-81F4-C737F6C36E51}"/>
    <cellStyle name="Normal 7 7 5 6" xfId="24024" xr:uid="{AC4AA60D-E46F-45B2-8D9C-0D4D1CE5B437}"/>
    <cellStyle name="Normal 7 7 5 7" xfId="14109" xr:uid="{5F579650-634B-44AB-A3C2-A2A1102691CD}"/>
    <cellStyle name="Normal 7 7 6" xfId="3005" xr:uid="{00000000-0005-0000-0000-00004A090000}"/>
    <cellStyle name="Normal 7 7 6 2" xfId="6154" xr:uid="{3F76595B-7A70-4313-AD98-64C64CE90066}"/>
    <cellStyle name="Normal 7 7 6 2 2" xfId="26632" xr:uid="{8EFD9527-C9BA-4589-9728-404461208850}"/>
    <cellStyle name="Normal 7 7 6 2 3" xfId="15632" xr:uid="{B92DC15A-9E26-41CE-9CF7-2BEEEA6C274F}"/>
    <cellStyle name="Normal 7 7 6 3" xfId="8085" xr:uid="{D3D83652-7AB7-46DC-88C3-874F8B321725}"/>
    <cellStyle name="Normal 7 7 6 3 2" xfId="18465" xr:uid="{9767A66B-EFCD-4145-A061-7C4934BCFCA5}"/>
    <cellStyle name="Normal 7 7 6 4" xfId="10918" xr:uid="{DB7ADFAE-CF2D-467F-807B-BA750E3358BE}"/>
    <cellStyle name="Normal 7 7 6 4 2" xfId="21298" xr:uid="{66578466-A08C-4AFA-B5BC-5E4E89791B6D}"/>
    <cellStyle name="Normal 7 7 6 5" xfId="22991" xr:uid="{816A3C82-EF97-4D9A-B226-C5314D42E218}"/>
    <cellStyle name="Normal 7 7 6 6" xfId="13507" xr:uid="{6E0DF169-7B30-43CB-8A82-A2C432D548E4}"/>
    <cellStyle name="Normal 7 7 7" xfId="2491" xr:uid="{00000000-0005-0000-0000-00004B090000}"/>
    <cellStyle name="Normal 7 7 7 2" xfId="5776" xr:uid="{615CF55C-5858-42D6-9029-1D0E586CDA6B}"/>
    <cellStyle name="Normal 7 7 7 2 2" xfId="28098" xr:uid="{769996D8-286A-491D-A186-0B38D0DFAC63}"/>
    <cellStyle name="Normal 7 7 7 2 3" xfId="15163" xr:uid="{C65C49A5-3E9C-4503-8446-C9AEC63DAC9E}"/>
    <cellStyle name="Normal 7 7 7 3" xfId="7616" xr:uid="{92F93284-4B3E-428B-B6C2-ED6E69337A90}"/>
    <cellStyle name="Normal 7 7 7 3 2" xfId="17996" xr:uid="{B72C03A7-4BE7-4FD8-9CD2-E00C8E50581D}"/>
    <cellStyle name="Normal 7 7 7 4" xfId="10449" xr:uid="{16A95490-056D-447E-A776-9D50F4B56E51}"/>
    <cellStyle name="Normal 7 7 7 4 2" xfId="20829" xr:uid="{885B6FAB-364E-4C48-8C9F-4A2E219AAB58}"/>
    <cellStyle name="Normal 7 7 7 5" xfId="23314" xr:uid="{D84AA36F-B8A6-41BB-B4EF-78ABA913D2CD}"/>
    <cellStyle name="Normal 7 7 7 6" xfId="12879" xr:uid="{51741595-A603-4C13-8BE4-D5040003A8A2}"/>
    <cellStyle name="Normal 7 7 8" xfId="2185" xr:uid="{00000000-0005-0000-0000-000034090000}"/>
    <cellStyle name="Normal 7 7 8 2" xfId="7312" xr:uid="{8A50AE7F-CCBF-4D2F-BFB9-C1DB2900D60F}"/>
    <cellStyle name="Normal 7 7 8 2 2" xfId="17692" xr:uid="{C0AD61CF-C327-4565-A0B7-69375C2AFFA1}"/>
    <cellStyle name="Normal 7 7 8 3" xfId="10145" xr:uid="{DA9A460A-D310-4A38-B03C-688489590AC9}"/>
    <cellStyle name="Normal 7 7 8 3 2" xfId="20525" xr:uid="{190AFA82-0FA9-45BA-8F06-D61F6BC89869}"/>
    <cellStyle name="Normal 7 7 8 4" xfId="25030" xr:uid="{92A3C3C0-6143-4185-B2A5-8EF3EAEDE877}"/>
    <cellStyle name="Normal 7 7 8 5" xfId="14859" xr:uid="{5BC75154-B7D6-411C-8490-0363E25D9F80}"/>
    <cellStyle name="Normal 7 7 9" xfId="4090" xr:uid="{E2D62470-0D7C-4BCF-8C41-AF626EEE8446}"/>
    <cellStyle name="Normal 7 7 9 2" xfId="8867" xr:uid="{CF944BA7-FF91-4800-BCE3-BDFB2D3CF169}"/>
    <cellStyle name="Normal 7 7 9 2 2" xfId="19247" xr:uid="{F6804887-5FD8-46C0-93BF-ABEB1F4B4B99}"/>
    <cellStyle name="Normal 7 7 9 3" xfId="11700" xr:uid="{DEF9A11B-AF1B-4FC1-8C44-FAF365916466}"/>
    <cellStyle name="Normal 7 7 9 3 2" xfId="22080" xr:uid="{6C9F6523-AC60-46B2-A5DC-FBC016E9FE01}"/>
    <cellStyle name="Normal 7 7 9 4" xfId="16414" xr:uid="{C660FAB7-D96F-4E6C-833A-6DA3D1214498}"/>
    <cellStyle name="Normal 7 8" xfId="1521" xr:uid="{00000000-0005-0000-0000-0000CA070000}"/>
    <cellStyle name="Normal 7 8 10" xfId="5518" xr:uid="{7981F872-048D-44EB-862C-1863490B0EF3}"/>
    <cellStyle name="Normal 7 8 10 2" xfId="14814" xr:uid="{B43B2494-97F5-4498-91B3-E36B565F3B59}"/>
    <cellStyle name="Normal 7 8 11" xfId="7267" xr:uid="{ED7C597E-FD30-4964-9838-BC946C5800E4}"/>
    <cellStyle name="Normal 7 8 11 2" xfId="17647" xr:uid="{CCE1DC93-0221-401E-AF5B-99672ED397DD}"/>
    <cellStyle name="Normal 7 8 12" xfId="10100" xr:uid="{AE0BFB9E-5501-4680-9948-5E84422DA893}"/>
    <cellStyle name="Normal 7 8 12 2" xfId="20480" xr:uid="{4A988483-51E0-412E-9E59-46CEE99C3B41}"/>
    <cellStyle name="Normal 7 8 13" xfId="23702" xr:uid="{BC4496E3-8A18-485B-A7D4-66FE424DFB75}"/>
    <cellStyle name="Normal 7 8 14" xfId="12451" xr:uid="{245E7DAD-1C66-4C24-A686-F0D68E215EC8}"/>
    <cellStyle name="Normal 7 8 2" xfId="1522" xr:uid="{00000000-0005-0000-0000-0000CB070000}"/>
    <cellStyle name="Normal 7 8 2 10" xfId="10101" xr:uid="{98E6AF7D-E713-489B-BFB7-2D85F6E3108B}"/>
    <cellStyle name="Normal 7 8 2 10 2" xfId="20481" xr:uid="{EB056CE6-575B-4DD8-9AFC-FBB7EE22E1AB}"/>
    <cellStyle name="Normal 7 8 2 11" xfId="22984" xr:uid="{45D0F1E6-4DB8-4B08-A92C-FB3701D67A71}"/>
    <cellStyle name="Normal 7 8 2 12" xfId="12652" xr:uid="{1E636B80-57F4-4836-93F8-5F92C02DB4FD}"/>
    <cellStyle name="Normal 7 8 2 2" xfId="1523" xr:uid="{00000000-0005-0000-0000-0000CC070000}"/>
    <cellStyle name="Normal 7 8 2 2 2" xfId="3513" xr:uid="{00000000-0005-0000-0000-00004F090000}"/>
    <cellStyle name="Normal 7 8 2 2 2 2" xfId="6565" xr:uid="{EB11A89A-2A16-486D-9877-94B0133CC7BB}"/>
    <cellStyle name="Normal 7 8 2 2 2 2 2" xfId="27807" xr:uid="{D4D9D707-88A0-4231-85BB-C83530677E72}"/>
    <cellStyle name="Normal 7 8 2 2 2 2 3" xfId="27972" xr:uid="{0E38C2FA-C142-40C2-AC01-E3CDFBC457DD}"/>
    <cellStyle name="Normal 7 8 2 2 2 2 4" xfId="16138" xr:uid="{775AB728-5859-44E1-B041-0F14552B37AC}"/>
    <cellStyle name="Normal 7 8 2 2 2 3" xfId="8591" xr:uid="{C295360B-1DD4-49F9-A210-3E30A3B4ADA7}"/>
    <cellStyle name="Normal 7 8 2 2 2 3 2" xfId="28956" xr:uid="{A96E8B5A-B5E3-4393-A017-1CF35E2FEC4F}"/>
    <cellStyle name="Normal 7 8 2 2 2 3 3" xfId="18971" xr:uid="{69662BF9-DE8D-4BE4-884F-6374471AD8D6}"/>
    <cellStyle name="Normal 7 8 2 2 2 4" xfId="11424" xr:uid="{A392603C-B2DC-4FBE-8CDC-44E8105A13FA}"/>
    <cellStyle name="Normal 7 8 2 2 2 4 2" xfId="21804" xr:uid="{5E996602-E6E7-481C-8178-70C4707EBA3B}"/>
    <cellStyle name="Normal 7 8 2 2 2 5" xfId="23015" xr:uid="{DCD7C034-9A83-4037-97BF-2FD1AA3ACAE2}"/>
    <cellStyle name="Normal 7 8 2 2 2 6" xfId="14111" xr:uid="{F9FEBBAB-0B1B-47DF-9D61-26E2BD920E60}"/>
    <cellStyle name="Normal 7 8 2 2 3" xfId="4384" xr:uid="{181487C5-ED9A-4A37-894D-630747EF6A82}"/>
    <cellStyle name="Normal 7 8 2 2 3 2" xfId="9156" xr:uid="{B92BA703-193B-443E-B6AF-1260F9C458B3}"/>
    <cellStyle name="Normal 7 8 2 2 3 2 2" xfId="29199" xr:uid="{FC43AD86-1E18-423C-B688-0218500738C7}"/>
    <cellStyle name="Normal 7 8 2 2 3 2 3" xfId="19536" xr:uid="{0FE7F98E-D0D4-4966-A9D9-4239B84E8749}"/>
    <cellStyle name="Normal 7 8 2 2 3 3" xfId="11989" xr:uid="{B856DF8E-EF2D-498F-84DC-D1432C8127B4}"/>
    <cellStyle name="Normal 7 8 2 2 3 3 2" xfId="22369" xr:uid="{2358B23F-1DEE-4F07-B59D-A3292C0A2663}"/>
    <cellStyle name="Normal 7 8 2 2 3 4" xfId="23074" xr:uid="{F1BD4026-BDBC-4F07-91C3-4E30BDC3DF85}"/>
    <cellStyle name="Normal 7 8 2 2 3 5" xfId="16703" xr:uid="{FD13EB93-12BC-4106-97A5-C49FF5588DA9}"/>
    <cellStyle name="Normal 7 8 2 2 4" xfId="5520" xr:uid="{EB844901-5740-434A-ABC2-996F0C577A1A}"/>
    <cellStyle name="Normal 7 8 2 2 4 2" xfId="26187" xr:uid="{7FA8E3E1-04EC-4115-A9E7-91413201C243}"/>
    <cellStyle name="Normal 7 8 2 2 4 3" xfId="14816" xr:uid="{DCF72E2C-A73D-4F52-94E9-921263AA7C3D}"/>
    <cellStyle name="Normal 7 8 2 2 5" xfId="7269" xr:uid="{1F8FFE9A-266A-4C02-A0C9-CB629DCE7BAD}"/>
    <cellStyle name="Normal 7 8 2 2 5 2" xfId="17649" xr:uid="{0801D49D-F350-43B3-85F7-61957A26FD37}"/>
    <cellStyle name="Normal 7 8 2 2 6" xfId="10102" xr:uid="{CF486B53-1EF7-4F7D-B81D-F3F7AA9623BB}"/>
    <cellStyle name="Normal 7 8 2 2 6 2" xfId="20482" xr:uid="{80E59977-4A31-44FE-85B3-9C47708D4A4C}"/>
    <cellStyle name="Normal 7 8 2 2 7" xfId="23683" xr:uid="{0F8BCB19-1DD6-48E6-9826-552942CAF682}"/>
    <cellStyle name="Normal 7 8 2 2 8" xfId="13339" xr:uid="{BE9509A6-58F3-4D8C-80F0-E71C155159CC}"/>
    <cellStyle name="Normal 7 8 2 3" xfId="3514" xr:uid="{00000000-0005-0000-0000-000050090000}"/>
    <cellStyle name="Normal 7 8 2 3 2" xfId="4615" xr:uid="{5A62E504-BFEF-479B-8457-B6A288D1F681}"/>
    <cellStyle name="Normal 7 8 2 3 2 2" xfId="9387" xr:uid="{DD36251F-A545-494E-9EB8-8B904ACA1F5C}"/>
    <cellStyle name="Normal 7 8 2 3 2 2 2" xfId="29353" xr:uid="{705B83BD-F576-4B59-AA3B-6007ABF9EC06}"/>
    <cellStyle name="Normal 7 8 2 3 2 2 3" xfId="19767" xr:uid="{A8D76510-D2B7-4243-943D-05D55F002E54}"/>
    <cellStyle name="Normal 7 8 2 3 2 3" xfId="12220" xr:uid="{DBCF99F1-5F0F-4C40-BA23-FA3AD5209E84}"/>
    <cellStyle name="Normal 7 8 2 3 2 3 2" xfId="22600" xr:uid="{FD9CC561-FB12-4D75-9BE3-1579F0A75E0E}"/>
    <cellStyle name="Normal 7 8 2 3 2 4" xfId="25439" xr:uid="{00CB64E5-E46F-41F4-BAA8-8E628BDE07F1}"/>
    <cellStyle name="Normal 7 8 2 3 2 5" xfId="16934" xr:uid="{62A17E90-746E-4F3A-8C7B-70DBF6036AF8}"/>
    <cellStyle name="Normal 7 8 2 3 3" xfId="6566" xr:uid="{27986DCB-B1DC-40F6-A174-53689B211438}"/>
    <cellStyle name="Normal 7 8 2 3 3 2" xfId="26977" xr:uid="{84F835E7-00DF-47D1-8CAE-1B42976D3EDF}"/>
    <cellStyle name="Normal 7 8 2 3 3 3" xfId="16139" xr:uid="{5206AF1D-AFCA-4ECA-BBF7-E6417F40CA01}"/>
    <cellStyle name="Normal 7 8 2 3 4" xfId="8592" xr:uid="{E3CDF305-8586-426D-9FF9-0AFA0D1F449F}"/>
    <cellStyle name="Normal 7 8 2 3 4 2" xfId="18972" xr:uid="{C0408242-D425-4401-968C-5AD5688825AE}"/>
    <cellStyle name="Normal 7 8 2 3 5" xfId="11425" xr:uid="{9E6A4A17-DB2E-4A2A-A3D6-F787EBD6A00B}"/>
    <cellStyle name="Normal 7 8 2 3 5 2" xfId="21805" xr:uid="{89D1F1E4-DBBB-482E-BFF2-27141B03EE8C}"/>
    <cellStyle name="Normal 7 8 2 3 6" xfId="23663" xr:uid="{4B1DE66C-64F1-41DA-91DC-73742ADDC37F}"/>
    <cellStyle name="Normal 7 8 2 3 7" xfId="14112" xr:uid="{17E11527-AF05-4F78-8691-C27919B2D701}"/>
    <cellStyle name="Normal 7 8 2 4" xfId="3512" xr:uid="{00000000-0005-0000-0000-000051090000}"/>
    <cellStyle name="Normal 7 8 2 4 2" xfId="6564" xr:uid="{A6D4913D-5879-467B-A280-0C48BB6872C3}"/>
    <cellStyle name="Normal 7 8 2 4 2 2" xfId="27381" xr:uid="{38B4BD07-92A6-42D7-AAD5-D9D8C7CF672E}"/>
    <cellStyle name="Normal 7 8 2 4 2 3" xfId="16137" xr:uid="{020DC34B-CADE-4C90-993B-F559A47C1798}"/>
    <cellStyle name="Normal 7 8 2 4 3" xfId="8590" xr:uid="{18B383CC-7CD2-4F2C-9F70-5A3D988943B0}"/>
    <cellStyle name="Normal 7 8 2 4 3 2" xfId="18970" xr:uid="{7949896A-5AB4-4936-8AF7-98E234A13FBA}"/>
    <cellStyle name="Normal 7 8 2 4 4" xfId="11423" xr:uid="{2760F4C4-2CCD-4E6E-ADEA-FDBBC7FFEAB8}"/>
    <cellStyle name="Normal 7 8 2 4 4 2" xfId="21803" xr:uid="{C91E5146-3111-48B7-AC29-114C970974AA}"/>
    <cellStyle name="Normal 7 8 2 4 5" xfId="24267" xr:uid="{05B3E0F6-BC97-4AC7-9F0E-E28B1BE63821}"/>
    <cellStyle name="Normal 7 8 2 4 6" xfId="14110" xr:uid="{AF3D29FE-8396-43E5-86B9-0CC7B8E94F3A}"/>
    <cellStyle name="Normal 7 8 2 5" xfId="2525" xr:uid="{00000000-0005-0000-0000-000052090000}"/>
    <cellStyle name="Normal 7 8 2 5 2" xfId="5802" xr:uid="{B5E01D43-3B65-45FA-A334-039D61490BF7}"/>
    <cellStyle name="Normal 7 8 2 5 2 2" xfId="27361" xr:uid="{860D3B7A-9709-4DE5-A844-0E7D2CDA4383}"/>
    <cellStyle name="Normal 7 8 2 5 2 3" xfId="15197" xr:uid="{92547474-EEB8-4256-AB79-31E1D271515A}"/>
    <cellStyle name="Normal 7 8 2 5 3" xfId="7650" xr:uid="{F5A21145-6AA2-46FC-B6FF-81E2D06AC58C}"/>
    <cellStyle name="Normal 7 8 2 5 3 2" xfId="18030" xr:uid="{C28AEDC6-7965-4FB7-B0D8-88E2ECAA28CF}"/>
    <cellStyle name="Normal 7 8 2 5 4" xfId="10483" xr:uid="{A3AF72E2-FBA7-47F0-B7EC-992385FAF200}"/>
    <cellStyle name="Normal 7 8 2 5 4 2" xfId="20863" xr:uid="{CAAB38BC-F8F5-4C05-A3B4-F1F3DAE5FC85}"/>
    <cellStyle name="Normal 7 8 2 5 5" xfId="23630" xr:uid="{91EAADE9-98CE-48E2-9C65-3474F363B367}"/>
    <cellStyle name="Normal 7 8 2 5 6" xfId="12913" xr:uid="{D53D1181-2B21-4600-962D-26238A4D91B1}"/>
    <cellStyle name="Normal 7 8 2 6" xfId="2418" xr:uid="{00000000-0005-0000-0000-00004D090000}"/>
    <cellStyle name="Normal 7 8 2 6 2" xfId="7545" xr:uid="{4BBDB844-567D-4F2C-918E-588DED154556}"/>
    <cellStyle name="Normal 7 8 2 6 2 2" xfId="17925" xr:uid="{1E5AD033-D5DB-41D3-AC15-3E4616AAABCD}"/>
    <cellStyle name="Normal 7 8 2 6 3" xfId="10378" xr:uid="{A80789FB-8635-4088-8FB8-1F154118F636}"/>
    <cellStyle name="Normal 7 8 2 6 3 2" xfId="20758" xr:uid="{F3D022AC-844C-4D9A-BCC4-9E246CB032AA}"/>
    <cellStyle name="Normal 7 8 2 6 4" xfId="22927" xr:uid="{72711CE9-B1EE-440C-B2C6-02F2ADAE74D3}"/>
    <cellStyle name="Normal 7 8 2 6 5" xfId="15092" xr:uid="{59E52D30-B7AF-4FE1-9D2D-00F8595557E6}"/>
    <cellStyle name="Normal 7 8 2 7" xfId="4111" xr:uid="{A481A10B-6E2C-4D73-8310-D857334E757C}"/>
    <cellStyle name="Normal 7 8 2 7 2" xfId="8883" xr:uid="{9F4FE084-34DE-42B7-880E-5C144E9AF5DE}"/>
    <cellStyle name="Normal 7 8 2 7 2 2" xfId="19263" xr:uid="{1594C506-60B3-4F43-BDCD-E05CFA137F95}"/>
    <cellStyle name="Normal 7 8 2 7 3" xfId="11716" xr:uid="{221CF922-AADE-46AC-8510-BF7EF408F268}"/>
    <cellStyle name="Normal 7 8 2 7 3 2" xfId="22096" xr:uid="{754F14C5-F2C0-4DC5-9C13-87EB84D1F0E1}"/>
    <cellStyle name="Normal 7 8 2 7 4" xfId="16430" xr:uid="{BBA87A2A-AE38-4409-81BF-80B51726EA15}"/>
    <cellStyle name="Normal 7 8 2 8" xfId="5519" xr:uid="{262D6E35-57B3-4303-BEF9-07EB06D78BCE}"/>
    <cellStyle name="Normal 7 8 2 8 2" xfId="14815" xr:uid="{BD40D288-C787-445D-8DD7-A64D12806929}"/>
    <cellStyle name="Normal 7 8 2 9" xfId="7268" xr:uid="{3AD3D8CB-D44E-45C6-BA13-F38440D6FD94}"/>
    <cellStyle name="Normal 7 8 2 9 2" xfId="17648" xr:uid="{5393AD59-4FE1-414E-AEA6-1176CD8E42A3}"/>
    <cellStyle name="Normal 7 8 3" xfId="1524" xr:uid="{00000000-0005-0000-0000-0000CD070000}"/>
    <cellStyle name="Normal 7 8 3 10" xfId="24306" xr:uid="{8C96402B-7A63-440D-9D79-E19639779125}"/>
    <cellStyle name="Normal 7 8 3 11" xfId="12810" xr:uid="{DB3E63EC-B741-4DAA-97A4-C7A717BB0536}"/>
    <cellStyle name="Normal 7 8 3 2" xfId="2854" xr:uid="{00000000-0005-0000-0000-000054090000}"/>
    <cellStyle name="Normal 7 8 3 2 2" xfId="3516" xr:uid="{00000000-0005-0000-0000-000055090000}"/>
    <cellStyle name="Normal 7 8 3 2 2 2" xfId="6568" xr:uid="{5F679275-388E-4DF5-A8C1-F368856D0BE9}"/>
    <cellStyle name="Normal 7 8 3 2 2 2 2" xfId="27418" xr:uid="{EA4A2A04-CA1C-4799-8E31-F36759F6D1EB}"/>
    <cellStyle name="Normal 7 8 3 2 2 2 3" xfId="16141" xr:uid="{AE97444A-3633-4376-9F42-1EF7704EE280}"/>
    <cellStyle name="Normal 7 8 3 2 2 3" xfId="8594" xr:uid="{D94C4494-9D51-476C-B06F-86FD219070DF}"/>
    <cellStyle name="Normal 7 8 3 2 2 3 2" xfId="18974" xr:uid="{86417FD9-8B80-42FD-8C16-BECDA3492506}"/>
    <cellStyle name="Normal 7 8 3 2 2 4" xfId="11427" xr:uid="{F321C522-BC0B-4F7F-9F94-B7DD28CE0DAA}"/>
    <cellStyle name="Normal 7 8 3 2 2 4 2" xfId="21807" xr:uid="{0491B24F-58A0-4377-91A8-0057DE8B8BA6}"/>
    <cellStyle name="Normal 7 8 3 2 2 5" xfId="23669" xr:uid="{4A3BB38C-4BD3-4D97-A6F2-6AF8C60051A1}"/>
    <cellStyle name="Normal 7 8 3 2 2 6" xfId="14114" xr:uid="{262A541D-2908-49D0-AE47-9CFEB11EA45E}"/>
    <cellStyle name="Normal 7 8 3 2 3" xfId="4385" xr:uid="{447CA688-1CB5-4488-9688-F0FC39F457E7}"/>
    <cellStyle name="Normal 7 8 3 2 3 2" xfId="9157" xr:uid="{9472ADC6-5FA7-43C5-8E8A-FC179E3C965A}"/>
    <cellStyle name="Normal 7 8 3 2 3 2 2" xfId="29200" xr:uid="{29046802-CC24-4D7A-97D1-C3E5B361E82A}"/>
    <cellStyle name="Normal 7 8 3 2 3 2 3" xfId="19537" xr:uid="{78C00EF1-E993-453F-A9DF-3151A693D284}"/>
    <cellStyle name="Normal 7 8 3 2 3 3" xfId="11990" xr:uid="{F27D3773-2AA8-43BA-B778-7D928EBDAE17}"/>
    <cellStyle name="Normal 7 8 3 2 3 3 2" xfId="22370" xr:uid="{39E55BE9-DC07-48E4-938A-830D20F99EC9}"/>
    <cellStyle name="Normal 7 8 3 2 3 4" xfId="25251" xr:uid="{72DB413B-53DF-4302-A428-E119E4495B88}"/>
    <cellStyle name="Normal 7 8 3 2 3 5" xfId="16704" xr:uid="{F6B356A3-9255-4D6C-9E61-6390C91C9D69}"/>
    <cellStyle name="Normal 7 8 3 2 4" xfId="6067" xr:uid="{F968D605-7D64-40BF-8CCB-FB2DAB6C391A}"/>
    <cellStyle name="Normal 7 8 3 2 4 2" xfId="26985" xr:uid="{01D9B581-A7A8-4BAB-A7E1-FCE3D2974942}"/>
    <cellStyle name="Normal 7 8 3 2 4 3" xfId="15523" xr:uid="{42C00365-0F2D-4BAB-842E-0E709346EBA4}"/>
    <cellStyle name="Normal 7 8 3 2 5" xfId="7976" xr:uid="{95BC407F-F74C-4E3D-9938-50C2F949768F}"/>
    <cellStyle name="Normal 7 8 3 2 5 2" xfId="18356" xr:uid="{DCE5B817-D74A-4CD3-8147-595558D089EF}"/>
    <cellStyle name="Normal 7 8 3 2 6" xfId="10809" xr:uid="{B8C225DB-6078-4482-AA5C-1C70A3895AF3}"/>
    <cellStyle name="Normal 7 8 3 2 6 2" xfId="21189" xr:uid="{7A6018B2-F374-4CED-9AAA-90AC3E99C4C4}"/>
    <cellStyle name="Normal 7 8 3 2 7" xfId="24730" xr:uid="{3DEB3E29-5202-498B-9D0F-C835644731F1}"/>
    <cellStyle name="Normal 7 8 3 2 8" xfId="13340" xr:uid="{45B8B451-7B5F-44E6-A86D-77E56F8D188B}"/>
    <cellStyle name="Normal 7 8 3 3" xfId="3517" xr:uid="{00000000-0005-0000-0000-000056090000}"/>
    <cellStyle name="Normal 7 8 3 3 2" xfId="4616" xr:uid="{545C96D4-53A4-49FE-9E61-2C15736C90CB}"/>
    <cellStyle name="Normal 7 8 3 3 2 2" xfId="9388" xr:uid="{79A5723C-07FD-4F6D-8631-A40327F1065A}"/>
    <cellStyle name="Normal 7 8 3 3 2 2 2" xfId="29354" xr:uid="{FA4ED228-F7FE-4F02-BF64-E3A775127185}"/>
    <cellStyle name="Normal 7 8 3 3 2 2 3" xfId="19768" xr:uid="{7A33493D-C470-49B0-B617-A56BDBDEA11A}"/>
    <cellStyle name="Normal 7 8 3 3 2 3" xfId="12221" xr:uid="{B4894758-74D8-4921-A4D7-B66873D171CA}"/>
    <cellStyle name="Normal 7 8 3 3 2 3 2" xfId="22601" xr:uid="{6B41FE89-1689-48EF-BE8F-8A3D18258DE4}"/>
    <cellStyle name="Normal 7 8 3 3 2 4" xfId="25784" xr:uid="{4A8C765C-CE60-4E05-BCBA-80F518920950}"/>
    <cellStyle name="Normal 7 8 3 3 2 5" xfId="16935" xr:uid="{EBEF5521-10CD-46EA-A47F-0CA96F92D68D}"/>
    <cellStyle name="Normal 7 8 3 3 3" xfId="6569" xr:uid="{8E31F363-C67B-425F-A763-46AC5E51AADC}"/>
    <cellStyle name="Normal 7 8 3 3 3 2" xfId="28445" xr:uid="{24FD860C-ACFE-4DA1-8D63-3D4E4A5ACE6D}"/>
    <cellStyle name="Normal 7 8 3 3 3 3" xfId="16142" xr:uid="{D01109C0-C637-4BA0-BF8C-67A36E087A4C}"/>
    <cellStyle name="Normal 7 8 3 3 4" xfId="8595" xr:uid="{21B59F37-7245-4146-91DC-8214B393B363}"/>
    <cellStyle name="Normal 7 8 3 3 4 2" xfId="18975" xr:uid="{D4EF6D4B-8CA2-4100-B044-8B08F70C3AA3}"/>
    <cellStyle name="Normal 7 8 3 3 5" xfId="11428" xr:uid="{6BA334D7-A339-4E1C-A101-90B4533033C5}"/>
    <cellStyle name="Normal 7 8 3 3 5 2" xfId="21808" xr:uid="{B14DC5FE-3B6E-4953-8326-7B0E87E8BE07}"/>
    <cellStyle name="Normal 7 8 3 3 6" xfId="25436" xr:uid="{F714C0B9-5AF8-4523-95D8-0AF3A974EF37}"/>
    <cellStyle name="Normal 7 8 3 3 7" xfId="14115" xr:uid="{571135B5-1290-4B03-B84F-33EE4686B6E3}"/>
    <cellStyle name="Normal 7 8 3 4" xfId="3515" xr:uid="{00000000-0005-0000-0000-000057090000}"/>
    <cellStyle name="Normal 7 8 3 4 2" xfId="6567" xr:uid="{0A120DE1-A606-42C0-B188-7FF0CEB52057}"/>
    <cellStyle name="Normal 7 8 3 4 2 2" xfId="27834" xr:uid="{CB827B41-6E34-4485-ADF1-2424F31EE4F3}"/>
    <cellStyle name="Normal 7 8 3 4 2 3" xfId="16140" xr:uid="{87A7B19C-47C8-4535-9ECA-16F61EDCFC87}"/>
    <cellStyle name="Normal 7 8 3 4 3" xfId="8593" xr:uid="{2AD1F471-9932-47D3-B35E-0B1E1456D63B}"/>
    <cellStyle name="Normal 7 8 3 4 3 2" xfId="18973" xr:uid="{17DBC5E4-D4A5-4CBF-9C48-6D8177A2F7FD}"/>
    <cellStyle name="Normal 7 8 3 4 4" xfId="11426" xr:uid="{A5A26F8D-83E1-4ED5-B907-64DBEFD8ECEC}"/>
    <cellStyle name="Normal 7 8 3 4 4 2" xfId="21806" xr:uid="{2B10B68B-EEA4-4EF7-9927-FB2122CB3644}"/>
    <cellStyle name="Normal 7 8 3 4 5" xfId="23154" xr:uid="{96A3161C-7C39-4EF4-9CBE-677777A6DA38}"/>
    <cellStyle name="Normal 7 8 3 4 6" xfId="14113" xr:uid="{F3F77F57-0BEA-4D8A-864B-0CCC9678FEBF}"/>
    <cellStyle name="Normal 7 8 3 5" xfId="2628" xr:uid="{00000000-0005-0000-0000-000058090000}"/>
    <cellStyle name="Normal 7 8 3 5 2" xfId="5890" xr:uid="{10DE449B-772F-403E-B53E-8F527E3E956C}"/>
    <cellStyle name="Normal 7 8 3 5 2 2" xfId="27199" xr:uid="{6AC8801F-B639-4F85-919C-F455858033E1}"/>
    <cellStyle name="Normal 7 8 3 5 2 3" xfId="15300" xr:uid="{6EB7D2AB-226F-4261-B766-566EE5A8D4DE}"/>
    <cellStyle name="Normal 7 8 3 5 3" xfId="7753" xr:uid="{B4427FDC-18D8-4BF0-9AA9-3DCBE6FB5CB6}"/>
    <cellStyle name="Normal 7 8 3 5 3 2" xfId="18133" xr:uid="{E05F336D-BAC6-4831-9BD5-5EF0C803FCAF}"/>
    <cellStyle name="Normal 7 8 3 5 4" xfId="10586" xr:uid="{E35B07AF-51EB-49EB-8D64-5176635FF471}"/>
    <cellStyle name="Normal 7 8 3 5 4 2" xfId="20966" xr:uid="{D9107844-D4B9-4D7C-BB1D-5797A487AD57}"/>
    <cellStyle name="Normal 7 8 3 5 5" xfId="23743" xr:uid="{9BF79791-BE4B-4383-B162-A69EE8B513CC}"/>
    <cellStyle name="Normal 7 8 3 5 6" xfId="13016" xr:uid="{ED86C5AD-79C9-48EC-B39F-81359DA56D05}"/>
    <cellStyle name="Normal 7 8 3 6" xfId="4233" xr:uid="{59BA6427-845F-4501-AB9A-91D75CDD42EA}"/>
    <cellStyle name="Normal 7 8 3 6 2" xfId="9005" xr:uid="{D698A893-5EAB-4217-B9C3-E2C0C41057C9}"/>
    <cellStyle name="Normal 7 8 3 6 2 2" xfId="19385" xr:uid="{0F0FA002-57F2-45EE-83D3-ECFD5AF5B1AF}"/>
    <cellStyle name="Normal 7 8 3 6 3" xfId="11838" xr:uid="{5F2CCC17-7C1C-4996-8E38-7FCD9236367C}"/>
    <cellStyle name="Normal 7 8 3 6 3 2" xfId="22218" xr:uid="{E03DF7B2-2269-4CD3-9101-3E3AA292BE16}"/>
    <cellStyle name="Normal 7 8 3 6 4" xfId="24182" xr:uid="{B644EC93-CDF4-401E-82A2-1272E92688F2}"/>
    <cellStyle name="Normal 7 8 3 6 5" xfId="16552" xr:uid="{26DEA9EB-1A5A-4FBB-9ADB-0ADCAAD6F035}"/>
    <cellStyle name="Normal 7 8 3 7" xfId="5521" xr:uid="{1255BA54-6F4F-4228-B965-919623B1C04F}"/>
    <cellStyle name="Normal 7 8 3 7 2" xfId="14817" xr:uid="{B74EE7AC-B2ED-4026-9452-F278D7571678}"/>
    <cellStyle name="Normal 7 8 3 8" xfId="7270" xr:uid="{9E615E01-71BB-4B3F-9E38-5297BC321302}"/>
    <cellStyle name="Normal 7 8 3 8 2" xfId="17650" xr:uid="{98EB6D51-3516-4C0D-AD2E-2AD1BC33568F}"/>
    <cellStyle name="Normal 7 8 3 9" xfId="10103" xr:uid="{A57FA0DA-9FD7-4CA6-9CB7-82C9D1601774}"/>
    <cellStyle name="Normal 7 8 3 9 2" xfId="20483" xr:uid="{0A58600F-6701-41B4-8111-EC37D917DB22}"/>
    <cellStyle name="Normal 7 8 4" xfId="1525" xr:uid="{00000000-0005-0000-0000-0000CE070000}"/>
    <cellStyle name="Normal 7 8 4 2" xfId="3518" xr:uid="{00000000-0005-0000-0000-00005A090000}"/>
    <cellStyle name="Normal 7 8 4 2 2" xfId="6570" xr:uid="{2D3B1732-C0C4-4184-9529-9D3397680CCF}"/>
    <cellStyle name="Normal 7 8 4 2 2 2" xfId="26341" xr:uid="{18BA798C-1CAB-4154-8A00-6F8B20C7677C}"/>
    <cellStyle name="Normal 7 8 4 2 2 3" xfId="16143" xr:uid="{2EC925BB-FC79-43F7-9189-F3E0AEB2AAC6}"/>
    <cellStyle name="Normal 7 8 4 2 3" xfId="8596" xr:uid="{E889EDAF-AC51-4E64-B90A-68E56389DFF1}"/>
    <cellStyle name="Normal 7 8 4 2 3 2" xfId="18976" xr:uid="{CF1ED609-EDFD-4B74-BCFC-93DB78C9BEE4}"/>
    <cellStyle name="Normal 7 8 4 2 4" xfId="11429" xr:uid="{C14DD82C-EB00-41EA-81C7-986D104E753A}"/>
    <cellStyle name="Normal 7 8 4 2 4 2" xfId="21809" xr:uid="{28EDE53E-4E23-4C8E-803B-8CF54ADE71C3}"/>
    <cellStyle name="Normal 7 8 4 2 5" xfId="23870" xr:uid="{DAF8F0C6-D633-4834-AF21-6EB4864E869F}"/>
    <cellStyle name="Normal 7 8 4 2 6" xfId="14116" xr:uid="{FC4B95CA-7630-4D5E-9F99-47E4DE000F79}"/>
    <cellStyle name="Normal 7 8 4 3" xfId="4383" xr:uid="{DDDC4B48-D8E9-4CFF-BC48-3733A2D9C0DB}"/>
    <cellStyle name="Normal 7 8 4 3 2" xfId="9155" xr:uid="{88E149B4-AEE7-4B2B-8FC2-3B3D63800B72}"/>
    <cellStyle name="Normal 7 8 4 3 2 2" xfId="29198" xr:uid="{13EE9B69-83F2-4861-9BB9-B19C3E5A5F7A}"/>
    <cellStyle name="Normal 7 8 4 3 2 3" xfId="19535" xr:uid="{146A8993-573F-4BA9-938B-F93667F4DF6B}"/>
    <cellStyle name="Normal 7 8 4 3 3" xfId="11988" xr:uid="{D8F0375E-D6EF-4256-9453-2256BA4E9CE2}"/>
    <cellStyle name="Normal 7 8 4 3 3 2" xfId="22368" xr:uid="{7BB54D95-9672-4655-A145-127DD140A5F0}"/>
    <cellStyle name="Normal 7 8 4 3 4" xfId="25004" xr:uid="{97038F17-365A-4DF1-A989-2DB0119DA142}"/>
    <cellStyle name="Normal 7 8 4 3 5" xfId="16702" xr:uid="{15D63064-F809-4432-A947-3CD3660D0709}"/>
    <cellStyle name="Normal 7 8 4 4" xfId="5522" xr:uid="{12700FF1-E859-4A50-834D-53FEE56265D2}"/>
    <cellStyle name="Normal 7 8 4 4 2" xfId="27927" xr:uid="{7C539E13-FE66-4E42-80B7-588329FD1E86}"/>
    <cellStyle name="Normal 7 8 4 4 3" xfId="14818" xr:uid="{3BC6BBA6-D823-4391-BFF5-F62FFCA43906}"/>
    <cellStyle name="Normal 7 8 4 5" xfId="7271" xr:uid="{09E4D0D4-DD47-4C28-BA61-BC050682ED6E}"/>
    <cellStyle name="Normal 7 8 4 5 2" xfId="17651" xr:uid="{3B1BE631-D436-4B36-A9FC-9578B0B4D703}"/>
    <cellStyle name="Normal 7 8 4 6" xfId="10104" xr:uid="{6EC9376E-3E00-4354-AE8C-26D2158FBB93}"/>
    <cellStyle name="Normal 7 8 4 6 2" xfId="20484" xr:uid="{4470BBFB-6868-457E-AF5E-D56EEAF443BE}"/>
    <cellStyle name="Normal 7 8 4 7" xfId="24922" xr:uid="{5C022206-BF20-4DB4-ACFA-19E9DD733230}"/>
    <cellStyle name="Normal 7 8 4 8" xfId="13338" xr:uid="{C03A58B5-F03B-40CC-8671-B10B50CF5463}"/>
    <cellStyle name="Normal 7 8 5" xfId="3519" xr:uid="{00000000-0005-0000-0000-00005B090000}"/>
    <cellStyle name="Normal 7 8 5 2" xfId="4617" xr:uid="{6FE2DECE-CF5D-4EA3-B482-2923A49B0CAE}"/>
    <cellStyle name="Normal 7 8 5 2 2" xfId="9389" xr:uid="{EB7FA5EB-7F5C-4DD4-ACB2-AEAB0F7C18F4}"/>
    <cellStyle name="Normal 7 8 5 2 2 2" xfId="29355" xr:uid="{7E7B8F39-C9D1-4B60-9B39-DF7E143DCFA4}"/>
    <cellStyle name="Normal 7 8 5 2 2 3" xfId="19769" xr:uid="{B159F4FE-C009-45E2-A5B6-8C6524487467}"/>
    <cellStyle name="Normal 7 8 5 2 3" xfId="12222" xr:uid="{C7BAC334-97E7-456D-B63A-44008174535C}"/>
    <cellStyle name="Normal 7 8 5 2 3 2" xfId="22602" xr:uid="{33603211-998B-4CBE-AD4A-461612197449}"/>
    <cellStyle name="Normal 7 8 5 2 4" xfId="24638" xr:uid="{16505472-9B54-4E8E-A907-73F926F8CEBC}"/>
    <cellStyle name="Normal 7 8 5 2 5" xfId="16936" xr:uid="{F45452EC-FE44-479B-9E32-60AB2B62D4E2}"/>
    <cellStyle name="Normal 7 8 5 3" xfId="6571" xr:uid="{5C36BBD4-913A-4277-A9D3-4A7F6C8E6197}"/>
    <cellStyle name="Normal 7 8 5 3 2" xfId="28510" xr:uid="{56C0E03D-EDAC-4478-B152-E33DFB8842C2}"/>
    <cellStyle name="Normal 7 8 5 3 3" xfId="16144" xr:uid="{7CA00030-135D-4E3B-9825-4467B971B465}"/>
    <cellStyle name="Normal 7 8 5 4" xfId="8597" xr:uid="{3EF1D7D6-C217-49AF-9C72-2054E589F6B3}"/>
    <cellStyle name="Normal 7 8 5 4 2" xfId="18977" xr:uid="{72959006-9EC3-463A-9313-2524A79B09CD}"/>
    <cellStyle name="Normal 7 8 5 5" xfId="11430" xr:uid="{685EB8FE-A462-4983-B49D-13FB883C5612}"/>
    <cellStyle name="Normal 7 8 5 5 2" xfId="21810" xr:uid="{80E81E97-8C0A-4EBE-BAF1-B83D64823B71}"/>
    <cellStyle name="Normal 7 8 5 6" xfId="24439" xr:uid="{560FF643-4B9B-4EF0-A996-EBF2BE331482}"/>
    <cellStyle name="Normal 7 8 5 7" xfId="14117" xr:uid="{889DBCD3-4D9D-4D56-AED3-0D3D13B08F28}"/>
    <cellStyle name="Normal 7 8 6" xfId="3006" xr:uid="{00000000-0005-0000-0000-00005C090000}"/>
    <cellStyle name="Normal 7 8 6 2" xfId="6155" xr:uid="{ECB7BE2F-F1BF-4158-969C-F9ECBA07135F}"/>
    <cellStyle name="Normal 7 8 6 2 2" xfId="28652" xr:uid="{80419F36-A086-4067-833D-EBD603F8F0E4}"/>
    <cellStyle name="Normal 7 8 6 2 3" xfId="15633" xr:uid="{CF2628DF-893E-4F73-A427-DA1C36416A14}"/>
    <cellStyle name="Normal 7 8 6 3" xfId="8086" xr:uid="{9B558696-2698-4280-A3BA-786C8B9EB28D}"/>
    <cellStyle name="Normal 7 8 6 3 2" xfId="18466" xr:uid="{539FCDB9-9685-4A12-88FB-F7D5E54DEA17}"/>
    <cellStyle name="Normal 7 8 6 4" xfId="10919" xr:uid="{BBA3631A-F5B5-4D2E-BC5C-476E2AEBE074}"/>
    <cellStyle name="Normal 7 8 6 4 2" xfId="21299" xr:uid="{8243ADB7-0152-45E1-BCEC-7B4C35B31788}"/>
    <cellStyle name="Normal 7 8 6 5" xfId="23926" xr:uid="{5248020E-73F8-4BD7-B357-541AFA29F228}"/>
    <cellStyle name="Normal 7 8 6 6" xfId="13508" xr:uid="{8526138E-9324-496C-AED5-8C55EE1A18A0}"/>
    <cellStyle name="Normal 7 8 7" xfId="2465" xr:uid="{00000000-0005-0000-0000-00005D090000}"/>
    <cellStyle name="Normal 7 8 7 2" xfId="5756" xr:uid="{C11A75DA-8194-440B-9B8C-0D34AA248DDB}"/>
    <cellStyle name="Normal 7 8 7 2 2" xfId="26766" xr:uid="{807FB85F-D401-4E4D-B3E3-50260B76AA88}"/>
    <cellStyle name="Normal 7 8 7 2 3" xfId="15137" xr:uid="{74DEED31-889A-4695-836C-C5D98706DCF3}"/>
    <cellStyle name="Normal 7 8 7 3" xfId="7590" xr:uid="{542CD4D7-15E3-43F7-8EAA-FCF5E44DFBDF}"/>
    <cellStyle name="Normal 7 8 7 3 2" xfId="17970" xr:uid="{F90E9161-0A68-425A-8227-C2EF28C4EE8A}"/>
    <cellStyle name="Normal 7 8 7 4" xfId="10423" xr:uid="{EC31E704-79D0-40EA-8D9C-CD2D93D13E36}"/>
    <cellStyle name="Normal 7 8 7 4 2" xfId="20803" xr:uid="{9C889ABF-4886-479A-BA81-31468C2AB18D}"/>
    <cellStyle name="Normal 7 8 7 5" xfId="23211" xr:uid="{E84ED942-BD3F-4A1B-980D-B708E4354395}"/>
    <cellStyle name="Normal 7 8 7 6" xfId="12853" xr:uid="{FA02A863-7404-4A05-B219-E910A08E343C}"/>
    <cellStyle name="Normal 7 8 8" xfId="2219" xr:uid="{00000000-0005-0000-0000-00004C090000}"/>
    <cellStyle name="Normal 7 8 8 2" xfId="7346" xr:uid="{61DDE688-2A70-4F2A-B6EE-DE4DE9B40FD2}"/>
    <cellStyle name="Normal 7 8 8 2 2" xfId="17726" xr:uid="{F547AF6E-3139-4C19-B29C-9F548C32EF0D}"/>
    <cellStyle name="Normal 7 8 8 3" xfId="10179" xr:uid="{CF8ECEF6-1BD3-423E-8735-1B48A9AC7EBF}"/>
    <cellStyle name="Normal 7 8 8 3 2" xfId="20559" xr:uid="{760FCA6F-6B42-44AB-B086-38F9E5CE5D2F}"/>
    <cellStyle name="Normal 7 8 8 4" xfId="24356" xr:uid="{59B7BEB4-E380-44D7-965B-F4AE71DC9ECA}"/>
    <cellStyle name="Normal 7 8 8 5" xfId="14893" xr:uid="{4FAD8375-0A0D-4BB1-BDA6-9363022E60FB}"/>
    <cellStyle name="Normal 7 8 9" xfId="4091" xr:uid="{FEACF0C8-3B18-49F1-89D3-9F76FFBE9C2B}"/>
    <cellStyle name="Normal 7 8 9 2" xfId="8868" xr:uid="{044108D4-921D-454F-BC77-7FEBD8D9F1BE}"/>
    <cellStyle name="Normal 7 8 9 2 2" xfId="19248" xr:uid="{3963D2D1-7D47-4D3F-8EEF-DFA1EBBFAD56}"/>
    <cellStyle name="Normal 7 8 9 3" xfId="11701" xr:uid="{7CC49168-E851-4172-8B55-2E2123A2E074}"/>
    <cellStyle name="Normal 7 8 9 3 2" xfId="22081" xr:uid="{1F00B042-48FB-473F-BBE8-03A7A9D3718B}"/>
    <cellStyle name="Normal 7 8 9 4" xfId="16415" xr:uid="{9ECAB39F-081A-4BCF-91F5-E4AF0193581E}"/>
    <cellStyle name="Normal 7 9" xfId="1526" xr:uid="{00000000-0005-0000-0000-0000CF070000}"/>
    <cellStyle name="Normal 7 9 10" xfId="7272" xr:uid="{76B76404-D632-40A0-BB9A-59637784038A}"/>
    <cellStyle name="Normal 7 9 10 2" xfId="17652" xr:uid="{9FC1061D-EC27-4D99-933D-B09A5D9C7F27}"/>
    <cellStyle name="Normal 7 9 11" xfId="10105" xr:uid="{D870EB85-AD4D-4FEB-92BD-E2F68463C43F}"/>
    <cellStyle name="Normal 7 9 11 2" xfId="20485" xr:uid="{B025CEB8-359C-41A1-95E0-E003A49FD9C1}"/>
    <cellStyle name="Normal 7 9 12" xfId="24207" xr:uid="{69CE26CE-3A4C-454E-8F2D-CB9244761167}"/>
    <cellStyle name="Normal 7 9 13" xfId="12434" xr:uid="{AC04919D-675B-4B08-8270-6BD19B73D1B5}"/>
    <cellStyle name="Normal 7 9 2" xfId="1527" xr:uid="{00000000-0005-0000-0000-0000D0070000}"/>
    <cellStyle name="Normal 7 9 2 10" xfId="10106" xr:uid="{E8C46142-E8B2-4D5F-8EE2-1212BE095953}"/>
    <cellStyle name="Normal 7 9 2 10 2" xfId="20486" xr:uid="{3961B3AA-27FD-4F2D-81A3-D6F4042000D3}"/>
    <cellStyle name="Normal 7 9 2 11" xfId="24031" xr:uid="{47681A00-42C3-4ED8-88C1-F08154E55A54}"/>
    <cellStyle name="Normal 7 9 2 12" xfId="12653" xr:uid="{8C56996B-E01D-467A-82C7-7D82C4130E86}"/>
    <cellStyle name="Normal 7 9 2 2" xfId="1528" xr:uid="{00000000-0005-0000-0000-0000D1070000}"/>
    <cellStyle name="Normal 7 9 2 2 2" xfId="3521" xr:uid="{00000000-0005-0000-0000-000061090000}"/>
    <cellStyle name="Normal 7 9 2 2 2 2" xfId="6573" xr:uid="{08851B5F-A0C6-4173-92C6-3E7000C8619F}"/>
    <cellStyle name="Normal 7 9 2 2 2 2 2" xfId="27105" xr:uid="{CEE07C7C-3E03-42D2-943B-38879DADD3F3}"/>
    <cellStyle name="Normal 7 9 2 2 2 2 3" xfId="26806" xr:uid="{D5E4D8DD-3FA5-4219-8507-710DA5DB159F}"/>
    <cellStyle name="Normal 7 9 2 2 2 2 4" xfId="16146" xr:uid="{F0204F73-FBE0-4809-A492-AAEF4FFB1D37}"/>
    <cellStyle name="Normal 7 9 2 2 2 3" xfId="8599" xr:uid="{89A1D3EC-64C2-4849-B353-0D2924A8D8FC}"/>
    <cellStyle name="Normal 7 9 2 2 2 3 2" xfId="28957" xr:uid="{5F917D48-4F1B-4B93-A25D-AD1D9110EBB6}"/>
    <cellStyle name="Normal 7 9 2 2 2 3 3" xfId="18979" xr:uid="{5F01B0CE-0AEF-40AE-8AF6-6394A42860FE}"/>
    <cellStyle name="Normal 7 9 2 2 2 4" xfId="11432" xr:uid="{5B92965B-4502-425D-8343-5002168817EF}"/>
    <cellStyle name="Normal 7 9 2 2 2 4 2" xfId="21812" xr:uid="{EC4382FD-FB15-4D27-8555-27EFDA1B470C}"/>
    <cellStyle name="Normal 7 9 2 2 2 5" xfId="25293" xr:uid="{99CC8E3D-D4B8-4B8A-BCE4-EDCA6176E377}"/>
    <cellStyle name="Normal 7 9 2 2 2 6" xfId="14119" xr:uid="{57595528-7EB4-4445-8F59-1E354DAFFCE0}"/>
    <cellStyle name="Normal 7 9 2 2 3" xfId="4386" xr:uid="{EB528A48-2B64-4BDC-8BAB-0FE57D1C1D8E}"/>
    <cellStyle name="Normal 7 9 2 2 3 2" xfId="9158" xr:uid="{E8D964A0-F164-4946-80DB-AB8D069D5C9F}"/>
    <cellStyle name="Normal 7 9 2 2 3 2 2" xfId="29201" xr:uid="{D58B8F9A-5BDF-468E-8C95-FE715D3C18B6}"/>
    <cellStyle name="Normal 7 9 2 2 3 2 3" xfId="19538" xr:uid="{C3ACBE5E-39B4-4333-B2B5-F5429CC797E6}"/>
    <cellStyle name="Normal 7 9 2 2 3 3" xfId="11991" xr:uid="{0D94B800-EF91-4226-824B-57DB58AA52C0}"/>
    <cellStyle name="Normal 7 9 2 2 3 3 2" xfId="22371" xr:uid="{A565410B-6B4B-47B2-A417-B3C674410799}"/>
    <cellStyle name="Normal 7 9 2 2 3 4" xfId="25317" xr:uid="{EA531831-9B22-4B41-ACD8-704165E0FA10}"/>
    <cellStyle name="Normal 7 9 2 2 3 5" xfId="16705" xr:uid="{9C4EFBA3-6C6E-49BD-AC85-870512FC7371}"/>
    <cellStyle name="Normal 7 9 2 2 4" xfId="5525" xr:uid="{18BC8DA5-668A-4E08-B837-D6E5D5825294}"/>
    <cellStyle name="Normal 7 9 2 2 4 2" xfId="28167" xr:uid="{389B0291-07E3-4E2E-9500-1F54470578F6}"/>
    <cellStyle name="Normal 7 9 2 2 4 3" xfId="14821" xr:uid="{4A15D896-DA51-48D9-8AAD-A328E02E30F3}"/>
    <cellStyle name="Normal 7 9 2 2 5" xfId="7274" xr:uid="{02FE9ED2-AE5C-4F82-AC53-CE84C785F709}"/>
    <cellStyle name="Normal 7 9 2 2 5 2" xfId="17654" xr:uid="{E1DCDE85-C82F-40FA-9E8E-32D8F09DF505}"/>
    <cellStyle name="Normal 7 9 2 2 6" xfId="10107" xr:uid="{9A763DA3-65C7-470B-B90A-0B57D73D284E}"/>
    <cellStyle name="Normal 7 9 2 2 6 2" xfId="20487" xr:uid="{491B9786-B64D-46A4-9AB6-CF8D6286570A}"/>
    <cellStyle name="Normal 7 9 2 2 7" xfId="25342" xr:uid="{E73C036E-A05A-4DA2-9D76-D70653EB3182}"/>
    <cellStyle name="Normal 7 9 2 2 8" xfId="13342" xr:uid="{E35BAE62-FA84-42DC-B6E0-509D12519BE2}"/>
    <cellStyle name="Normal 7 9 2 3" xfId="3522" xr:uid="{00000000-0005-0000-0000-000062090000}"/>
    <cellStyle name="Normal 7 9 2 3 2" xfId="4618" xr:uid="{3CBC5E3B-62D7-4DB8-815F-3B4712A8F13D}"/>
    <cellStyle name="Normal 7 9 2 3 2 2" xfId="9390" xr:uid="{7AABAB45-D7FE-46BE-9046-290BB631FB24}"/>
    <cellStyle name="Normal 7 9 2 3 2 2 2" xfId="29356" xr:uid="{324F7A9F-FE78-4615-8C4D-FF47E462CCC9}"/>
    <cellStyle name="Normal 7 9 2 3 2 2 3" xfId="19770" xr:uid="{F5587A6F-B2B0-4149-839D-414E408BA8D0}"/>
    <cellStyle name="Normal 7 9 2 3 2 3" xfId="12223" xr:uid="{B475D31E-70F6-438B-8C9E-ECB57843A29A}"/>
    <cellStyle name="Normal 7 9 2 3 2 3 2" xfId="22603" xr:uid="{BADAC9A4-43D9-4F92-BD81-0DADED5F81E3}"/>
    <cellStyle name="Normal 7 9 2 3 2 4" xfId="22801" xr:uid="{FCC204BA-D332-4134-B6DB-AEF25B42614C}"/>
    <cellStyle name="Normal 7 9 2 3 2 5" xfId="16937" xr:uid="{CCB1FEA2-2B68-4F1C-9FD9-C4B2B1D7B967}"/>
    <cellStyle name="Normal 7 9 2 3 3" xfId="6574" xr:uid="{71E69CFC-40E7-4104-BFBA-4DBE33C2F82D}"/>
    <cellStyle name="Normal 7 9 2 3 3 2" xfId="26624" xr:uid="{F58E0E78-8ECE-42E0-96CB-0D7D2E1A5464}"/>
    <cellStyle name="Normal 7 9 2 3 3 3" xfId="16147" xr:uid="{8D530DF0-F5EF-41BD-A2D4-B3FC36911876}"/>
    <cellStyle name="Normal 7 9 2 3 4" xfId="8600" xr:uid="{CDA5547D-2F80-4A49-B0B1-AB2FA1B1084B}"/>
    <cellStyle name="Normal 7 9 2 3 4 2" xfId="18980" xr:uid="{2236DDA7-9D03-4C60-B54C-5924CE083B3C}"/>
    <cellStyle name="Normal 7 9 2 3 5" xfId="11433" xr:uid="{9791950E-AE78-4758-9E42-C1AECEDCC64D}"/>
    <cellStyle name="Normal 7 9 2 3 5 2" xfId="21813" xr:uid="{83B9B04D-4243-406B-ABFC-78F92A017694}"/>
    <cellStyle name="Normal 7 9 2 3 6" xfId="23914" xr:uid="{E58699ED-2530-462B-88C0-F1DA833FB6D3}"/>
    <cellStyle name="Normal 7 9 2 3 7" xfId="14120" xr:uid="{2D4AAA1A-2B8B-40C1-9A1E-00B7BC6FC7D8}"/>
    <cellStyle name="Normal 7 9 2 4" xfId="3520" xr:uid="{00000000-0005-0000-0000-000063090000}"/>
    <cellStyle name="Normal 7 9 2 4 2" xfId="6572" xr:uid="{0678E052-A05D-47FC-9CF2-7856977E5B03}"/>
    <cellStyle name="Normal 7 9 2 4 2 2" xfId="27945" xr:uid="{3A9EC0DA-80EC-450F-9518-A60478D3153D}"/>
    <cellStyle name="Normal 7 9 2 4 2 3" xfId="16145" xr:uid="{35D206DD-1A1E-4F56-BB7A-53C0916F54B3}"/>
    <cellStyle name="Normal 7 9 2 4 3" xfId="8598" xr:uid="{CDC1C0DC-7ED4-43F3-A6D6-B09549999CB6}"/>
    <cellStyle name="Normal 7 9 2 4 3 2" xfId="18978" xr:uid="{CC7E147F-2D79-4243-B86F-0A56D99A4F7D}"/>
    <cellStyle name="Normal 7 9 2 4 4" xfId="11431" xr:uid="{780E7390-0FB8-4182-9798-6692B3F5C71A}"/>
    <cellStyle name="Normal 7 9 2 4 4 2" xfId="21811" xr:uid="{B7712B30-F3F0-4E71-95FB-C62553CC3BDF}"/>
    <cellStyle name="Normal 7 9 2 4 5" xfId="24357" xr:uid="{8A7F2BD6-0CA8-4A18-9356-1337DE2860AA}"/>
    <cellStyle name="Normal 7 9 2 4 6" xfId="14118" xr:uid="{0AE5AA18-0D24-4CE0-A9B1-8E4BFA177CD5}"/>
    <cellStyle name="Normal 7 9 2 5" xfId="2611" xr:uid="{00000000-0005-0000-0000-000064090000}"/>
    <cellStyle name="Normal 7 9 2 5 2" xfId="5875" xr:uid="{02EC3617-103E-479F-BD91-557718149D0F}"/>
    <cellStyle name="Normal 7 9 2 5 2 2" xfId="27174" xr:uid="{B13239FD-9AD8-4D87-BD9B-30459B012047}"/>
    <cellStyle name="Normal 7 9 2 5 2 3" xfId="15283" xr:uid="{525DCEDE-148E-4FA1-9F80-FA1DD04D1FD9}"/>
    <cellStyle name="Normal 7 9 2 5 3" xfId="7736" xr:uid="{205D57FB-2FDB-4E35-995D-6CAC7E85399C}"/>
    <cellStyle name="Normal 7 9 2 5 3 2" xfId="18116" xr:uid="{5EB5B4F1-ADC4-4B88-A39E-84C73F0E9D54}"/>
    <cellStyle name="Normal 7 9 2 5 4" xfId="10569" xr:uid="{4D04A9D9-B538-4A30-9770-CDF7E0117AE7}"/>
    <cellStyle name="Normal 7 9 2 5 4 2" xfId="20949" xr:uid="{18912B82-CF5D-4537-98C1-8DAAB5D0F50B}"/>
    <cellStyle name="Normal 7 9 2 5 5" xfId="24968" xr:uid="{2F0DDD04-8A76-43E6-BA13-A08E98458436}"/>
    <cellStyle name="Normal 7 9 2 5 6" xfId="12999" xr:uid="{C487D90F-46AF-4631-AB02-F6BE425059FA}"/>
    <cellStyle name="Normal 7 9 2 6" xfId="2419" xr:uid="{00000000-0005-0000-0000-00005F090000}"/>
    <cellStyle name="Normal 7 9 2 6 2" xfId="7546" xr:uid="{F30F222B-9441-437C-A6E0-AB2324CAF431}"/>
    <cellStyle name="Normal 7 9 2 6 2 2" xfId="17926" xr:uid="{D512FE79-C220-4CDE-BC43-6B9FBDDEB87F}"/>
    <cellStyle name="Normal 7 9 2 6 3" xfId="10379" xr:uid="{D89C89ED-B3E0-4384-BC77-325D7C4FD9B0}"/>
    <cellStyle name="Normal 7 9 2 6 3 2" xfId="20759" xr:uid="{2474CED3-A43B-4BE4-8430-346C113529AC}"/>
    <cellStyle name="Normal 7 9 2 6 4" xfId="24961" xr:uid="{550406FD-A150-47E6-9976-E76297CE33A1}"/>
    <cellStyle name="Normal 7 9 2 6 5" xfId="15093" xr:uid="{C83A44F1-13EB-40E5-8915-4667757BAC52}"/>
    <cellStyle name="Normal 7 9 2 7" xfId="4112" xr:uid="{36B8797F-B026-4C66-AFCC-B9C1561C0C3E}"/>
    <cellStyle name="Normal 7 9 2 7 2" xfId="8884" xr:uid="{43CDC3D9-BA1E-48A2-A621-662AA63CF995}"/>
    <cellStyle name="Normal 7 9 2 7 2 2" xfId="19264" xr:uid="{E3962313-9FA7-4DD6-996F-E16BB0636A3E}"/>
    <cellStyle name="Normal 7 9 2 7 3" xfId="11717" xr:uid="{4161F892-B5CC-433F-905F-6E4810BBB2DC}"/>
    <cellStyle name="Normal 7 9 2 7 3 2" xfId="22097" xr:uid="{90F7AEA4-E403-4901-A36D-A8A0F46E7D5C}"/>
    <cellStyle name="Normal 7 9 2 7 4" xfId="16431" xr:uid="{E259559B-E094-468A-B09B-CD3885E79875}"/>
    <cellStyle name="Normal 7 9 2 8" xfId="5524" xr:uid="{98E0A974-EB5B-4BF5-B155-2665B9E0977B}"/>
    <cellStyle name="Normal 7 9 2 8 2" xfId="14820" xr:uid="{6E89D7F4-0805-46B7-9E60-9A344E5140B1}"/>
    <cellStyle name="Normal 7 9 2 9" xfId="7273" xr:uid="{D2DBE619-47FE-4865-9554-1EE6952CBB47}"/>
    <cellStyle name="Normal 7 9 2 9 2" xfId="17653" xr:uid="{F78EBC94-14F7-4DF1-8ADE-C5E769662C9F}"/>
    <cellStyle name="Normal 7 9 3" xfId="1529" xr:uid="{00000000-0005-0000-0000-0000D2070000}"/>
    <cellStyle name="Normal 7 9 3 2" xfId="3523" xr:uid="{00000000-0005-0000-0000-000066090000}"/>
    <cellStyle name="Normal 7 9 3 2 2" xfId="6575" xr:uid="{9F0A2FA7-3928-4EB9-A863-E47676CD7690}"/>
    <cellStyle name="Normal 7 9 3 2 2 2" xfId="25687" xr:uid="{7C940A72-1C14-4D0A-B528-F3F82AED5172}"/>
    <cellStyle name="Normal 7 9 3 2 2 3" xfId="26416" xr:uid="{0CC7C559-802F-4B94-AA77-4C0A16656359}"/>
    <cellStyle name="Normal 7 9 3 2 2 4" xfId="16148" xr:uid="{49D0CC1E-D9B2-48D9-8085-08641E1A7354}"/>
    <cellStyle name="Normal 7 9 3 2 3" xfId="8601" xr:uid="{5D1E7105-FCF4-4747-80CD-AAF0B5E4D8EC}"/>
    <cellStyle name="Normal 7 9 3 2 3 2" xfId="28958" xr:uid="{32FBB707-5394-4C92-83F9-7C9EF9C45FD5}"/>
    <cellStyle name="Normal 7 9 3 2 3 3" xfId="18981" xr:uid="{E4638DAA-1718-4007-9964-207D65BA3D50}"/>
    <cellStyle name="Normal 7 9 3 2 4" xfId="11434" xr:uid="{8F06EF70-C52F-4EE6-A142-976E630723EC}"/>
    <cellStyle name="Normal 7 9 3 2 4 2" xfId="21814" xr:uid="{5E25D8AD-D880-4A1C-A626-6B9B0DB887FF}"/>
    <cellStyle name="Normal 7 9 3 2 5" xfId="24038" xr:uid="{B900FF44-0CD6-47EE-BE3E-92F621776826}"/>
    <cellStyle name="Normal 7 9 3 2 6" xfId="14121" xr:uid="{92C9E29A-A929-4803-9480-90B080FCCAA0}"/>
    <cellStyle name="Normal 7 9 3 3" xfId="2855" xr:uid="{00000000-0005-0000-0000-000067090000}"/>
    <cellStyle name="Normal 7 9 3 3 2" xfId="6068" xr:uid="{552C9DB8-F2FE-4DB7-87DD-2637543458B4}"/>
    <cellStyle name="Normal 7 9 3 3 2 2" xfId="27100" xr:uid="{C305AF17-1FC2-42EB-9385-6EB7FB692611}"/>
    <cellStyle name="Normal 7 9 3 3 2 3" xfId="15524" xr:uid="{00B05003-6DAD-46AB-8D7A-3081755121F7}"/>
    <cellStyle name="Normal 7 9 3 3 3" xfId="7977" xr:uid="{96CEEA5A-E54D-4FE3-8D32-B1F5FE07FF7E}"/>
    <cellStyle name="Normal 7 9 3 3 3 2" xfId="18357" xr:uid="{C2185AB7-E1D9-4136-A3D8-3FE27D6DAC9A}"/>
    <cellStyle name="Normal 7 9 3 3 4" xfId="10810" xr:uid="{56A3599A-7953-459B-A1A3-4A71B18D1E50}"/>
    <cellStyle name="Normal 7 9 3 3 4 2" xfId="21190" xr:uid="{04356900-E566-4A9B-AB64-9298087B8874}"/>
    <cellStyle name="Normal 7 9 3 3 5" xfId="22978" xr:uid="{80DE1E42-C673-47AD-B52E-CA9A21F5EB24}"/>
    <cellStyle name="Normal 7 9 3 3 6" xfId="13341" xr:uid="{2EBF2D73-5A9B-4896-A377-105375220801}"/>
    <cellStyle name="Normal 7 9 3 4" xfId="4234" xr:uid="{009F3A9E-D472-4C57-A8C3-6EC8071C48E8}"/>
    <cellStyle name="Normal 7 9 3 4 2" xfId="9006" xr:uid="{89A1C875-00DB-4A28-BCFE-966AC653E27C}"/>
    <cellStyle name="Normal 7 9 3 4 2 2" xfId="29079" xr:uid="{3407352C-E7D0-44FC-BE36-DC3434CC1F7E}"/>
    <cellStyle name="Normal 7 9 3 4 2 3" xfId="19386" xr:uid="{6A467CD1-AD66-4DE1-A7EC-FE546128C4B6}"/>
    <cellStyle name="Normal 7 9 3 4 3" xfId="11839" xr:uid="{94A68735-F083-4BB4-A6F2-891A9D3076A4}"/>
    <cellStyle name="Normal 7 9 3 4 3 2" xfId="22219" xr:uid="{DF5D69F8-067E-4B5B-9C60-25DFF1B221CF}"/>
    <cellStyle name="Normal 7 9 3 4 4" xfId="25302" xr:uid="{A333E4D4-8266-4CAC-9652-DF09A9050DE2}"/>
    <cellStyle name="Normal 7 9 3 4 5" xfId="16553" xr:uid="{BA17A702-172F-4B25-A816-765D2D3BF28F}"/>
    <cellStyle name="Normal 7 9 3 5" xfId="5526" xr:uid="{E23AF0C2-CA43-438E-8DB3-48A5553C1FFF}"/>
    <cellStyle name="Normal 7 9 3 5 2" xfId="26742" xr:uid="{9A010853-80A8-43CE-9504-53BB5BD6511A}"/>
    <cellStyle name="Normal 7 9 3 5 3" xfId="14822" xr:uid="{EBC047F0-F2C2-4A19-B843-85B9C3176CDD}"/>
    <cellStyle name="Normal 7 9 3 6" xfId="7275" xr:uid="{270FBFB5-488C-4813-B979-BE8050EF08E5}"/>
    <cellStyle name="Normal 7 9 3 6 2" xfId="17655" xr:uid="{380EE030-134D-4F2D-B8F3-937D0548DDD5}"/>
    <cellStyle name="Normal 7 9 3 7" xfId="10108" xr:uid="{AACECB7E-D3E8-45EC-9BA8-3B9034382EBF}"/>
    <cellStyle name="Normal 7 9 3 7 2" xfId="20488" xr:uid="{FF0948E6-3860-47FA-8C35-5FB7EBF99BE8}"/>
    <cellStyle name="Normal 7 9 3 8" xfId="25237" xr:uid="{2B26FE36-D5EB-49E0-8D5B-041DA3CE7730}"/>
    <cellStyle name="Normal 7 9 3 9" xfId="12811" xr:uid="{1E100D0D-8A53-490A-AD82-5F618450BFD0}"/>
    <cellStyle name="Normal 7 9 4" xfId="1530" xr:uid="{00000000-0005-0000-0000-0000D3070000}"/>
    <cellStyle name="Normal 7 9 4 2" xfId="4619" xr:uid="{D8ADD1F9-5E09-4A26-B899-6466160604EE}"/>
    <cellStyle name="Normal 7 9 4 2 2" xfId="9391" xr:uid="{AC745180-8B0D-4883-BD43-41C6A6499E9B}"/>
    <cellStyle name="Normal 7 9 4 2 2 2" xfId="29357" xr:uid="{BDA279B8-AB6C-4947-86E1-AE57EF99F92E}"/>
    <cellStyle name="Normal 7 9 4 2 2 3" xfId="19771" xr:uid="{7EB3FA25-948C-443D-B0D2-DD14CCA3A367}"/>
    <cellStyle name="Normal 7 9 4 2 3" xfId="12224" xr:uid="{538A9DFF-DB48-4A6F-A5FB-46A052E34D48}"/>
    <cellStyle name="Normal 7 9 4 2 3 2" xfId="22604" xr:uid="{47F9D50A-E47B-4A77-9DE0-3A0EF4481ACF}"/>
    <cellStyle name="Normal 7 9 4 2 4" xfId="23200" xr:uid="{93A2BE3E-37AB-4CCA-9D02-CC359A5B0EFC}"/>
    <cellStyle name="Normal 7 9 4 2 5" xfId="16938" xr:uid="{F6F170E3-636C-4A4C-B98C-D8444EF2B468}"/>
    <cellStyle name="Normal 7 9 4 3" xfId="5527" xr:uid="{A396F996-239A-445A-A6F4-F14DAC58772C}"/>
    <cellStyle name="Normal 7 9 4 3 2" xfId="26860" xr:uid="{5FCF35A9-5BF2-4855-B4E3-941F78CE0889}"/>
    <cellStyle name="Normal 7 9 4 3 3" xfId="14823" xr:uid="{E3A07064-7A3C-4C6B-9FE2-6C6913CA03C8}"/>
    <cellStyle name="Normal 7 9 4 4" xfId="7276" xr:uid="{99717AD7-F2BA-465A-A409-687E2EDF3698}"/>
    <cellStyle name="Normal 7 9 4 4 2" xfId="17656" xr:uid="{89BFB8D1-6EF1-45D4-AEBC-6E948CAC5C3F}"/>
    <cellStyle name="Normal 7 9 4 5" xfId="10109" xr:uid="{9C473F4B-F41A-4FED-8117-317196EB172E}"/>
    <cellStyle name="Normal 7 9 4 5 2" xfId="20489" xr:uid="{548150CA-1959-42AD-A8A0-4CD85AEC1CF9}"/>
    <cellStyle name="Normal 7 9 4 6" xfId="23318" xr:uid="{90438584-0BBD-4922-A6AD-5FA93D3E3B84}"/>
    <cellStyle name="Normal 7 9 4 7" xfId="14122" xr:uid="{8BCF2BE3-836B-4051-A553-2CD533FD4E0B}"/>
    <cellStyle name="Normal 7 9 5" xfId="3007" xr:uid="{00000000-0005-0000-0000-000069090000}"/>
    <cellStyle name="Normal 7 9 5 2" xfId="6156" xr:uid="{B6FA53FF-BD14-4883-9FCA-C451B43DC22F}"/>
    <cellStyle name="Normal 7 9 5 2 2" xfId="23782" xr:uid="{AB3A175D-8D8C-4590-9045-6040641ADC6E}"/>
    <cellStyle name="Normal 7 9 5 2 3" xfId="26294" xr:uid="{86D19EBE-A986-4E9E-846A-05B5E7E4364F}"/>
    <cellStyle name="Normal 7 9 5 2 4" xfId="15634" xr:uid="{C77432AA-AAAE-413F-A7F0-44CCC9BE276F}"/>
    <cellStyle name="Normal 7 9 5 3" xfId="8087" xr:uid="{E12B3A7A-1B5F-471C-BAD1-6D27964F06D5}"/>
    <cellStyle name="Normal 7 9 5 3 2" xfId="28775" xr:uid="{4F86F4A4-BA89-4E1F-88FD-EB8406010FEF}"/>
    <cellStyle name="Normal 7 9 5 3 3" xfId="18467" xr:uid="{BAD2C3DC-50E5-46F3-9397-9944D636B453}"/>
    <cellStyle name="Normal 7 9 5 4" xfId="10920" xr:uid="{03CEEDD0-8ED3-4A45-AB13-ECADDFE2B3DF}"/>
    <cellStyle name="Normal 7 9 5 4 2" xfId="21300" xr:uid="{72734BA9-5ED0-4982-AA4B-8F25F03ECF4B}"/>
    <cellStyle name="Normal 7 9 5 5" xfId="25231" xr:uid="{90B76BFE-3D6B-4351-9FA1-CED203962F0C}"/>
    <cellStyle name="Normal 7 9 5 6" xfId="13509" xr:uid="{DED0737A-E3B6-4662-88E6-FA3B4431B0EB}"/>
    <cellStyle name="Normal 7 9 6" xfId="2448" xr:uid="{00000000-0005-0000-0000-00006A090000}"/>
    <cellStyle name="Normal 7 9 6 2" xfId="5742" xr:uid="{A21802D7-3AEA-4613-B0DA-95F88FA7F82F}"/>
    <cellStyle name="Normal 7 9 6 2 2" xfId="27499" xr:uid="{5D6EAF00-91E5-4FB9-8357-3EC29A50CE84}"/>
    <cellStyle name="Normal 7 9 6 2 3" xfId="15120" xr:uid="{99DD2ACB-D84D-48D7-812C-0B64F51EBC04}"/>
    <cellStyle name="Normal 7 9 6 3" xfId="7573" xr:uid="{3B84B987-E9BD-47E8-8E0B-76567E116218}"/>
    <cellStyle name="Normal 7 9 6 3 2" xfId="17953" xr:uid="{6450F13B-32CA-46A3-876C-9C17F54CA193}"/>
    <cellStyle name="Normal 7 9 6 4" xfId="10406" xr:uid="{111254B1-4478-47D7-BFD6-1CC71E53BAB8}"/>
    <cellStyle name="Normal 7 9 6 4 2" xfId="20786" xr:uid="{BE947B0F-D3ED-4B4B-A0F9-7A3F338B9393}"/>
    <cellStyle name="Normal 7 9 6 5" xfId="25509" xr:uid="{EC12210C-C328-4352-AEFD-0D3884467429}"/>
    <cellStyle name="Normal 7 9 6 6" xfId="12836" xr:uid="{141FE04E-C5AC-4063-B82F-950C701F3659}"/>
    <cellStyle name="Normal 7 9 7" xfId="2202" xr:uid="{00000000-0005-0000-0000-00005E090000}"/>
    <cellStyle name="Normal 7 9 7 2" xfId="7329" xr:uid="{8B458AC3-BF4E-4537-BF0E-72146AA9668A}"/>
    <cellStyle name="Normal 7 9 7 2 2" xfId="17709" xr:uid="{43837D5F-C8CE-4C8C-86D5-A7E1C7E81EFA}"/>
    <cellStyle name="Normal 7 9 7 3" xfId="10162" xr:uid="{E2615F79-4C90-46EC-895F-F2469CD45BB7}"/>
    <cellStyle name="Normal 7 9 7 3 2" xfId="20542" xr:uid="{0B6BD076-43E3-4F2B-BF44-4B8152ACA325}"/>
    <cellStyle name="Normal 7 9 7 4" xfId="25162" xr:uid="{5C574672-E70C-4BCA-AD6E-EB39F0C3BE09}"/>
    <cellStyle name="Normal 7 9 7 5" xfId="14876" xr:uid="{E7A8736D-B587-49E7-8DDE-5C8B07073C9C}"/>
    <cellStyle name="Normal 7 9 8" xfId="4092" xr:uid="{48F81BFA-E56C-457E-B821-421005CE6B7E}"/>
    <cellStyle name="Normal 7 9 8 2" xfId="8869" xr:uid="{59624F85-188A-4DC5-A973-CF535F1C3006}"/>
    <cellStyle name="Normal 7 9 8 2 2" xfId="19249" xr:uid="{CDB4CDA9-5A88-4F7A-8E89-E6070286E791}"/>
    <cellStyle name="Normal 7 9 8 3" xfId="11702" xr:uid="{40C1D1E6-17D1-4C02-B55F-22DC85EC4E61}"/>
    <cellStyle name="Normal 7 9 8 3 2" xfId="22082" xr:uid="{3EE5F332-23BB-4E00-9F4E-A0451E045FBC}"/>
    <cellStyle name="Normal 7 9 8 4" xfId="16416" xr:uid="{EF23CB9C-EB5D-4D45-A085-DAB83BF58FDF}"/>
    <cellStyle name="Normal 7 9 9" xfId="5523" xr:uid="{F22B49DA-465D-43F1-B44D-B8C43A47CDDB}"/>
    <cellStyle name="Normal 7 9 9 2" xfId="14819" xr:uid="{91B81AB7-D6D7-4DD6-8F25-8A293600F6FB}"/>
    <cellStyle name="Normal 8" xfId="1531" xr:uid="{00000000-0005-0000-0000-0000D4070000}"/>
    <cellStyle name="Normal 8 2" xfId="29582" xr:uid="{642610B3-64E9-42AF-815C-4FE869EEE9E0}"/>
    <cellStyle name="Normal 8 3" xfId="29581" xr:uid="{7A2785FC-6644-4AB3-8E5A-F1804DD2459D}"/>
    <cellStyle name="Normal 9" xfId="1532" xr:uid="{00000000-0005-0000-0000-0000D5070000}"/>
    <cellStyle name="Normal 9 2" xfId="1533" xr:uid="{00000000-0005-0000-0000-0000D6070000}"/>
    <cellStyle name="Normal 9 3" xfId="1534" xr:uid="{00000000-0005-0000-0000-0000D7070000}"/>
    <cellStyle name="Normal 9 3 10" xfId="5528" xr:uid="{4AB69308-8C32-4387-B887-18F04195A9A2}"/>
    <cellStyle name="Normal 9 3 10 2" xfId="14824" xr:uid="{A568E98C-0400-4732-81B2-5DA889B4ECC9}"/>
    <cellStyle name="Normal 9 3 11" xfId="7277" xr:uid="{9C31A94E-E47B-4C4E-AA50-31C830FC9793}"/>
    <cellStyle name="Normal 9 3 11 2" xfId="17657" xr:uid="{67475792-A064-4C8D-8F2B-D3C95F0869EB}"/>
    <cellStyle name="Normal 9 3 12" xfId="10110" xr:uid="{DF1350DD-95C6-4B0B-A47F-46C905C02413}"/>
    <cellStyle name="Normal 9 3 12 2" xfId="20490" xr:uid="{9E81BCD6-4B82-4560-9838-C4DA59AE953D}"/>
    <cellStyle name="Normal 9 3 13" xfId="23746" xr:uid="{EFC3CC01-DF8D-4E46-A1DC-29C2FC1E6D88}"/>
    <cellStyle name="Normal 9 3 14" xfId="12453" xr:uid="{7C092815-7879-4DBB-9138-F2CA8A4D8BC0}"/>
    <cellStyle name="Normal 9 3 2" xfId="1535" xr:uid="{00000000-0005-0000-0000-0000D8070000}"/>
    <cellStyle name="Normal 9 3 2 10" xfId="10111" xr:uid="{1BC54D58-FAE8-4CA5-A215-072C3D163546}"/>
    <cellStyle name="Normal 9 3 2 10 2" xfId="20491" xr:uid="{500DC43B-85D7-41C4-B7B1-5C329AD74604}"/>
    <cellStyle name="Normal 9 3 2 11" xfId="24688" xr:uid="{5DEB5EAF-D9A4-4538-8400-0E86CE3B6390}"/>
    <cellStyle name="Normal 9 3 2 12" xfId="12654" xr:uid="{AF7FA52A-556F-406A-9630-C99BE17F1F57}"/>
    <cellStyle name="Normal 9 3 2 2" xfId="1536" xr:uid="{00000000-0005-0000-0000-0000D9070000}"/>
    <cellStyle name="Normal 9 3 2 2 2" xfId="3525" xr:uid="{00000000-0005-0000-0000-000071090000}"/>
    <cellStyle name="Normal 9 3 2 2 2 2" xfId="6577" xr:uid="{61E38F25-4671-45E7-BD26-CC1FC625D228}"/>
    <cellStyle name="Normal 9 3 2 2 2 2 2" xfId="26592" xr:uid="{F0803882-E7BA-4ACA-BBDF-86736E543627}"/>
    <cellStyle name="Normal 9 3 2 2 2 2 3" xfId="26570" xr:uid="{0351A92C-BD2E-4958-9C3A-F12228850566}"/>
    <cellStyle name="Normal 9 3 2 2 2 2 4" xfId="16150" xr:uid="{9C18D614-3BE3-4ED2-B560-BC5AE95B75E3}"/>
    <cellStyle name="Normal 9 3 2 2 2 3" xfId="8603" xr:uid="{BE65C509-C0C6-4A1F-A374-1EE3062AE055}"/>
    <cellStyle name="Normal 9 3 2 2 2 3 2" xfId="28959" xr:uid="{F5C6AB54-623F-423B-8FEB-05CC38DA7056}"/>
    <cellStyle name="Normal 9 3 2 2 2 3 3" xfId="18983" xr:uid="{58225118-F29B-45F9-AD0C-8AC1797B9542}"/>
    <cellStyle name="Normal 9 3 2 2 2 4" xfId="11436" xr:uid="{0754E3CA-D1D0-46A2-922E-A5798C8C4CDC}"/>
    <cellStyle name="Normal 9 3 2 2 2 4 2" xfId="21816" xr:uid="{8A7075DA-2E26-4DA4-AD72-161C96E19338}"/>
    <cellStyle name="Normal 9 3 2 2 2 5" xfId="22768" xr:uid="{473C9031-F318-43FC-8658-85A28AA83484}"/>
    <cellStyle name="Normal 9 3 2 2 2 6" xfId="14124" xr:uid="{36C99B2C-4255-4078-A427-390C0CBB97A7}"/>
    <cellStyle name="Normal 9 3 2 2 3" xfId="4388" xr:uid="{E27B2987-F417-471D-AC9A-5B85DC1F6FAF}"/>
    <cellStyle name="Normal 9 3 2 2 3 2" xfId="9160" xr:uid="{C9B63629-3B96-4B96-B02A-E368C9D52F0A}"/>
    <cellStyle name="Normal 9 3 2 2 3 2 2" xfId="29203" xr:uid="{C689CD34-05DE-485A-9208-CBE8032D66E4}"/>
    <cellStyle name="Normal 9 3 2 2 3 2 3" xfId="19540" xr:uid="{69A4B702-2460-4A63-A202-6E5DC53D42CC}"/>
    <cellStyle name="Normal 9 3 2 2 3 3" xfId="11993" xr:uid="{A64A7DEC-A52B-478E-A0CF-B335B93A1206}"/>
    <cellStyle name="Normal 9 3 2 2 3 3 2" xfId="22373" xr:uid="{BE7DD643-6BFB-4834-8244-F58057CE6FFB}"/>
    <cellStyle name="Normal 9 3 2 2 3 4" xfId="25577" xr:uid="{885E0AA7-5309-4C8F-8AFC-41E170CCFB76}"/>
    <cellStyle name="Normal 9 3 2 2 3 5" xfId="16707" xr:uid="{B11F47EB-650E-41F7-8C7F-DC0E51B318B7}"/>
    <cellStyle name="Normal 9 3 2 2 4" xfId="5530" xr:uid="{CEE07FD4-DFF8-429E-A5B3-76FBAA538174}"/>
    <cellStyle name="Normal 9 3 2 2 4 2" xfId="25911" xr:uid="{A8A7DD7F-D3B1-452D-9F03-130165BDB4E3}"/>
    <cellStyle name="Normal 9 3 2 2 4 3" xfId="14826" xr:uid="{96E8603D-D717-4175-B56A-2F95F56301C6}"/>
    <cellStyle name="Normal 9 3 2 2 5" xfId="7279" xr:uid="{6B92E09E-A16F-4BB5-B821-2619DD7E833B}"/>
    <cellStyle name="Normal 9 3 2 2 5 2" xfId="17659" xr:uid="{40A4B931-8544-4AA6-B9D8-6EC501CF4EFF}"/>
    <cellStyle name="Normal 9 3 2 2 6" xfId="10112" xr:uid="{EF10A58C-DD50-4A43-9814-8E6A895118D0}"/>
    <cellStyle name="Normal 9 3 2 2 6 2" xfId="20492" xr:uid="{4B3C97CB-024F-4C41-913F-4A34ED604898}"/>
    <cellStyle name="Normal 9 3 2 2 7" xfId="23431" xr:uid="{FEBA0127-C05C-429D-AF95-30B2175C1BAB}"/>
    <cellStyle name="Normal 9 3 2 2 8" xfId="13344" xr:uid="{35E799C1-7A84-46DF-95C6-B6E06589CD95}"/>
    <cellStyle name="Normal 9 3 2 3" xfId="3526" xr:uid="{00000000-0005-0000-0000-000072090000}"/>
    <cellStyle name="Normal 9 3 2 3 2" xfId="4620" xr:uid="{6FF08757-DE2A-4275-8283-E148E5712689}"/>
    <cellStyle name="Normal 9 3 2 3 2 2" xfId="9392" xr:uid="{6E7266DC-E246-460E-B844-E5ADFCFCE88E}"/>
    <cellStyle name="Normal 9 3 2 3 2 2 2" xfId="29358" xr:uid="{5546639A-11D4-45FA-8D46-304C4BA7C982}"/>
    <cellStyle name="Normal 9 3 2 3 2 2 3" xfId="19772" xr:uid="{83DCD948-8322-471E-96D6-2BE36C0E0B8B}"/>
    <cellStyle name="Normal 9 3 2 3 2 3" xfId="12225" xr:uid="{77152B59-0C8D-4D29-819F-1C430B6F5E84}"/>
    <cellStyle name="Normal 9 3 2 3 2 3 2" xfId="22605" xr:uid="{859336DA-A2E4-4CC5-94C0-330CB1E77B4A}"/>
    <cellStyle name="Normal 9 3 2 3 2 4" xfId="25153" xr:uid="{95F16352-F41C-487A-A8FE-E650FFA413CA}"/>
    <cellStyle name="Normal 9 3 2 3 2 5" xfId="16939" xr:uid="{FD0F13F0-0D44-4D21-AD6D-D0F8848807FB}"/>
    <cellStyle name="Normal 9 3 2 3 3" xfId="6578" xr:uid="{6FB8331A-94A3-4B8A-A948-FAF3E56A6F2D}"/>
    <cellStyle name="Normal 9 3 2 3 3 2" xfId="27115" xr:uid="{59108EC7-E465-4179-9BF7-F9579AE7F628}"/>
    <cellStyle name="Normal 9 3 2 3 3 3" xfId="16151" xr:uid="{B93DD648-8961-4474-98DC-0C4F16FFF4F4}"/>
    <cellStyle name="Normal 9 3 2 3 4" xfId="8604" xr:uid="{AFAEEE0F-E538-4F57-B2EA-299EB1BD6D4B}"/>
    <cellStyle name="Normal 9 3 2 3 4 2" xfId="18984" xr:uid="{033BDA48-367F-4178-97F8-450D1D9264C1}"/>
    <cellStyle name="Normal 9 3 2 3 5" xfId="11437" xr:uid="{5DE2EA4C-89F2-457B-B198-E2D1412814EB}"/>
    <cellStyle name="Normal 9 3 2 3 5 2" xfId="21817" xr:uid="{F4386B4F-BCED-4175-8B61-A3CB71AA11DC}"/>
    <cellStyle name="Normal 9 3 2 3 6" xfId="25319" xr:uid="{3B006FC9-8001-4A77-A9E7-4CB5D00079BA}"/>
    <cellStyle name="Normal 9 3 2 3 7" xfId="14125" xr:uid="{903689EE-9658-42CF-8D49-606DEBCAB0F4}"/>
    <cellStyle name="Normal 9 3 2 4" xfId="3524" xr:uid="{00000000-0005-0000-0000-000073090000}"/>
    <cellStyle name="Normal 9 3 2 4 2" xfId="6576" xr:uid="{5283ABC6-868A-4872-8CDA-0E032B3FEECC}"/>
    <cellStyle name="Normal 9 3 2 4 2 2" xfId="27314" xr:uid="{E759B78A-09C9-4956-A608-A54D9F15E544}"/>
    <cellStyle name="Normal 9 3 2 4 2 3" xfId="16149" xr:uid="{BAD269DF-945F-48A2-BC0C-885B2C589E9B}"/>
    <cellStyle name="Normal 9 3 2 4 3" xfId="8602" xr:uid="{A128BC4B-7B2D-4134-BAC5-8B8F05D5B6C9}"/>
    <cellStyle name="Normal 9 3 2 4 3 2" xfId="18982" xr:uid="{1B2054EF-017C-4DB4-8B36-266285B1A17F}"/>
    <cellStyle name="Normal 9 3 2 4 4" xfId="11435" xr:uid="{1392F5DF-4C3A-43B1-867F-D9F3C38BC9C7}"/>
    <cellStyle name="Normal 9 3 2 4 4 2" xfId="21815" xr:uid="{46AB251A-BBC9-4859-9035-7B6C9672AB9D}"/>
    <cellStyle name="Normal 9 3 2 4 5" xfId="24522" xr:uid="{3293725D-68A0-49DF-AB13-9B5C3649138B}"/>
    <cellStyle name="Normal 9 3 2 4 6" xfId="14123" xr:uid="{3C7EE531-5917-4876-A99E-9E763E08FA1E}"/>
    <cellStyle name="Normal 9 3 2 5" xfId="2527" xr:uid="{00000000-0005-0000-0000-000074090000}"/>
    <cellStyle name="Normal 9 3 2 5 2" xfId="5804" xr:uid="{BA1FC189-CC32-4908-A6F3-449251551132}"/>
    <cellStyle name="Normal 9 3 2 5 2 2" xfId="26281" xr:uid="{746CC66A-430C-40AA-B33E-C96387308F6A}"/>
    <cellStyle name="Normal 9 3 2 5 2 3" xfId="15199" xr:uid="{4FBAA3F0-9E8D-4249-BAF6-0A3B738BE1A0}"/>
    <cellStyle name="Normal 9 3 2 5 3" xfId="7652" xr:uid="{723FC09F-28D5-4033-B6C5-1ED5C325B9E9}"/>
    <cellStyle name="Normal 9 3 2 5 3 2" xfId="18032" xr:uid="{6EC2B81E-B5EB-49D3-B1B1-55455B5CEDED}"/>
    <cellStyle name="Normal 9 3 2 5 4" xfId="10485" xr:uid="{8F39D43A-086C-4288-82CB-BD83698E7AE9}"/>
    <cellStyle name="Normal 9 3 2 5 4 2" xfId="20865" xr:uid="{C0432212-6FE0-47AA-B2CE-E034E93B3709}"/>
    <cellStyle name="Normal 9 3 2 5 5" xfId="24004" xr:uid="{E0BC0D57-DAEB-4749-9ABE-7C74061882A6}"/>
    <cellStyle name="Normal 9 3 2 5 6" xfId="12915" xr:uid="{64F7EB20-D3DD-4F99-A29B-F99DA7E032F6}"/>
    <cellStyle name="Normal 9 3 2 6" xfId="2420" xr:uid="{00000000-0005-0000-0000-00006F090000}"/>
    <cellStyle name="Normal 9 3 2 6 2" xfId="7547" xr:uid="{18E3346C-DEEB-42CA-B8E8-FCF6F9B5D706}"/>
    <cellStyle name="Normal 9 3 2 6 2 2" xfId="17927" xr:uid="{7B14F1E8-5CB3-4D04-88DC-62867B25823F}"/>
    <cellStyle name="Normal 9 3 2 6 3" xfId="10380" xr:uid="{984BA9BD-FA5A-4052-8DEC-195A1F1B88F9}"/>
    <cellStyle name="Normal 9 3 2 6 3 2" xfId="20760" xr:uid="{11D5DB19-4C6B-4B78-8B41-7C409A0D3D62}"/>
    <cellStyle name="Normal 9 3 2 6 4" xfId="24072" xr:uid="{7366DBB6-5278-4923-BE64-761B236DD20F}"/>
    <cellStyle name="Normal 9 3 2 6 5" xfId="15094" xr:uid="{E7F115EA-2FDE-49DD-BF05-7ADE10036302}"/>
    <cellStyle name="Normal 9 3 2 7" xfId="4113" xr:uid="{9374BC6B-CD1E-475B-9BAB-2BFD3E7E9320}"/>
    <cellStyle name="Normal 9 3 2 7 2" xfId="8885" xr:uid="{A61FC122-8D78-4D4A-A33E-86158FD08CBC}"/>
    <cellStyle name="Normal 9 3 2 7 2 2" xfId="19265" xr:uid="{1095D0D4-4003-49DA-BD17-D1D71DD9D6E1}"/>
    <cellStyle name="Normal 9 3 2 7 3" xfId="11718" xr:uid="{B616AC3F-9AD3-40AF-B637-9B5A4397BAC2}"/>
    <cellStyle name="Normal 9 3 2 7 3 2" xfId="22098" xr:uid="{5405AB12-6C71-49A2-B6DB-AC19F94DA733}"/>
    <cellStyle name="Normal 9 3 2 7 4" xfId="16432" xr:uid="{AFD7D77D-6E71-4609-A560-60461BEFFA16}"/>
    <cellStyle name="Normal 9 3 2 8" xfId="5529" xr:uid="{0786BECE-6A31-42EE-9331-D7C14B15827F}"/>
    <cellStyle name="Normal 9 3 2 8 2" xfId="14825" xr:uid="{E8AC801E-8E0D-4CA7-87D8-B60EB549F231}"/>
    <cellStyle name="Normal 9 3 2 9" xfId="7278" xr:uid="{1517974F-697C-4760-A4F0-3C47F1C94A8B}"/>
    <cellStyle name="Normal 9 3 2 9 2" xfId="17658" xr:uid="{DE31666C-6B51-4798-B538-A1ABF840A24C}"/>
    <cellStyle name="Normal 9 3 3" xfId="1537" xr:uid="{00000000-0005-0000-0000-0000DA070000}"/>
    <cellStyle name="Normal 9 3 3 10" xfId="23616" xr:uid="{3BCD0679-C73A-4CA7-8DE7-B52FB445084D}"/>
    <cellStyle name="Normal 9 3 3 11" xfId="12812" xr:uid="{91C452CE-9E4D-4EF8-A993-3020E53F17F0}"/>
    <cellStyle name="Normal 9 3 3 2" xfId="2856" xr:uid="{00000000-0005-0000-0000-000076090000}"/>
    <cellStyle name="Normal 9 3 3 2 2" xfId="3528" xr:uid="{00000000-0005-0000-0000-000077090000}"/>
    <cellStyle name="Normal 9 3 3 2 2 2" xfId="6580" xr:uid="{6A7723EB-2EE4-437A-8B50-4F26B4D25813}"/>
    <cellStyle name="Normal 9 3 3 2 2 2 2" xfId="28289" xr:uid="{C4EC20E2-D990-42AC-B93B-D209FF6FEB0F}"/>
    <cellStyle name="Normal 9 3 3 2 2 2 3" xfId="16153" xr:uid="{401485D3-4685-42AC-835E-069DAD9B283F}"/>
    <cellStyle name="Normal 9 3 3 2 2 3" xfId="8606" xr:uid="{0C64DCB0-EE00-4330-BBAE-C4CE09C45F48}"/>
    <cellStyle name="Normal 9 3 3 2 2 3 2" xfId="18986" xr:uid="{A28F260C-89A8-4BBE-8768-F7AE6E940DD9}"/>
    <cellStyle name="Normal 9 3 3 2 2 4" xfId="11439" xr:uid="{97552286-2148-433B-9FBC-0665C2AECA65}"/>
    <cellStyle name="Normal 9 3 3 2 2 4 2" xfId="21819" xr:uid="{B2C393DF-8126-4368-8AF7-6BAB65457DA5}"/>
    <cellStyle name="Normal 9 3 3 2 2 5" xfId="24589" xr:uid="{5D40A031-63C9-4338-852D-AF4630FDA4FF}"/>
    <cellStyle name="Normal 9 3 3 2 2 6" xfId="14127" xr:uid="{07C518C0-D482-4303-96F0-A414A911B97B}"/>
    <cellStyle name="Normal 9 3 3 2 3" xfId="4389" xr:uid="{7079911C-0C35-4207-B5B1-461F08CE444F}"/>
    <cellStyle name="Normal 9 3 3 2 3 2" xfId="9161" xr:uid="{8C61F030-3F54-425F-A2A5-C40BE4F638EE}"/>
    <cellStyle name="Normal 9 3 3 2 3 2 2" xfId="29204" xr:uid="{DCFE6330-5348-45C4-B582-53E0DB2D0B19}"/>
    <cellStyle name="Normal 9 3 3 2 3 2 3" xfId="19541" xr:uid="{FE6B35BA-54CE-4622-8426-109FA0FA5207}"/>
    <cellStyle name="Normal 9 3 3 2 3 3" xfId="11994" xr:uid="{ED1873BC-6981-4881-89FB-BD30409C6329}"/>
    <cellStyle name="Normal 9 3 3 2 3 3 2" xfId="22374" xr:uid="{162DB640-D77F-4109-AF1E-262506AA9E85}"/>
    <cellStyle name="Normal 9 3 3 2 3 4" xfId="25061" xr:uid="{66680072-9919-429B-ACF2-AF257A99BC67}"/>
    <cellStyle name="Normal 9 3 3 2 3 5" xfId="16708" xr:uid="{C9C36FF6-9680-46A2-AA4D-72745ECFA321}"/>
    <cellStyle name="Normal 9 3 3 2 4" xfId="6069" xr:uid="{C7D4C911-8DBF-4141-A340-0094E99D177D}"/>
    <cellStyle name="Normal 9 3 3 2 4 2" xfId="27296" xr:uid="{072A35AE-ABC6-4E9A-9C1B-874A8ADCBB4C}"/>
    <cellStyle name="Normal 9 3 3 2 4 3" xfId="15525" xr:uid="{37A679C5-8311-4444-AD4B-839E1F2D428B}"/>
    <cellStyle name="Normal 9 3 3 2 5" xfId="7978" xr:uid="{E4E488D4-1900-442E-AFBB-C17D9C705538}"/>
    <cellStyle name="Normal 9 3 3 2 5 2" xfId="18358" xr:uid="{D806CCE6-CF6D-4315-A9BB-79F329C2469C}"/>
    <cellStyle name="Normal 9 3 3 2 6" xfId="10811" xr:uid="{631596A9-0A5E-4D26-BCE7-24E9DA7E79A5}"/>
    <cellStyle name="Normal 9 3 3 2 6 2" xfId="21191" xr:uid="{F54E663C-D6B0-4EF9-AA89-265B5A63BF3B}"/>
    <cellStyle name="Normal 9 3 3 2 7" xfId="23446" xr:uid="{E60959EF-B8BB-45A7-95F4-1FB49FFDAA73}"/>
    <cellStyle name="Normal 9 3 3 2 8" xfId="13345" xr:uid="{39DA5A5E-22FB-4B11-ACBA-4E41FDC0A999}"/>
    <cellStyle name="Normal 9 3 3 3" xfId="3529" xr:uid="{00000000-0005-0000-0000-000078090000}"/>
    <cellStyle name="Normal 9 3 3 3 2" xfId="4621" xr:uid="{A374713D-A901-4599-B10D-CC13D0931DCA}"/>
    <cellStyle name="Normal 9 3 3 3 2 2" xfId="9393" xr:uid="{E8D76548-7D73-46DB-A5A0-6DC7BA80E6E2}"/>
    <cellStyle name="Normal 9 3 3 3 2 2 2" xfId="29359" xr:uid="{F0A4D047-D002-44BB-82E4-05B84B3C58C8}"/>
    <cellStyle name="Normal 9 3 3 3 2 2 3" xfId="19773" xr:uid="{BC25623B-F10B-4611-B5CF-A3E12B2FBA57}"/>
    <cellStyle name="Normal 9 3 3 3 2 3" xfId="12226" xr:uid="{21171A98-E1A8-42D9-8F95-452F268B3DE5}"/>
    <cellStyle name="Normal 9 3 3 3 2 3 2" xfId="22606" xr:uid="{761E940A-93EF-4AEE-83CB-2887B5D13FC0}"/>
    <cellStyle name="Normal 9 3 3 3 2 4" xfId="25731" xr:uid="{B3DB446E-A3A6-46D2-93D1-79729B4EBD9F}"/>
    <cellStyle name="Normal 9 3 3 3 2 5" xfId="16940" xr:uid="{3BAA9BC5-FBD5-4756-B541-8C68EC70EE18}"/>
    <cellStyle name="Normal 9 3 3 3 3" xfId="6581" xr:uid="{3E7C5B49-26A9-48A0-B1EB-16F952ADCD21}"/>
    <cellStyle name="Normal 9 3 3 3 3 2" xfId="25830" xr:uid="{E0F86C41-413C-4405-922C-2D186646B34A}"/>
    <cellStyle name="Normal 9 3 3 3 3 3" xfId="16154" xr:uid="{2EDC2F1D-8FA1-4642-A8EE-6DAC4CCBF49E}"/>
    <cellStyle name="Normal 9 3 3 3 4" xfId="8607" xr:uid="{F937617A-9866-491A-B80D-DB7D52A01824}"/>
    <cellStyle name="Normal 9 3 3 3 4 2" xfId="18987" xr:uid="{B8F9D273-24C4-42BD-8DBA-C9018E0BEE6C}"/>
    <cellStyle name="Normal 9 3 3 3 5" xfId="11440" xr:uid="{9CA05CAF-3CD2-48F9-B804-794FAF97446E}"/>
    <cellStyle name="Normal 9 3 3 3 5 2" xfId="21820" xr:uid="{2E2C7C76-5401-45E5-A16C-D2728241448A}"/>
    <cellStyle name="Normal 9 3 3 3 6" xfId="23585" xr:uid="{BB0FC48A-7D4A-4E9B-8CE6-1551AE6EB1FC}"/>
    <cellStyle name="Normal 9 3 3 3 7" xfId="14128" xr:uid="{4B0D0024-DEEB-48B1-B208-10492BB7113C}"/>
    <cellStyle name="Normal 9 3 3 4" xfId="3527" xr:uid="{00000000-0005-0000-0000-000079090000}"/>
    <cellStyle name="Normal 9 3 3 4 2" xfId="6579" xr:uid="{B99FA865-11BE-4BF6-BBC8-756C3A205319}"/>
    <cellStyle name="Normal 9 3 3 4 2 2" xfId="28344" xr:uid="{255980EA-8183-4AB3-B002-61989B34E296}"/>
    <cellStyle name="Normal 9 3 3 4 2 3" xfId="16152" xr:uid="{825A0061-CBCC-474E-B12E-DA3C9AB8FBF2}"/>
    <cellStyle name="Normal 9 3 3 4 3" xfId="8605" xr:uid="{EDDD3162-4000-4AE7-973B-6E814B25B586}"/>
    <cellStyle name="Normal 9 3 3 4 3 2" xfId="18985" xr:uid="{C81C4BA2-C32B-4BDD-9579-A162C733A1ED}"/>
    <cellStyle name="Normal 9 3 3 4 4" xfId="11438" xr:uid="{59CDEEBF-B28F-4680-AA15-E4B8A46F1528}"/>
    <cellStyle name="Normal 9 3 3 4 4 2" xfId="21818" xr:uid="{5D778F1D-331E-4609-B2CB-01422938D893}"/>
    <cellStyle name="Normal 9 3 3 4 5" xfId="25561" xr:uid="{C4D7C70A-92D1-4DEE-85EB-A1D347E35E09}"/>
    <cellStyle name="Normal 9 3 3 4 6" xfId="14126" xr:uid="{D0A22D98-2F19-4B82-AAF8-8359C1431143}"/>
    <cellStyle name="Normal 9 3 3 5" xfId="2630" xr:uid="{00000000-0005-0000-0000-00007A090000}"/>
    <cellStyle name="Normal 9 3 3 5 2" xfId="5892" xr:uid="{88BF2432-3F36-40FA-B829-CF5311DE77F1}"/>
    <cellStyle name="Normal 9 3 3 5 2 2" xfId="26856" xr:uid="{65B3474F-6278-4006-986D-74975B630A93}"/>
    <cellStyle name="Normal 9 3 3 5 2 3" xfId="15302" xr:uid="{0A366597-C1E7-4064-87CC-260111B3960F}"/>
    <cellStyle name="Normal 9 3 3 5 3" xfId="7755" xr:uid="{22F62663-0F23-4A14-91C2-BFBBD697CB34}"/>
    <cellStyle name="Normal 9 3 3 5 3 2" xfId="18135" xr:uid="{455D1F9B-F69D-4F20-9E78-421711729582}"/>
    <cellStyle name="Normal 9 3 3 5 4" xfId="10588" xr:uid="{BFC508BD-8161-43A4-8CD8-B80A7CEA27E2}"/>
    <cellStyle name="Normal 9 3 3 5 4 2" xfId="20968" xr:uid="{11BD6D2A-ED19-4EB5-B3C4-F1E1A93EEDDE}"/>
    <cellStyle name="Normal 9 3 3 5 5" xfId="23964" xr:uid="{66C40D62-EBD9-453C-A9DF-FB0F8B1F16A3}"/>
    <cellStyle name="Normal 9 3 3 5 6" xfId="13018" xr:uid="{C00C63F8-2BB6-4530-9D62-B489A284E5D0}"/>
    <cellStyle name="Normal 9 3 3 6" xfId="4235" xr:uid="{6130F00F-D701-47E5-9461-A7C38D95DFA6}"/>
    <cellStyle name="Normal 9 3 3 6 2" xfId="9007" xr:uid="{326D6A19-844C-489C-A912-5995F1D3F882}"/>
    <cellStyle name="Normal 9 3 3 6 2 2" xfId="19387" xr:uid="{0FB3103F-2348-46D2-B545-2D7F78A74AF5}"/>
    <cellStyle name="Normal 9 3 3 6 3" xfId="11840" xr:uid="{D0C765B0-48B7-42CB-A26F-BABDE2B59E11}"/>
    <cellStyle name="Normal 9 3 3 6 3 2" xfId="22220" xr:uid="{A64476FE-4E13-49DE-8F6E-7D4162D156D4}"/>
    <cellStyle name="Normal 9 3 3 6 4" xfId="23586" xr:uid="{B7A254AC-A05C-4494-B184-D878765317A4}"/>
    <cellStyle name="Normal 9 3 3 6 5" xfId="16554" xr:uid="{038AEEBE-F885-47B6-A792-E217C67B6AEA}"/>
    <cellStyle name="Normal 9 3 3 7" xfId="5531" xr:uid="{5B1B14C9-728F-47BA-BD19-6F296FF658F2}"/>
    <cellStyle name="Normal 9 3 3 7 2" xfId="14827" xr:uid="{0A3CCF14-7F2C-41A5-AB8F-21D6E5C1D48B}"/>
    <cellStyle name="Normal 9 3 3 8" xfId="7280" xr:uid="{A1DF4FDA-E667-42CF-991A-0A657BDCEB46}"/>
    <cellStyle name="Normal 9 3 3 8 2" xfId="17660" xr:uid="{75F396C0-A791-40C5-A302-1571062B9FC2}"/>
    <cellStyle name="Normal 9 3 3 9" xfId="10113" xr:uid="{364D286D-7AB8-4007-B051-3D51C398A02C}"/>
    <cellStyle name="Normal 9 3 3 9 2" xfId="20493" xr:uid="{66761F25-9FCD-4048-B0B9-B2827AD20A95}"/>
    <cellStyle name="Normal 9 3 4" xfId="1538" xr:uid="{00000000-0005-0000-0000-0000DB070000}"/>
    <cellStyle name="Normal 9 3 4 2" xfId="3530" xr:uid="{00000000-0005-0000-0000-00007C090000}"/>
    <cellStyle name="Normal 9 3 4 2 2" xfId="6582" xr:uid="{6618A356-247C-4E38-9B22-E35761120F33}"/>
    <cellStyle name="Normal 9 3 4 2 2 2" xfId="27410" xr:uid="{78283C58-4337-4F5E-907A-0C476131C0BF}"/>
    <cellStyle name="Normal 9 3 4 2 2 3" xfId="16155" xr:uid="{2736BC23-EBD6-494B-BC06-DC7599348600}"/>
    <cellStyle name="Normal 9 3 4 2 3" xfId="8608" xr:uid="{70E87402-024E-4EC9-A648-4CFA0ED01C13}"/>
    <cellStyle name="Normal 9 3 4 2 3 2" xfId="18988" xr:uid="{507C455B-7F40-4F63-81C1-077921D7A82C}"/>
    <cellStyle name="Normal 9 3 4 2 4" xfId="11441" xr:uid="{63D1F73F-52EC-4844-8785-319593B8E85F}"/>
    <cellStyle name="Normal 9 3 4 2 4 2" xfId="21821" xr:uid="{46D59E82-2D72-480A-A5AD-36E85DD9249E}"/>
    <cellStyle name="Normal 9 3 4 2 5" xfId="25191" xr:uid="{C6729B1C-FC30-45DA-A21B-A0D61000CEB8}"/>
    <cellStyle name="Normal 9 3 4 2 6" xfId="14129" xr:uid="{C2699CD7-6B3E-4A9F-8538-CB1683DF136C}"/>
    <cellStyle name="Normal 9 3 4 3" xfId="4387" xr:uid="{E6133B2D-CC91-48B6-BB07-FC4ACA204A72}"/>
    <cellStyle name="Normal 9 3 4 3 2" xfId="9159" xr:uid="{DE2B3788-700E-4C20-94EF-E7D0047DE05E}"/>
    <cellStyle name="Normal 9 3 4 3 2 2" xfId="29202" xr:uid="{2EA7EC9F-15F6-4560-AE9E-92AC68F3E8C4}"/>
    <cellStyle name="Normal 9 3 4 3 2 3" xfId="19539" xr:uid="{6EF1E229-03CC-40CE-BC98-C572DE27BE5E}"/>
    <cellStyle name="Normal 9 3 4 3 3" xfId="11992" xr:uid="{6D9DF767-2519-46C5-A8B7-009C6DDC4BEE}"/>
    <cellStyle name="Normal 9 3 4 3 3 2" xfId="22372" xr:uid="{A793C49A-AB2D-4151-9A2F-5E8F4F2622A3}"/>
    <cellStyle name="Normal 9 3 4 3 4" xfId="24330" xr:uid="{05EE09B5-D67A-468D-BD24-8274E3F53B07}"/>
    <cellStyle name="Normal 9 3 4 3 5" xfId="16706" xr:uid="{C7A8FF0B-26B8-49E9-906D-A257E258E1AE}"/>
    <cellStyle name="Normal 9 3 4 4" xfId="5532" xr:uid="{0541E45C-8FA8-4DDC-AE4A-41D7FFE6877C}"/>
    <cellStyle name="Normal 9 3 4 4 2" xfId="27431" xr:uid="{84F37593-CBFE-4E8E-B4F1-411DCAD0099F}"/>
    <cellStyle name="Normal 9 3 4 4 3" xfId="14828" xr:uid="{987CC3D6-F372-40DF-A5F3-F1E86B3E8B00}"/>
    <cellStyle name="Normal 9 3 4 5" xfId="7281" xr:uid="{32543468-66E4-471F-AE4B-E7E193DBEB6F}"/>
    <cellStyle name="Normal 9 3 4 5 2" xfId="17661" xr:uid="{A022FE02-CBFE-458D-9750-6AC33CDBDB46}"/>
    <cellStyle name="Normal 9 3 4 6" xfId="10114" xr:uid="{AF1CF284-68BC-4F89-BE24-6E00240B38C1}"/>
    <cellStyle name="Normal 9 3 4 6 2" xfId="20494" xr:uid="{A0814FDF-3321-4CD0-9762-8390657455AC}"/>
    <cellStyle name="Normal 9 3 4 7" xfId="25420" xr:uid="{53DD34F4-6E1E-4BAD-A36D-8B7DB8B0E752}"/>
    <cellStyle name="Normal 9 3 4 8" xfId="13343" xr:uid="{54E7A648-BD0A-4B30-993A-CDA43B2594E3}"/>
    <cellStyle name="Normal 9 3 5" xfId="3531" xr:uid="{00000000-0005-0000-0000-00007D090000}"/>
    <cellStyle name="Normal 9 3 5 2" xfId="4622" xr:uid="{77812157-224D-45F5-93B2-E96BD36A1BA0}"/>
    <cellStyle name="Normal 9 3 5 2 2" xfId="9394" xr:uid="{10B53018-6FBC-432D-8766-9B422C21813C}"/>
    <cellStyle name="Normal 9 3 5 2 2 2" xfId="29360" xr:uid="{F055EF98-3209-46D1-AE84-48E8181D908B}"/>
    <cellStyle name="Normal 9 3 5 2 2 3" xfId="19774" xr:uid="{8A20CDC1-FB1F-4637-BACB-B97C86074575}"/>
    <cellStyle name="Normal 9 3 5 2 3" xfId="12227" xr:uid="{C2ED2A5B-91C3-4DAF-9974-55BB288E53A6}"/>
    <cellStyle name="Normal 9 3 5 2 3 2" xfId="22607" xr:uid="{4C031065-FB13-4C84-AD3A-1B27143EB162}"/>
    <cellStyle name="Normal 9 3 5 2 4" xfId="24339" xr:uid="{12F339D8-5AD8-487E-B250-98D8D91C16C9}"/>
    <cellStyle name="Normal 9 3 5 2 5" xfId="16941" xr:uid="{3A761E34-DAF9-4CED-83FC-4540602E74DE}"/>
    <cellStyle name="Normal 9 3 5 3" xfId="6583" xr:uid="{DECD6082-9101-4607-A2E7-14D2E794CBA9}"/>
    <cellStyle name="Normal 9 3 5 3 2" xfId="26282" xr:uid="{2993EB5D-11BC-49F0-8510-C414E8F6ECE9}"/>
    <cellStyle name="Normal 9 3 5 3 3" xfId="16156" xr:uid="{C2337744-4461-4ED3-B6AA-FC0C1A4E1915}"/>
    <cellStyle name="Normal 9 3 5 4" xfId="8609" xr:uid="{62BBD5CF-7534-4D9A-9840-8F76C126DB91}"/>
    <cellStyle name="Normal 9 3 5 4 2" xfId="18989" xr:uid="{02DB4911-7863-4885-9B08-853F465CA199}"/>
    <cellStyle name="Normal 9 3 5 5" xfId="11442" xr:uid="{428BA9B7-F100-4B4E-B08E-96470F79D5BA}"/>
    <cellStyle name="Normal 9 3 5 5 2" xfId="21822" xr:uid="{57264222-481F-4F5C-AB3D-0E06FAD98777}"/>
    <cellStyle name="Normal 9 3 5 6" xfId="24373" xr:uid="{6D4ADB58-0721-42B1-99CD-86F58DAD93B1}"/>
    <cellStyle name="Normal 9 3 5 7" xfId="14130" xr:uid="{C8F30E62-F610-4007-A2DA-B3480F141DB2}"/>
    <cellStyle name="Normal 9 3 6" xfId="3008" xr:uid="{00000000-0005-0000-0000-00007E090000}"/>
    <cellStyle name="Normal 9 3 6 2" xfId="6157" xr:uid="{9C45F147-66EA-4E13-94CB-38655C13975F}"/>
    <cellStyle name="Normal 9 3 6 2 2" xfId="28126" xr:uid="{23CFD813-EE69-42B4-886F-DFABA93A796B}"/>
    <cellStyle name="Normal 9 3 6 2 3" xfId="15635" xr:uid="{FF4C76BB-6578-4299-BB68-6B46DD022FD6}"/>
    <cellStyle name="Normal 9 3 6 3" xfId="8088" xr:uid="{E4AAC665-37B2-497C-80B5-C23BC286C7CD}"/>
    <cellStyle name="Normal 9 3 6 3 2" xfId="18468" xr:uid="{94C97AE5-BB0B-4EC7-A03E-4D8D2DF6FC05}"/>
    <cellStyle name="Normal 9 3 6 4" xfId="10921" xr:uid="{1037EB35-D0C9-42D9-B72A-2F803B1A017A}"/>
    <cellStyle name="Normal 9 3 6 4 2" xfId="21301" xr:uid="{3CFE98F6-067C-4A66-91A1-728AA89A1B71}"/>
    <cellStyle name="Normal 9 3 6 5" xfId="23699" xr:uid="{7FB9F765-203E-4736-826D-44E4730F78DD}"/>
    <cellStyle name="Normal 9 3 6 6" xfId="13510" xr:uid="{B57CFD8E-4187-4A8C-B2CF-DF71A32E6823}"/>
    <cellStyle name="Normal 9 3 7" xfId="2467" xr:uid="{00000000-0005-0000-0000-00007F090000}"/>
    <cellStyle name="Normal 9 3 7 2" xfId="5758" xr:uid="{569E96DD-23FD-481A-908C-50469D669620}"/>
    <cellStyle name="Normal 9 3 7 2 2" xfId="28183" xr:uid="{52F279E6-152A-44BE-B450-9847EC2309EC}"/>
    <cellStyle name="Normal 9 3 7 2 3" xfId="15139" xr:uid="{E3699AD2-E742-48D2-8485-D72C90EBFEAB}"/>
    <cellStyle name="Normal 9 3 7 3" xfId="7592" xr:uid="{939704D8-5B53-4363-B96A-1DA334751AAB}"/>
    <cellStyle name="Normal 9 3 7 3 2" xfId="17972" xr:uid="{FC42FABC-9E0F-410E-BA3D-0DA334F1C74D}"/>
    <cellStyle name="Normal 9 3 7 4" xfId="10425" xr:uid="{6C3B0F93-4814-4F9B-8837-F31D6CE056B3}"/>
    <cellStyle name="Normal 9 3 7 4 2" xfId="20805" xr:uid="{F493829E-B27F-44E4-BDBF-D66BC7A523DB}"/>
    <cellStyle name="Normal 9 3 7 5" xfId="23329" xr:uid="{B5630A65-5BA8-46C9-A5DF-849BB1290C7C}"/>
    <cellStyle name="Normal 9 3 7 6" xfId="12855" xr:uid="{F1ACAA21-BC64-430B-ACC4-4D0028349B68}"/>
    <cellStyle name="Normal 9 3 8" xfId="2221" xr:uid="{00000000-0005-0000-0000-00006E090000}"/>
    <cellStyle name="Normal 9 3 8 2" xfId="7348" xr:uid="{4776B0CF-F1CC-4D89-9B9B-C508F402A5C3}"/>
    <cellStyle name="Normal 9 3 8 2 2" xfId="17728" xr:uid="{7FD9AC9E-A715-4E52-8EB3-5C2C40F4751E}"/>
    <cellStyle name="Normal 9 3 8 3" xfId="10181" xr:uid="{4CC6BF7A-1BE1-47BE-8AAF-62DEB16BCB7A}"/>
    <cellStyle name="Normal 9 3 8 3 2" xfId="20561" xr:uid="{080DD240-E808-4722-983E-3AB8D009BDD6}"/>
    <cellStyle name="Normal 9 3 8 4" xfId="23892" xr:uid="{171F2FA1-5D4C-406B-833D-DFB00D65D768}"/>
    <cellStyle name="Normal 9 3 8 5" xfId="14895" xr:uid="{7356630E-D98B-4216-B074-DEC366CBA58A}"/>
    <cellStyle name="Normal 9 3 9" xfId="4094" xr:uid="{076910DF-66FE-4541-83E0-1A0956D1291F}"/>
    <cellStyle name="Normal 9 3 9 2" xfId="8870" xr:uid="{C2ACD1ED-B023-42D5-AF41-0C96372140AE}"/>
    <cellStyle name="Normal 9 3 9 2 2" xfId="19250" xr:uid="{13DEB002-6083-4612-9E49-28F9B7EB2AE0}"/>
    <cellStyle name="Normal 9 3 9 3" xfId="11703" xr:uid="{8F58AB11-B0E1-4BB2-87AA-B4E2343A2256}"/>
    <cellStyle name="Normal 9 3 9 3 2" xfId="22083" xr:uid="{CB52BA86-C3D5-4CA1-8F40-0F09AB796200}"/>
    <cellStyle name="Normal 9 3 9 4" xfId="16417" xr:uid="{F437114A-E6D1-4130-B857-2CE3D3FDCB68}"/>
    <cellStyle name="Normal 9 4" xfId="1539" xr:uid="{00000000-0005-0000-0000-0000DC070000}"/>
    <cellStyle name="Normal 9 4 2" xfId="2857" xr:uid="{00000000-0005-0000-0000-000081090000}"/>
    <cellStyle name="Normal 9 4 2 2" xfId="3533" xr:uid="{00000000-0005-0000-0000-000082090000}"/>
    <cellStyle name="Normal 9 4 2 2 2" xfId="6585" xr:uid="{E29B9B1D-1AD6-42A2-86E7-830394F8818E}"/>
    <cellStyle name="Normal 9 4 2 2 2 2" xfId="28550" xr:uid="{7E8091FA-6537-4814-BB50-815C53B35F3E}"/>
    <cellStyle name="Normal 9 4 2 2 2 3" xfId="16158" xr:uid="{68EAE550-2833-4B1B-9561-27A74019172E}"/>
    <cellStyle name="Normal 9 4 2 2 3" xfId="8611" xr:uid="{D4D5D2DB-A568-4677-8500-323E9E76F7E7}"/>
    <cellStyle name="Normal 9 4 2 2 3 2" xfId="18991" xr:uid="{CF544657-DB90-4EC1-A633-658F6188756B}"/>
    <cellStyle name="Normal 9 4 2 2 4" xfId="11444" xr:uid="{E90DFABB-EB7F-4463-95A3-5082A18775C7}"/>
    <cellStyle name="Normal 9 4 2 2 4 2" xfId="21824" xr:uid="{E3F0DDC7-7141-40CF-A664-EE78E4B143C8}"/>
    <cellStyle name="Normal 9 4 2 2 5" xfId="25183" xr:uid="{90A3BB10-2CBE-468F-80E1-6D316882A40B}"/>
    <cellStyle name="Normal 9 4 2 2 6" xfId="14132" xr:uid="{DEA28F99-AEAA-4092-8E98-5C414B0A7DD3}"/>
    <cellStyle name="Normal 9 4 2 3" xfId="4390" xr:uid="{07075F1E-01E6-4D0C-B391-9162DCDDF969}"/>
    <cellStyle name="Normal 9 4 2 3 2" xfId="9162" xr:uid="{61C44C21-F9C7-4592-8DE1-28ACF0AD7970}"/>
    <cellStyle name="Normal 9 4 2 3 2 2" xfId="29205" xr:uid="{20157DB5-E4FD-460F-8D9C-3C66C356EBAB}"/>
    <cellStyle name="Normal 9 4 2 3 2 3" xfId="19542" xr:uid="{BEDB3A65-284C-4FCC-8DD7-711F7D69AAC3}"/>
    <cellStyle name="Normal 9 4 2 3 3" xfId="11995" xr:uid="{49FBB677-3959-4801-9455-58A2D2992D3E}"/>
    <cellStyle name="Normal 9 4 2 3 3 2" xfId="22375" xr:uid="{A4F36E1C-51CA-4E51-9FCD-B388BDBDFEEA}"/>
    <cellStyle name="Normal 9 4 2 3 4" xfId="23397" xr:uid="{EE8C1EAD-7862-4C19-A73C-98F1DE6D3216}"/>
    <cellStyle name="Normal 9 4 2 3 5" xfId="16709" xr:uid="{1BEFCD68-25D3-4729-A79F-22F731E8623F}"/>
    <cellStyle name="Normal 9 4 2 4" xfId="6070" xr:uid="{23A6C24C-7435-4415-BDC0-9CACA59FFAD6}"/>
    <cellStyle name="Normal 9 4 2 4 2" xfId="26202" xr:uid="{9A77DDE7-0937-4318-94E7-91B7D3CD1DF3}"/>
    <cellStyle name="Normal 9 4 2 4 3" xfId="15526" xr:uid="{B7B84202-B49A-4A59-B8E8-820B2C6013AC}"/>
    <cellStyle name="Normal 9 4 2 5" xfId="7979" xr:uid="{6CABEF68-FF64-4814-9C4F-D93616B5818F}"/>
    <cellStyle name="Normal 9 4 2 5 2" xfId="18359" xr:uid="{EEAC1F81-E8DE-4CD8-A142-1E5B0FCF912B}"/>
    <cellStyle name="Normal 9 4 2 6" xfId="10812" xr:uid="{66E2AE31-DC49-401E-862E-EF55F2D57FD5}"/>
    <cellStyle name="Normal 9 4 2 6 2" xfId="21192" xr:uid="{ACB740FB-80D5-43B8-AA7E-81335ACBBFB8}"/>
    <cellStyle name="Normal 9 4 2 7" xfId="25329" xr:uid="{80166A66-FA97-4A93-B534-A81FBC2CBC28}"/>
    <cellStyle name="Normal 9 4 2 8" xfId="13346" xr:uid="{DEC932F2-654D-480C-9DED-25B8C8C5EDC1}"/>
    <cellStyle name="Normal 9 4 3" xfId="3534" xr:uid="{00000000-0005-0000-0000-000083090000}"/>
    <cellStyle name="Normal 9 4 3 2" xfId="4623" xr:uid="{0F182935-658F-4F03-8638-E4AE160D2422}"/>
    <cellStyle name="Normal 9 4 3 2 2" xfId="9395" xr:uid="{A23C8947-DC44-4783-901A-1B726957A919}"/>
    <cellStyle name="Normal 9 4 3 2 2 2" xfId="29361" xr:uid="{72AF473C-70E8-41E2-B7C2-BF736021ABF5}"/>
    <cellStyle name="Normal 9 4 3 2 2 3" xfId="19775" xr:uid="{7AE12526-BB9F-43B4-817E-E725FEA740FB}"/>
    <cellStyle name="Normal 9 4 3 2 3" xfId="12228" xr:uid="{F9831BBB-A824-4598-9C55-0495E94FAF97}"/>
    <cellStyle name="Normal 9 4 3 2 3 2" xfId="22608" xr:uid="{C9B6B6FA-8C30-4523-A241-ADB70A96337F}"/>
    <cellStyle name="Normal 9 4 3 2 4" xfId="26259" xr:uid="{D7C51A85-EB7B-4A9C-AC0A-4D85AC1FC5DC}"/>
    <cellStyle name="Normal 9 4 3 2 5" xfId="16942" xr:uid="{62A1CEC6-12B5-4A67-98AB-A960BF8D525A}"/>
    <cellStyle name="Normal 9 4 3 3" xfId="6586" xr:uid="{709A4854-25AE-4DE8-92A4-7CDF8CA896BA}"/>
    <cellStyle name="Normal 9 4 3 3 2" xfId="28750" xr:uid="{DEAB3929-7210-4AAD-AB6C-72A5C3E8B772}"/>
    <cellStyle name="Normal 9 4 3 3 3" xfId="16159" xr:uid="{41D23587-A1CD-42E3-8D10-541F28A4120E}"/>
    <cellStyle name="Normal 9 4 3 4" xfId="8612" xr:uid="{EF433E80-920F-475E-9879-EBBBA3AFB382}"/>
    <cellStyle name="Normal 9 4 3 4 2" xfId="18992" xr:uid="{8DA7551E-BC45-4076-88A8-EADD931B634A}"/>
    <cellStyle name="Normal 9 4 3 5" xfId="11445" xr:uid="{3C7C2363-AF15-4A02-B5AC-FCE10678717B}"/>
    <cellStyle name="Normal 9 4 3 5 2" xfId="21825" xr:uid="{D563CF46-009F-498D-AD28-F52900BD44D6}"/>
    <cellStyle name="Normal 9 4 3 6" xfId="24828" xr:uid="{55EB0F15-01F9-49BA-99A2-5F2C73CA7093}"/>
    <cellStyle name="Normal 9 4 3 7" xfId="14133" xr:uid="{FCB1673D-2BA0-4D6E-A953-52829FDA7918}"/>
    <cellStyle name="Normal 9 4 4" xfId="3532" xr:uid="{00000000-0005-0000-0000-000084090000}"/>
    <cellStyle name="Normal 9 4 4 2" xfId="6584" xr:uid="{BD004F5F-C7C6-40CC-A6AE-7410E5D1A824}"/>
    <cellStyle name="Normal 9 4 4 2 2" xfId="26565" xr:uid="{445DCF4F-D88D-420F-AE39-77F1659F1003}"/>
    <cellStyle name="Normal 9 4 4 2 3" xfId="16157" xr:uid="{F00361A1-2E19-4EE4-B64E-6C311B0B4E5D}"/>
    <cellStyle name="Normal 9 4 4 3" xfId="8610" xr:uid="{EEB1AF0B-4B36-47EE-ACA1-CA21E2921727}"/>
    <cellStyle name="Normal 9 4 4 3 2" xfId="18990" xr:uid="{CF05D4AB-D75A-434F-B8CB-23591E79271E}"/>
    <cellStyle name="Normal 9 4 4 4" xfId="11443" xr:uid="{17DE6266-DB80-4203-9B2E-3E7A583B49CC}"/>
    <cellStyle name="Normal 9 4 4 4 2" xfId="21823" xr:uid="{17782EB0-D8ED-4B60-A071-E6371DA60D49}"/>
    <cellStyle name="Normal 9 4 4 5" xfId="23697" xr:uid="{977B99C4-6963-49D3-88DE-5E769C99F825}"/>
    <cellStyle name="Normal 9 4 4 6" xfId="14131" xr:uid="{9575704D-7B07-42B9-97F4-5DC8C68AC4C3}"/>
    <cellStyle name="Normal 9 4 5" xfId="2570" xr:uid="{00000000-0005-0000-0000-000080090000}"/>
    <cellStyle name="Normal 9 4 5 2" xfId="7695" xr:uid="{D3AB3A06-0A8D-4FE5-8592-ACFC5D61747F}"/>
    <cellStyle name="Normal 9 4 5 2 2" xfId="26223" xr:uid="{3DFDD03D-6021-4EFC-9A07-AF272C31E3D5}"/>
    <cellStyle name="Normal 9 4 5 2 3" xfId="18075" xr:uid="{8424DDCB-D3D6-4610-84D0-4AB218E6028A}"/>
    <cellStyle name="Normal 9 4 5 3" xfId="10528" xr:uid="{59D689A0-63B1-4B27-8D36-A398DF463194}"/>
    <cellStyle name="Normal 9 4 5 3 2" xfId="20908" xr:uid="{CC1D84D3-2ADD-4ACB-806D-5A2C8AB189D3}"/>
    <cellStyle name="Normal 9 4 5 4" xfId="22723" xr:uid="{A8FA1EA3-74A6-44A7-B153-321F80FAF260}"/>
    <cellStyle name="Normal 9 4 5 5" xfId="15242" xr:uid="{6923A4FE-DFFE-42DE-BCFB-95F4205F91B0}"/>
    <cellStyle name="Normal 9 4 6" xfId="4093" xr:uid="{4C828E4D-4894-4E57-99BB-5A30CE109BA9}"/>
    <cellStyle name="Normal 9 4 7" xfId="5533" xr:uid="{046B55AD-73C4-4E32-BA01-C1D2261765B1}"/>
    <cellStyle name="Normal 9 4 7 2" xfId="30088" xr:uid="{2F6732B9-22B1-4277-B1A7-B0F33EDFCAEE}"/>
    <cellStyle name="Normal 9 4 7 2 2" xfId="30954" xr:uid="{A8188D3E-D4CD-4378-91D8-1EB48A3EF6B0}"/>
    <cellStyle name="Normal 9 4 8" xfId="24875" xr:uid="{01617755-5A5A-4FF4-9CDD-9B8F02E162F4}"/>
    <cellStyle name="Normal 9 4 9" xfId="12958" xr:uid="{56E10DEF-E986-4612-85AD-C89FCA2318C8}"/>
    <cellStyle name="Normal 9 5" xfId="2161" xr:uid="{00000000-0005-0000-0000-00006C090000}"/>
    <cellStyle name="Normal 9 5 2" xfId="7288" xr:uid="{48B1AB87-07EC-4708-A87F-BFEE6D70400C}"/>
    <cellStyle name="Normal 9 5 2 2" xfId="17668" xr:uid="{99750353-F84F-41CC-9D12-E9DF9791E743}"/>
    <cellStyle name="Normal 9 5 3" xfId="10121" xr:uid="{7B1C32B0-D64A-48CC-AB10-9CBEFF18AC64}"/>
    <cellStyle name="Normal 9 5 3 2" xfId="20501" xr:uid="{E2A9CE1F-D70C-49E0-92BC-8C975A13128A}"/>
    <cellStyle name="Normal 9 5 4" xfId="22654" xr:uid="{FAD6C661-6B02-49D5-B470-1B52C90F26FA}"/>
    <cellStyle name="Normal 9 5 5" xfId="14835" xr:uid="{A9414641-2CAD-449B-8E34-2988A3AFB52A}"/>
    <cellStyle name="Normal 9 6" xfId="3786" xr:uid="{7F99DCEA-5481-4BF7-BFA1-F0B9667711FC}"/>
    <cellStyle name="Normal 9 6 2" xfId="8625" xr:uid="{04644E91-D4F2-4E90-802A-D4BE1DA78842}"/>
    <cellStyle name="Normal 9 6 2 2" xfId="19005" xr:uid="{98C3F4B8-94E7-4ECF-8817-1842479D7328}"/>
    <cellStyle name="Normal 9 6 3" xfId="11458" xr:uid="{50C24F86-DFBA-48D7-B0FD-CC68BF9E68F3}"/>
    <cellStyle name="Normal 9 6 3 2" xfId="21838" xr:uid="{2BE6A829-53DF-4DAA-B27E-D543C2800171}"/>
    <cellStyle name="Normal 9 6 4" xfId="16172" xr:uid="{62E24887-F48C-495C-93BD-ED141F1E8F38}"/>
    <cellStyle name="Normal 9 7" xfId="25343" xr:uid="{A5091A5E-C58C-46C0-B0F2-F1E868FE7B1F}"/>
    <cellStyle name="Normal 9 8" xfId="12393" xr:uid="{2F324892-497B-4106-B928-7477EEF26617}"/>
    <cellStyle name="Normal_98AFRCOU" xfId="1540" xr:uid="{00000000-0005-0000-0000-0000DD070000}"/>
    <cellStyle name="Note" xfId="29485" builtinId="10" customBuiltin="1"/>
    <cellStyle name="Note 2" xfId="1541" xr:uid="{00000000-0005-0000-0000-0000DE070000}"/>
    <cellStyle name="Note 3" xfId="1542" xr:uid="{00000000-0005-0000-0000-0000DF070000}"/>
    <cellStyle name="Note 4" xfId="1543" xr:uid="{00000000-0005-0000-0000-0000E0070000}"/>
    <cellStyle name="Note 4 2" xfId="1544" xr:uid="{00000000-0005-0000-0000-0000E1070000}"/>
    <cellStyle name="Note 4 2 2" xfId="3536" xr:uid="{00000000-0005-0000-0000-00008A090000}"/>
    <cellStyle name="Note 4 2 3" xfId="3535" xr:uid="{00000000-0005-0000-0000-00008B090000}"/>
    <cellStyle name="Note 4 2 3 2" xfId="31302" xr:uid="{09740B15-9ABE-40E6-8871-06691DDF618A}"/>
    <cellStyle name="Note 4 2 4" xfId="3769" xr:uid="{00000000-0005-0000-0000-0000E60E0000}"/>
    <cellStyle name="Note 4 2 4 2" xfId="4802" xr:uid="{E4762291-6E3E-40C0-B2A3-FBA7791D5340}"/>
    <cellStyle name="Note 4 2 4 3" xfId="30294" xr:uid="{F6CC97B8-D329-47AB-B30B-38088FA4AA4F}"/>
    <cellStyle name="Note 4 2 4 3 2" xfId="31437" xr:uid="{8DF259B6-D8D6-4B9D-B39D-3D52A6097811}"/>
    <cellStyle name="Note 4 2 4 4" xfId="31634" xr:uid="{E29E150E-84A6-4520-A31C-C74B5C1F5214}"/>
    <cellStyle name="Note 4 3" xfId="1545" xr:uid="{00000000-0005-0000-0000-0000E2070000}"/>
    <cellStyle name="Note 4 3 2" xfId="30097" xr:uid="{9537CA53-C3FD-4E87-AC66-BA3C054C1009}"/>
    <cellStyle name="Note 4 4" xfId="2073" xr:uid="{00000000-0005-0000-0000-000049030000}"/>
    <cellStyle name="Note 4 4 2" xfId="4791" xr:uid="{EAC7EE03-6B36-4A5D-889D-B815EC9F9048}"/>
    <cellStyle name="Note 4 4 3" xfId="30173" xr:uid="{F6441C75-DAA1-4486-B072-CAFC56088476}"/>
    <cellStyle name="Note 4 4 3 2" xfId="31317" xr:uid="{A51A4A51-59A9-4DA4-BAC6-6B498B98295B}"/>
    <cellStyle name="Note 4 4 4" xfId="31513" xr:uid="{46BB7552-C9F7-4992-BB91-1408BCB3217B}"/>
    <cellStyle name="Note 4 5" xfId="29583" xr:uid="{24FEBD0B-5ABA-49D8-AC25-4DA966B23BF8}"/>
    <cellStyle name="Note 4 5 2" xfId="31248" xr:uid="{179223E0-4C3A-4691-A628-3421C1D9764F}"/>
    <cellStyle name="Note 4 5 3" xfId="30548" xr:uid="{6CEC5488-D223-4DCD-BE4A-44A97B40BB66}"/>
    <cellStyle name="Note 5" xfId="12255" xr:uid="{E1364BB4-A0A2-46F5-BB38-05901CCE3206}"/>
    <cellStyle name="Note 5 2" xfId="22634" xr:uid="{E297CF68-B359-40C9-8CC6-73BC50F6502C}"/>
    <cellStyle name="Note 6" xfId="30917" xr:uid="{568266BE-1B4B-4D3A-B271-E6A359140DD3}"/>
    <cellStyle name="Note 6 2" xfId="30951" xr:uid="{BC9386E2-C514-49C7-8749-71E76C1309BC}"/>
    <cellStyle name="Output" xfId="4834" builtinId="21" customBuiltin="1"/>
    <cellStyle name="Output 2" xfId="1546" xr:uid="{00000000-0005-0000-0000-0000E3070000}"/>
    <cellStyle name="Output 3" xfId="1547" xr:uid="{00000000-0005-0000-0000-0000E4070000}"/>
    <cellStyle name="Output 4" xfId="29584" xr:uid="{21477E6D-748E-44EB-8B95-20ACDB027665}"/>
    <cellStyle name="Percent" xfId="4688" builtinId="5"/>
    <cellStyle name="Percent 2" xfId="1548" xr:uid="{00000000-0005-0000-0000-0000E5070000}"/>
    <cellStyle name="Percent 2 2" xfId="1549" xr:uid="{00000000-0005-0000-0000-0000E6070000}"/>
    <cellStyle name="Percent 2 3" xfId="29585" xr:uid="{8FB87725-886D-4A62-BBA8-4FA9FB880D61}"/>
    <cellStyle name="Percent 3" xfId="1550" xr:uid="{00000000-0005-0000-0000-0000E7070000}"/>
    <cellStyle name="Percent 3 2" xfId="2034" xr:uid="{00000000-0005-0000-0000-0000E8070000}"/>
    <cellStyle name="Percent 3 2 2" xfId="24401" xr:uid="{D0B85497-BCB7-44B3-90B9-F34C3207B46F}"/>
    <cellStyle name="Percent 3 2 2 2" xfId="29826" xr:uid="{75C23271-7EC3-43D0-8BA4-69F636E29421}"/>
    <cellStyle name="Percent 3 2 3" xfId="24242" xr:uid="{2ACE85BF-3B3C-4EA3-8A82-C46C5C94E5DC}"/>
    <cellStyle name="Percent 3 3" xfId="2035" xr:uid="{00000000-0005-0000-0000-0000E9070000}"/>
    <cellStyle name="Percent 3 3 2" xfId="31314" xr:uid="{BBC1F203-4A2A-48B7-9BD9-1716E25CC9AC}"/>
    <cellStyle name="Percent 3 3 3" xfId="31266" xr:uid="{8085B9E8-E0F4-4AC1-ADD7-5A40211A939D}"/>
    <cellStyle name="Percent 3 4" xfId="2033" xr:uid="{00000000-0005-0000-0000-0000EA070000}"/>
    <cellStyle name="Percent 3 5" xfId="30405" xr:uid="{0945A6B3-A411-4FFC-8192-180DB5988AA0}"/>
    <cellStyle name="Percent 3 5 2" xfId="30464" xr:uid="{63EB7186-FCEB-4D7E-9110-B36DEB064572}"/>
    <cellStyle name="Percent 4" xfId="1551" xr:uid="{00000000-0005-0000-0000-0000EB070000}"/>
    <cellStyle name="Percent 4 2" xfId="2037" xr:uid="{00000000-0005-0000-0000-0000EC070000}"/>
    <cellStyle name="Percent 4 2 2" xfId="23974" xr:uid="{3D5953F1-0414-4A51-AC1F-E6AE4C07AB66}"/>
    <cellStyle name="Percent 4 2 3" xfId="24013" xr:uid="{9AB4939D-81EC-45A0-9E96-F84B5E767B13}"/>
    <cellStyle name="Percent 4 2 3 2" xfId="26254" xr:uid="{612B2D42-1583-4D21-9F42-EDA025DC0AD4}"/>
    <cellStyle name="Percent 4 2 4" xfId="26987" xr:uid="{DFB60D8F-26B9-473A-B2A8-273B02C7C121}"/>
    <cellStyle name="Percent 4 2 4 2" xfId="29999" xr:uid="{DBA75EBB-88DC-4000-A3DE-7A773AC8CB6F}"/>
    <cellStyle name="Percent 4 2 5" xfId="29655" xr:uid="{C102B639-DE72-4927-A796-0F496C3DDD1A}"/>
    <cellStyle name="Percent 4 3" xfId="2038" xr:uid="{00000000-0005-0000-0000-0000ED070000}"/>
    <cellStyle name="Percent 4 3 2" xfId="29736" xr:uid="{2BDC7087-3D0C-4FA8-ACBA-F106235DF4E2}"/>
    <cellStyle name="Percent 4 3 3" xfId="29668" xr:uid="{6A17D060-249E-4F71-900C-08F938E35D8F}"/>
    <cellStyle name="Percent 4 4" xfId="2036" xr:uid="{00000000-0005-0000-0000-0000EE070000}"/>
    <cellStyle name="Percent 4 5" xfId="7282" xr:uid="{8AFD0532-DAAC-4CC5-8537-37606C82DB78}"/>
    <cellStyle name="Percent 4 5 2" xfId="25891" xr:uid="{1A8E5282-CE1D-4D4E-85FD-913D5186C1AC}"/>
    <cellStyle name="Percent 4 5 3" xfId="25884" xr:uid="{AA898F48-4AB1-40ED-BED1-55205C40C2A5}"/>
    <cellStyle name="Percent 4 5 4" xfId="17662" xr:uid="{0AADF521-5DF8-4311-9F60-1E2176D34492}"/>
    <cellStyle name="Percent 4 6" xfId="10115" xr:uid="{4A3FF93C-FD9D-4025-A9D7-7CEA5C104B48}"/>
    <cellStyle name="Percent 4 6 2" xfId="20495" xr:uid="{6790D28D-0042-4B4F-9DF6-8B322E2586BC}"/>
    <cellStyle name="Percent 4 7" xfId="24050" xr:uid="{7CECC7AA-AA51-4FB3-B6EC-E3317F803511}"/>
    <cellStyle name="Percent 4 8" xfId="14829" xr:uid="{1951CFB1-FCD7-40D5-B863-4C9853147FBB}"/>
    <cellStyle name="Percent 5" xfId="28299" xr:uid="{72E839A7-A148-448C-A765-AC2E6CA59B2F}"/>
    <cellStyle name="Percent 5 2" xfId="26976" xr:uid="{2C5C650A-5D15-4675-9FCC-99B898ECCC9D}"/>
    <cellStyle name="Percent 5 3" xfId="28139" xr:uid="{D1DC45A5-B040-4E5C-A556-A2D33FF6D90B}"/>
    <cellStyle name="Percent 6" xfId="25979" xr:uid="{A1FF1390-0FA3-4008-B473-9B82672BD5AC}"/>
    <cellStyle name="Percent 7" xfId="30409" xr:uid="{BD67580D-48EC-4ABF-B2EE-570D90A532C8}"/>
    <cellStyle name="ReportHeaderRowCol.*" xfId="12347" xr:uid="{C5553A5B-9BB7-4BBD-A560-40C47E9C3BBD}"/>
    <cellStyle name="ReportHeaderRowCol.1" xfId="12348" xr:uid="{D08F8B86-DD1D-4AE6-BFA1-285E019C4777}"/>
    <cellStyle name="ReportHeaderRowCol.2" xfId="12349" xr:uid="{245F5C6F-625E-4B32-AA42-D06EFDBE8C8D}"/>
    <cellStyle name="ReportHeaderRowCol.Date" xfId="12350" xr:uid="{2F4FB8EC-EED6-4387-9B41-152B112A05DC}"/>
    <cellStyle name="Sheet Title" xfId="1552" xr:uid="{00000000-0005-0000-0000-0000EF070000}"/>
    <cellStyle name="Style 1" xfId="1553" xr:uid="{00000000-0005-0000-0000-0000F0070000}"/>
    <cellStyle name="Style 1 2" xfId="1554" xr:uid="{00000000-0005-0000-0000-0000F1070000}"/>
    <cellStyle name="Style 1 2 2" xfId="2040" xr:uid="{00000000-0005-0000-0000-0000F2070000}"/>
    <cellStyle name="Style 1 2 2 2" xfId="25790" xr:uid="{A12F3BA5-19BE-4578-A78D-C3AD0942838D}"/>
    <cellStyle name="Style 1 2 2 2 2" xfId="29810" xr:uid="{D4E7F262-7E61-4687-B06C-E107D8296DF9}"/>
    <cellStyle name="Style 1 2 2 3" xfId="25778" xr:uid="{C9F19B91-F5E5-4CD7-BE8E-78C05D2BCD6F}"/>
    <cellStyle name="Style 1 2 3" xfId="2041" xr:uid="{00000000-0005-0000-0000-0000F3070000}"/>
    <cellStyle name="Style 1 2 3 2" xfId="31315" xr:uid="{5D03057C-9A71-4F1B-9674-72DE10B21C86}"/>
    <cellStyle name="Style 1 2 3 3" xfId="31269" xr:uid="{FAC42ECE-AC01-4F74-8A11-03C4263CADAB}"/>
    <cellStyle name="Style 1 2 4" xfId="2039" xr:uid="{00000000-0005-0000-0000-0000F4070000}"/>
    <cellStyle name="Style 1 2 5" xfId="30407" xr:uid="{2E6C0663-EF3E-4DBA-8EED-2A1EA035CBE7}"/>
    <cellStyle name="Style 1 2 5 2" xfId="30465" xr:uid="{F706DBF5-298E-4FDD-8401-13A891456247}"/>
    <cellStyle name="Style 1 3" xfId="1555" xr:uid="{00000000-0005-0000-0000-0000F5070000}"/>
    <cellStyle name="Style 1 4" xfId="2042" xr:uid="{00000000-0005-0000-0000-0000F6070000}"/>
    <cellStyle name="Style 1 4 2" xfId="24410" xr:uid="{ED030EBF-D663-412E-B3DF-AF45BED2AFE5}"/>
    <cellStyle name="Style 1 4 2 2" xfId="29831" xr:uid="{12EB135A-16A2-48C8-957C-56C95D4F0B94}"/>
    <cellStyle name="Style 1 4 3" xfId="25651" xr:uid="{8568525C-B3AA-4170-9749-B4F90608AC98}"/>
    <cellStyle name="Style 1 5" xfId="30406" xr:uid="{91B5FAB8-CE8E-4A1E-A86E-BA45CA647BF5}"/>
    <cellStyle name="SubgroupSectionHeaderRowBalanceCol" xfId="12351" xr:uid="{2486F5B8-EF2C-4F49-B7A9-6FE34665450E}"/>
    <cellStyle name="SubgroupSectionHeaderRowDescCol" xfId="12352" xr:uid="{EB63FB77-6717-4B2A-8483-32BC8EF761CB}"/>
    <cellStyle name="SubgroupSectionHeaderRowNameCol" xfId="12353" xr:uid="{133E4BCF-AEFE-4D67-8FAE-84F36222B17A}"/>
    <cellStyle name="SubGroupSelectionHeaderRowJERefCol" xfId="12354" xr:uid="{023FCD31-332C-4B91-B5C7-3A04E2EC629E}"/>
    <cellStyle name="SubgroupSubtotalRowBalanceCol" xfId="12355" xr:uid="{FC50FD76-B8D2-41F3-9A56-186D7D35B0DB}"/>
    <cellStyle name="SubgroupSubtotalRowDescCol" xfId="12356" xr:uid="{51DA7A1D-81F0-484C-85DF-0B8D98A0C317}"/>
    <cellStyle name="SubgroupSubtotalRowJERefCol" xfId="12357" xr:uid="{A22CF7F1-55DA-4319-BF62-5115CCBDE54C}"/>
    <cellStyle name="SubgroupSubtotalRowNameCol" xfId="12358" xr:uid="{4BA6961C-F727-43FD-B8E8-D5977B74A43F}"/>
    <cellStyle name="SubgroupSubtotalRowVarPectCol" xfId="12359" xr:uid="{C4DA33E5-1A1C-4237-9C31-25A90021DA8F}"/>
    <cellStyle name="SubgroupSubtotalRowWPRefCol" xfId="12360" xr:uid="{7D6FD639-BAA3-434B-86C1-FD6A5966D36C}"/>
    <cellStyle name="SumAccountGroupsRowBalanceCol" xfId="12361" xr:uid="{D309FDF4-9D10-423F-B0C9-B787392FEB2C}"/>
    <cellStyle name="SumAccountGroupsRowDescCol" xfId="12362" xr:uid="{A455F51D-B791-4F0C-84FB-C6EB4385F2F6}"/>
    <cellStyle name="SumAccountGroupsRowJERefCol" xfId="12363" xr:uid="{9E0B1F97-5F81-4AC9-A03F-E58A52D8DEAB}"/>
    <cellStyle name="SumAccountGroupsRowNameCol" xfId="12364" xr:uid="{ECFB7BB2-DE4A-49ED-A01B-E4EC23C3AEEA}"/>
    <cellStyle name="SumAccountGroupsRowVarPectCol" xfId="12365" xr:uid="{2CB09599-6046-4A6D-AD9A-5879A6ECD17F}"/>
    <cellStyle name="SumAccountGroupsRowWPRefCol" xfId="12366" xr:uid="{E9832BA7-7D80-4557-8BF2-BA3E154AEFBA}"/>
    <cellStyle name="Title 2" xfId="29586" xr:uid="{520977F4-FB37-4751-810D-2DC604BEDA25}"/>
    <cellStyle name="Total" xfId="4839" builtinId="25" customBuiltin="1"/>
    <cellStyle name="Total 2" xfId="1556" xr:uid="{00000000-0005-0000-0000-0000F7070000}"/>
    <cellStyle name="Total 2 2" xfId="28407" xr:uid="{C9725059-9506-467C-9DA8-A5570A6EB449}"/>
    <cellStyle name="Total 3" xfId="1557" xr:uid="{00000000-0005-0000-0000-0000F8070000}"/>
    <cellStyle name="Total 3 2" xfId="28515" xr:uid="{E0842ADF-D23F-4EB4-A4B0-ABA700B8C9AA}"/>
    <cellStyle name="Total 4" xfId="29587" xr:uid="{04D27A19-760A-42F6-B7D4-EDC80EAEB7D4}"/>
    <cellStyle name="TotalRow" xfId="12367" xr:uid="{368DF3C5-E2E3-458E-8DC0-01E474DBC9D4}"/>
    <cellStyle name="TotalRowCreditCol" xfId="12368" xr:uid="{354CA086-73FA-40BD-B53D-F97A90D9F4C8}"/>
    <cellStyle name="TotalRowDebitCol" xfId="12369" xr:uid="{B9DDDD89-057C-46A7-A1DA-948D864BD18F}"/>
    <cellStyle name="TransactionRowAcctDescCol" xfId="12370" xr:uid="{B23A5ACB-5A6A-4F40-A185-FA9DBCC6D402}"/>
    <cellStyle name="TransactionRowAcctNumCol" xfId="12371" xr:uid="{D046DBB7-B681-4901-804F-F53E917D0FFB}"/>
    <cellStyle name="TransactionRowCreditCol" xfId="12372" xr:uid="{1C803F8A-FF28-47CD-B0D6-39C8B54BE3DE}"/>
    <cellStyle name="TransactionRowDateCol" xfId="12373" xr:uid="{B31CE901-7BEE-41DB-B77F-E4CB513C6E1B}"/>
    <cellStyle name="TransactionRowDebitCol" xfId="12374" xr:uid="{3BF7116B-D56D-4029-99D4-28960EA3D0C6}"/>
    <cellStyle name="TransactionRowRefCol" xfId="12375" xr:uid="{BB2D8ADD-87CF-4830-91B2-E70C82C8EAB2}"/>
    <cellStyle name="TransactionRowTransactionCol" xfId="12376" xr:uid="{4C57D201-3FD2-4DD9-9771-9A294954D155}"/>
    <cellStyle name="UnclassifiedTotalRowBalanceCol" xfId="12377" xr:uid="{87BFD706-C80F-429A-8641-626203E9372F}"/>
    <cellStyle name="UnclassifiedTotalRowDescCol" xfId="12378" xr:uid="{77546543-8240-44AD-890C-EA95558E2181}"/>
    <cellStyle name="UnclassifiedTotalRowJERefCol" xfId="12379" xr:uid="{4D713AA6-1BB7-453F-94AA-9E3900AB6601}"/>
    <cellStyle name="UnclassifiedTotalRowNameCol" xfId="12380" xr:uid="{B7782CED-7BF6-41F9-A4DC-98F8F8371F3B}"/>
    <cellStyle name="UnclassifiedTotalRowVarPectCol" xfId="12381" xr:uid="{7679CCCA-11A6-43F8-BF3E-0EE82B70C712}"/>
    <cellStyle name="UnclassifiedTotalRowWPRefCol" xfId="12382" xr:uid="{C305EFCB-FF5E-4A3A-AE0E-14DFF20EC04A}"/>
    <cellStyle name="Warning Text" xfId="4838" builtinId="11" customBuiltin="1"/>
    <cellStyle name="Warning Text 2" xfId="1558" xr:uid="{00000000-0005-0000-0000-0000F9070000}"/>
    <cellStyle name="Warning Text 2 2" xfId="28175" xr:uid="{9077D266-AF6F-45FE-8FA8-56E0DF6405C7}"/>
    <cellStyle name="Warning Text 3" xfId="1559" xr:uid="{00000000-0005-0000-0000-0000FA070000}"/>
    <cellStyle name="Warning Text 3 2" xfId="26321" xr:uid="{863219B2-3F6B-42C2-9293-5ECE21D108FD}"/>
    <cellStyle name="Warning Text 4" xfId="29588" xr:uid="{FACD3194-E29A-43C7-BDFC-8831BAA9308A}"/>
  </cellStyles>
  <dxfs count="12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5" tint="0.79998168889431442"/>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FF0000"/>
      </font>
      <fill>
        <patternFill>
          <bgColor rgb="FFFFC7CE"/>
        </patternFill>
      </fill>
    </dxf>
    <dxf>
      <font>
        <b/>
        <i val="0"/>
        <color rgb="FFFF0000"/>
      </font>
      <fill>
        <patternFill>
          <bgColor rgb="FFFFC7CE"/>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numFmt numFmtId="185" formatCode=";;;"/>
    </dxf>
    <dxf>
      <numFmt numFmtId="185" formatCode=";;;"/>
    </dxf>
    <dxf>
      <numFmt numFmtId="185" formatCode=";;;"/>
    </dxf>
    <dxf>
      <numFmt numFmtId="185" formatCode=";;;"/>
    </dxf>
    <dxf>
      <numFmt numFmtId="185" formatCode=";;;"/>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FF5050"/>
        </patternFill>
      </fill>
    </dxf>
    <dxf>
      <fill>
        <patternFill>
          <bgColor rgb="FFFF5050"/>
        </patternFill>
      </fill>
    </dxf>
    <dxf>
      <fill>
        <patternFill>
          <bgColor rgb="FFFF5050"/>
        </patternFill>
      </fill>
    </dxf>
    <dxf>
      <fill>
        <patternFill patternType="mediumGray">
          <bgColor theme="0" tint="-0.499984740745262"/>
        </patternFill>
      </fill>
    </dxf>
    <dxf>
      <fill>
        <patternFill patternType="mediumGray">
          <bgColor theme="0" tint="-0.34998626667073579"/>
        </patternFill>
      </fill>
    </dxf>
    <dxf>
      <fill>
        <patternFill>
          <bgColor rgb="FFFF5050"/>
        </patternFill>
      </fill>
    </dxf>
    <dxf>
      <fill>
        <patternFill patternType="mediumGray">
          <bgColor theme="0" tint="-0.499984740745262"/>
        </patternFill>
      </fill>
    </dxf>
    <dxf>
      <fill>
        <patternFill patternType="mediumGray">
          <bgColor theme="0" tint="-0.34998626667073579"/>
        </patternFill>
      </fill>
    </dxf>
    <dxf>
      <fill>
        <patternFill>
          <bgColor rgb="FFFF5050"/>
        </patternFill>
      </fill>
    </dxf>
    <dxf>
      <fill>
        <patternFill patternType="mediumGray">
          <bgColor theme="0" tint="-0.499984740745262"/>
        </patternFill>
      </fill>
    </dxf>
    <dxf>
      <fill>
        <patternFill patternType="mediumGray">
          <bgColor theme="0" tint="-0.34998626667073579"/>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patternType="mediumGray">
          <bgColor theme="0" tint="-0.34998626667073579"/>
        </patternFill>
      </fill>
    </dxf>
    <dxf>
      <fill>
        <patternFill>
          <bgColor rgb="FFFF5050"/>
        </patternFill>
      </fill>
    </dxf>
    <dxf>
      <fill>
        <patternFill>
          <bgColor rgb="FFFF5050"/>
        </patternFill>
      </fill>
    </dxf>
    <dxf>
      <fill>
        <patternFill patternType="mediumGray">
          <bgColor theme="0" tint="-0.34998626667073579"/>
        </patternFill>
      </fill>
    </dxf>
    <dxf>
      <fill>
        <patternFill>
          <bgColor rgb="FFFF5050"/>
        </patternFill>
      </fill>
    </dxf>
    <dxf>
      <fill>
        <patternFill patternType="mediumGray">
          <bgColor theme="0" tint="-0.34998626667073579"/>
        </patternFill>
      </fill>
    </dxf>
    <dxf>
      <fill>
        <patternFill patternType="mediumGray">
          <bgColor theme="0" tint="-0.34998626667073579"/>
        </patternFill>
      </fill>
    </dxf>
    <dxf>
      <fill>
        <patternFill>
          <bgColor rgb="FFFF5050"/>
        </patternFill>
      </fill>
    </dxf>
    <dxf>
      <fill>
        <patternFill patternType="mediumGray">
          <bgColor theme="0" tint="-0.34998626667073579"/>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patternType="mediumGray">
          <bgColor theme="0" tint="-0.34998626667073579"/>
        </patternFill>
      </fill>
    </dxf>
    <dxf>
      <fill>
        <patternFill>
          <bgColor rgb="FFFF5050"/>
        </patternFill>
      </fill>
    </dxf>
    <dxf>
      <fill>
        <patternFill>
          <bgColor rgb="FFFF5050"/>
        </patternFill>
      </fill>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numFmt numFmtId="185" formatCode=";;;"/>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FF99"/>
        </patternFill>
      </fill>
    </dxf>
    <dxf>
      <fill>
        <patternFill>
          <bgColor theme="7" tint="0.79998168889431442"/>
        </patternFill>
      </fill>
    </dxf>
    <dxf>
      <fill>
        <patternFill>
          <bgColor theme="7" tint="0.79998168889431442"/>
        </patternFill>
      </fill>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s>
  <tableStyles count="3" defaultTableStyle="TableStyleMedium2" defaultPivotStyle="PivotStyleLight16">
    <tableStyle name="Table Style 1" pivot="0" count="0" xr9:uid="{00000000-0011-0000-FFFF-FFFF00000000}"/>
    <tableStyle name="Table Style 2" pivot="0" count="0" xr9:uid="{00000000-0011-0000-FFFF-FFFF01000000}"/>
    <tableStyle name="TableStyleQueryResult" pivot="0" count="3" xr9:uid="{686B541E-69C4-45C7-B38E-B9996BEB3203}">
      <tableStyleElement type="wholeTable" dxfId="127"/>
      <tableStyleElement type="headerRow" dxfId="126"/>
      <tableStyleElement type="firstRowStripe" dxfId="125"/>
    </tableStyle>
  </tableStyles>
  <colors>
    <mruColors>
      <color rgb="FFCCFFFF"/>
      <color rgb="FFFFFFCC"/>
      <color rgb="FFCCFF66"/>
      <color rgb="FFFFCCCC"/>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5</xdr:col>
      <xdr:colOff>1924046</xdr:colOff>
      <xdr:row>46</xdr:row>
      <xdr:rowOff>238125</xdr:rowOff>
    </xdr:from>
    <xdr:to>
      <xdr:col>5</xdr:col>
      <xdr:colOff>3478526</xdr:colOff>
      <xdr:row>51</xdr:row>
      <xdr:rowOff>104775</xdr:rowOff>
    </xdr:to>
    <xdr:sp macro="" textlink="">
      <xdr:nvSpPr>
        <xdr:cNvPr id="2" name="Arrow: Right 1">
          <a:extLst>
            <a:ext uri="{FF2B5EF4-FFF2-40B4-BE49-F238E27FC236}">
              <a16:creationId xmlns:a16="http://schemas.microsoft.com/office/drawing/2014/main" id="{00000000-0008-0000-0200-000002000000}"/>
            </a:ext>
          </a:extLst>
        </xdr:cNvPr>
        <xdr:cNvSpPr/>
      </xdr:nvSpPr>
      <xdr:spPr>
        <a:xfrm>
          <a:off x="5819771" y="4762500"/>
          <a:ext cx="1554480" cy="1371600"/>
        </a:xfrm>
        <a:prstGeom prst="right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rtl="0" eaLnBrk="1" fontAlgn="auto" latinLnBrk="0" hangingPunct="1">
            <a:lnSpc>
              <a:spcPct val="100000"/>
            </a:lnSpc>
            <a:spcBef>
              <a:spcPts val="0"/>
            </a:spcBef>
            <a:spcAft>
              <a:spcPts val="0"/>
            </a:spcAft>
            <a:buClrTx/>
            <a:buSzTx/>
            <a:buFontTx/>
            <a:buNone/>
            <a:tabLst/>
            <a:defRPr/>
          </a:pPr>
          <a:r>
            <a:rPr lang="en-US" sz="950" b="1" i="1" baseline="0">
              <a:solidFill>
                <a:schemeClr val="tx1"/>
              </a:solidFill>
              <a:effectLst/>
              <a:latin typeface="+mn-lt"/>
              <a:ea typeface="+mn-ea"/>
              <a:cs typeface="+mn-cs"/>
            </a:rPr>
            <a:t>Q 955 &amp; 957 Exclude Federal and State compliance findings from this number</a:t>
          </a:r>
          <a:endParaRPr lang="en-US" sz="950" b="1" i="1">
            <a:solidFill>
              <a:schemeClr val="tx1"/>
            </a:solidFill>
            <a:effectLst/>
          </a:endParaRPr>
        </a:p>
        <a:p>
          <a:pPr algn="l"/>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zalaj\LoGics%20project\Copy%20of%20newaudit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
      <sheetName val="Database"/>
    </sheetNames>
    <sheetDataSet>
      <sheetData sheetId="0"/>
      <sheetData sheetId="1">
        <row r="3">
          <cell r="AC3">
            <v>4</v>
          </cell>
          <cell r="AD3">
            <v>28</v>
          </cell>
          <cell r="AE3" t="str">
            <v>GF</v>
          </cell>
          <cell r="AF3" t="str">
            <v>2</v>
          </cell>
          <cell r="AH3" t="str">
            <v>+2314345-851911</v>
          </cell>
          <cell r="AI3">
            <v>1462434</v>
          </cell>
          <cell r="AN3">
            <v>1462434</v>
          </cell>
          <cell r="AO3" t="str">
            <v>+2314345-851911</v>
          </cell>
          <cell r="BF3" t="str">
            <v>N</v>
          </cell>
          <cell r="BG3" t="str">
            <v>Alexander County</v>
          </cell>
          <cell r="BH3" t="str">
            <v>MARTIN STARNES &amp; ASSOCIATES CPAs  730 13TH AVE DRIVE SOUTHEAST  , HICKORY, NC 28602</v>
          </cell>
          <cell r="BI3" t="str">
            <v>22-Oct-10</v>
          </cell>
          <cell r="BJ3" t="str">
            <v>U</v>
          </cell>
          <cell r="BM3" t="str">
            <v>5444484</v>
          </cell>
          <cell r="BW3" t="str">
            <v>19.07</v>
          </cell>
          <cell r="BX3" t="str">
            <v>19.07</v>
          </cell>
          <cell r="CF3" t="str">
            <v>.76</v>
          </cell>
          <cell r="CG3" t="str">
            <v>-722391</v>
          </cell>
          <cell r="CT3" t="str">
            <v>2.66</v>
          </cell>
          <cell r="CU3" t="str">
            <v>1249377</v>
          </cell>
          <cell r="CY3" t="str">
            <v>0</v>
          </cell>
          <cell r="CZ3" t="str">
            <v>0</v>
          </cell>
          <cell r="DE3" t="str">
            <v xml:space="preserve"> SOLID WASTE WATER/SEWER</v>
          </cell>
          <cell r="DI3" t="str">
            <v xml:space="preserve"> 911- CAPITAL OUTLAY-</v>
          </cell>
          <cell r="DX3" t="str">
            <v>CANADY</v>
          </cell>
          <cell r="DY3" t="str">
            <v>02-NOV-10</v>
          </cell>
          <cell r="DZ3" t="str">
            <v>BURKE2</v>
          </cell>
          <cell r="EA3" t="str">
            <v>02-NOV-10</v>
          </cell>
          <cell r="EB3" t="str">
            <v>BURKE2</v>
          </cell>
          <cell r="EC3" t="str">
            <v>05-NOV-10</v>
          </cell>
          <cell r="ED3" t="str">
            <v>2010</v>
          </cell>
          <cell r="EE3" t="str">
            <v>30-Jun-10</v>
          </cell>
          <cell r="EF3" t="str">
            <v>01</v>
          </cell>
          <cell r="EG3" t="str">
            <v>SZALAJ</v>
          </cell>
        </row>
        <row r="4">
          <cell r="AC4">
            <v>5</v>
          </cell>
          <cell r="AD4">
            <v>29</v>
          </cell>
          <cell r="AE4" t="str">
            <v>GF</v>
          </cell>
          <cell r="AF4" t="str">
            <v>2</v>
          </cell>
          <cell r="AH4" t="str">
            <v>+116754+10100</v>
          </cell>
          <cell r="AI4">
            <v>126854</v>
          </cell>
          <cell r="AN4">
            <v>126854</v>
          </cell>
          <cell r="AO4" t="str">
            <v>+116754+10100</v>
          </cell>
        </row>
        <row r="5">
          <cell r="AC5">
            <v>6</v>
          </cell>
          <cell r="AD5">
            <v>34</v>
          </cell>
          <cell r="AE5" t="str">
            <v>GF</v>
          </cell>
          <cell r="AF5" t="str">
            <v>2</v>
          </cell>
        </row>
        <row r="6">
          <cell r="AC6">
            <v>7</v>
          </cell>
          <cell r="AD6">
            <v>35</v>
          </cell>
          <cell r="AE6" t="str">
            <v>GF</v>
          </cell>
          <cell r="AF6" t="str">
            <v>2</v>
          </cell>
        </row>
        <row r="7">
          <cell r="AC7">
            <v>8</v>
          </cell>
          <cell r="AD7">
            <v>46</v>
          </cell>
          <cell r="AE7" t="str">
            <v>GF</v>
          </cell>
          <cell r="AF7" t="str">
            <v>1</v>
          </cell>
          <cell r="AH7" t="str">
            <v>n</v>
          </cell>
          <cell r="AO7" t="str">
            <v>n</v>
          </cell>
        </row>
        <row r="8">
          <cell r="AC8">
            <v>9</v>
          </cell>
          <cell r="AD8">
            <v>32</v>
          </cell>
          <cell r="AE8" t="str">
            <v>GF</v>
          </cell>
          <cell r="AF8" t="str">
            <v>2</v>
          </cell>
          <cell r="AH8" t="str">
            <v>+7576459</v>
          </cell>
          <cell r="AI8">
            <v>7576459</v>
          </cell>
          <cell r="AN8">
            <v>7576459</v>
          </cell>
          <cell r="AO8" t="str">
            <v>+7576459</v>
          </cell>
        </row>
        <row r="9">
          <cell r="AC9">
            <v>10</v>
          </cell>
          <cell r="AD9">
            <v>33</v>
          </cell>
          <cell r="AE9" t="str">
            <v>GF</v>
          </cell>
          <cell r="AF9" t="str">
            <v>2</v>
          </cell>
          <cell r="AH9" t="str">
            <v>+2131976</v>
          </cell>
          <cell r="AI9">
            <v>2131976</v>
          </cell>
          <cell r="AN9">
            <v>2131976</v>
          </cell>
          <cell r="AO9" t="str">
            <v>+2131976</v>
          </cell>
        </row>
        <row r="10">
          <cell r="AC10">
            <v>12</v>
          </cell>
          <cell r="AD10">
            <v>49</v>
          </cell>
          <cell r="AE10" t="str">
            <v>EFO</v>
          </cell>
          <cell r="AF10" t="str">
            <v>2</v>
          </cell>
          <cell r="AH10" t="str">
            <v>+2252598</v>
          </cell>
          <cell r="AI10">
            <v>2252598</v>
          </cell>
          <cell r="AN10">
            <v>2252598</v>
          </cell>
          <cell r="AO10" t="str">
            <v>+2252598</v>
          </cell>
        </row>
        <row r="11">
          <cell r="AC11">
            <v>13</v>
          </cell>
          <cell r="AD11">
            <v>50</v>
          </cell>
          <cell r="AE11" t="str">
            <v>EFO</v>
          </cell>
          <cell r="AF11" t="str">
            <v>2</v>
          </cell>
          <cell r="AH11" t="str">
            <v>+2252598</v>
          </cell>
          <cell r="AI11">
            <v>2252598</v>
          </cell>
          <cell r="AN11">
            <v>2252598</v>
          </cell>
          <cell r="AO11" t="str">
            <v>+2252598</v>
          </cell>
        </row>
        <row r="12">
          <cell r="AC12">
            <v>14</v>
          </cell>
          <cell r="AD12">
            <v>51</v>
          </cell>
          <cell r="AE12" t="str">
            <v>EFO</v>
          </cell>
          <cell r="AF12" t="str">
            <v>2</v>
          </cell>
          <cell r="AH12" t="str">
            <v>+2981389-6400</v>
          </cell>
          <cell r="AI12">
            <v>2974989</v>
          </cell>
          <cell r="AN12">
            <v>2974989</v>
          </cell>
          <cell r="AO12" t="str">
            <v>+2981389-6400</v>
          </cell>
        </row>
        <row r="13">
          <cell r="AC13">
            <v>16</v>
          </cell>
          <cell r="AD13">
            <v>36</v>
          </cell>
          <cell r="AE13" t="str">
            <v>GF</v>
          </cell>
          <cell r="AF13" t="str">
            <v>2</v>
          </cell>
          <cell r="AH13" t="str">
            <v>+28657168</v>
          </cell>
          <cell r="AI13">
            <v>28657168</v>
          </cell>
          <cell r="AN13">
            <v>28657168</v>
          </cell>
          <cell r="AO13" t="str">
            <v>+28657168</v>
          </cell>
        </row>
        <row r="14">
          <cell r="AC14">
            <v>17</v>
          </cell>
          <cell r="AD14">
            <v>40</v>
          </cell>
          <cell r="AE14" t="str">
            <v>GF</v>
          </cell>
          <cell r="AF14" t="str">
            <v>2</v>
          </cell>
          <cell r="AH14" t="str">
            <v>+1422967</v>
          </cell>
          <cell r="AI14">
            <v>1422967</v>
          </cell>
          <cell r="AN14">
            <v>1422967</v>
          </cell>
          <cell r="AO14" t="str">
            <v>+1422967</v>
          </cell>
        </row>
        <row r="15">
          <cell r="AC15">
            <v>19</v>
          </cell>
          <cell r="AD15">
            <v>38</v>
          </cell>
          <cell r="AE15" t="str">
            <v>GF</v>
          </cell>
          <cell r="AF15" t="str">
            <v>2</v>
          </cell>
          <cell r="AH15" t="str">
            <v>+28022648</v>
          </cell>
          <cell r="AI15">
            <v>28022648</v>
          </cell>
          <cell r="AN15">
            <v>28022648</v>
          </cell>
          <cell r="AO15" t="str">
            <v>+28022648</v>
          </cell>
        </row>
        <row r="16">
          <cell r="AC16">
            <v>20</v>
          </cell>
          <cell r="AD16">
            <v>41</v>
          </cell>
          <cell r="AE16" t="str">
            <v>GF</v>
          </cell>
          <cell r="AF16" t="str">
            <v>2</v>
          </cell>
          <cell r="AH16" t="str">
            <v>+525429</v>
          </cell>
          <cell r="AI16">
            <v>525429</v>
          </cell>
          <cell r="AN16">
            <v>525429</v>
          </cell>
          <cell r="AO16" t="str">
            <v>+525429</v>
          </cell>
        </row>
        <row r="17">
          <cell r="AC17">
            <v>21</v>
          </cell>
          <cell r="AD17">
            <v>43</v>
          </cell>
          <cell r="AE17" t="str">
            <v>GF</v>
          </cell>
          <cell r="AF17" t="str">
            <v>2</v>
          </cell>
          <cell r="AH17" t="str">
            <v>+0</v>
          </cell>
          <cell r="AI17">
            <v>0</v>
          </cell>
          <cell r="AN17">
            <v>0</v>
          </cell>
          <cell r="AO17" t="str">
            <v>+0</v>
          </cell>
        </row>
        <row r="18">
          <cell r="AC18">
            <v>22</v>
          </cell>
          <cell r="AD18">
            <v>42</v>
          </cell>
          <cell r="AE18" t="str">
            <v>GF</v>
          </cell>
          <cell r="AF18" t="str">
            <v>2</v>
          </cell>
        </row>
        <row r="19">
          <cell r="AC19">
            <v>23</v>
          </cell>
          <cell r="AD19">
            <v>44</v>
          </cell>
          <cell r="AE19" t="str">
            <v>GF</v>
          </cell>
          <cell r="AF19" t="str">
            <v>2</v>
          </cell>
          <cell r="AH19" t="str">
            <v>+1532058</v>
          </cell>
          <cell r="AI19">
            <v>1532058</v>
          </cell>
          <cell r="AN19">
            <v>1532058</v>
          </cell>
          <cell r="AO19" t="str">
            <v>+1532058</v>
          </cell>
        </row>
        <row r="20">
          <cell r="AC20">
            <v>31</v>
          </cell>
          <cell r="AD20">
            <v>67</v>
          </cell>
          <cell r="AE20" t="str">
            <v>EFO</v>
          </cell>
          <cell r="AF20" t="str">
            <v>2</v>
          </cell>
          <cell r="AH20" t="str">
            <v>+924370</v>
          </cell>
          <cell r="AI20">
            <v>924370</v>
          </cell>
          <cell r="AN20">
            <v>924370</v>
          </cell>
          <cell r="AO20" t="str">
            <v>+924370</v>
          </cell>
        </row>
        <row r="21">
          <cell r="AC21">
            <v>42</v>
          </cell>
          <cell r="AD21">
            <v>127</v>
          </cell>
          <cell r="AE21" t="str">
            <v>NF</v>
          </cell>
          <cell r="AF21" t="str">
            <v>1</v>
          </cell>
          <cell r="AH21" t="str">
            <v>n</v>
          </cell>
          <cell r="AO21" t="str">
            <v>n</v>
          </cell>
        </row>
        <row r="22">
          <cell r="AC22">
            <v>43</v>
          </cell>
          <cell r="AD22">
            <v>54</v>
          </cell>
          <cell r="AE22" t="str">
            <v>EFWS</v>
          </cell>
          <cell r="AF22" t="str">
            <v>2</v>
          </cell>
          <cell r="AH22" t="str">
            <v>+1440246+562153</v>
          </cell>
          <cell r="AI22">
            <v>2002399</v>
          </cell>
          <cell r="AN22">
            <v>2002399</v>
          </cell>
          <cell r="AO22" t="str">
            <v>+1440246+562153</v>
          </cell>
        </row>
        <row r="23">
          <cell r="AC23">
            <v>44</v>
          </cell>
          <cell r="AD23">
            <v>55</v>
          </cell>
          <cell r="AE23" t="str">
            <v>EFWS</v>
          </cell>
          <cell r="AF23" t="str">
            <v>2</v>
          </cell>
          <cell r="AH23" t="str">
            <v>+562153+1440246</v>
          </cell>
          <cell r="AI23">
            <v>2002399</v>
          </cell>
          <cell r="AN23">
            <v>2002399</v>
          </cell>
          <cell r="AO23" t="str">
            <v>+562153+1440246</v>
          </cell>
        </row>
        <row r="24">
          <cell r="AC24">
            <v>45</v>
          </cell>
          <cell r="AD24">
            <v>57</v>
          </cell>
          <cell r="AE24" t="str">
            <v>EFWS</v>
          </cell>
          <cell r="AF24" t="str">
            <v>2</v>
          </cell>
          <cell r="AH24" t="str">
            <v>+563977+189354-309</v>
          </cell>
          <cell r="AI24">
            <v>753022</v>
          </cell>
          <cell r="AN24">
            <v>753022</v>
          </cell>
          <cell r="AO24" t="str">
            <v>+563977+189354-309</v>
          </cell>
        </row>
        <row r="25">
          <cell r="AC25">
            <v>49</v>
          </cell>
          <cell r="AD25">
            <v>70</v>
          </cell>
          <cell r="AE25" t="str">
            <v>EFWS</v>
          </cell>
          <cell r="AF25" t="str">
            <v>2</v>
          </cell>
          <cell r="AH25" t="str">
            <v>+250464+93188</v>
          </cell>
          <cell r="AI25">
            <v>343652</v>
          </cell>
          <cell r="AN25">
            <v>343652</v>
          </cell>
          <cell r="AO25" t="str">
            <v>+250464+93188</v>
          </cell>
        </row>
        <row r="26">
          <cell r="AC26">
            <v>50</v>
          </cell>
          <cell r="AD26">
            <v>78</v>
          </cell>
          <cell r="AE26" t="str">
            <v>EFWS</v>
          </cell>
          <cell r="AF26" t="str">
            <v>2</v>
          </cell>
          <cell r="AH26" t="str">
            <v>+7451707+192125</v>
          </cell>
          <cell r="AI26">
            <v>7643832</v>
          </cell>
          <cell r="AN26">
            <v>7643832</v>
          </cell>
          <cell r="AO26" t="str">
            <v>+7451707+192125</v>
          </cell>
        </row>
        <row r="27">
          <cell r="AC27">
            <v>51</v>
          </cell>
          <cell r="AD27">
            <v>86</v>
          </cell>
          <cell r="AE27" t="str">
            <v>EFWS</v>
          </cell>
          <cell r="AF27" t="str">
            <v>2</v>
          </cell>
          <cell r="AH27" t="str">
            <v>+229612+334956</v>
          </cell>
          <cell r="AI27">
            <v>564568</v>
          </cell>
          <cell r="AN27">
            <v>564568</v>
          </cell>
          <cell r="AO27" t="str">
            <v>+229612+334956</v>
          </cell>
        </row>
        <row r="28">
          <cell r="AC28">
            <v>56</v>
          </cell>
          <cell r="AD28">
            <v>125</v>
          </cell>
          <cell r="AE28" t="str">
            <v>NF</v>
          </cell>
          <cell r="AF28" t="str">
            <v>1</v>
          </cell>
          <cell r="AH28" t="str">
            <v>n</v>
          </cell>
          <cell r="AO28" t="str">
            <v>n</v>
          </cell>
        </row>
        <row r="29">
          <cell r="AC29">
            <v>57</v>
          </cell>
          <cell r="AD29">
            <v>124</v>
          </cell>
          <cell r="AE29" t="str">
            <v>NF</v>
          </cell>
          <cell r="AF29" t="str">
            <v>1</v>
          </cell>
          <cell r="AH29" t="str">
            <v>Y</v>
          </cell>
          <cell r="AJ29" t="str">
            <v>very concerned about solid waste and landfill closure - landfill sceduled to cl</v>
          </cell>
          <cell r="AO29" t="str">
            <v>Y</v>
          </cell>
        </row>
        <row r="30">
          <cell r="AC30">
            <v>58</v>
          </cell>
          <cell r="AD30">
            <v>123</v>
          </cell>
          <cell r="AE30" t="str">
            <v>GF</v>
          </cell>
          <cell r="AF30" t="str">
            <v>1</v>
          </cell>
          <cell r="AH30" t="str">
            <v>n</v>
          </cell>
          <cell r="AO30" t="str">
            <v>n</v>
          </cell>
        </row>
        <row r="31">
          <cell r="AC31">
            <v>59</v>
          </cell>
          <cell r="AD31">
            <v>122</v>
          </cell>
          <cell r="AE31" t="str">
            <v>GF</v>
          </cell>
          <cell r="AF31" t="str">
            <v>1</v>
          </cell>
          <cell r="AH31" t="str">
            <v>n</v>
          </cell>
          <cell r="AJ31" t="str">
            <v>Agency BS should be before notes</v>
          </cell>
          <cell r="AO31" t="str">
            <v>n</v>
          </cell>
        </row>
        <row r="32">
          <cell r="AC32">
            <v>61</v>
          </cell>
          <cell r="AD32">
            <v>115</v>
          </cell>
          <cell r="AE32" t="str">
            <v>NF</v>
          </cell>
          <cell r="AF32" t="str">
            <v>2</v>
          </cell>
          <cell r="AH32" t="str">
            <v>+96.02</v>
          </cell>
          <cell r="AI32">
            <v>96.02</v>
          </cell>
          <cell r="AN32">
            <v>96.02</v>
          </cell>
          <cell r="AO32" t="str">
            <v>+96.02</v>
          </cell>
        </row>
        <row r="33">
          <cell r="AC33">
            <v>63</v>
          </cell>
          <cell r="AD33">
            <v>119</v>
          </cell>
          <cell r="AE33" t="str">
            <v>NF</v>
          </cell>
          <cell r="AF33" t="str">
            <v>1</v>
          </cell>
          <cell r="AH33" t="str">
            <v>n</v>
          </cell>
          <cell r="AO33" t="str">
            <v>n</v>
          </cell>
        </row>
        <row r="34">
          <cell r="AC34">
            <v>64</v>
          </cell>
          <cell r="AD34">
            <v>120</v>
          </cell>
          <cell r="AE34" t="str">
            <v>NF</v>
          </cell>
          <cell r="AF34" t="str">
            <v>1</v>
          </cell>
          <cell r="AH34" t="str">
            <v>n</v>
          </cell>
          <cell r="AO34" t="str">
            <v>n</v>
          </cell>
        </row>
        <row r="35">
          <cell r="AC35">
            <v>65</v>
          </cell>
          <cell r="AD35">
            <v>121</v>
          </cell>
          <cell r="AE35" t="str">
            <v>NF</v>
          </cell>
          <cell r="AF35" t="str">
            <v>1</v>
          </cell>
          <cell r="AH35" t="str">
            <v>n</v>
          </cell>
          <cell r="AO35" t="str">
            <v>n</v>
          </cell>
        </row>
        <row r="36">
          <cell r="AC36">
            <v>66</v>
          </cell>
          <cell r="AD36">
            <v>118</v>
          </cell>
          <cell r="AE36" t="str">
            <v>NF</v>
          </cell>
          <cell r="AF36" t="str">
            <v>1</v>
          </cell>
          <cell r="AH36" t="str">
            <v>0</v>
          </cell>
          <cell r="AO36" t="str">
            <v>0</v>
          </cell>
        </row>
        <row r="37">
          <cell r="AC37">
            <v>67</v>
          </cell>
          <cell r="AD37">
            <v>129</v>
          </cell>
          <cell r="AE37" t="str">
            <v>NF</v>
          </cell>
          <cell r="AF37" t="str">
            <v>1</v>
          </cell>
          <cell r="AH37" t="str">
            <v>n</v>
          </cell>
          <cell r="AJ37" t="str">
            <v>Agency BS and landfill</v>
          </cell>
          <cell r="AO37" t="str">
            <v>n</v>
          </cell>
        </row>
        <row r="38">
          <cell r="AC38">
            <v>68</v>
          </cell>
          <cell r="AD38">
            <v>128</v>
          </cell>
          <cell r="AE38" t="str">
            <v>NF</v>
          </cell>
          <cell r="AF38" t="str">
            <v>1</v>
          </cell>
          <cell r="AH38" t="str">
            <v>y</v>
          </cell>
          <cell r="AO38" t="str">
            <v>y</v>
          </cell>
        </row>
        <row r="39">
          <cell r="AC39">
            <v>71</v>
          </cell>
          <cell r="AD39">
            <v>130</v>
          </cell>
          <cell r="AE39" t="str">
            <v>NF</v>
          </cell>
          <cell r="AF39" t="str">
            <v>1</v>
          </cell>
          <cell r="AH39" t="str">
            <v>N</v>
          </cell>
          <cell r="AO39" t="str">
            <v>N</v>
          </cell>
        </row>
        <row r="40">
          <cell r="AC40">
            <v>79</v>
          </cell>
          <cell r="AD40">
            <v>62</v>
          </cell>
          <cell r="AE40" t="str">
            <v>EFWS</v>
          </cell>
          <cell r="AF40" t="str">
            <v>1</v>
          </cell>
          <cell r="AH40" t="str">
            <v>n</v>
          </cell>
          <cell r="AO40" t="str">
            <v>n</v>
          </cell>
        </row>
        <row r="41">
          <cell r="AC41">
            <v>80</v>
          </cell>
          <cell r="AD41">
            <v>52</v>
          </cell>
          <cell r="AE41" t="str">
            <v>EFWS</v>
          </cell>
          <cell r="AF41" t="str">
            <v>2</v>
          </cell>
          <cell r="AH41" t="str">
            <v>+1161540+463875</v>
          </cell>
          <cell r="AI41">
            <v>1625415</v>
          </cell>
          <cell r="AN41">
            <v>1625415</v>
          </cell>
          <cell r="AO41" t="str">
            <v>+1161540+463875</v>
          </cell>
        </row>
        <row r="42">
          <cell r="AC42">
            <v>81</v>
          </cell>
          <cell r="AD42">
            <v>53</v>
          </cell>
          <cell r="AE42" t="str">
            <v>EFWS</v>
          </cell>
          <cell r="AF42" t="str">
            <v>2</v>
          </cell>
          <cell r="AH42" t="str">
            <v>+142450+98278</v>
          </cell>
          <cell r="AI42">
            <v>240728</v>
          </cell>
          <cell r="AN42">
            <v>240728</v>
          </cell>
          <cell r="AO42" t="str">
            <v>+142450+98278</v>
          </cell>
        </row>
        <row r="43">
          <cell r="AC43">
            <v>82</v>
          </cell>
          <cell r="AD43">
            <v>103</v>
          </cell>
          <cell r="AE43" t="str">
            <v>EFWS</v>
          </cell>
          <cell r="AF43" t="str">
            <v>2</v>
          </cell>
          <cell r="AH43" t="str">
            <v>+1305696+3519615</v>
          </cell>
          <cell r="AI43">
            <v>4825311</v>
          </cell>
          <cell r="AN43">
            <v>4825311</v>
          </cell>
          <cell r="AO43" t="str">
            <v>+1305696+3519615</v>
          </cell>
        </row>
        <row r="44">
          <cell r="AC44">
            <v>83</v>
          </cell>
          <cell r="AD44">
            <v>61</v>
          </cell>
          <cell r="AE44" t="str">
            <v>EFWS</v>
          </cell>
          <cell r="AF44" t="str">
            <v>2</v>
          </cell>
          <cell r="AH44" t="str">
            <v>+8492177+1055841</v>
          </cell>
          <cell r="AI44">
            <v>9548018</v>
          </cell>
          <cell r="AN44">
            <v>9548018</v>
          </cell>
          <cell r="AO44" t="str">
            <v>+8492177+1055841</v>
          </cell>
        </row>
        <row r="45">
          <cell r="AC45">
            <v>84</v>
          </cell>
          <cell r="AD45">
            <v>69</v>
          </cell>
          <cell r="AE45" t="str">
            <v>EFWS</v>
          </cell>
          <cell r="AF45" t="str">
            <v>2</v>
          </cell>
          <cell r="AH45" t="str">
            <v>+2144006</v>
          </cell>
          <cell r="AI45">
            <v>2144006</v>
          </cell>
          <cell r="AN45">
            <v>2144006</v>
          </cell>
          <cell r="AO45" t="str">
            <v>+2144006</v>
          </cell>
        </row>
        <row r="46">
          <cell r="AC46">
            <v>85</v>
          </cell>
          <cell r="AD46">
            <v>71</v>
          </cell>
          <cell r="AE46" t="str">
            <v>EFWS</v>
          </cell>
          <cell r="AF46" t="str">
            <v>2</v>
          </cell>
          <cell r="AH46" t="str">
            <v>+951793+864576</v>
          </cell>
          <cell r="AI46">
            <v>1816369</v>
          </cell>
          <cell r="AN46">
            <v>1816369</v>
          </cell>
          <cell r="AO46" t="str">
            <v>+951793+864576</v>
          </cell>
        </row>
        <row r="47">
          <cell r="AC47">
            <v>88</v>
          </cell>
          <cell r="AD47">
            <v>68</v>
          </cell>
          <cell r="AE47" t="str">
            <v>EFWS</v>
          </cell>
          <cell r="AF47" t="str">
            <v>2</v>
          </cell>
          <cell r="AH47" t="str">
            <v>+1031335+1112671</v>
          </cell>
          <cell r="AI47">
            <v>2144006</v>
          </cell>
          <cell r="AN47">
            <v>2144006</v>
          </cell>
          <cell r="AO47" t="str">
            <v>+1031335+1112671</v>
          </cell>
        </row>
        <row r="48">
          <cell r="AC48">
            <v>89</v>
          </cell>
          <cell r="AD48">
            <v>72</v>
          </cell>
          <cell r="AE48" t="str">
            <v>EFWS</v>
          </cell>
          <cell r="AF48" t="str">
            <v>2</v>
          </cell>
          <cell r="AH48" t="str">
            <v>+56725</v>
          </cell>
          <cell r="AI48">
            <v>56725</v>
          </cell>
          <cell r="AN48">
            <v>56725</v>
          </cell>
          <cell r="AO48" t="str">
            <v>+56725</v>
          </cell>
        </row>
        <row r="49">
          <cell r="AC49">
            <v>102</v>
          </cell>
          <cell r="AD49">
            <v>116</v>
          </cell>
          <cell r="AE49" t="str">
            <v>NF</v>
          </cell>
          <cell r="AF49" t="str">
            <v>2</v>
          </cell>
          <cell r="AH49" t="str">
            <v>+96.69</v>
          </cell>
          <cell r="AI49">
            <v>96.69</v>
          </cell>
          <cell r="AN49">
            <v>96.69</v>
          </cell>
          <cell r="AO49" t="str">
            <v>+96.69</v>
          </cell>
        </row>
        <row r="50">
          <cell r="AC50">
            <v>103</v>
          </cell>
          <cell r="AD50">
            <v>117</v>
          </cell>
          <cell r="AE50" t="str">
            <v>NF</v>
          </cell>
          <cell r="AF50" t="str">
            <v>2</v>
          </cell>
          <cell r="AH50" t="str">
            <v>+89.37</v>
          </cell>
          <cell r="AI50">
            <v>89.37</v>
          </cell>
          <cell r="AN50">
            <v>89.37</v>
          </cell>
          <cell r="AO50" t="str">
            <v>+89.37</v>
          </cell>
        </row>
        <row r="51">
          <cell r="AC51">
            <v>147</v>
          </cell>
          <cell r="AD51">
            <v>111</v>
          </cell>
          <cell r="AE51" t="str">
            <v>GF</v>
          </cell>
          <cell r="AF51" t="str">
            <v>2</v>
          </cell>
          <cell r="AH51" t="str">
            <v>+5000000</v>
          </cell>
          <cell r="AI51">
            <v>5000000</v>
          </cell>
          <cell r="AN51">
            <v>5000000</v>
          </cell>
          <cell r="AO51" t="str">
            <v>+5000000</v>
          </cell>
        </row>
        <row r="52">
          <cell r="AC52">
            <v>148</v>
          </cell>
          <cell r="AD52">
            <v>112</v>
          </cell>
          <cell r="AE52" t="str">
            <v>GF</v>
          </cell>
          <cell r="AF52" t="str">
            <v>2</v>
          </cell>
          <cell r="AH52" t="str">
            <v>+150000</v>
          </cell>
          <cell r="AI52">
            <v>150000</v>
          </cell>
          <cell r="AN52">
            <v>150000</v>
          </cell>
          <cell r="AO52" t="str">
            <v>+150000</v>
          </cell>
        </row>
        <row r="53">
          <cell r="AC53">
            <v>171</v>
          </cell>
          <cell r="AD53">
            <v>45</v>
          </cell>
          <cell r="AE53" t="str">
            <v>GF</v>
          </cell>
          <cell r="AF53" t="str">
            <v>2</v>
          </cell>
          <cell r="AH53" t="str">
            <v>+1379392+435435</v>
          </cell>
          <cell r="AI53">
            <v>1814827</v>
          </cell>
          <cell r="AN53">
            <v>1814827</v>
          </cell>
          <cell r="AO53" t="str">
            <v>+1379392+435435</v>
          </cell>
        </row>
        <row r="54">
          <cell r="AC54">
            <v>191</v>
          </cell>
          <cell r="AD54">
            <v>75</v>
          </cell>
          <cell r="AE54" t="str">
            <v>EFWS</v>
          </cell>
          <cell r="AF54" t="str">
            <v>2</v>
          </cell>
          <cell r="AH54" t="str">
            <v>+866550</v>
          </cell>
          <cell r="AI54">
            <v>866550</v>
          </cell>
          <cell r="AN54">
            <v>866550</v>
          </cell>
          <cell r="AO54" t="str">
            <v>+866550</v>
          </cell>
        </row>
        <row r="55">
          <cell r="AC55">
            <v>231</v>
          </cell>
          <cell r="AD55">
            <v>25</v>
          </cell>
          <cell r="AE55" t="str">
            <v>GF</v>
          </cell>
          <cell r="AF55" t="str">
            <v>2</v>
          </cell>
          <cell r="AH55" t="str">
            <v>+7033772</v>
          </cell>
          <cell r="AI55">
            <v>7033772</v>
          </cell>
          <cell r="AN55">
            <v>7033772</v>
          </cell>
          <cell r="AO55" t="str">
            <v>+7033772</v>
          </cell>
        </row>
        <row r="56">
          <cell r="AC56">
            <v>251</v>
          </cell>
          <cell r="AD56">
            <v>1</v>
          </cell>
          <cell r="AE56" t="str">
            <v>NF</v>
          </cell>
          <cell r="AF56" t="str">
            <v>2</v>
          </cell>
          <cell r="AH56" t="str">
            <v>+11695331</v>
          </cell>
          <cell r="AI56">
            <v>11695331</v>
          </cell>
          <cell r="AJ56" t="str">
            <v>no Agency funds in statements but notes indicate they exist</v>
          </cell>
          <cell r="AN56">
            <v>11695331</v>
          </cell>
          <cell r="AO56" t="str">
            <v>+11695331</v>
          </cell>
        </row>
        <row r="57">
          <cell r="AC57">
            <v>252</v>
          </cell>
          <cell r="AD57">
            <v>7</v>
          </cell>
          <cell r="AE57" t="str">
            <v>GF</v>
          </cell>
          <cell r="AF57" t="str">
            <v>2</v>
          </cell>
          <cell r="AH57" t="str">
            <v>+7724295</v>
          </cell>
          <cell r="AI57">
            <v>7724295</v>
          </cell>
          <cell r="AN57">
            <v>7724295</v>
          </cell>
          <cell r="AO57" t="str">
            <v>+7724295</v>
          </cell>
        </row>
        <row r="58">
          <cell r="AC58">
            <v>253</v>
          </cell>
          <cell r="AD58">
            <v>8</v>
          </cell>
          <cell r="AE58" t="str">
            <v>GF</v>
          </cell>
          <cell r="AF58" t="str">
            <v>2</v>
          </cell>
          <cell r="AH58" t="str">
            <v>+1653914+9454+26522</v>
          </cell>
          <cell r="AI58">
            <v>1689890</v>
          </cell>
          <cell r="AN58">
            <v>1689890</v>
          </cell>
          <cell r="AO58" t="str">
            <v>+1653914+9454+26522</v>
          </cell>
        </row>
        <row r="59">
          <cell r="AC59">
            <v>254</v>
          </cell>
          <cell r="AD59">
            <v>9</v>
          </cell>
          <cell r="AE59" t="str">
            <v>GF</v>
          </cell>
          <cell r="AF59" t="str">
            <v>2</v>
          </cell>
          <cell r="AH59" t="str">
            <v>-1815315</v>
          </cell>
          <cell r="AI59">
            <v>-1815315</v>
          </cell>
          <cell r="AN59">
            <v>-1815315</v>
          </cell>
          <cell r="AO59" t="str">
            <v>-1815315</v>
          </cell>
        </row>
        <row r="60">
          <cell r="AC60">
            <v>255</v>
          </cell>
          <cell r="AD60">
            <v>20</v>
          </cell>
          <cell r="AE60" t="str">
            <v>GF</v>
          </cell>
          <cell r="AF60" t="str">
            <v>2</v>
          </cell>
          <cell r="AH60" t="str">
            <v>+2231384</v>
          </cell>
          <cell r="AI60">
            <v>2231384</v>
          </cell>
          <cell r="AN60">
            <v>2231384</v>
          </cell>
          <cell r="AO60" t="str">
            <v>+2231384</v>
          </cell>
        </row>
        <row r="61">
          <cell r="AC61">
            <v>258</v>
          </cell>
          <cell r="AD61">
            <v>10</v>
          </cell>
          <cell r="AE61" t="str">
            <v>NF</v>
          </cell>
          <cell r="AF61" t="str">
            <v>2</v>
          </cell>
          <cell r="AH61" t="str">
            <v>+9576154</v>
          </cell>
          <cell r="AI61">
            <v>9576154</v>
          </cell>
          <cell r="AN61">
            <v>9576154</v>
          </cell>
          <cell r="AO61" t="str">
            <v>+9576154</v>
          </cell>
        </row>
        <row r="62">
          <cell r="AC62">
            <v>259</v>
          </cell>
          <cell r="AD62">
            <v>11</v>
          </cell>
          <cell r="AE62" t="str">
            <v>NF</v>
          </cell>
          <cell r="AF62" t="str">
            <v>2</v>
          </cell>
          <cell r="AH62" t="str">
            <v>+0</v>
          </cell>
          <cell r="AI62">
            <v>0</v>
          </cell>
          <cell r="AN62">
            <v>0</v>
          </cell>
          <cell r="AO62" t="str">
            <v>+0</v>
          </cell>
        </row>
        <row r="63">
          <cell r="AC63">
            <v>260</v>
          </cell>
          <cell r="AD63">
            <v>12</v>
          </cell>
          <cell r="AE63" t="str">
            <v>NF</v>
          </cell>
          <cell r="AF63" t="str">
            <v>2</v>
          </cell>
          <cell r="AH63" t="str">
            <v>-432885</v>
          </cell>
          <cell r="AI63">
            <v>-432885</v>
          </cell>
          <cell r="AN63">
            <v>-432885</v>
          </cell>
          <cell r="AO63" t="str">
            <v>-432885</v>
          </cell>
        </row>
        <row r="64">
          <cell r="AC64">
            <v>261</v>
          </cell>
          <cell r="AD64">
            <v>23</v>
          </cell>
          <cell r="AE64" t="str">
            <v>NF</v>
          </cell>
          <cell r="AF64" t="str">
            <v>2</v>
          </cell>
          <cell r="AH64" t="str">
            <v>+924370</v>
          </cell>
          <cell r="AI64">
            <v>924370</v>
          </cell>
          <cell r="AN64">
            <v>924370</v>
          </cell>
          <cell r="AO64" t="str">
            <v>+924370</v>
          </cell>
        </row>
        <row r="65">
          <cell r="AC65">
            <v>264</v>
          </cell>
          <cell r="AD65">
            <v>47</v>
          </cell>
          <cell r="AE65" t="str">
            <v>GF</v>
          </cell>
          <cell r="AF65" t="str">
            <v>1</v>
          </cell>
          <cell r="AH65" t="str">
            <v>n</v>
          </cell>
          <cell r="AO65" t="str">
            <v>n</v>
          </cell>
        </row>
        <row r="66">
          <cell r="AC66">
            <v>273</v>
          </cell>
          <cell r="AD66">
            <v>48</v>
          </cell>
          <cell r="AE66" t="str">
            <v>GF</v>
          </cell>
          <cell r="AF66" t="str">
            <v>1</v>
          </cell>
          <cell r="AH66" t="str">
            <v>n</v>
          </cell>
          <cell r="AO66" t="str">
            <v>n</v>
          </cell>
        </row>
        <row r="67">
          <cell r="AC67">
            <v>318</v>
          </cell>
          <cell r="AD67">
            <v>126</v>
          </cell>
          <cell r="AE67" t="str">
            <v>NF</v>
          </cell>
          <cell r="AF67" t="str">
            <v>1</v>
          </cell>
          <cell r="AH67" t="str">
            <v>n</v>
          </cell>
          <cell r="AO67" t="str">
            <v>n</v>
          </cell>
        </row>
        <row r="68">
          <cell r="AC68">
            <v>320</v>
          </cell>
          <cell r="AD68">
            <v>106</v>
          </cell>
          <cell r="AE68" t="str">
            <v>NF</v>
          </cell>
          <cell r="AF68" t="str">
            <v>2</v>
          </cell>
          <cell r="AH68" t="str">
            <v>+2156883</v>
          </cell>
          <cell r="AI68">
            <v>2156883</v>
          </cell>
          <cell r="AN68">
            <v>2156883</v>
          </cell>
          <cell r="AO68" t="str">
            <v>+2156883</v>
          </cell>
        </row>
        <row r="69">
          <cell r="AC69">
            <v>321</v>
          </cell>
          <cell r="AD69">
            <v>105</v>
          </cell>
          <cell r="AE69" t="str">
            <v>NF</v>
          </cell>
          <cell r="AF69" t="str">
            <v>2</v>
          </cell>
          <cell r="AH69" t="str">
            <v>+1144567</v>
          </cell>
          <cell r="AI69">
            <v>1144567</v>
          </cell>
          <cell r="AN69">
            <v>1144567</v>
          </cell>
          <cell r="AO69" t="str">
            <v>+1144567</v>
          </cell>
        </row>
        <row r="70">
          <cell r="AC70">
            <v>322</v>
          </cell>
          <cell r="AD70">
            <v>108</v>
          </cell>
          <cell r="AE70" t="str">
            <v>NF</v>
          </cell>
          <cell r="AF70" t="str">
            <v>2</v>
          </cell>
          <cell r="AH70" t="str">
            <v>+9133405</v>
          </cell>
          <cell r="AI70">
            <v>9133405</v>
          </cell>
          <cell r="AN70">
            <v>9133405</v>
          </cell>
          <cell r="AO70" t="str">
            <v>+9133405</v>
          </cell>
        </row>
        <row r="71">
          <cell r="AC71">
            <v>323</v>
          </cell>
          <cell r="AD71">
            <v>107</v>
          </cell>
          <cell r="AE71" t="str">
            <v>NF</v>
          </cell>
          <cell r="AF71" t="str">
            <v>2</v>
          </cell>
          <cell r="AH71" t="str">
            <v>+0</v>
          </cell>
          <cell r="AI71">
            <v>0</v>
          </cell>
          <cell r="AN71">
            <v>0</v>
          </cell>
          <cell r="AO71" t="str">
            <v>+0</v>
          </cell>
        </row>
        <row r="72">
          <cell r="AC72">
            <v>324</v>
          </cell>
          <cell r="AD72">
            <v>104</v>
          </cell>
          <cell r="AE72" t="str">
            <v>NF</v>
          </cell>
          <cell r="AF72" t="str">
            <v>2</v>
          </cell>
          <cell r="AH72" t="str">
            <v>+1144567</v>
          </cell>
          <cell r="AI72">
            <v>1144567</v>
          </cell>
          <cell r="AN72">
            <v>1144567</v>
          </cell>
          <cell r="AO72" t="str">
            <v>+1144567</v>
          </cell>
        </row>
        <row r="73">
          <cell r="AC73">
            <v>325</v>
          </cell>
          <cell r="AD73">
            <v>109</v>
          </cell>
          <cell r="AE73" t="str">
            <v>NF</v>
          </cell>
          <cell r="AF73" t="str">
            <v>2</v>
          </cell>
          <cell r="AH73" t="str">
            <v>+98.9</v>
          </cell>
          <cell r="AI73">
            <v>98.9</v>
          </cell>
          <cell r="AN73">
            <v>98.9</v>
          </cell>
          <cell r="AO73" t="str">
            <v>+98.9</v>
          </cell>
        </row>
        <row r="74">
          <cell r="AC74">
            <v>326</v>
          </cell>
          <cell r="AD74">
            <v>96</v>
          </cell>
          <cell r="AE74" t="str">
            <v>EFWS</v>
          </cell>
          <cell r="AF74" t="str">
            <v>2</v>
          </cell>
          <cell r="AH74" t="str">
            <v>+5398356+13327987-5010186</v>
          </cell>
          <cell r="AI74">
            <v>13716157</v>
          </cell>
          <cell r="AN74">
            <v>13716157</v>
          </cell>
          <cell r="AO74" t="str">
            <v>+5398356+13327987-5010186</v>
          </cell>
        </row>
        <row r="75">
          <cell r="AC75">
            <v>327</v>
          </cell>
          <cell r="AD75">
            <v>94</v>
          </cell>
          <cell r="AE75" t="str">
            <v>EFWS</v>
          </cell>
          <cell r="AF75" t="str">
            <v>2</v>
          </cell>
        </row>
        <row r="76">
          <cell r="AC76">
            <v>328</v>
          </cell>
          <cell r="AD76">
            <v>93</v>
          </cell>
          <cell r="AE76" t="str">
            <v>EFWS</v>
          </cell>
          <cell r="AF76" t="str">
            <v>2</v>
          </cell>
          <cell r="AH76" t="str">
            <v>+5398356</v>
          </cell>
          <cell r="AI76">
            <v>5398356</v>
          </cell>
          <cell r="AN76">
            <v>5398356</v>
          </cell>
          <cell r="AO76" t="str">
            <v>+5398356</v>
          </cell>
        </row>
        <row r="77">
          <cell r="AC77">
            <v>329</v>
          </cell>
          <cell r="AD77">
            <v>97</v>
          </cell>
          <cell r="AE77" t="str">
            <v>EFWS</v>
          </cell>
          <cell r="AF77" t="str">
            <v>2</v>
          </cell>
          <cell r="AH77" t="str">
            <v>+377608</v>
          </cell>
          <cell r="AI77">
            <v>377608</v>
          </cell>
          <cell r="AN77">
            <v>377608</v>
          </cell>
          <cell r="AO77" t="str">
            <v>+377608</v>
          </cell>
        </row>
        <row r="78">
          <cell r="AC78">
            <v>330</v>
          </cell>
          <cell r="AD78">
            <v>98</v>
          </cell>
          <cell r="AE78" t="str">
            <v>EFWS</v>
          </cell>
          <cell r="AF78" t="str">
            <v>2</v>
          </cell>
          <cell r="AH78" t="str">
            <v>+5010186</v>
          </cell>
          <cell r="AI78">
            <v>5010186</v>
          </cell>
          <cell r="AN78">
            <v>5010186</v>
          </cell>
          <cell r="AO78" t="str">
            <v>+5010186</v>
          </cell>
        </row>
        <row r="79">
          <cell r="AC79">
            <v>331</v>
          </cell>
          <cell r="AD79">
            <v>88</v>
          </cell>
          <cell r="AE79" t="str">
            <v>EFWS</v>
          </cell>
          <cell r="AF79" t="str">
            <v>2</v>
          </cell>
          <cell r="AH79" t="str">
            <v>+166196</v>
          </cell>
          <cell r="AI79">
            <v>166196</v>
          </cell>
          <cell r="AN79">
            <v>166196</v>
          </cell>
          <cell r="AO79" t="str">
            <v>+166196</v>
          </cell>
        </row>
        <row r="80">
          <cell r="AC80">
            <v>332</v>
          </cell>
          <cell r="AD80">
            <v>87</v>
          </cell>
          <cell r="AE80" t="str">
            <v>EFWS</v>
          </cell>
          <cell r="AF80" t="str">
            <v>2</v>
          </cell>
          <cell r="AH80" t="str">
            <v>+970926</v>
          </cell>
          <cell r="AI80">
            <v>970926</v>
          </cell>
          <cell r="AN80">
            <v>970926</v>
          </cell>
          <cell r="AO80" t="str">
            <v>+970926</v>
          </cell>
        </row>
        <row r="81">
          <cell r="AC81">
            <v>333</v>
          </cell>
          <cell r="AD81">
            <v>2</v>
          </cell>
          <cell r="AE81" t="str">
            <v>GF</v>
          </cell>
          <cell r="AF81" t="str">
            <v>2</v>
          </cell>
          <cell r="AH81" t="str">
            <v>+9924515</v>
          </cell>
          <cell r="AI81">
            <v>9924515</v>
          </cell>
          <cell r="AN81">
            <v>9924515</v>
          </cell>
          <cell r="AO81" t="str">
            <v>+9924515</v>
          </cell>
        </row>
        <row r="82">
          <cell r="AC82">
            <v>334</v>
          </cell>
          <cell r="AD82">
            <v>91</v>
          </cell>
          <cell r="AE82" t="str">
            <v>GF</v>
          </cell>
          <cell r="AF82" t="str">
            <v>2</v>
          </cell>
          <cell r="AH82" t="str">
            <v>+17006136</v>
          </cell>
          <cell r="AI82">
            <v>17006136</v>
          </cell>
          <cell r="AN82">
            <v>17006136</v>
          </cell>
          <cell r="AO82" t="str">
            <v>+17006136</v>
          </cell>
        </row>
        <row r="83">
          <cell r="AC83">
            <v>335</v>
          </cell>
          <cell r="AD83">
            <v>6</v>
          </cell>
          <cell r="AE83" t="str">
            <v>GF</v>
          </cell>
          <cell r="AF83" t="str">
            <v>2</v>
          </cell>
          <cell r="AH83" t="str">
            <v>+126854</v>
          </cell>
          <cell r="AI83">
            <v>126854</v>
          </cell>
          <cell r="AN83">
            <v>126854</v>
          </cell>
          <cell r="AO83" t="str">
            <v>+126854</v>
          </cell>
        </row>
        <row r="84">
          <cell r="AC84">
            <v>336</v>
          </cell>
          <cell r="AD84">
            <v>5</v>
          </cell>
          <cell r="AE84" t="str">
            <v>GF</v>
          </cell>
          <cell r="AF84" t="str">
            <v>2</v>
          </cell>
          <cell r="AH84" t="str">
            <v>+902188+552196+126854+1082033</v>
          </cell>
          <cell r="AI84">
            <v>2663271</v>
          </cell>
          <cell r="AN84">
            <v>2663271</v>
          </cell>
          <cell r="AO84" t="str">
            <v>+902188+552196+126854+1082033</v>
          </cell>
        </row>
        <row r="85">
          <cell r="AC85">
            <v>337</v>
          </cell>
          <cell r="AD85">
            <v>101</v>
          </cell>
          <cell r="AE85" t="str">
            <v>GF</v>
          </cell>
          <cell r="AF85" t="str">
            <v>2</v>
          </cell>
          <cell r="AH85" t="str">
            <v>+9440484</v>
          </cell>
          <cell r="AI85">
            <v>9440484</v>
          </cell>
          <cell r="AN85">
            <v>9440484</v>
          </cell>
          <cell r="AO85" t="str">
            <v>+9440484</v>
          </cell>
        </row>
        <row r="86">
          <cell r="AC86">
            <v>338</v>
          </cell>
          <cell r="AD86">
            <v>4</v>
          </cell>
          <cell r="AE86" t="str">
            <v>GF</v>
          </cell>
          <cell r="AF86" t="str">
            <v>2</v>
          </cell>
          <cell r="AH86" t="str">
            <v>+14160156</v>
          </cell>
          <cell r="AI86">
            <v>14160156</v>
          </cell>
          <cell r="AN86">
            <v>14160156</v>
          </cell>
          <cell r="AO86" t="str">
            <v>+14160156</v>
          </cell>
        </row>
        <row r="87">
          <cell r="AC87">
            <v>339</v>
          </cell>
          <cell r="AD87">
            <v>14</v>
          </cell>
          <cell r="AE87" t="str">
            <v>GF</v>
          </cell>
          <cell r="AF87" t="str">
            <v>2</v>
          </cell>
          <cell r="AH87" t="str">
            <v>+4233711</v>
          </cell>
          <cell r="AI87">
            <v>4233711</v>
          </cell>
          <cell r="AN87">
            <v>4233711</v>
          </cell>
          <cell r="AO87" t="str">
            <v>+4233711</v>
          </cell>
        </row>
        <row r="88">
          <cell r="AC88">
            <v>340</v>
          </cell>
          <cell r="AD88">
            <v>15</v>
          </cell>
          <cell r="AE88" t="str">
            <v>GF</v>
          </cell>
          <cell r="AF88" t="str">
            <v>2</v>
          </cell>
          <cell r="AH88" t="str">
            <v>+4233711+6103404</v>
          </cell>
          <cell r="AI88">
            <v>10337115</v>
          </cell>
          <cell r="AN88">
            <v>10337115</v>
          </cell>
          <cell r="AO88" t="str">
            <v>+4233711+6103404</v>
          </cell>
        </row>
        <row r="89">
          <cell r="AC89">
            <v>341</v>
          </cell>
          <cell r="AD89">
            <v>16</v>
          </cell>
          <cell r="AE89" t="str">
            <v>GF</v>
          </cell>
          <cell r="AF89" t="str">
            <v>2</v>
          </cell>
          <cell r="AH89" t="str">
            <v>+21918131+25003</v>
          </cell>
          <cell r="AI89">
            <v>21943134</v>
          </cell>
          <cell r="AN89">
            <v>21943134</v>
          </cell>
          <cell r="AO89" t="str">
            <v>+21918131+25003</v>
          </cell>
        </row>
        <row r="90">
          <cell r="AC90">
            <v>343</v>
          </cell>
          <cell r="AD90">
            <v>102</v>
          </cell>
          <cell r="AE90" t="str">
            <v>GF</v>
          </cell>
          <cell r="AF90" t="str">
            <v>2</v>
          </cell>
          <cell r="AH90" t="str">
            <v>+1379392</v>
          </cell>
          <cell r="AI90">
            <v>1379392</v>
          </cell>
          <cell r="AN90">
            <v>1379392</v>
          </cell>
          <cell r="AO90" t="str">
            <v>+1379392</v>
          </cell>
        </row>
        <row r="91">
          <cell r="AC91">
            <v>344</v>
          </cell>
          <cell r="AD91">
            <v>13</v>
          </cell>
          <cell r="AE91" t="str">
            <v>GF</v>
          </cell>
          <cell r="AF91" t="str">
            <v>2</v>
          </cell>
          <cell r="AH91" t="str">
            <v>+435435</v>
          </cell>
          <cell r="AI91">
            <v>435435</v>
          </cell>
          <cell r="AN91">
            <v>435435</v>
          </cell>
          <cell r="AO91" t="str">
            <v>+435435</v>
          </cell>
        </row>
        <row r="92">
          <cell r="AC92">
            <v>346</v>
          </cell>
          <cell r="AD92">
            <v>95</v>
          </cell>
          <cell r="AE92" t="str">
            <v>EFWS</v>
          </cell>
          <cell r="AF92" t="str">
            <v>2</v>
          </cell>
          <cell r="AH92" t="str">
            <v>+13327987</v>
          </cell>
          <cell r="AI92">
            <v>13327987</v>
          </cell>
          <cell r="AN92">
            <v>13327987</v>
          </cell>
          <cell r="AO92" t="str">
            <v>+13327987</v>
          </cell>
        </row>
        <row r="93">
          <cell r="AC93">
            <v>347</v>
          </cell>
          <cell r="AD93">
            <v>99</v>
          </cell>
          <cell r="AE93" t="str">
            <v>EFWS</v>
          </cell>
          <cell r="AF93" t="str">
            <v>2</v>
          </cell>
          <cell r="AH93" t="str">
            <v>+5010186</v>
          </cell>
          <cell r="AI93">
            <v>5010186</v>
          </cell>
          <cell r="AN93">
            <v>5010186</v>
          </cell>
          <cell r="AO93" t="str">
            <v>+5010186</v>
          </cell>
        </row>
        <row r="94">
          <cell r="AC94">
            <v>349</v>
          </cell>
          <cell r="AD94">
            <v>59</v>
          </cell>
          <cell r="AE94" t="str">
            <v>EFWS</v>
          </cell>
          <cell r="AF94" t="str">
            <v>2</v>
          </cell>
          <cell r="AH94" t="str">
            <v>+3864199+1353393</v>
          </cell>
          <cell r="AI94">
            <v>5217592</v>
          </cell>
          <cell r="AN94">
            <v>5217592</v>
          </cell>
          <cell r="AO94" t="str">
            <v>+3864199+1353393</v>
          </cell>
        </row>
        <row r="95">
          <cell r="AC95">
            <v>350</v>
          </cell>
          <cell r="AD95">
            <v>73</v>
          </cell>
          <cell r="AE95" t="str">
            <v>EFWS</v>
          </cell>
          <cell r="AF95" t="str">
            <v>2</v>
          </cell>
          <cell r="AH95" t="str">
            <v>+758+755</v>
          </cell>
          <cell r="AI95">
            <v>1513</v>
          </cell>
          <cell r="AN95">
            <v>1513</v>
          </cell>
          <cell r="AO95" t="str">
            <v>+758+755</v>
          </cell>
        </row>
        <row r="96">
          <cell r="AC96">
            <v>351</v>
          </cell>
          <cell r="AD96">
            <v>74</v>
          </cell>
          <cell r="AE96" t="str">
            <v>EFWS</v>
          </cell>
          <cell r="AF96" t="str">
            <v>2</v>
          </cell>
          <cell r="AH96" t="str">
            <v>+56725</v>
          </cell>
          <cell r="AI96">
            <v>56725</v>
          </cell>
          <cell r="AN96">
            <v>56725</v>
          </cell>
          <cell r="AO96" t="str">
            <v>+56725</v>
          </cell>
        </row>
        <row r="97">
          <cell r="AC97">
            <v>352</v>
          </cell>
          <cell r="AD97">
            <v>76</v>
          </cell>
          <cell r="AE97" t="str">
            <v>EFWS</v>
          </cell>
          <cell r="AF97" t="str">
            <v>2</v>
          </cell>
          <cell r="AH97" t="str">
            <v>+6504857</v>
          </cell>
          <cell r="AI97">
            <v>6504857</v>
          </cell>
          <cell r="AN97">
            <v>6504857</v>
          </cell>
          <cell r="AO97" t="str">
            <v>+6504857</v>
          </cell>
        </row>
        <row r="98">
          <cell r="AC98">
            <v>353</v>
          </cell>
          <cell r="AD98">
            <v>77</v>
          </cell>
          <cell r="AE98" t="str">
            <v>EFWS</v>
          </cell>
          <cell r="AF98" t="str">
            <v>2</v>
          </cell>
        </row>
        <row r="99">
          <cell r="AC99">
            <v>367</v>
          </cell>
          <cell r="AD99">
            <v>26</v>
          </cell>
          <cell r="AE99" t="str">
            <v>GF</v>
          </cell>
          <cell r="AF99" t="str">
            <v>2</v>
          </cell>
        </row>
        <row r="100">
          <cell r="AC100">
            <v>368</v>
          </cell>
          <cell r="AD100">
            <v>31</v>
          </cell>
          <cell r="AE100" t="str">
            <v>GF</v>
          </cell>
          <cell r="AF100" t="str">
            <v>2</v>
          </cell>
        </row>
        <row r="101">
          <cell r="AC101">
            <v>369</v>
          </cell>
          <cell r="AD101">
            <v>37</v>
          </cell>
          <cell r="AE101" t="str">
            <v>GF</v>
          </cell>
          <cell r="AF101" t="str">
            <v>2</v>
          </cell>
          <cell r="AH101" t="str">
            <v>+3219+5238716</v>
          </cell>
          <cell r="AI101">
            <v>5241935</v>
          </cell>
          <cell r="AN101">
            <v>5241935</v>
          </cell>
          <cell r="AO101" t="str">
            <v>+3219+5238716</v>
          </cell>
        </row>
        <row r="102">
          <cell r="AC102">
            <v>370</v>
          </cell>
          <cell r="AD102">
            <v>39</v>
          </cell>
          <cell r="AE102" t="str">
            <v>GF</v>
          </cell>
          <cell r="AF102" t="str">
            <v>2</v>
          </cell>
          <cell r="AH102" t="str">
            <v>+1379392+435435</v>
          </cell>
          <cell r="AI102">
            <v>1814827</v>
          </cell>
          <cell r="AN102">
            <v>1814827</v>
          </cell>
          <cell r="AO102" t="str">
            <v>+1379392+435435</v>
          </cell>
        </row>
        <row r="103">
          <cell r="AC103">
            <v>371</v>
          </cell>
          <cell r="AD103">
            <v>110</v>
          </cell>
          <cell r="AE103" t="str">
            <v>GF</v>
          </cell>
          <cell r="AF103" t="str">
            <v>2</v>
          </cell>
        </row>
        <row r="104">
          <cell r="AC104">
            <v>373</v>
          </cell>
          <cell r="AD104">
            <v>92</v>
          </cell>
          <cell r="AE104" t="str">
            <v>GF</v>
          </cell>
          <cell r="AF104" t="str">
            <v>2</v>
          </cell>
          <cell r="AH104" t="str">
            <v>+8218296</v>
          </cell>
          <cell r="AI104">
            <v>8218296</v>
          </cell>
          <cell r="AN104">
            <v>8218296</v>
          </cell>
          <cell r="AO104" t="str">
            <v>+8218296</v>
          </cell>
        </row>
        <row r="105">
          <cell r="AC105">
            <v>375</v>
          </cell>
          <cell r="AD105">
            <v>60</v>
          </cell>
          <cell r="AE105" t="str">
            <v>EFWS</v>
          </cell>
          <cell r="AF105" t="str">
            <v>2</v>
          </cell>
          <cell r="AH105" t="str">
            <v>+1065662+557105</v>
          </cell>
          <cell r="AI105">
            <v>1622767</v>
          </cell>
          <cell r="AN105">
            <v>1622767</v>
          </cell>
          <cell r="AO105" t="str">
            <v>+1065662+557105</v>
          </cell>
        </row>
        <row r="106">
          <cell r="AC106">
            <v>376</v>
          </cell>
          <cell r="AD106">
            <v>22</v>
          </cell>
          <cell r="AE106" t="str">
            <v>GF</v>
          </cell>
          <cell r="AF106" t="str">
            <v>2</v>
          </cell>
        </row>
        <row r="107">
          <cell r="AC107">
            <v>377</v>
          </cell>
          <cell r="AD107">
            <v>79</v>
          </cell>
          <cell r="AE107" t="str">
            <v>EFWS</v>
          </cell>
          <cell r="AF107" t="str">
            <v>2</v>
          </cell>
        </row>
        <row r="108">
          <cell r="AC108">
            <v>379</v>
          </cell>
          <cell r="AD108">
            <v>27</v>
          </cell>
          <cell r="AE108" t="str">
            <v>GF</v>
          </cell>
          <cell r="AF108" t="str">
            <v>2</v>
          </cell>
          <cell r="AH108" t="str">
            <v>+9890804</v>
          </cell>
          <cell r="AI108">
            <v>9890804</v>
          </cell>
          <cell r="AN108">
            <v>9890804</v>
          </cell>
          <cell r="AO108" t="str">
            <v>+9890804</v>
          </cell>
        </row>
        <row r="109">
          <cell r="AC109">
            <v>380</v>
          </cell>
          <cell r="AD109">
            <v>30</v>
          </cell>
          <cell r="AE109" t="str">
            <v>GF</v>
          </cell>
          <cell r="AF109" t="str">
            <v>2</v>
          </cell>
          <cell r="AH109" t="str">
            <v>+664323+60734</v>
          </cell>
          <cell r="AI109">
            <v>725057</v>
          </cell>
          <cell r="AN109">
            <v>725057</v>
          </cell>
          <cell r="AO109" t="str">
            <v>+664323+60734</v>
          </cell>
        </row>
        <row r="110">
          <cell r="AC110">
            <v>381</v>
          </cell>
          <cell r="AD110">
            <v>56</v>
          </cell>
          <cell r="AE110" t="str">
            <v>EFWS</v>
          </cell>
          <cell r="AF110" t="str">
            <v>2</v>
          </cell>
          <cell r="AH110" t="str">
            <v>+12356376+2409234</v>
          </cell>
          <cell r="AI110">
            <v>14765610</v>
          </cell>
          <cell r="AN110">
            <v>14765610</v>
          </cell>
          <cell r="AO110" t="str">
            <v>+12356376+2409234</v>
          </cell>
        </row>
        <row r="111">
          <cell r="AC111">
            <v>383</v>
          </cell>
          <cell r="AD111">
            <v>58</v>
          </cell>
          <cell r="AE111" t="str">
            <v>EFWS</v>
          </cell>
          <cell r="AF111" t="str">
            <v>2</v>
          </cell>
        </row>
        <row r="112">
          <cell r="AC112">
            <v>385</v>
          </cell>
          <cell r="AD112">
            <v>3</v>
          </cell>
          <cell r="AE112" t="str">
            <v>GF</v>
          </cell>
          <cell r="AF112" t="str">
            <v>2</v>
          </cell>
          <cell r="AH112" t="str">
            <v>+21759026</v>
          </cell>
          <cell r="AI112">
            <v>21759026</v>
          </cell>
          <cell r="AN112">
            <v>21759026</v>
          </cell>
          <cell r="AO112" t="str">
            <v>+21759026</v>
          </cell>
        </row>
        <row r="113">
          <cell r="AC113">
            <v>386</v>
          </cell>
          <cell r="AD113">
            <v>18</v>
          </cell>
          <cell r="AE113" t="str">
            <v>GF</v>
          </cell>
          <cell r="AF113" t="str">
            <v>2</v>
          </cell>
        </row>
        <row r="114">
          <cell r="AC114">
            <v>387</v>
          </cell>
          <cell r="AD114">
            <v>19</v>
          </cell>
          <cell r="AE114" t="str">
            <v>GF</v>
          </cell>
          <cell r="AF114" t="str">
            <v>2</v>
          </cell>
          <cell r="AH114" t="str">
            <v>+25003</v>
          </cell>
          <cell r="AI114">
            <v>25003</v>
          </cell>
          <cell r="AN114">
            <v>25003</v>
          </cell>
          <cell r="AO114" t="str">
            <v>+25003</v>
          </cell>
        </row>
        <row r="115">
          <cell r="AC115">
            <v>388</v>
          </cell>
          <cell r="AD115">
            <v>17</v>
          </cell>
          <cell r="AE115" t="str">
            <v>GF</v>
          </cell>
          <cell r="AF115" t="str">
            <v>2</v>
          </cell>
          <cell r="AH115" t="str">
            <v>+30023862</v>
          </cell>
          <cell r="AI115">
            <v>30023862</v>
          </cell>
          <cell r="AN115">
            <v>30023862</v>
          </cell>
          <cell r="AO115" t="str">
            <v>+30023862</v>
          </cell>
        </row>
        <row r="116">
          <cell r="AC116">
            <v>389</v>
          </cell>
          <cell r="AD116">
            <v>21</v>
          </cell>
          <cell r="AE116" t="str">
            <v>GF</v>
          </cell>
          <cell r="AF116" t="str">
            <v>2</v>
          </cell>
        </row>
        <row r="117">
          <cell r="AC117">
            <v>390</v>
          </cell>
          <cell r="AD117">
            <v>24</v>
          </cell>
          <cell r="AE117" t="str">
            <v>NF</v>
          </cell>
          <cell r="AF117" t="str">
            <v>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nctreasurer.com/links/state-and-local-government-finance/lgc/local-fiscal-management/annual-audit/submitting-your-0" TargetMode="External"/><Relationship Id="rId2" Type="http://schemas.openxmlformats.org/officeDocument/2006/relationships/hyperlink" Target="https://www.nctreasurer.com/slg/lfm/financial-analysis/Pages/Analysis-by-Population.aspx" TargetMode="External"/><Relationship Id="rId1" Type="http://schemas.openxmlformats.org/officeDocument/2006/relationships/hyperlink" Target="https://efc.sog.unc.edu/resource/north-carolina-water-and-wastewater-rates-dashboard/" TargetMode="External"/><Relationship Id="rId5" Type="http://schemas.openxmlformats.org/officeDocument/2006/relationships/printerSettings" Target="../printerSettings/printerSettings1.bin"/><Relationship Id="rId4" Type="http://schemas.openxmlformats.org/officeDocument/2006/relationships/hyperlink" Target="https://www.nctreasurer.com/links/state-and-local-government-finance/lgc/local-fiscal-management/annual-audit/submitting-your-0"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mailto:accounts.recievable@edmundson.com" TargetMode="External"/><Relationship Id="rId2" Type="http://schemas.openxmlformats.org/officeDocument/2006/relationships/hyperlink" Target="mailto:Joe.Schmoe@Edmondson.com" TargetMode="External"/><Relationship Id="rId1" Type="http://schemas.openxmlformats.org/officeDocument/2006/relationships/hyperlink" Target="mailto:carolina@county.gov" TargetMode="Externa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56D91-AAC8-4E57-9047-7EE57F8CDBE7}">
  <sheetPr>
    <tabColor theme="4" tint="0.79998168889431442"/>
  </sheetPr>
  <dimension ref="B1:N58"/>
  <sheetViews>
    <sheetView tabSelected="1" zoomScaleNormal="100" workbookViewId="0">
      <selection activeCell="B2" sqref="B2"/>
    </sheetView>
  </sheetViews>
  <sheetFormatPr defaultColWidth="9.109375" defaultRowHeight="14.4" x14ac:dyDescent="0.3"/>
  <cols>
    <col min="1" max="1" width="1.6640625" style="1049" customWidth="1"/>
    <col min="2" max="2" width="187.109375" style="1049" customWidth="1"/>
    <col min="3" max="4" width="9.109375" style="1049" hidden="1" customWidth="1"/>
    <col min="5" max="5" width="2.33203125" style="1049" customWidth="1"/>
    <col min="6" max="6" width="8.109375" style="1049" customWidth="1"/>
    <col min="7" max="16384" width="9.109375" style="1049"/>
  </cols>
  <sheetData>
    <row r="1" spans="2:14" ht="9.6" customHeight="1" thickBot="1" x14ac:dyDescent="0.35">
      <c r="B1" s="177"/>
    </row>
    <row r="2" spans="2:14" ht="100.95" customHeight="1" thickBot="1" x14ac:dyDescent="0.35">
      <c r="B2" s="1130" t="s">
        <v>1882</v>
      </c>
    </row>
    <row r="3" spans="2:14" ht="63.6" customHeight="1" x14ac:dyDescent="0.3">
      <c r="B3" s="188" t="s">
        <v>1883</v>
      </c>
    </row>
    <row r="4" spans="2:14" ht="81.599999999999994" customHeight="1" x14ac:dyDescent="0.4">
      <c r="B4" s="188" t="s">
        <v>1884</v>
      </c>
      <c r="F4" s="1131"/>
      <c r="G4" s="1131"/>
      <c r="H4" s="1131"/>
      <c r="I4" s="1131"/>
      <c r="J4" s="1131"/>
      <c r="K4" s="1131"/>
      <c r="L4" s="1131"/>
      <c r="M4" s="1131"/>
      <c r="N4" s="1131"/>
    </row>
    <row r="5" spans="2:14" ht="60.6" customHeight="1" x14ac:dyDescent="0.3">
      <c r="B5" s="188" t="s">
        <v>1885</v>
      </c>
    </row>
    <row r="6" spans="2:14" ht="115.2" customHeight="1" x14ac:dyDescent="0.3">
      <c r="B6" s="178" t="s">
        <v>1886</v>
      </c>
    </row>
    <row r="7" spans="2:14" ht="25.95" customHeight="1" x14ac:dyDescent="0.3">
      <c r="B7" s="190" t="s">
        <v>862</v>
      </c>
    </row>
    <row r="8" spans="2:14" ht="43.2" customHeight="1" x14ac:dyDescent="0.3">
      <c r="B8" s="1132" t="s">
        <v>1887</v>
      </c>
    </row>
    <row r="9" spans="2:14" ht="37.950000000000003" customHeight="1" x14ac:dyDescent="0.3">
      <c r="B9" s="1132" t="s">
        <v>863</v>
      </c>
    </row>
    <row r="10" spans="2:14" s="1134" customFormat="1" ht="28.95" customHeight="1" x14ac:dyDescent="0.3">
      <c r="B10" s="1133" t="s">
        <v>864</v>
      </c>
    </row>
    <row r="11" spans="2:14" s="1134" customFormat="1" ht="48" customHeight="1" x14ac:dyDescent="0.3">
      <c r="B11" s="1135" t="s">
        <v>1888</v>
      </c>
    </row>
    <row r="12" spans="2:14" ht="49.95" customHeight="1" x14ac:dyDescent="0.3">
      <c r="B12" s="1135" t="s">
        <v>1889</v>
      </c>
    </row>
    <row r="13" spans="2:14" ht="21" customHeight="1" x14ac:dyDescent="0.3">
      <c r="B13" s="1136" t="s">
        <v>1890</v>
      </c>
    </row>
    <row r="14" spans="2:14" ht="25.95" customHeight="1" x14ac:dyDescent="0.3">
      <c r="B14" s="190" t="s">
        <v>865</v>
      </c>
    </row>
    <row r="15" spans="2:14" x14ac:dyDescent="0.3">
      <c r="B15" s="177"/>
    </row>
    <row r="16" spans="2:14" x14ac:dyDescent="0.3">
      <c r="B16" s="1137" t="s">
        <v>37</v>
      </c>
    </row>
    <row r="17" spans="2:2" ht="15.6" customHeight="1" x14ac:dyDescent="0.3">
      <c r="B17" s="1138" t="s">
        <v>1891</v>
      </c>
    </row>
    <row r="18" spans="2:2" x14ac:dyDescent="0.3">
      <c r="B18" s="1139"/>
    </row>
    <row r="19" spans="2:2" x14ac:dyDescent="0.3">
      <c r="B19" s="1137" t="s">
        <v>38</v>
      </c>
    </row>
    <row r="20" spans="2:2" ht="15.6" customHeight="1" x14ac:dyDescent="0.3">
      <c r="B20" s="1140" t="s">
        <v>654</v>
      </c>
    </row>
    <row r="21" spans="2:2" ht="13.2" customHeight="1" x14ac:dyDescent="0.3">
      <c r="B21" s="177"/>
    </row>
    <row r="22" spans="2:2" ht="25.95" customHeight="1" x14ac:dyDescent="0.3">
      <c r="B22" s="190" t="s">
        <v>866</v>
      </c>
    </row>
    <row r="23" spans="2:2" s="1134" customFormat="1" ht="72.599999999999994" customHeight="1" x14ac:dyDescent="0.3">
      <c r="B23" s="1132" t="s">
        <v>1892</v>
      </c>
    </row>
    <row r="24" spans="2:2" s="1134" customFormat="1" ht="77.400000000000006" customHeight="1" x14ac:dyDescent="0.3">
      <c r="B24" s="1132" t="s">
        <v>1893</v>
      </c>
    </row>
    <row r="25" spans="2:2" s="1134" customFormat="1" ht="83.4" customHeight="1" x14ac:dyDescent="0.3">
      <c r="B25" s="1132" t="s">
        <v>867</v>
      </c>
    </row>
    <row r="26" spans="2:2" ht="15" x14ac:dyDescent="0.3">
      <c r="B26" s="180" t="s">
        <v>1894</v>
      </c>
    </row>
    <row r="27" spans="2:2" ht="8.4" customHeight="1" x14ac:dyDescent="0.3">
      <c r="B27" s="179"/>
    </row>
    <row r="28" spans="2:2" ht="25.95" customHeight="1" x14ac:dyDescent="0.3">
      <c r="B28" s="190" t="s">
        <v>1895</v>
      </c>
    </row>
    <row r="29" spans="2:2" ht="21" customHeight="1" x14ac:dyDescent="0.3">
      <c r="B29" s="191" t="s">
        <v>1896</v>
      </c>
    </row>
    <row r="30" spans="2:2" ht="24" customHeight="1" x14ac:dyDescent="0.3">
      <c r="B30" s="191" t="s">
        <v>1897</v>
      </c>
    </row>
    <row r="31" spans="2:2" ht="28.2" customHeight="1" x14ac:dyDescent="0.3">
      <c r="B31" s="1141" t="s">
        <v>1898</v>
      </c>
    </row>
    <row r="32" spans="2:2" ht="23.4" customHeight="1" x14ac:dyDescent="0.3">
      <c r="B32" s="1141" t="s">
        <v>1899</v>
      </c>
    </row>
    <row r="33" spans="2:7" ht="25.95" customHeight="1" x14ac:dyDescent="0.3">
      <c r="B33" s="1142" t="s">
        <v>1900</v>
      </c>
    </row>
    <row r="34" spans="2:7" ht="25.95" customHeight="1" x14ac:dyDescent="0.3">
      <c r="B34" s="1143" t="s">
        <v>1901</v>
      </c>
    </row>
    <row r="35" spans="2:7" ht="49.2" customHeight="1" x14ac:dyDescent="0.3">
      <c r="B35" s="191" t="s">
        <v>1902</v>
      </c>
    </row>
    <row r="36" spans="2:7" ht="31.95" customHeight="1" x14ac:dyDescent="0.3">
      <c r="B36" s="191" t="s">
        <v>1903</v>
      </c>
    </row>
    <row r="37" spans="2:7" ht="12" customHeight="1" x14ac:dyDescent="0.3">
      <c r="B37" s="191"/>
    </row>
    <row r="38" spans="2:7" ht="25.95" customHeight="1" x14ac:dyDescent="0.3">
      <c r="B38" s="190" t="s">
        <v>1146</v>
      </c>
    </row>
    <row r="39" spans="2:7" x14ac:dyDescent="0.3">
      <c r="B39" s="189"/>
      <c r="G39" s="1144"/>
    </row>
    <row r="40" spans="2:7" ht="34.950000000000003" customHeight="1" x14ac:dyDescent="0.3">
      <c r="B40" s="1145" t="s">
        <v>1904</v>
      </c>
    </row>
    <row r="41" spans="2:7" ht="19.95" customHeight="1" x14ac:dyDescent="0.3">
      <c r="B41" s="1146" t="s">
        <v>1890</v>
      </c>
    </row>
    <row r="42" spans="2:7" ht="11.4" customHeight="1" x14ac:dyDescent="0.3">
      <c r="B42" s="192"/>
    </row>
    <row r="43" spans="2:7" ht="15" x14ac:dyDescent="0.3">
      <c r="B43" s="193"/>
    </row>
    <row r="44" spans="2:7" ht="7.2" customHeight="1" x14ac:dyDescent="0.3">
      <c r="B44" s="191"/>
    </row>
    <row r="45" spans="2:7" ht="25.95" customHeight="1" x14ac:dyDescent="0.3">
      <c r="B45" s="190" t="s">
        <v>1147</v>
      </c>
    </row>
    <row r="46" spans="2:7" ht="46.95" customHeight="1" x14ac:dyDescent="0.3">
      <c r="B46" s="1145" t="s">
        <v>1905</v>
      </c>
    </row>
    <row r="47" spans="2:7" ht="15" x14ac:dyDescent="0.3">
      <c r="B47" s="193"/>
    </row>
    <row r="58" ht="44.25" customHeight="1" x14ac:dyDescent="0.3"/>
  </sheetData>
  <sheetProtection algorithmName="SHA-512" hashValue="qKivId0n2bH6Uzxw/1ty72hFrO4OhGc8zN0iwWPujUTfcS+glrjkfG1G1EC28Nxfdi5qW3HDAZ8s98NiGeBA5w==" saltValue="6y4+EKlfsHx0lgpCjwrdjA==" spinCount="100000" sheet="1" formatCells="0" formatColumns="0" formatRows="0"/>
  <hyperlinks>
    <hyperlink ref="B17" r:id="rId1" xr:uid="{0637659E-A49F-44F7-8595-61B9A1BFDFB7}"/>
    <hyperlink ref="B20" r:id="rId2" xr:uid="{D35B6D5D-4D00-4211-A5F8-926B17450E9E}"/>
    <hyperlink ref="B41" r:id="rId3" xr:uid="{FCA609B1-F1BB-443A-B5B8-23652DDA32DD}"/>
    <hyperlink ref="B13" r:id="rId4" xr:uid="{C5833602-C659-4FB1-83EB-5C3FAF6B377E}"/>
  </hyperlinks>
  <pageMargins left="0.7" right="0.7" top="0.75" bottom="0.75" header="0.3" footer="0.3"/>
  <pageSetup orientation="landscape"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38B78-A2B6-4661-B34D-EE63136445DC}">
  <sheetPr codeName="Sheet11">
    <pageSetUpPr fitToPage="1"/>
  </sheetPr>
  <dimension ref="A1:CB459"/>
  <sheetViews>
    <sheetView zoomScaleNormal="100" workbookViewId="0">
      <pane xSplit="5" ySplit="2" topLeftCell="F3" activePane="bottomRight" state="frozen"/>
      <selection pane="topRight" activeCell="F1" sqref="F1"/>
      <selection pane="bottomLeft" activeCell="A3" sqref="A3"/>
      <selection pane="bottomRight" activeCell="F1" sqref="F1"/>
    </sheetView>
  </sheetViews>
  <sheetFormatPr defaultColWidth="9.109375" defaultRowHeight="14.4" x14ac:dyDescent="0.3"/>
  <cols>
    <col min="1" max="1" width="5.33203125" style="99" customWidth="1"/>
    <col min="2" max="2" width="11.109375" style="323" customWidth="1"/>
    <col min="3" max="3" width="27" style="99" customWidth="1"/>
    <col min="4" max="4" width="37.88671875" style="99" customWidth="1"/>
    <col min="5" max="5" width="14.44140625" style="99" bestFit="1" customWidth="1"/>
    <col min="6" max="6" width="15.5546875" style="99" bestFit="1" customWidth="1"/>
    <col min="7" max="7" width="18.33203125" style="99" customWidth="1"/>
    <col min="8" max="8" width="17" style="99" bestFit="1" customWidth="1"/>
    <col min="9" max="9" width="17.6640625" style="99" customWidth="1"/>
    <col min="10" max="10" width="14.44140625" style="99" bestFit="1" customWidth="1"/>
    <col min="11" max="11" width="15.44140625" style="99" bestFit="1" customWidth="1"/>
    <col min="12" max="12" width="14.44140625" style="99" bestFit="1" customWidth="1"/>
    <col min="13" max="13" width="17" style="99" bestFit="1" customWidth="1"/>
    <col min="14" max="14" width="16.6640625" style="99" customWidth="1"/>
    <col min="15" max="15" width="14.44140625" style="99" bestFit="1" customWidth="1"/>
    <col min="16" max="16" width="17.6640625" style="99" customWidth="1"/>
    <col min="17" max="17" width="15.88671875" style="99" bestFit="1" customWidth="1"/>
    <col min="18" max="19" width="15.5546875" style="99" bestFit="1" customWidth="1"/>
    <col min="20" max="20" width="16.5546875" style="99" bestFit="1" customWidth="1"/>
    <col min="21" max="21" width="15" style="99" customWidth="1"/>
    <col min="22" max="22" width="17" style="99" bestFit="1" customWidth="1"/>
    <col min="23" max="23" width="13.44140625" style="99" bestFit="1" customWidth="1"/>
    <col min="24" max="24" width="15.44140625" style="99" bestFit="1" customWidth="1"/>
    <col min="25" max="25" width="15.88671875" style="99" bestFit="1" customWidth="1"/>
    <col min="26" max="28" width="15.5546875" style="99" bestFit="1" customWidth="1"/>
    <col min="29" max="29" width="14.44140625" style="99" bestFit="1" customWidth="1"/>
    <col min="30" max="30" width="14" style="99" bestFit="1" customWidth="1"/>
    <col min="31" max="32" width="15.5546875" style="99" bestFit="1" customWidth="1"/>
    <col min="33" max="33" width="13.88671875" style="99" bestFit="1" customWidth="1"/>
    <col min="34" max="34" width="13.44140625" style="99" bestFit="1" customWidth="1"/>
    <col min="35" max="35" width="13.88671875" style="99" bestFit="1" customWidth="1"/>
    <col min="36" max="36" width="14.44140625" style="99" bestFit="1" customWidth="1"/>
    <col min="37" max="37" width="16.5546875" style="99" bestFit="1" customWidth="1"/>
    <col min="38" max="38" width="14.44140625" style="99" bestFit="1" customWidth="1"/>
    <col min="39" max="39" width="13.44140625" style="99" bestFit="1" customWidth="1"/>
    <col min="40" max="41" width="15.5546875" style="99" bestFit="1" customWidth="1"/>
    <col min="42" max="42" width="14.44140625" style="99" bestFit="1" customWidth="1"/>
    <col min="43" max="43" width="15.44140625" style="99" bestFit="1" customWidth="1"/>
    <col min="44" max="44" width="17" style="99" bestFit="1" customWidth="1"/>
    <col min="45" max="45" width="15.5546875" style="99" bestFit="1" customWidth="1"/>
    <col min="46" max="46" width="14.44140625" style="99" bestFit="1" customWidth="1"/>
    <col min="47" max="47" width="15.5546875" style="99" bestFit="1" customWidth="1"/>
    <col min="48" max="48" width="16.5546875" style="99" bestFit="1" customWidth="1"/>
    <col min="49" max="50" width="14.44140625" style="99" bestFit="1" customWidth="1"/>
    <col min="51" max="53" width="15.5546875" style="99" bestFit="1" customWidth="1"/>
    <col min="54" max="54" width="14" style="99" bestFit="1" customWidth="1"/>
    <col min="55" max="55" width="15.5546875" style="99" bestFit="1" customWidth="1"/>
    <col min="56" max="56" width="9.88671875" style="99" bestFit="1" customWidth="1"/>
    <col min="57" max="57" width="13.44140625" style="99" bestFit="1" customWidth="1"/>
    <col min="58" max="58" width="17" style="99" bestFit="1" customWidth="1"/>
    <col min="59" max="59" width="10.5546875" style="99" bestFit="1" customWidth="1"/>
    <col min="60" max="60" width="13.44140625" style="99" bestFit="1" customWidth="1"/>
    <col min="61" max="61" width="15.5546875" style="99" bestFit="1" customWidth="1"/>
    <col min="62" max="62" width="15.44140625" style="99" bestFit="1" customWidth="1"/>
    <col min="63" max="63" width="9.88671875" style="99" bestFit="1" customWidth="1"/>
    <col min="64" max="65" width="15.5546875" style="99" bestFit="1" customWidth="1"/>
    <col min="66" max="66" width="13.44140625" style="99" bestFit="1" customWidth="1"/>
    <col min="67" max="67" width="15.5546875" style="99" bestFit="1" customWidth="1"/>
    <col min="68" max="68" width="15.44140625" style="99" bestFit="1" customWidth="1"/>
    <col min="69" max="69" width="14.88671875" style="99" bestFit="1" customWidth="1"/>
    <col min="70" max="70" width="16.33203125" style="99" bestFit="1" customWidth="1"/>
    <col min="71" max="71" width="14.88671875" style="99" bestFit="1" customWidth="1"/>
    <col min="72" max="72" width="17" style="99" bestFit="1" customWidth="1"/>
    <col min="73" max="73" width="14.6640625" style="99" bestFit="1" customWidth="1"/>
    <col min="74" max="74" width="15.5546875" style="99" bestFit="1" customWidth="1"/>
    <col min="75" max="75" width="14.44140625" style="99" bestFit="1" customWidth="1"/>
    <col min="76" max="76" width="15.5546875" style="99" bestFit="1" customWidth="1"/>
    <col min="77" max="78" width="13.44140625" style="99" bestFit="1" customWidth="1"/>
    <col min="79" max="79" width="15.5546875" style="99" bestFit="1" customWidth="1"/>
    <col min="80" max="80" width="13.44140625" style="99" bestFit="1" customWidth="1"/>
    <col min="81" max="16384" width="9.109375" style="99"/>
  </cols>
  <sheetData>
    <row r="1" spans="1:80" s="418" customFormat="1" ht="100.8" x14ac:dyDescent="0.3">
      <c r="A1" s="1049"/>
      <c r="B1" s="1053" t="s">
        <v>1766</v>
      </c>
      <c r="C1" s="1054"/>
      <c r="D1" s="1055" t="s">
        <v>1767</v>
      </c>
      <c r="E1" s="1055" t="s">
        <v>1767</v>
      </c>
      <c r="F1" s="1056" t="s">
        <v>1691</v>
      </c>
      <c r="G1" s="1056" t="s">
        <v>1692</v>
      </c>
      <c r="H1" s="1056" t="s">
        <v>1693</v>
      </c>
      <c r="I1" s="1056" t="s">
        <v>1694</v>
      </c>
      <c r="J1" s="1056" t="s">
        <v>1695</v>
      </c>
      <c r="K1" s="1056" t="s">
        <v>1697</v>
      </c>
      <c r="L1" s="1056" t="s">
        <v>1699</v>
      </c>
      <c r="M1" s="1056" t="s">
        <v>1701</v>
      </c>
      <c r="N1" s="1056" t="s">
        <v>1702</v>
      </c>
      <c r="O1" s="1056" t="s">
        <v>1703</v>
      </c>
      <c r="P1" s="1056" t="s">
        <v>1768</v>
      </c>
      <c r="Q1" s="1056" t="s">
        <v>1706</v>
      </c>
      <c r="R1" s="1056" t="s">
        <v>1707</v>
      </c>
      <c r="S1" s="1056" t="s">
        <v>1708</v>
      </c>
      <c r="T1" s="1056" t="s">
        <v>1709</v>
      </c>
      <c r="U1" s="1056" t="s">
        <v>1712</v>
      </c>
      <c r="V1" s="1056"/>
      <c r="W1" s="1049"/>
      <c r="X1" s="1049"/>
      <c r="Y1" s="1049"/>
      <c r="Z1" s="1049"/>
      <c r="AA1" s="1049"/>
      <c r="AB1" s="1049"/>
      <c r="AC1" s="1049"/>
      <c r="AD1" s="1049"/>
      <c r="AE1" s="1049"/>
      <c r="AF1" s="1049"/>
      <c r="AG1" s="1049"/>
      <c r="AH1" s="1049"/>
      <c r="AI1" s="1049"/>
      <c r="AJ1" s="1049"/>
      <c r="AK1" s="1049"/>
      <c r="AL1" s="1049"/>
      <c r="AM1" s="1049"/>
      <c r="AN1" s="1049"/>
      <c r="AO1" s="1049"/>
      <c r="AP1" s="1049"/>
      <c r="AQ1" s="1049"/>
      <c r="AR1" s="1049"/>
      <c r="AS1" s="1049"/>
      <c r="AT1" s="418" t="s">
        <v>811</v>
      </c>
      <c r="AU1" s="418" t="s">
        <v>812</v>
      </c>
      <c r="AV1" s="418" t="s">
        <v>813</v>
      </c>
      <c r="AW1" s="418" t="s">
        <v>814</v>
      </c>
      <c r="AX1" s="418" t="s">
        <v>815</v>
      </c>
      <c r="AY1" s="418" t="s">
        <v>816</v>
      </c>
      <c r="AZ1" s="418" t="s">
        <v>817</v>
      </c>
      <c r="BA1" s="418" t="s">
        <v>818</v>
      </c>
      <c r="BB1" s="418" t="s">
        <v>819</v>
      </c>
      <c r="BC1" s="418" t="e">
        <v>#N/A</v>
      </c>
      <c r="BD1" s="418" t="e">
        <v>#N/A</v>
      </c>
      <c r="BE1" s="418" t="s">
        <v>821</v>
      </c>
      <c r="BF1" s="418" t="s">
        <v>822</v>
      </c>
      <c r="BG1" s="418" t="s">
        <v>823</v>
      </c>
      <c r="BH1" s="418" t="s">
        <v>737</v>
      </c>
      <c r="BI1" s="418" t="s">
        <v>824</v>
      </c>
      <c r="BJ1" s="418" t="s">
        <v>825</v>
      </c>
      <c r="BK1" s="418" t="e">
        <v>#N/A</v>
      </c>
      <c r="BL1" s="418" t="s">
        <v>827</v>
      </c>
      <c r="BM1" s="418" t="s">
        <v>828</v>
      </c>
      <c r="BN1" s="418" t="s">
        <v>829</v>
      </c>
      <c r="BO1" s="418" t="s">
        <v>830</v>
      </c>
      <c r="BP1" s="418" t="s">
        <v>831</v>
      </c>
      <c r="BQ1" s="418" t="s">
        <v>832</v>
      </c>
      <c r="BR1" s="418" t="s">
        <v>833</v>
      </c>
      <c r="BS1" s="418" t="s">
        <v>834</v>
      </c>
      <c r="BT1" s="418" t="s">
        <v>835</v>
      </c>
      <c r="BU1" s="418" t="s">
        <v>836</v>
      </c>
      <c r="BV1" s="418" t="s">
        <v>837</v>
      </c>
      <c r="BW1" s="418" t="s">
        <v>838</v>
      </c>
      <c r="BX1" s="418" t="s">
        <v>839</v>
      </c>
      <c r="BY1" s="418" t="s">
        <v>840</v>
      </c>
      <c r="BZ1" s="418" t="s">
        <v>841</v>
      </c>
      <c r="CA1" s="418" t="s">
        <v>842</v>
      </c>
      <c r="CB1" s="418" t="s">
        <v>843</v>
      </c>
    </row>
    <row r="2" spans="1:80" s="418" customFormat="1" x14ac:dyDescent="0.3">
      <c r="A2" s="1052"/>
      <c r="B2" s="1053"/>
      <c r="C2" s="1057"/>
      <c r="D2" s="1057"/>
      <c r="E2" s="1058"/>
      <c r="F2" s="1059" t="s">
        <v>1906</v>
      </c>
      <c r="G2" s="1059" t="s">
        <v>1907</v>
      </c>
      <c r="H2" s="1059" t="s">
        <v>1908</v>
      </c>
      <c r="I2" s="1059" t="s">
        <v>1909</v>
      </c>
      <c r="J2" s="1059" t="s">
        <v>1910</v>
      </c>
      <c r="K2" s="1059" t="s">
        <v>1911</v>
      </c>
      <c r="L2" s="1059" t="s">
        <v>1912</v>
      </c>
      <c r="M2" s="1059" t="s">
        <v>1913</v>
      </c>
      <c r="N2" s="1059" t="s">
        <v>1914</v>
      </c>
      <c r="O2" s="1059" t="s">
        <v>1915</v>
      </c>
      <c r="P2" s="1059" t="s">
        <v>1769</v>
      </c>
      <c r="Q2" s="1059" t="s">
        <v>1916</v>
      </c>
      <c r="R2" s="1059" t="s">
        <v>1917</v>
      </c>
      <c r="S2" s="1059" t="s">
        <v>1918</v>
      </c>
      <c r="T2" s="1059" t="s">
        <v>1919</v>
      </c>
      <c r="U2" s="1059" t="s">
        <v>1920</v>
      </c>
      <c r="V2" s="1059"/>
      <c r="W2" s="1059"/>
      <c r="X2" s="1059"/>
      <c r="Y2" s="1059"/>
      <c r="Z2" s="1059"/>
      <c r="AA2" s="1059"/>
      <c r="AB2" s="1059"/>
      <c r="AC2" s="1059"/>
      <c r="AD2" s="1059"/>
      <c r="AE2" s="1059"/>
      <c r="AF2" s="1059"/>
      <c r="AG2" s="1059"/>
      <c r="AH2" s="1059"/>
      <c r="AI2" s="1059"/>
      <c r="AJ2" s="1059"/>
      <c r="AK2" s="1059"/>
      <c r="AL2" s="1059"/>
      <c r="AM2" s="1059"/>
      <c r="AN2" s="1059"/>
      <c r="AO2" s="1059"/>
      <c r="AP2" s="1059"/>
      <c r="AQ2" s="1059"/>
      <c r="AR2" s="1059"/>
      <c r="AS2" s="1059"/>
      <c r="AT2" s="418">
        <v>50223</v>
      </c>
      <c r="AU2" s="418">
        <v>50224</v>
      </c>
      <c r="AV2" s="418">
        <v>50225</v>
      </c>
      <c r="AW2" s="418">
        <v>50226</v>
      </c>
      <c r="AX2" s="418">
        <v>50227</v>
      </c>
      <c r="AY2" s="418">
        <v>50455</v>
      </c>
      <c r="AZ2" s="418">
        <v>50229</v>
      </c>
      <c r="BA2" s="418">
        <v>50230</v>
      </c>
      <c r="BB2" s="418">
        <v>50231</v>
      </c>
      <c r="BC2" s="418">
        <v>0</v>
      </c>
      <c r="BD2" s="418">
        <v>0</v>
      </c>
      <c r="BE2" s="418">
        <v>50234</v>
      </c>
      <c r="BF2" s="418">
        <v>50235</v>
      </c>
      <c r="BG2" s="418">
        <v>50236</v>
      </c>
      <c r="BH2" s="418">
        <v>50237</v>
      </c>
      <c r="BI2" s="418">
        <v>50238</v>
      </c>
      <c r="BJ2" s="418">
        <v>50444</v>
      </c>
      <c r="BK2" s="418">
        <v>0</v>
      </c>
      <c r="BL2" s="418">
        <v>50240</v>
      </c>
      <c r="BM2" s="418">
        <v>50241</v>
      </c>
      <c r="BN2" s="418">
        <v>50521</v>
      </c>
      <c r="BO2" s="418">
        <v>50242</v>
      </c>
      <c r="BP2" s="418">
        <v>50244</v>
      </c>
      <c r="BQ2" s="418">
        <v>50243</v>
      </c>
      <c r="BR2" s="418">
        <v>50245</v>
      </c>
      <c r="BS2" s="418">
        <v>50522</v>
      </c>
      <c r="BT2" s="418">
        <v>50246</v>
      </c>
      <c r="BU2" s="418">
        <v>50247</v>
      </c>
      <c r="BV2" s="418">
        <v>50248</v>
      </c>
      <c r="BW2" s="418">
        <v>50249</v>
      </c>
      <c r="BX2" s="418">
        <v>50250</v>
      </c>
      <c r="BY2" s="418">
        <v>50251</v>
      </c>
      <c r="BZ2" s="418">
        <v>50252</v>
      </c>
      <c r="CA2" s="418">
        <v>50253</v>
      </c>
      <c r="CB2" s="418">
        <v>50454</v>
      </c>
    </row>
    <row r="3" spans="1:80" s="418" customFormat="1" ht="15.6" x14ac:dyDescent="0.3">
      <c r="A3" s="1052">
        <v>4</v>
      </c>
      <c r="B3" s="1049"/>
      <c r="C3" s="1060" t="s">
        <v>1921</v>
      </c>
      <c r="D3" s="1061" t="s">
        <v>119</v>
      </c>
      <c r="E3" s="1062" t="s">
        <v>298</v>
      </c>
      <c r="F3" s="1063">
        <v>0</v>
      </c>
      <c r="G3" s="1063">
        <v>0</v>
      </c>
      <c r="H3" s="1063">
        <v>0</v>
      </c>
      <c r="I3" s="1063">
        <v>0</v>
      </c>
      <c r="J3" s="1063">
        <v>0</v>
      </c>
      <c r="K3" s="1063">
        <v>0</v>
      </c>
      <c r="L3" s="1063">
        <v>0</v>
      </c>
      <c r="M3" s="1063">
        <v>0</v>
      </c>
      <c r="N3" s="1063">
        <v>0</v>
      </c>
      <c r="O3" s="1063">
        <v>0</v>
      </c>
      <c r="P3" s="1063">
        <v>0</v>
      </c>
      <c r="Q3" s="1063">
        <v>0</v>
      </c>
      <c r="R3" s="1063">
        <v>0</v>
      </c>
      <c r="S3" s="1063">
        <v>0</v>
      </c>
      <c r="T3" s="1063">
        <v>0</v>
      </c>
      <c r="U3" s="1063">
        <v>0</v>
      </c>
      <c r="V3" s="1063"/>
      <c r="W3" s="1063"/>
      <c r="X3" s="1063"/>
      <c r="Y3" s="1063"/>
      <c r="Z3" s="1063"/>
      <c r="AA3" s="1063"/>
      <c r="AB3" s="1063"/>
      <c r="AC3" s="1063"/>
      <c r="AD3" s="1063"/>
      <c r="AE3" s="1063"/>
      <c r="AF3" s="1063"/>
      <c r="AG3" s="1063"/>
      <c r="AH3" s="1063"/>
      <c r="AI3" s="1063"/>
      <c r="AJ3" s="1063"/>
      <c r="AK3" s="1063"/>
      <c r="AL3" s="1063"/>
      <c r="AM3" s="1063"/>
      <c r="AN3" s="1063"/>
      <c r="AO3" s="1063"/>
      <c r="AP3" s="1063"/>
      <c r="AQ3" s="1063"/>
      <c r="AR3" s="1063"/>
      <c r="AS3" s="1063"/>
      <c r="AT3" s="418">
        <v>8529</v>
      </c>
      <c r="AU3" s="418">
        <v>201080</v>
      </c>
      <c r="AV3" s="418">
        <v>1102616</v>
      </c>
      <c r="AW3" s="418">
        <v>48067</v>
      </c>
      <c r="AX3" s="418">
        <v>24845</v>
      </c>
      <c r="AY3" s="418">
        <v>188634</v>
      </c>
      <c r="AZ3" s="418">
        <v>63340</v>
      </c>
      <c r="BA3" s="418">
        <v>461708</v>
      </c>
      <c r="BB3" s="418">
        <v>0</v>
      </c>
      <c r="BC3" s="418">
        <v>23094</v>
      </c>
      <c r="BD3" s="418">
        <v>0</v>
      </c>
      <c r="BE3" s="418">
        <v>3368</v>
      </c>
      <c r="BF3" s="418">
        <v>1535215</v>
      </c>
      <c r="BG3" s="418">
        <v>0</v>
      </c>
      <c r="BH3" s="418">
        <v>2267</v>
      </c>
      <c r="BI3" s="418">
        <v>29021</v>
      </c>
      <c r="BJ3" s="418">
        <v>101123</v>
      </c>
      <c r="BK3" s="418">
        <v>0</v>
      </c>
      <c r="BL3" s="418">
        <v>119203</v>
      </c>
      <c r="BM3" s="418">
        <v>93803</v>
      </c>
      <c r="BN3" s="418">
        <v>0</v>
      </c>
      <c r="BO3" s="418">
        <v>216042</v>
      </c>
      <c r="BP3" s="418">
        <v>142073</v>
      </c>
      <c r="BQ3" s="418">
        <v>9392</v>
      </c>
      <c r="BR3" s="418">
        <v>8180</v>
      </c>
      <c r="BS3" s="418">
        <v>43947</v>
      </c>
      <c r="BT3" s="418">
        <v>2444961</v>
      </c>
      <c r="BU3" s="418">
        <v>77427</v>
      </c>
      <c r="BV3" s="418">
        <v>86828</v>
      </c>
      <c r="BW3" s="418">
        <v>56807</v>
      </c>
      <c r="BX3" s="418">
        <v>11908</v>
      </c>
      <c r="BY3" s="418">
        <v>0</v>
      </c>
      <c r="BZ3" s="418">
        <v>0</v>
      </c>
      <c r="CA3" s="418">
        <v>1837544</v>
      </c>
      <c r="CB3" s="418">
        <v>0</v>
      </c>
    </row>
    <row r="4" spans="1:80" s="418" customFormat="1" ht="27.6" x14ac:dyDescent="0.3">
      <c r="A4" s="1052">
        <v>5</v>
      </c>
      <c r="B4" s="1049"/>
      <c r="C4" s="1060" t="s">
        <v>1922</v>
      </c>
      <c r="D4" s="1061" t="s">
        <v>120</v>
      </c>
      <c r="E4" s="1062" t="s">
        <v>299</v>
      </c>
      <c r="F4" s="1063">
        <v>0</v>
      </c>
      <c r="G4" s="1063">
        <v>0</v>
      </c>
      <c r="H4" s="1063">
        <v>0</v>
      </c>
      <c r="I4" s="1063">
        <v>0</v>
      </c>
      <c r="J4" s="1063">
        <v>0</v>
      </c>
      <c r="K4" s="1063">
        <v>0</v>
      </c>
      <c r="L4" s="1063">
        <v>0</v>
      </c>
      <c r="M4" s="1063">
        <v>0</v>
      </c>
      <c r="N4" s="1063">
        <v>0</v>
      </c>
      <c r="O4" s="1063">
        <v>0</v>
      </c>
      <c r="P4" s="1063">
        <v>0</v>
      </c>
      <c r="Q4" s="1063">
        <v>0</v>
      </c>
      <c r="R4" s="1063">
        <v>0</v>
      </c>
      <c r="S4" s="1063">
        <v>0</v>
      </c>
      <c r="T4" s="1063">
        <v>0</v>
      </c>
      <c r="U4" s="1063">
        <v>0</v>
      </c>
      <c r="V4" s="1063"/>
      <c r="W4" s="1063"/>
      <c r="X4" s="1063"/>
      <c r="Y4" s="1063"/>
      <c r="Z4" s="1063"/>
      <c r="AA4" s="1063"/>
      <c r="AB4" s="1063"/>
      <c r="AC4" s="1063"/>
      <c r="AD4" s="1063"/>
      <c r="AE4" s="1063"/>
      <c r="AF4" s="1063"/>
      <c r="AG4" s="1063"/>
      <c r="AH4" s="1063"/>
      <c r="AI4" s="1063"/>
      <c r="AJ4" s="1063"/>
      <c r="AK4" s="1063"/>
      <c r="AL4" s="1063"/>
      <c r="AM4" s="1063"/>
      <c r="AN4" s="1063"/>
      <c r="AO4" s="1063"/>
      <c r="AP4" s="1063"/>
      <c r="AQ4" s="1063"/>
      <c r="AR4" s="1063"/>
      <c r="AS4" s="1063"/>
      <c r="AT4" s="418">
        <v>0</v>
      </c>
      <c r="AU4" s="418">
        <v>3198</v>
      </c>
      <c r="AV4" s="418">
        <v>1176</v>
      </c>
      <c r="AW4" s="418">
        <v>0</v>
      </c>
      <c r="AX4" s="418">
        <v>0</v>
      </c>
      <c r="AY4" s="418">
        <v>1003</v>
      </c>
      <c r="AZ4" s="418">
        <v>0</v>
      </c>
      <c r="BA4" s="418">
        <v>0</v>
      </c>
      <c r="BB4" s="418">
        <v>0</v>
      </c>
      <c r="BC4" s="418">
        <v>0</v>
      </c>
      <c r="BD4" s="418">
        <v>0</v>
      </c>
      <c r="BE4" s="418">
        <v>0</v>
      </c>
      <c r="BF4" s="418">
        <v>9801</v>
      </c>
      <c r="BG4" s="418">
        <v>0</v>
      </c>
      <c r="BH4" s="418">
        <v>0</v>
      </c>
      <c r="BI4" s="418">
        <v>0</v>
      </c>
      <c r="BJ4" s="418">
        <v>947</v>
      </c>
      <c r="BK4" s="418">
        <v>0</v>
      </c>
      <c r="BL4" s="418">
        <v>2978</v>
      </c>
      <c r="BM4" s="418">
        <v>0</v>
      </c>
      <c r="BN4" s="418">
        <v>0</v>
      </c>
      <c r="BO4" s="418">
        <v>9835</v>
      </c>
      <c r="BP4" s="418">
        <v>160</v>
      </c>
      <c r="BQ4" s="418">
        <v>0</v>
      </c>
      <c r="BR4" s="418">
        <v>0</v>
      </c>
      <c r="BS4" s="418">
        <v>0</v>
      </c>
      <c r="BT4" s="418">
        <v>0</v>
      </c>
      <c r="BU4" s="418">
        <v>0</v>
      </c>
      <c r="BV4" s="418">
        <v>0</v>
      </c>
      <c r="BW4" s="418">
        <v>0</v>
      </c>
      <c r="BX4" s="418">
        <v>0</v>
      </c>
      <c r="BY4" s="418">
        <v>0</v>
      </c>
      <c r="BZ4" s="418">
        <v>0</v>
      </c>
      <c r="CA4" s="418">
        <v>0</v>
      </c>
      <c r="CB4" s="418">
        <v>0</v>
      </c>
    </row>
    <row r="5" spans="1:80" s="418" customFormat="1" ht="15.6" x14ac:dyDescent="0.3">
      <c r="A5" s="1052">
        <v>6</v>
      </c>
      <c r="B5" s="1049"/>
      <c r="C5" s="1060" t="s">
        <v>1923</v>
      </c>
      <c r="D5" s="1061" t="s">
        <v>265</v>
      </c>
      <c r="E5" s="1062" t="s">
        <v>300</v>
      </c>
      <c r="F5" s="1063">
        <v>0</v>
      </c>
      <c r="G5" s="1063">
        <v>0</v>
      </c>
      <c r="H5" s="1063">
        <v>0</v>
      </c>
      <c r="I5" s="1063">
        <v>0</v>
      </c>
      <c r="J5" s="1063">
        <v>0</v>
      </c>
      <c r="K5" s="1063">
        <v>0</v>
      </c>
      <c r="L5" s="1063">
        <v>0</v>
      </c>
      <c r="M5" s="1063">
        <v>0</v>
      </c>
      <c r="N5" s="1063">
        <v>0</v>
      </c>
      <c r="O5" s="1063">
        <v>0</v>
      </c>
      <c r="P5" s="1063">
        <v>0</v>
      </c>
      <c r="Q5" s="1063">
        <v>0</v>
      </c>
      <c r="R5" s="1063">
        <v>0</v>
      </c>
      <c r="S5" s="1063">
        <v>0</v>
      </c>
      <c r="T5" s="1063">
        <v>0</v>
      </c>
      <c r="U5" s="1063">
        <v>0</v>
      </c>
      <c r="V5" s="1063"/>
      <c r="W5" s="1063"/>
      <c r="X5" s="1063"/>
      <c r="Y5" s="1063"/>
      <c r="Z5" s="1063"/>
      <c r="AA5" s="1063"/>
      <c r="AB5" s="1063"/>
      <c r="AC5" s="1063"/>
      <c r="AD5" s="1063"/>
      <c r="AE5" s="1063"/>
      <c r="AF5" s="1063"/>
      <c r="AG5" s="1063"/>
      <c r="AH5" s="1063"/>
      <c r="AI5" s="1063"/>
      <c r="AJ5" s="1063"/>
      <c r="AK5" s="1063"/>
      <c r="AL5" s="1063"/>
      <c r="AM5" s="1063"/>
      <c r="AN5" s="1063"/>
      <c r="AO5" s="1063"/>
      <c r="AP5" s="1063"/>
      <c r="AQ5" s="1063"/>
      <c r="AR5" s="1063"/>
      <c r="AS5" s="1063"/>
      <c r="AT5" s="418">
        <v>0</v>
      </c>
      <c r="AU5" s="418">
        <v>0</v>
      </c>
      <c r="AV5" s="418">
        <v>0</v>
      </c>
      <c r="AW5" s="418">
        <v>0</v>
      </c>
      <c r="AX5" s="418">
        <v>0</v>
      </c>
      <c r="AY5" s="418">
        <v>19953</v>
      </c>
      <c r="AZ5" s="418">
        <v>0</v>
      </c>
      <c r="BA5" s="418">
        <v>0</v>
      </c>
      <c r="BB5" s="418">
        <v>0</v>
      </c>
      <c r="BC5" s="418">
        <v>0</v>
      </c>
      <c r="BD5" s="418">
        <v>0</v>
      </c>
      <c r="BE5" s="418">
        <v>0</v>
      </c>
      <c r="BF5" s="418">
        <v>0</v>
      </c>
      <c r="BG5" s="418">
        <v>0</v>
      </c>
      <c r="BH5" s="418">
        <v>0</v>
      </c>
      <c r="BI5" s="418">
        <v>0</v>
      </c>
      <c r="BJ5" s="418">
        <v>133531</v>
      </c>
      <c r="BK5" s="418">
        <v>0</v>
      </c>
      <c r="BL5" s="418">
        <v>141268</v>
      </c>
      <c r="BM5" s="418">
        <v>0</v>
      </c>
      <c r="BN5" s="418">
        <v>0</v>
      </c>
      <c r="BO5" s="418">
        <v>0</v>
      </c>
      <c r="BP5" s="418">
        <v>0</v>
      </c>
      <c r="BQ5" s="418">
        <v>0</v>
      </c>
      <c r="BR5" s="418">
        <v>0</v>
      </c>
      <c r="BS5" s="418">
        <v>0</v>
      </c>
      <c r="BT5" s="418">
        <v>0</v>
      </c>
      <c r="BU5" s="418">
        <v>0</v>
      </c>
      <c r="BV5" s="418">
        <v>0</v>
      </c>
      <c r="BW5" s="418">
        <v>0</v>
      </c>
      <c r="BX5" s="418">
        <v>335000</v>
      </c>
      <c r="BY5" s="418">
        <v>0</v>
      </c>
      <c r="BZ5" s="418">
        <v>0</v>
      </c>
      <c r="CA5" s="418">
        <v>276871</v>
      </c>
      <c r="CB5" s="418">
        <v>0</v>
      </c>
    </row>
    <row r="6" spans="1:80" s="418" customFormat="1" ht="15.6" x14ac:dyDescent="0.3">
      <c r="A6" s="1052">
        <v>7</v>
      </c>
      <c r="B6" s="1049"/>
      <c r="C6" s="1060" t="s">
        <v>1924</v>
      </c>
      <c r="D6" s="1061" t="s">
        <v>202</v>
      </c>
      <c r="E6" s="1062" t="s">
        <v>301</v>
      </c>
      <c r="F6" s="1063">
        <v>0</v>
      </c>
      <c r="G6" s="1063">
        <v>0</v>
      </c>
      <c r="H6" s="1063">
        <v>0</v>
      </c>
      <c r="I6" s="1063">
        <v>0</v>
      </c>
      <c r="J6" s="1063">
        <v>0</v>
      </c>
      <c r="K6" s="1063">
        <v>0</v>
      </c>
      <c r="L6" s="1063">
        <v>0</v>
      </c>
      <c r="M6" s="1063">
        <v>0</v>
      </c>
      <c r="N6" s="1063">
        <v>0</v>
      </c>
      <c r="O6" s="1063">
        <v>0</v>
      </c>
      <c r="P6" s="1063">
        <v>0</v>
      </c>
      <c r="Q6" s="1063">
        <v>0</v>
      </c>
      <c r="R6" s="1063">
        <v>0</v>
      </c>
      <c r="S6" s="1063">
        <v>0</v>
      </c>
      <c r="T6" s="1063">
        <v>0</v>
      </c>
      <c r="U6" s="1063">
        <v>0</v>
      </c>
      <c r="V6" s="1063"/>
      <c r="W6" s="1063"/>
      <c r="X6" s="1063"/>
      <c r="Y6" s="1063"/>
      <c r="Z6" s="1063"/>
      <c r="AA6" s="1063"/>
      <c r="AB6" s="1063"/>
      <c r="AC6" s="1063"/>
      <c r="AD6" s="1063"/>
      <c r="AE6" s="1063"/>
      <c r="AF6" s="1063"/>
      <c r="AG6" s="1063"/>
      <c r="AH6" s="1063"/>
      <c r="AI6" s="1063"/>
      <c r="AJ6" s="1063"/>
      <c r="AK6" s="1063"/>
      <c r="AL6" s="1063"/>
      <c r="AM6" s="1063"/>
      <c r="AN6" s="1063"/>
      <c r="AO6" s="1063"/>
      <c r="AP6" s="1063"/>
      <c r="AQ6" s="1063"/>
      <c r="AR6" s="1063"/>
      <c r="AS6" s="1063"/>
      <c r="AT6" s="418">
        <v>0</v>
      </c>
      <c r="AU6" s="418">
        <v>16791</v>
      </c>
      <c r="AV6" s="418">
        <v>19455</v>
      </c>
      <c r="AW6" s="418">
        <v>0</v>
      </c>
      <c r="AX6" s="418">
        <v>0</v>
      </c>
      <c r="AY6" s="418">
        <v>160156</v>
      </c>
      <c r="AZ6" s="418">
        <v>14953</v>
      </c>
      <c r="BA6" s="418">
        <v>0</v>
      </c>
      <c r="BB6" s="418">
        <v>0</v>
      </c>
      <c r="BC6" s="418">
        <v>0</v>
      </c>
      <c r="BD6" s="418">
        <v>0</v>
      </c>
      <c r="BE6" s="418">
        <v>0</v>
      </c>
      <c r="BF6" s="418">
        <v>125926</v>
      </c>
      <c r="BG6" s="418">
        <v>0</v>
      </c>
      <c r="BH6" s="418">
        <v>0</v>
      </c>
      <c r="BI6" s="418">
        <v>0</v>
      </c>
      <c r="BJ6" s="418">
        <v>28935</v>
      </c>
      <c r="BK6" s="418">
        <v>0</v>
      </c>
      <c r="BL6" s="418">
        <v>5100</v>
      </c>
      <c r="BM6" s="418">
        <v>18</v>
      </c>
      <c r="BN6" s="418">
        <v>0</v>
      </c>
      <c r="BO6" s="418">
        <v>28663</v>
      </c>
      <c r="BP6" s="418">
        <v>0</v>
      </c>
      <c r="BQ6" s="418">
        <v>4000</v>
      </c>
      <c r="BR6" s="418">
        <v>0</v>
      </c>
      <c r="BS6" s="418">
        <v>900</v>
      </c>
      <c r="BT6" s="418">
        <v>114980</v>
      </c>
      <c r="BU6" s="418">
        <v>0</v>
      </c>
      <c r="BV6" s="418">
        <v>0</v>
      </c>
      <c r="BW6" s="418">
        <v>0</v>
      </c>
      <c r="BX6" s="418">
        <v>0</v>
      </c>
      <c r="BY6" s="418">
        <v>0</v>
      </c>
      <c r="BZ6" s="418">
        <v>0</v>
      </c>
      <c r="CA6" s="418">
        <v>168052</v>
      </c>
      <c r="CB6" s="418">
        <v>0</v>
      </c>
    </row>
    <row r="7" spans="1:80" s="418" customFormat="1" ht="27.6" x14ac:dyDescent="0.3">
      <c r="A7" s="1052">
        <v>9</v>
      </c>
      <c r="B7" s="1049"/>
      <c r="C7" s="1060" t="s">
        <v>1925</v>
      </c>
      <c r="D7" s="1061" t="s">
        <v>204</v>
      </c>
      <c r="E7" s="1062" t="s">
        <v>302</v>
      </c>
      <c r="F7" s="1063">
        <v>0</v>
      </c>
      <c r="G7" s="1063">
        <v>0</v>
      </c>
      <c r="H7" s="1063">
        <v>0</v>
      </c>
      <c r="I7" s="1063">
        <v>0</v>
      </c>
      <c r="J7" s="1063">
        <v>0</v>
      </c>
      <c r="K7" s="1063">
        <v>0</v>
      </c>
      <c r="L7" s="1063">
        <v>0</v>
      </c>
      <c r="M7" s="1063">
        <v>0</v>
      </c>
      <c r="N7" s="1063">
        <v>0</v>
      </c>
      <c r="O7" s="1063">
        <v>0</v>
      </c>
      <c r="P7" s="1063">
        <v>0</v>
      </c>
      <c r="Q7" s="1063">
        <v>0</v>
      </c>
      <c r="R7" s="1063">
        <v>0</v>
      </c>
      <c r="S7" s="1063">
        <v>0</v>
      </c>
      <c r="T7" s="1063">
        <v>0</v>
      </c>
      <c r="U7" s="1063">
        <v>0</v>
      </c>
      <c r="V7" s="1063"/>
      <c r="W7" s="1063"/>
      <c r="X7" s="1063"/>
      <c r="Y7" s="1063"/>
      <c r="Z7" s="1063"/>
      <c r="AA7" s="1063"/>
      <c r="AB7" s="1063"/>
      <c r="AC7" s="1063"/>
      <c r="AD7" s="1063"/>
      <c r="AE7" s="1063"/>
      <c r="AF7" s="1063"/>
      <c r="AG7" s="1063"/>
      <c r="AH7" s="1063"/>
      <c r="AI7" s="1063"/>
      <c r="AJ7" s="1063"/>
      <c r="AK7" s="1063"/>
      <c r="AL7" s="1063"/>
      <c r="AM7" s="1063"/>
      <c r="AN7" s="1063"/>
      <c r="AO7" s="1063"/>
      <c r="AP7" s="1063"/>
      <c r="AQ7" s="1063"/>
      <c r="AR7" s="1063"/>
      <c r="AS7" s="1063"/>
      <c r="AT7" s="418">
        <v>485484</v>
      </c>
      <c r="AU7" s="418">
        <v>3106649</v>
      </c>
      <c r="AV7" s="418">
        <v>6848623</v>
      </c>
      <c r="AW7" s="418">
        <v>157363</v>
      </c>
      <c r="AX7" s="418">
        <v>546024</v>
      </c>
      <c r="AY7" s="418">
        <v>3528591</v>
      </c>
      <c r="AZ7" s="418">
        <v>3056307</v>
      </c>
      <c r="BA7" s="418">
        <v>2171109</v>
      </c>
      <c r="BB7" s="418">
        <v>120196</v>
      </c>
      <c r="BC7" s="418">
        <v>1888089</v>
      </c>
      <c r="BD7" s="418">
        <v>0</v>
      </c>
      <c r="BE7" s="418">
        <v>396404</v>
      </c>
      <c r="BF7" s="418">
        <v>5383411</v>
      </c>
      <c r="BG7" s="418">
        <v>0</v>
      </c>
      <c r="BH7" s="418">
        <v>181450</v>
      </c>
      <c r="BI7" s="418">
        <v>2960874</v>
      </c>
      <c r="BJ7" s="418">
        <v>3702072</v>
      </c>
      <c r="BK7" s="418">
        <v>0</v>
      </c>
      <c r="BL7" s="418">
        <v>3326834</v>
      </c>
      <c r="BM7" s="418">
        <v>6097828</v>
      </c>
      <c r="BN7" s="418">
        <v>141989</v>
      </c>
      <c r="BO7" s="418">
        <v>4478753</v>
      </c>
      <c r="BP7" s="418">
        <v>3695204</v>
      </c>
      <c r="BQ7" s="418">
        <v>1690464</v>
      </c>
      <c r="BR7" s="418">
        <v>3032233</v>
      </c>
      <c r="BS7" s="418">
        <v>2116025</v>
      </c>
      <c r="BT7" s="418">
        <v>11000469</v>
      </c>
      <c r="BU7" s="418">
        <v>2441166</v>
      </c>
      <c r="BV7" s="418">
        <v>1969129</v>
      </c>
      <c r="BW7" s="418">
        <v>543137</v>
      </c>
      <c r="BX7" s="418">
        <v>1314817</v>
      </c>
      <c r="BY7" s="418">
        <v>186628</v>
      </c>
      <c r="BZ7" s="418">
        <v>216749</v>
      </c>
      <c r="CA7" s="418">
        <v>14842317</v>
      </c>
      <c r="CB7" s="418">
        <v>102882</v>
      </c>
    </row>
    <row r="8" spans="1:80" s="418" customFormat="1" ht="15.6" x14ac:dyDescent="0.3">
      <c r="A8" s="1052">
        <v>11</v>
      </c>
      <c r="B8" s="1049"/>
      <c r="C8" s="1060" t="s">
        <v>1926</v>
      </c>
      <c r="D8" s="1061" t="s">
        <v>203</v>
      </c>
      <c r="E8" s="1062" t="s">
        <v>303</v>
      </c>
      <c r="F8" s="1063">
        <v>0</v>
      </c>
      <c r="G8" s="1063">
        <v>0</v>
      </c>
      <c r="H8" s="1063">
        <v>0</v>
      </c>
      <c r="I8" s="1063">
        <v>0</v>
      </c>
      <c r="J8" s="1063">
        <v>0</v>
      </c>
      <c r="K8" s="1063">
        <v>0</v>
      </c>
      <c r="L8" s="1063">
        <v>0</v>
      </c>
      <c r="M8" s="1063">
        <v>0</v>
      </c>
      <c r="N8" s="1063">
        <v>0</v>
      </c>
      <c r="O8" s="1063">
        <v>0</v>
      </c>
      <c r="P8" s="1063">
        <v>0</v>
      </c>
      <c r="Q8" s="1063">
        <v>0</v>
      </c>
      <c r="R8" s="1063">
        <v>0</v>
      </c>
      <c r="S8" s="1063">
        <v>0</v>
      </c>
      <c r="T8" s="1063">
        <v>0</v>
      </c>
      <c r="U8" s="1063">
        <v>0</v>
      </c>
      <c r="V8" s="1063"/>
      <c r="W8" s="1063"/>
      <c r="X8" s="1063"/>
      <c r="Y8" s="1063"/>
      <c r="Z8" s="1063"/>
      <c r="AA8" s="1049"/>
      <c r="AB8" s="1049"/>
      <c r="AC8" s="1063"/>
      <c r="AD8" s="1063"/>
      <c r="AE8" s="1063"/>
      <c r="AF8" s="1063"/>
      <c r="AG8" s="1063"/>
      <c r="AH8" s="1063"/>
      <c r="AI8" s="1063"/>
      <c r="AJ8" s="1063"/>
      <c r="AK8" s="1063"/>
      <c r="AL8" s="1063"/>
      <c r="AM8" s="1063"/>
      <c r="AN8" s="1063"/>
      <c r="AO8" s="1063"/>
      <c r="AP8" s="1063"/>
      <c r="AQ8" s="1063"/>
      <c r="AR8" s="1063"/>
      <c r="AS8" s="1063"/>
      <c r="AT8" s="418">
        <v>27462</v>
      </c>
      <c r="AU8" s="418">
        <v>112874</v>
      </c>
      <c r="AV8" s="418">
        <v>369558</v>
      </c>
      <c r="AW8" s="418">
        <v>3181</v>
      </c>
      <c r="AX8" s="418">
        <v>101260</v>
      </c>
      <c r="AY8" s="418">
        <v>67380</v>
      </c>
      <c r="AZ8" s="418">
        <v>564647</v>
      </c>
      <c r="BA8" s="418">
        <v>67700</v>
      </c>
      <c r="BB8" s="418">
        <v>0</v>
      </c>
      <c r="BC8" s="418">
        <v>476510</v>
      </c>
      <c r="BD8" s="418">
        <v>0</v>
      </c>
      <c r="BE8" s="418">
        <v>8482</v>
      </c>
      <c r="BF8" s="418">
        <v>32518</v>
      </c>
      <c r="BG8" s="418">
        <v>0</v>
      </c>
      <c r="BH8" s="418">
        <v>23601</v>
      </c>
      <c r="BI8" s="418">
        <v>7771</v>
      </c>
      <c r="BJ8" s="418">
        <v>123884</v>
      </c>
      <c r="BK8" s="418">
        <v>0</v>
      </c>
      <c r="BL8" s="418">
        <v>165121</v>
      </c>
      <c r="BM8" s="418">
        <v>61161</v>
      </c>
      <c r="BN8" s="418">
        <v>0</v>
      </c>
      <c r="BO8" s="418">
        <v>214857</v>
      </c>
      <c r="BP8" s="418">
        <v>141279</v>
      </c>
      <c r="BQ8" s="418">
        <v>147781</v>
      </c>
      <c r="BR8" s="418">
        <v>170778</v>
      </c>
      <c r="BS8" s="418">
        <v>18341</v>
      </c>
      <c r="BT8" s="418">
        <v>482455</v>
      </c>
      <c r="BU8" s="418">
        <v>28016</v>
      </c>
      <c r="BV8" s="418">
        <v>121554</v>
      </c>
      <c r="BW8" s="418">
        <v>0</v>
      </c>
      <c r="BX8" s="418">
        <v>52790</v>
      </c>
      <c r="BY8" s="418">
        <v>20509</v>
      </c>
      <c r="BZ8" s="418">
        <v>18656</v>
      </c>
      <c r="CA8" s="418">
        <v>0</v>
      </c>
      <c r="CB8" s="418">
        <v>5028</v>
      </c>
    </row>
    <row r="9" spans="1:80" s="418" customFormat="1" ht="27.6" x14ac:dyDescent="0.3">
      <c r="A9" s="1052">
        <v>12</v>
      </c>
      <c r="B9" s="1049"/>
      <c r="C9" s="1060" t="s">
        <v>1927</v>
      </c>
      <c r="D9" s="1061" t="s">
        <v>1770</v>
      </c>
      <c r="E9" s="1062" t="s">
        <v>304</v>
      </c>
      <c r="F9" s="1063">
        <v>0</v>
      </c>
      <c r="G9" s="1063">
        <v>0</v>
      </c>
      <c r="H9" s="1063">
        <v>0</v>
      </c>
      <c r="I9" s="1063">
        <v>0</v>
      </c>
      <c r="J9" s="1063">
        <v>0</v>
      </c>
      <c r="K9" s="1063">
        <v>0</v>
      </c>
      <c r="L9" s="1063">
        <v>0</v>
      </c>
      <c r="M9" s="1063">
        <v>0</v>
      </c>
      <c r="N9" s="1063">
        <v>0</v>
      </c>
      <c r="O9" s="1063">
        <v>0</v>
      </c>
      <c r="P9" s="1063">
        <v>0</v>
      </c>
      <c r="Q9" s="1063">
        <v>0</v>
      </c>
      <c r="R9" s="1063">
        <v>0</v>
      </c>
      <c r="S9" s="1063">
        <v>0</v>
      </c>
      <c r="T9" s="1063">
        <v>0</v>
      </c>
      <c r="U9" s="1063">
        <v>0</v>
      </c>
      <c r="V9" s="1063"/>
      <c r="W9" s="1063"/>
      <c r="X9" s="1063"/>
      <c r="Y9" s="1064"/>
      <c r="Z9" s="1065"/>
      <c r="AA9" s="1066"/>
      <c r="AB9" s="1049"/>
      <c r="AC9" s="1063"/>
      <c r="AD9" s="1063"/>
      <c r="AE9" s="1063"/>
      <c r="AF9" s="1063"/>
      <c r="AG9" s="1063"/>
      <c r="AH9" s="1063"/>
      <c r="AI9" s="1063"/>
      <c r="AJ9" s="1063"/>
      <c r="AK9" s="1063"/>
      <c r="AL9" s="1063"/>
      <c r="AM9" s="1063"/>
      <c r="AN9" s="1063"/>
      <c r="AO9" s="1063"/>
      <c r="AP9" s="1063"/>
      <c r="AQ9" s="1063"/>
      <c r="AR9" s="1063"/>
      <c r="AS9" s="1063"/>
    </row>
    <row r="10" spans="1:80" s="418" customFormat="1" ht="27.6" x14ac:dyDescent="0.3">
      <c r="A10" s="1052">
        <v>13</v>
      </c>
      <c r="B10" s="1053">
        <v>13</v>
      </c>
      <c r="C10" s="1060" t="s">
        <v>1928</v>
      </c>
      <c r="D10" s="1061" t="s">
        <v>1719</v>
      </c>
      <c r="E10" s="1062" t="s">
        <v>305</v>
      </c>
      <c r="F10" s="1063">
        <v>0</v>
      </c>
      <c r="G10" s="1063">
        <v>168008259</v>
      </c>
      <c r="H10" s="1063">
        <v>92730390</v>
      </c>
      <c r="I10" s="1063">
        <v>222907780</v>
      </c>
      <c r="J10" s="1063">
        <v>0</v>
      </c>
      <c r="K10" s="1063">
        <v>0</v>
      </c>
      <c r="L10" s="1063">
        <v>0</v>
      </c>
      <c r="M10" s="1063">
        <v>0</v>
      </c>
      <c r="N10" s="1063">
        <v>101614411</v>
      </c>
      <c r="O10" s="1063">
        <v>22313404</v>
      </c>
      <c r="P10" s="1063">
        <v>125159581</v>
      </c>
      <c r="Q10" s="1063">
        <v>0</v>
      </c>
      <c r="R10" s="1063">
        <v>23276821</v>
      </c>
      <c r="S10" s="1063">
        <v>44101290</v>
      </c>
      <c r="T10" s="1063">
        <v>17025513</v>
      </c>
      <c r="U10" s="1063">
        <v>164622996</v>
      </c>
      <c r="V10" s="1063"/>
      <c r="W10" s="1063"/>
      <c r="X10" s="1063"/>
      <c r="Y10" s="1064"/>
      <c r="Z10" s="1065"/>
      <c r="AA10" s="1066"/>
      <c r="AB10" s="1049"/>
      <c r="AC10" s="1063"/>
      <c r="AD10" s="1063"/>
      <c r="AE10" s="1063"/>
      <c r="AF10" s="1063"/>
      <c r="AG10" s="1063"/>
      <c r="AH10" s="1063"/>
      <c r="AI10" s="1063"/>
      <c r="AJ10" s="1063"/>
      <c r="AK10" s="1063"/>
      <c r="AL10" s="1063"/>
      <c r="AM10" s="1063"/>
      <c r="AN10" s="1063"/>
      <c r="AO10" s="1063"/>
      <c r="AP10" s="1063"/>
      <c r="AQ10" s="1063"/>
      <c r="AR10" s="1063"/>
      <c r="AS10" s="1063"/>
    </row>
    <row r="11" spans="1:80" s="418" customFormat="1" ht="27.6" x14ac:dyDescent="0.3">
      <c r="A11" s="1052">
        <v>14</v>
      </c>
      <c r="B11" s="1053">
        <v>14</v>
      </c>
      <c r="C11" s="1060" t="s">
        <v>1929</v>
      </c>
      <c r="D11" s="1061" t="s">
        <v>306</v>
      </c>
      <c r="E11" s="1062" t="s">
        <v>307</v>
      </c>
      <c r="F11" s="1063">
        <v>0</v>
      </c>
      <c r="G11" s="1063">
        <v>68609896</v>
      </c>
      <c r="H11" s="1063">
        <v>41991098</v>
      </c>
      <c r="I11" s="1063">
        <v>81629164</v>
      </c>
      <c r="J11" s="1063">
        <v>0</v>
      </c>
      <c r="K11" s="1063">
        <v>0</v>
      </c>
      <c r="L11" s="1063">
        <v>0</v>
      </c>
      <c r="M11" s="1063">
        <v>0</v>
      </c>
      <c r="N11" s="1063">
        <v>65893744</v>
      </c>
      <c r="O11" s="1063">
        <v>13685632</v>
      </c>
      <c r="P11" s="1063">
        <v>76554026</v>
      </c>
      <c r="Q11" s="1063">
        <v>0</v>
      </c>
      <c r="R11" s="1063">
        <v>29242019</v>
      </c>
      <c r="S11" s="1063">
        <v>49390273</v>
      </c>
      <c r="T11" s="1063">
        <v>19450471</v>
      </c>
      <c r="U11" s="1063">
        <v>64766820</v>
      </c>
      <c r="V11" s="1063"/>
      <c r="W11" s="1063"/>
      <c r="X11" s="1063"/>
      <c r="Y11" s="1064"/>
      <c r="Z11" s="1065"/>
      <c r="AA11" s="1066"/>
      <c r="AB11" s="1049"/>
      <c r="AC11" s="1063"/>
      <c r="AD11" s="1063"/>
      <c r="AE11" s="1063"/>
      <c r="AF11" s="1063"/>
      <c r="AG11" s="1063"/>
      <c r="AH11" s="1063"/>
      <c r="AI11" s="1063"/>
      <c r="AJ11" s="1063"/>
      <c r="AK11" s="1063"/>
      <c r="AL11" s="1063"/>
      <c r="AM11" s="1063"/>
      <c r="AN11" s="1063"/>
      <c r="AO11" s="1063"/>
      <c r="AP11" s="1063"/>
      <c r="AQ11" s="1063"/>
      <c r="AR11" s="1063"/>
      <c r="AS11" s="1063"/>
    </row>
    <row r="12" spans="1:80" s="418" customFormat="1" ht="15.6" x14ac:dyDescent="0.3">
      <c r="A12" s="1052">
        <v>16</v>
      </c>
      <c r="B12" s="1049"/>
      <c r="C12" s="1060" t="s">
        <v>1930</v>
      </c>
      <c r="D12" s="1061" t="s">
        <v>206</v>
      </c>
      <c r="E12" s="1062" t="s">
        <v>308</v>
      </c>
      <c r="F12" s="1063">
        <v>0</v>
      </c>
      <c r="G12" s="1063">
        <v>0</v>
      </c>
      <c r="H12" s="1063">
        <v>0</v>
      </c>
      <c r="I12" s="1063">
        <v>0</v>
      </c>
      <c r="J12" s="1063">
        <v>0</v>
      </c>
      <c r="K12" s="1063">
        <v>0</v>
      </c>
      <c r="L12" s="1063">
        <v>0</v>
      </c>
      <c r="M12" s="1063">
        <v>0</v>
      </c>
      <c r="N12" s="1063">
        <v>0</v>
      </c>
      <c r="O12" s="1063">
        <v>0</v>
      </c>
      <c r="P12" s="1063">
        <v>0</v>
      </c>
      <c r="Q12" s="1063">
        <v>0</v>
      </c>
      <c r="R12" s="1063">
        <v>0</v>
      </c>
      <c r="S12" s="1063">
        <v>0</v>
      </c>
      <c r="T12" s="1063">
        <v>0</v>
      </c>
      <c r="U12" s="1063">
        <v>0</v>
      </c>
      <c r="V12" s="1063"/>
      <c r="W12" s="1063"/>
      <c r="X12" s="1063"/>
      <c r="Y12" s="1064"/>
      <c r="Z12" s="1065"/>
      <c r="AA12" s="1066"/>
      <c r="AB12" s="1049"/>
      <c r="AC12" s="1063"/>
      <c r="AD12" s="1063"/>
      <c r="AE12" s="1063"/>
      <c r="AF12" s="1063"/>
      <c r="AG12" s="1063"/>
      <c r="AH12" s="1063"/>
      <c r="AI12" s="1063"/>
      <c r="AJ12" s="1063"/>
      <c r="AK12" s="1063"/>
      <c r="AL12" s="1063"/>
      <c r="AM12" s="1063"/>
      <c r="AN12" s="1063"/>
      <c r="AO12" s="1063"/>
      <c r="AP12" s="1063"/>
      <c r="AQ12" s="1063"/>
      <c r="AR12" s="1063"/>
      <c r="AS12" s="1063"/>
      <c r="AT12" s="418">
        <v>678746</v>
      </c>
      <c r="AU12" s="418">
        <v>4859861</v>
      </c>
      <c r="AV12" s="418">
        <v>12109855</v>
      </c>
      <c r="AW12" s="418">
        <v>106072</v>
      </c>
      <c r="AX12" s="418">
        <v>778926</v>
      </c>
      <c r="AY12" s="418">
        <v>3410780</v>
      </c>
      <c r="AZ12" s="418">
        <v>4379291</v>
      </c>
      <c r="BA12" s="418">
        <v>3472693</v>
      </c>
      <c r="BB12" s="418">
        <v>81223</v>
      </c>
      <c r="BC12" s="418">
        <v>2631094</v>
      </c>
      <c r="BD12" s="418">
        <v>0</v>
      </c>
      <c r="BE12" s="418">
        <v>84302</v>
      </c>
      <c r="BF12" s="418">
        <v>26494470</v>
      </c>
      <c r="BG12" s="418">
        <v>0</v>
      </c>
      <c r="BH12" s="418">
        <v>70120</v>
      </c>
      <c r="BI12" s="418">
        <v>3219607</v>
      </c>
      <c r="BJ12" s="418">
        <v>2949536</v>
      </c>
      <c r="BK12" s="418">
        <v>0</v>
      </c>
      <c r="BL12" s="418">
        <v>9118916</v>
      </c>
      <c r="BM12" s="418">
        <v>4349680</v>
      </c>
      <c r="BN12" s="418">
        <v>50974</v>
      </c>
      <c r="BO12" s="418">
        <v>7173239</v>
      </c>
      <c r="BP12" s="418">
        <v>2093171</v>
      </c>
      <c r="BQ12" s="418">
        <v>1057933</v>
      </c>
      <c r="BR12" s="418">
        <v>2029840</v>
      </c>
      <c r="BS12" s="418">
        <v>1604987</v>
      </c>
      <c r="BT12" s="418">
        <v>23576257</v>
      </c>
      <c r="BU12" s="418">
        <v>2098257</v>
      </c>
      <c r="BV12" s="418">
        <v>2995906</v>
      </c>
      <c r="BW12" s="418">
        <v>1426098</v>
      </c>
      <c r="BX12" s="418">
        <v>1025718</v>
      </c>
      <c r="BY12" s="418">
        <v>40420</v>
      </c>
      <c r="BZ12" s="418">
        <v>47916</v>
      </c>
      <c r="CA12" s="418">
        <v>19644365</v>
      </c>
      <c r="CB12" s="418">
        <v>98097</v>
      </c>
    </row>
    <row r="13" spans="1:80" s="418" customFormat="1" ht="15.6" x14ac:dyDescent="0.3">
      <c r="A13" s="1052">
        <v>17</v>
      </c>
      <c r="B13" s="1049"/>
      <c r="C13" s="1060" t="s">
        <v>1931</v>
      </c>
      <c r="D13" s="1061" t="s">
        <v>209</v>
      </c>
      <c r="E13" s="1062" t="s">
        <v>309</v>
      </c>
      <c r="F13" s="1063">
        <v>0</v>
      </c>
      <c r="G13" s="1063">
        <v>0</v>
      </c>
      <c r="H13" s="1063">
        <v>0</v>
      </c>
      <c r="I13" s="1063">
        <v>0</v>
      </c>
      <c r="J13" s="1063">
        <v>0</v>
      </c>
      <c r="K13" s="1063">
        <v>0</v>
      </c>
      <c r="L13" s="1063">
        <v>0</v>
      </c>
      <c r="M13" s="1063">
        <v>0</v>
      </c>
      <c r="N13" s="1063">
        <v>0</v>
      </c>
      <c r="O13" s="1063">
        <v>0</v>
      </c>
      <c r="P13" s="1063">
        <v>0</v>
      </c>
      <c r="Q13" s="1063">
        <v>0</v>
      </c>
      <c r="R13" s="1063">
        <v>0</v>
      </c>
      <c r="S13" s="1063">
        <v>0</v>
      </c>
      <c r="T13" s="1063">
        <v>0</v>
      </c>
      <c r="U13" s="1063">
        <v>0</v>
      </c>
      <c r="V13" s="1063"/>
      <c r="W13" s="1063"/>
      <c r="X13" s="1063"/>
      <c r="Y13" s="1064"/>
      <c r="Z13" s="1065"/>
      <c r="AA13" s="1066"/>
      <c r="AB13" s="1049"/>
      <c r="AC13" s="1063"/>
      <c r="AD13" s="1063"/>
      <c r="AE13" s="1063"/>
      <c r="AF13" s="1063"/>
      <c r="AG13" s="1063"/>
      <c r="AH13" s="1063"/>
      <c r="AI13" s="1063"/>
      <c r="AJ13" s="1063"/>
      <c r="AK13" s="1063"/>
      <c r="AL13" s="1063"/>
      <c r="AM13" s="1063"/>
      <c r="AN13" s="1063"/>
      <c r="AO13" s="1063"/>
      <c r="AP13" s="1063"/>
      <c r="AQ13" s="1063"/>
      <c r="AR13" s="1063"/>
      <c r="AS13" s="1063"/>
      <c r="AT13" s="418">
        <v>0</v>
      </c>
      <c r="AU13" s="418">
        <v>0</v>
      </c>
      <c r="AV13" s="418">
        <v>405071</v>
      </c>
      <c r="AW13" s="418">
        <v>20000</v>
      </c>
      <c r="AX13" s="418">
        <v>0</v>
      </c>
      <c r="AY13" s="418">
        <v>0</v>
      </c>
      <c r="AZ13" s="418">
        <v>60000</v>
      </c>
      <c r="BA13" s="418">
        <v>377370</v>
      </c>
      <c r="BB13" s="418">
        <v>0</v>
      </c>
      <c r="BC13" s="418">
        <v>0</v>
      </c>
      <c r="BD13" s="418">
        <v>0</v>
      </c>
      <c r="BE13" s="418">
        <v>0</v>
      </c>
      <c r="BF13" s="418">
        <v>662245</v>
      </c>
      <c r="BG13" s="418">
        <v>0</v>
      </c>
      <c r="BH13" s="418">
        <v>0</v>
      </c>
      <c r="BI13" s="418">
        <v>22</v>
      </c>
      <c r="BJ13" s="418">
        <v>4546</v>
      </c>
      <c r="BK13" s="418">
        <v>0</v>
      </c>
      <c r="BL13" s="418">
        <v>27650</v>
      </c>
      <c r="BM13" s="418">
        <v>0</v>
      </c>
      <c r="BN13" s="418">
        <v>0</v>
      </c>
      <c r="BO13" s="418">
        <v>173000</v>
      </c>
      <c r="BP13" s="418">
        <v>0</v>
      </c>
      <c r="BQ13" s="418">
        <v>0</v>
      </c>
      <c r="BR13" s="418">
        <v>1495868</v>
      </c>
      <c r="BS13" s="418">
        <v>0</v>
      </c>
      <c r="BT13" s="418">
        <v>977378</v>
      </c>
      <c r="BU13" s="418">
        <v>0</v>
      </c>
      <c r="BV13" s="418">
        <v>0</v>
      </c>
      <c r="BW13" s="418">
        <v>0</v>
      </c>
      <c r="BX13" s="418">
        <v>0</v>
      </c>
      <c r="BY13" s="418">
        <v>0</v>
      </c>
      <c r="BZ13" s="418">
        <v>0</v>
      </c>
      <c r="CA13" s="418">
        <v>0</v>
      </c>
      <c r="CB13" s="418">
        <v>0</v>
      </c>
    </row>
    <row r="14" spans="1:80" s="418" customFormat="1" ht="15.6" x14ac:dyDescent="0.3">
      <c r="A14" s="1052">
        <v>19</v>
      </c>
      <c r="B14" s="1049"/>
      <c r="C14" s="1060" t="s">
        <v>1932</v>
      </c>
      <c r="D14" s="1061" t="s">
        <v>567</v>
      </c>
      <c r="E14" s="1062" t="s">
        <v>310</v>
      </c>
      <c r="F14" s="1063">
        <v>0</v>
      </c>
      <c r="G14" s="1063">
        <v>0</v>
      </c>
      <c r="H14" s="1063">
        <v>0</v>
      </c>
      <c r="I14" s="1063">
        <v>0</v>
      </c>
      <c r="J14" s="1063">
        <v>0</v>
      </c>
      <c r="K14" s="1063">
        <v>0</v>
      </c>
      <c r="L14" s="1063">
        <v>0</v>
      </c>
      <c r="M14" s="1063">
        <v>0</v>
      </c>
      <c r="N14" s="1063">
        <v>0</v>
      </c>
      <c r="O14" s="1063">
        <v>0</v>
      </c>
      <c r="P14" s="1063">
        <v>0</v>
      </c>
      <c r="Q14" s="1063">
        <v>0</v>
      </c>
      <c r="R14" s="1063">
        <v>0</v>
      </c>
      <c r="S14" s="1063">
        <v>0</v>
      </c>
      <c r="T14" s="1063">
        <v>0</v>
      </c>
      <c r="U14" s="1063">
        <v>0</v>
      </c>
      <c r="V14" s="1063"/>
      <c r="W14" s="1063"/>
      <c r="X14" s="1063"/>
      <c r="Y14" s="1064"/>
      <c r="Z14" s="1065"/>
      <c r="AA14" s="1066"/>
      <c r="AB14" s="1049"/>
      <c r="AC14" s="1063"/>
      <c r="AD14" s="1063"/>
      <c r="AE14" s="1063"/>
      <c r="AF14" s="1063"/>
      <c r="AG14" s="1063"/>
      <c r="AH14" s="1063"/>
      <c r="AI14" s="1063"/>
      <c r="AJ14" s="1063"/>
      <c r="AK14" s="1063"/>
      <c r="AL14" s="1063"/>
      <c r="AM14" s="1063"/>
      <c r="AN14" s="1063"/>
      <c r="AO14" s="1063"/>
      <c r="AP14" s="1063"/>
      <c r="AQ14" s="1063"/>
      <c r="AR14" s="1063"/>
      <c r="AS14" s="1063"/>
    </row>
    <row r="15" spans="1:80" s="418" customFormat="1" ht="15.6" x14ac:dyDescent="0.3">
      <c r="A15" s="1052">
        <v>20</v>
      </c>
      <c r="B15" s="1049"/>
      <c r="C15" s="1060" t="s">
        <v>1933</v>
      </c>
      <c r="D15" s="1061" t="s">
        <v>210</v>
      </c>
      <c r="E15" s="1062" t="s">
        <v>311</v>
      </c>
      <c r="F15" s="1063">
        <v>0</v>
      </c>
      <c r="G15" s="1063">
        <v>0</v>
      </c>
      <c r="H15" s="1063">
        <v>0</v>
      </c>
      <c r="I15" s="1063">
        <v>0</v>
      </c>
      <c r="J15" s="1063">
        <v>0</v>
      </c>
      <c r="K15" s="1063">
        <v>0</v>
      </c>
      <c r="L15" s="1063">
        <v>0</v>
      </c>
      <c r="M15" s="1063">
        <v>0</v>
      </c>
      <c r="N15" s="1063">
        <v>0</v>
      </c>
      <c r="O15" s="1063">
        <v>0</v>
      </c>
      <c r="P15" s="1063">
        <v>0</v>
      </c>
      <c r="Q15" s="1063">
        <v>0</v>
      </c>
      <c r="R15" s="1063">
        <v>0</v>
      </c>
      <c r="S15" s="1063">
        <v>0</v>
      </c>
      <c r="T15" s="1063">
        <v>0</v>
      </c>
      <c r="U15" s="1063">
        <v>0</v>
      </c>
      <c r="V15" s="1063"/>
      <c r="W15" s="1063"/>
      <c r="X15" s="1063"/>
      <c r="Y15" s="1063"/>
      <c r="Z15" s="1063"/>
      <c r="AA15" s="1066"/>
      <c r="AB15" s="1049"/>
      <c r="AC15" s="1063"/>
      <c r="AD15" s="1063"/>
      <c r="AE15" s="1063"/>
      <c r="AF15" s="1063"/>
      <c r="AG15" s="1063"/>
      <c r="AH15" s="1063"/>
      <c r="AI15" s="1063"/>
      <c r="AJ15" s="1063"/>
      <c r="AK15" s="1063"/>
      <c r="AL15" s="1063"/>
      <c r="AM15" s="1063"/>
      <c r="AN15" s="1063"/>
      <c r="AO15" s="1063"/>
      <c r="AP15" s="1063"/>
      <c r="AQ15" s="1063"/>
      <c r="AR15" s="1063"/>
      <c r="AS15" s="1063"/>
      <c r="AT15" s="418">
        <v>0</v>
      </c>
      <c r="AU15" s="418">
        <v>0</v>
      </c>
      <c r="AV15" s="418">
        <v>0</v>
      </c>
      <c r="AW15" s="418">
        <v>0</v>
      </c>
      <c r="AX15" s="418">
        <v>0</v>
      </c>
      <c r="AY15" s="418">
        <v>0</v>
      </c>
      <c r="AZ15" s="418">
        <v>0</v>
      </c>
      <c r="BA15" s="418">
        <v>205488</v>
      </c>
      <c r="BB15" s="418">
        <v>0</v>
      </c>
      <c r="BC15" s="418">
        <v>0</v>
      </c>
      <c r="BD15" s="418">
        <v>0</v>
      </c>
      <c r="BE15" s="418">
        <v>0</v>
      </c>
      <c r="BF15" s="418">
        <v>0</v>
      </c>
      <c r="BG15" s="418">
        <v>0</v>
      </c>
      <c r="BH15" s="418">
        <v>0</v>
      </c>
      <c r="BI15" s="418">
        <v>0</v>
      </c>
      <c r="BJ15" s="418">
        <v>0</v>
      </c>
      <c r="BK15" s="418">
        <v>0</v>
      </c>
      <c r="BL15" s="418">
        <v>0</v>
      </c>
      <c r="BM15" s="418">
        <v>193542</v>
      </c>
      <c r="BN15" s="418">
        <v>0</v>
      </c>
      <c r="BO15" s="418">
        <v>58589</v>
      </c>
      <c r="BP15" s="418">
        <v>0</v>
      </c>
      <c r="BQ15" s="418">
        <v>0</v>
      </c>
      <c r="BR15" s="418">
        <v>0</v>
      </c>
      <c r="BS15" s="418">
        <v>11000</v>
      </c>
      <c r="BT15" s="418">
        <v>987757</v>
      </c>
      <c r="BU15" s="418">
        <v>6211</v>
      </c>
      <c r="BV15" s="418">
        <v>56072</v>
      </c>
      <c r="BW15" s="418">
        <v>129596</v>
      </c>
      <c r="BX15" s="418">
        <v>0</v>
      </c>
      <c r="BY15" s="418">
        <v>0</v>
      </c>
      <c r="BZ15" s="418">
        <v>0</v>
      </c>
      <c r="CA15" s="418">
        <v>1183857</v>
      </c>
      <c r="CB15" s="418">
        <v>0</v>
      </c>
    </row>
    <row r="16" spans="1:80" s="418" customFormat="1" ht="15.6" x14ac:dyDescent="0.3">
      <c r="A16" s="1052">
        <v>21</v>
      </c>
      <c r="B16" s="1049"/>
      <c r="C16" s="1060" t="s">
        <v>1934</v>
      </c>
      <c r="D16" s="1061" t="s">
        <v>568</v>
      </c>
      <c r="E16" s="1062" t="s">
        <v>312</v>
      </c>
      <c r="F16" s="1063">
        <v>0</v>
      </c>
      <c r="G16" s="1063">
        <v>0</v>
      </c>
      <c r="H16" s="1063">
        <v>0</v>
      </c>
      <c r="I16" s="1063">
        <v>0</v>
      </c>
      <c r="J16" s="1063">
        <v>0</v>
      </c>
      <c r="K16" s="1063">
        <v>0</v>
      </c>
      <c r="L16" s="1063">
        <v>0</v>
      </c>
      <c r="M16" s="1063">
        <v>0</v>
      </c>
      <c r="N16" s="1063">
        <v>0</v>
      </c>
      <c r="O16" s="1063">
        <v>0</v>
      </c>
      <c r="P16" s="1063">
        <v>0</v>
      </c>
      <c r="Q16" s="1063">
        <v>0</v>
      </c>
      <c r="R16" s="1063">
        <v>0</v>
      </c>
      <c r="S16" s="1063">
        <v>0</v>
      </c>
      <c r="T16" s="1063">
        <v>0</v>
      </c>
      <c r="U16" s="1063">
        <v>0</v>
      </c>
      <c r="V16" s="1063"/>
      <c r="W16" s="1063"/>
      <c r="X16" s="1063"/>
      <c r="Y16" s="1063"/>
      <c r="Z16" s="1063"/>
      <c r="AA16" s="1066"/>
      <c r="AB16" s="1049"/>
      <c r="AC16" s="1063"/>
      <c r="AD16" s="1063"/>
      <c r="AE16" s="1063"/>
      <c r="AF16" s="1063"/>
      <c r="AG16" s="1063"/>
      <c r="AH16" s="1063"/>
      <c r="AI16" s="1063"/>
      <c r="AJ16" s="1063"/>
      <c r="AK16" s="1063"/>
      <c r="AL16" s="1063"/>
      <c r="AM16" s="1063"/>
      <c r="AN16" s="1063"/>
      <c r="AO16" s="1063"/>
      <c r="AP16" s="1063"/>
      <c r="AQ16" s="1063"/>
      <c r="AR16" s="1063"/>
      <c r="AS16" s="1063"/>
    </row>
    <row r="17" spans="1:80" s="418" customFormat="1" ht="15.6" x14ac:dyDescent="0.3">
      <c r="A17" s="1052">
        <v>22</v>
      </c>
      <c r="B17" s="1049"/>
      <c r="C17" s="1060" t="s">
        <v>1935</v>
      </c>
      <c r="D17" s="1061" t="s">
        <v>212</v>
      </c>
      <c r="E17" s="1062" t="s">
        <v>313</v>
      </c>
      <c r="F17" s="1063">
        <v>0</v>
      </c>
      <c r="G17" s="1063">
        <v>0</v>
      </c>
      <c r="H17" s="1063">
        <v>0</v>
      </c>
      <c r="I17" s="1063">
        <v>0</v>
      </c>
      <c r="J17" s="1063">
        <v>0</v>
      </c>
      <c r="K17" s="1063">
        <v>0</v>
      </c>
      <c r="L17" s="1063">
        <v>0</v>
      </c>
      <c r="M17" s="1063">
        <v>0</v>
      </c>
      <c r="N17" s="1063">
        <v>0</v>
      </c>
      <c r="O17" s="1063">
        <v>0</v>
      </c>
      <c r="P17" s="1063">
        <v>0</v>
      </c>
      <c r="Q17" s="1063">
        <v>0</v>
      </c>
      <c r="R17" s="1063">
        <v>0</v>
      </c>
      <c r="S17" s="1063">
        <v>0</v>
      </c>
      <c r="T17" s="1063">
        <v>0</v>
      </c>
      <c r="U17" s="1063">
        <v>0</v>
      </c>
      <c r="V17" s="1063"/>
      <c r="W17" s="1063"/>
      <c r="X17" s="1063"/>
      <c r="Y17" s="1063"/>
      <c r="Z17" s="1063"/>
      <c r="AA17" s="1066"/>
      <c r="AB17" s="1049"/>
      <c r="AC17" s="1063"/>
      <c r="AD17" s="1063"/>
      <c r="AE17" s="1063"/>
      <c r="AF17" s="1063"/>
      <c r="AG17" s="1063"/>
      <c r="AH17" s="1063"/>
      <c r="AI17" s="1063"/>
      <c r="AJ17" s="1063"/>
      <c r="AK17" s="1063"/>
      <c r="AL17" s="1063"/>
      <c r="AM17" s="1063"/>
      <c r="AN17" s="1063"/>
      <c r="AO17" s="1063"/>
      <c r="AP17" s="1063"/>
      <c r="AQ17" s="1063"/>
      <c r="AR17" s="1063"/>
      <c r="AS17" s="1063"/>
      <c r="AT17" s="418">
        <v>35000</v>
      </c>
      <c r="AU17" s="418">
        <v>30680</v>
      </c>
      <c r="AV17" s="418">
        <v>-2644</v>
      </c>
      <c r="AW17" s="418">
        <v>29257</v>
      </c>
      <c r="AX17" s="418">
        <v>166000</v>
      </c>
      <c r="AY17" s="418">
        <v>0</v>
      </c>
      <c r="AZ17" s="418">
        <v>0</v>
      </c>
      <c r="BA17" s="418">
        <v>213078</v>
      </c>
      <c r="BB17" s="418">
        <v>0</v>
      </c>
      <c r="BC17" s="418">
        <v>15608</v>
      </c>
      <c r="BD17" s="418">
        <v>0</v>
      </c>
      <c r="BE17" s="418">
        <v>0</v>
      </c>
      <c r="BF17" s="418">
        <v>0</v>
      </c>
      <c r="BG17" s="418">
        <v>0</v>
      </c>
      <c r="BH17" s="418">
        <v>0</v>
      </c>
      <c r="BI17" s="418">
        <v>0</v>
      </c>
      <c r="BJ17" s="418">
        <v>40750</v>
      </c>
      <c r="BK17" s="418">
        <v>0</v>
      </c>
      <c r="BL17" s="418">
        <v>716747</v>
      </c>
      <c r="BM17" s="418">
        <v>0</v>
      </c>
      <c r="BN17" s="418">
        <v>0</v>
      </c>
      <c r="BO17" s="418">
        <v>66978</v>
      </c>
      <c r="BP17" s="418">
        <v>0</v>
      </c>
      <c r="BQ17" s="418">
        <v>0</v>
      </c>
      <c r="BR17" s="418">
        <v>9943</v>
      </c>
      <c r="BS17" s="418">
        <v>0</v>
      </c>
      <c r="BT17" s="418">
        <v>15338</v>
      </c>
      <c r="BU17" s="418">
        <v>0</v>
      </c>
      <c r="BV17" s="418">
        <v>0</v>
      </c>
      <c r="BW17" s="418">
        <v>897</v>
      </c>
      <c r="BX17" s="418">
        <v>-197576</v>
      </c>
      <c r="BY17" s="418">
        <v>0</v>
      </c>
      <c r="BZ17" s="418">
        <v>0</v>
      </c>
      <c r="CA17" s="418">
        <v>0</v>
      </c>
      <c r="CB17" s="418">
        <v>0</v>
      </c>
    </row>
    <row r="18" spans="1:80" s="418" customFormat="1" ht="15.6" x14ac:dyDescent="0.3">
      <c r="A18" s="1052">
        <v>23</v>
      </c>
      <c r="B18" s="1049"/>
      <c r="C18" s="1060" t="s">
        <v>1936</v>
      </c>
      <c r="D18" s="1061" t="s">
        <v>215</v>
      </c>
      <c r="E18" s="1062" t="s">
        <v>314</v>
      </c>
      <c r="F18" s="1063">
        <v>0</v>
      </c>
      <c r="G18" s="1063">
        <v>0</v>
      </c>
      <c r="H18" s="1063">
        <v>0</v>
      </c>
      <c r="I18" s="1063">
        <v>0</v>
      </c>
      <c r="J18" s="1063">
        <v>0</v>
      </c>
      <c r="K18" s="1063">
        <v>0</v>
      </c>
      <c r="L18" s="1063">
        <v>0</v>
      </c>
      <c r="M18" s="1063">
        <v>0</v>
      </c>
      <c r="N18" s="1063">
        <v>0</v>
      </c>
      <c r="O18" s="1063">
        <v>0</v>
      </c>
      <c r="P18" s="1063">
        <v>0</v>
      </c>
      <c r="Q18" s="1063">
        <v>0</v>
      </c>
      <c r="R18" s="1063">
        <v>0</v>
      </c>
      <c r="S18" s="1063">
        <v>0</v>
      </c>
      <c r="T18" s="1063">
        <v>0</v>
      </c>
      <c r="U18" s="1063">
        <v>0</v>
      </c>
      <c r="V18" s="1063"/>
      <c r="W18" s="1063"/>
      <c r="X18" s="1063"/>
      <c r="Y18" s="1063"/>
      <c r="Z18" s="1063"/>
      <c r="AA18" s="1066"/>
      <c r="AB18" s="1049"/>
      <c r="AC18" s="1063"/>
      <c r="AD18" s="1063"/>
      <c r="AE18" s="1063"/>
      <c r="AF18" s="1063"/>
      <c r="AG18" s="1063"/>
      <c r="AH18" s="1063"/>
      <c r="AI18" s="1063"/>
      <c r="AJ18" s="1063"/>
      <c r="AK18" s="1063"/>
      <c r="AL18" s="1063"/>
      <c r="AM18" s="1063"/>
      <c r="AN18" s="1063"/>
      <c r="AO18" s="1063"/>
      <c r="AP18" s="1063"/>
      <c r="AQ18" s="1063"/>
      <c r="AR18" s="1063"/>
      <c r="AS18" s="1063"/>
      <c r="AT18" s="418">
        <v>58905</v>
      </c>
      <c r="AU18" s="418">
        <v>108881</v>
      </c>
      <c r="AV18" s="418">
        <v>1648282</v>
      </c>
      <c r="AW18" s="418">
        <v>39590</v>
      </c>
      <c r="AX18" s="418">
        <v>104046</v>
      </c>
      <c r="AY18" s="418">
        <v>495063</v>
      </c>
      <c r="AZ18" s="418">
        <v>366212</v>
      </c>
      <c r="BA18" s="418">
        <v>-50296</v>
      </c>
      <c r="BB18" s="418">
        <v>29195</v>
      </c>
      <c r="BC18" s="418">
        <v>152101</v>
      </c>
      <c r="BD18" s="418">
        <v>0</v>
      </c>
      <c r="BE18" s="418">
        <v>16749</v>
      </c>
      <c r="BF18" s="418">
        <v>-551627</v>
      </c>
      <c r="BG18" s="418">
        <v>0</v>
      </c>
      <c r="BH18" s="418">
        <v>22435</v>
      </c>
      <c r="BI18" s="418">
        <v>209900</v>
      </c>
      <c r="BJ18" s="418">
        <v>509128</v>
      </c>
      <c r="BK18" s="418">
        <v>0</v>
      </c>
      <c r="BL18" s="418">
        <v>408944</v>
      </c>
      <c r="BM18" s="418">
        <v>186474</v>
      </c>
      <c r="BN18" s="418">
        <v>10423</v>
      </c>
      <c r="BO18" s="418">
        <v>544258</v>
      </c>
      <c r="BP18" s="418">
        <v>527810</v>
      </c>
      <c r="BQ18" s="418">
        <v>14381</v>
      </c>
      <c r="BR18" s="418">
        <v>1552353</v>
      </c>
      <c r="BS18" s="418">
        <v>500009</v>
      </c>
      <c r="BT18" s="418">
        <v>-884316</v>
      </c>
      <c r="BU18" s="418">
        <v>78170</v>
      </c>
      <c r="BV18" s="418">
        <v>219473</v>
      </c>
      <c r="BW18" s="418">
        <v>-8488</v>
      </c>
      <c r="BX18" s="418">
        <v>45700</v>
      </c>
      <c r="BY18" s="418">
        <v>9139</v>
      </c>
      <c r="BZ18" s="418">
        <v>7397</v>
      </c>
      <c r="CA18" s="418">
        <v>1450623</v>
      </c>
      <c r="CB18" s="418">
        <v>-58957</v>
      </c>
    </row>
    <row r="19" spans="1:80" s="418" customFormat="1" ht="27.6" x14ac:dyDescent="0.3">
      <c r="A19" s="1052">
        <v>31</v>
      </c>
      <c r="B19" s="1049"/>
      <c r="C19" s="1060" t="s">
        <v>1937</v>
      </c>
      <c r="D19" s="1061" t="s">
        <v>1771</v>
      </c>
      <c r="E19" s="1062" t="s">
        <v>315</v>
      </c>
      <c r="F19" s="1063">
        <v>0</v>
      </c>
      <c r="G19" s="1063">
        <v>0</v>
      </c>
      <c r="H19" s="1063">
        <v>0</v>
      </c>
      <c r="I19" s="1063">
        <v>0</v>
      </c>
      <c r="J19" s="1063">
        <v>0</v>
      </c>
      <c r="K19" s="1063">
        <v>0</v>
      </c>
      <c r="L19" s="1063">
        <v>0</v>
      </c>
      <c r="M19" s="1063">
        <v>0</v>
      </c>
      <c r="N19" s="1063">
        <v>0</v>
      </c>
      <c r="O19" s="1063">
        <v>0</v>
      </c>
      <c r="P19" s="1063">
        <v>0</v>
      </c>
      <c r="Q19" s="1063">
        <v>0</v>
      </c>
      <c r="R19" s="1063">
        <v>0</v>
      </c>
      <c r="S19" s="1063">
        <v>0</v>
      </c>
      <c r="T19" s="1063">
        <v>0</v>
      </c>
      <c r="U19" s="1063">
        <v>0</v>
      </c>
      <c r="V19" s="1063"/>
      <c r="W19" s="1063"/>
      <c r="X19" s="1063"/>
      <c r="Y19" s="1063"/>
      <c r="Z19" s="1063"/>
      <c r="AA19" s="1066"/>
      <c r="AB19" s="1065"/>
      <c r="AC19" s="1063"/>
      <c r="AD19" s="1063"/>
      <c r="AE19" s="1063"/>
      <c r="AF19" s="1063"/>
      <c r="AG19" s="1063"/>
      <c r="AH19" s="1063"/>
      <c r="AI19" s="1063"/>
      <c r="AJ19" s="1063"/>
      <c r="AK19" s="1063"/>
      <c r="AL19" s="1063"/>
      <c r="AM19" s="1063"/>
      <c r="AN19" s="1063"/>
      <c r="AO19" s="1063"/>
      <c r="AP19" s="1063"/>
      <c r="AQ19" s="1063"/>
      <c r="AR19" s="1063"/>
      <c r="AS19" s="1063"/>
    </row>
    <row r="20" spans="1:80" s="418" customFormat="1" ht="41.4" x14ac:dyDescent="0.3">
      <c r="A20" s="1052">
        <v>32</v>
      </c>
      <c r="B20" s="1053">
        <v>32</v>
      </c>
      <c r="C20" s="1060" t="s">
        <v>1938</v>
      </c>
      <c r="D20" s="1061" t="s">
        <v>316</v>
      </c>
      <c r="E20" s="1062" t="s">
        <v>317</v>
      </c>
      <c r="F20" s="1063">
        <v>0</v>
      </c>
      <c r="G20" s="1063">
        <v>24207571</v>
      </c>
      <c r="H20" s="1063">
        <v>7996070</v>
      </c>
      <c r="I20" s="1063">
        <v>15377676</v>
      </c>
      <c r="J20" s="1063">
        <v>0</v>
      </c>
      <c r="K20" s="1063">
        <v>0</v>
      </c>
      <c r="L20" s="1063">
        <v>0</v>
      </c>
      <c r="M20" s="1063">
        <v>0</v>
      </c>
      <c r="N20" s="1063">
        <v>11395825</v>
      </c>
      <c r="O20" s="1063">
        <v>2808675</v>
      </c>
      <c r="P20" s="1063">
        <v>14117128</v>
      </c>
      <c r="Q20" s="1063">
        <v>0</v>
      </c>
      <c r="R20" s="1063">
        <v>5009424</v>
      </c>
      <c r="S20" s="1063">
        <v>7123894</v>
      </c>
      <c r="T20" s="1063">
        <v>3640155</v>
      </c>
      <c r="U20" s="1063">
        <v>11354234</v>
      </c>
      <c r="V20" s="1063"/>
      <c r="W20" s="1063"/>
      <c r="X20" s="1063"/>
      <c r="Y20" s="1064"/>
      <c r="Z20" s="1065"/>
      <c r="AA20" s="1066"/>
      <c r="AB20" s="1065"/>
      <c r="AC20" s="1063"/>
      <c r="AD20" s="1063"/>
      <c r="AE20" s="1063"/>
      <c r="AF20" s="1063"/>
      <c r="AG20" s="1063"/>
      <c r="AH20" s="1063"/>
      <c r="AI20" s="1063"/>
      <c r="AJ20" s="1063"/>
      <c r="AK20" s="1063"/>
      <c r="AL20" s="1063"/>
      <c r="AM20" s="1063"/>
      <c r="AN20" s="1063"/>
      <c r="AO20" s="1063"/>
      <c r="AP20" s="1063"/>
      <c r="AQ20" s="1063"/>
      <c r="AR20" s="1063"/>
      <c r="AS20" s="1063"/>
    </row>
    <row r="21" spans="1:80" s="418" customFormat="1" ht="27.6" x14ac:dyDescent="0.3">
      <c r="A21" s="1052">
        <v>33</v>
      </c>
      <c r="B21" s="1053">
        <v>33</v>
      </c>
      <c r="C21" s="1060" t="s">
        <v>1939</v>
      </c>
      <c r="D21" s="1061" t="s">
        <v>318</v>
      </c>
      <c r="E21" s="1062" t="s">
        <v>319</v>
      </c>
      <c r="F21" s="1063">
        <v>-398662</v>
      </c>
      <c r="G21" s="1063">
        <v>-101864</v>
      </c>
      <c r="H21" s="1063">
        <v>25641503</v>
      </c>
      <c r="I21" s="1063">
        <v>75885387</v>
      </c>
      <c r="J21" s="1063">
        <v>0</v>
      </c>
      <c r="K21" s="1063">
        <v>0</v>
      </c>
      <c r="L21" s="1063">
        <v>0</v>
      </c>
      <c r="M21" s="1063">
        <v>0</v>
      </c>
      <c r="N21" s="1063">
        <v>61245997</v>
      </c>
      <c r="O21" s="1063">
        <v>11821629</v>
      </c>
      <c r="P21" s="1063">
        <v>26010146</v>
      </c>
      <c r="Q21" s="1063">
        <v>0</v>
      </c>
      <c r="R21" s="1063">
        <v>12705754</v>
      </c>
      <c r="S21" s="1063">
        <v>5621566</v>
      </c>
      <c r="T21" s="1063">
        <v>14600816</v>
      </c>
      <c r="U21" s="1063">
        <v>49701648</v>
      </c>
      <c r="V21" s="1063"/>
      <c r="W21" s="1063"/>
      <c r="X21" s="1063"/>
      <c r="Y21" s="1064"/>
      <c r="Z21" s="1065"/>
      <c r="AA21" s="1066"/>
      <c r="AB21" s="1065"/>
      <c r="AC21" s="1063"/>
      <c r="AD21" s="1063"/>
      <c r="AE21" s="1063"/>
      <c r="AF21" s="1063"/>
      <c r="AG21" s="1063"/>
      <c r="AH21" s="1063"/>
      <c r="AI21" s="1063"/>
      <c r="AJ21" s="1063"/>
      <c r="AK21" s="1063"/>
      <c r="AL21" s="1063"/>
      <c r="AM21" s="1063"/>
      <c r="AN21" s="1063"/>
      <c r="AO21" s="1063"/>
      <c r="AP21" s="1063"/>
      <c r="AQ21" s="1063"/>
      <c r="AR21" s="1063"/>
      <c r="AS21" s="1063"/>
    </row>
    <row r="22" spans="1:80" s="418" customFormat="1" ht="26.4" x14ac:dyDescent="0.3">
      <c r="A22" s="1052">
        <v>34</v>
      </c>
      <c r="B22" s="1053">
        <v>34</v>
      </c>
      <c r="C22" s="1067">
        <v>34</v>
      </c>
      <c r="D22" s="1068" t="s">
        <v>320</v>
      </c>
      <c r="E22" s="1062" t="s">
        <v>321</v>
      </c>
      <c r="F22" s="1063">
        <v>0</v>
      </c>
      <c r="G22" s="1063">
        <v>411408292</v>
      </c>
      <c r="H22" s="1063">
        <v>207574234</v>
      </c>
      <c r="I22" s="1063">
        <v>183711156</v>
      </c>
      <c r="J22" s="1063">
        <v>0</v>
      </c>
      <c r="K22" s="1063">
        <v>0</v>
      </c>
      <c r="L22" s="1063">
        <v>0</v>
      </c>
      <c r="M22" s="1063">
        <v>0</v>
      </c>
      <c r="N22" s="1063">
        <v>92102892</v>
      </c>
      <c r="O22" s="1063">
        <v>16072084</v>
      </c>
      <c r="P22" s="1063">
        <v>88582986</v>
      </c>
      <c r="Q22" s="1063">
        <v>0</v>
      </c>
      <c r="R22" s="1063">
        <v>6147576</v>
      </c>
      <c r="S22" s="1063">
        <v>18806733</v>
      </c>
      <c r="T22" s="1063">
        <v>9006782</v>
      </c>
      <c r="U22" s="1063">
        <v>131730053</v>
      </c>
      <c r="V22" s="1063"/>
      <c r="W22" s="1063"/>
      <c r="X22" s="1063"/>
      <c r="Y22" s="1064"/>
      <c r="Z22" s="1065"/>
      <c r="AA22" s="1066"/>
      <c r="AB22" s="1065"/>
      <c r="AC22" s="1063"/>
      <c r="AD22" s="1063"/>
      <c r="AE22" s="1063"/>
      <c r="AF22" s="1063"/>
      <c r="AG22" s="1063"/>
      <c r="AH22" s="1063"/>
      <c r="AI22" s="1063"/>
      <c r="AJ22" s="1063"/>
      <c r="AK22" s="1063"/>
      <c r="AL22" s="1063"/>
      <c r="AM22" s="1063"/>
      <c r="AN22" s="1063"/>
      <c r="AO22" s="1063"/>
      <c r="AP22" s="1063"/>
      <c r="AQ22" s="1063"/>
      <c r="AR22" s="1063"/>
      <c r="AS22" s="1063"/>
    </row>
    <row r="23" spans="1:80" s="418" customFormat="1" ht="15" x14ac:dyDescent="0.3">
      <c r="A23" s="1052">
        <v>35</v>
      </c>
      <c r="B23" s="1053">
        <v>35</v>
      </c>
      <c r="C23" s="1067">
        <v>35</v>
      </c>
      <c r="D23" s="1068" t="s">
        <v>1721</v>
      </c>
      <c r="E23" s="1062" t="s">
        <v>322</v>
      </c>
      <c r="F23" s="1063">
        <v>0</v>
      </c>
      <c r="G23" s="1063">
        <v>57659848</v>
      </c>
      <c r="H23" s="1063">
        <v>26838815</v>
      </c>
      <c r="I23" s="1063">
        <v>25297621</v>
      </c>
      <c r="J23" s="1063">
        <v>0</v>
      </c>
      <c r="K23" s="1063">
        <v>0</v>
      </c>
      <c r="L23" s="1063">
        <v>0</v>
      </c>
      <c r="M23" s="1063">
        <v>0</v>
      </c>
      <c r="N23" s="1063">
        <v>24538311</v>
      </c>
      <c r="O23" s="1063">
        <v>2624132</v>
      </c>
      <c r="P23" s="1063">
        <v>21400755</v>
      </c>
      <c r="Q23" s="1063">
        <v>0</v>
      </c>
      <c r="R23" s="1063">
        <v>10259280</v>
      </c>
      <c r="S23" s="1063">
        <v>17563369</v>
      </c>
      <c r="T23" s="1063">
        <v>5012882</v>
      </c>
      <c r="U23" s="1063">
        <v>21807523</v>
      </c>
      <c r="V23" s="1063"/>
      <c r="W23" s="1063"/>
      <c r="X23" s="1063"/>
      <c r="Y23" s="1064"/>
      <c r="Z23" s="1065"/>
      <c r="AA23" s="1066"/>
      <c r="AB23" s="1065"/>
      <c r="AC23" s="1063"/>
      <c r="AD23" s="1063"/>
      <c r="AE23" s="1063"/>
      <c r="AF23" s="1063"/>
      <c r="AG23" s="1063"/>
      <c r="AH23" s="1063"/>
      <c r="AI23" s="1063"/>
      <c r="AJ23" s="1063"/>
      <c r="AK23" s="1063"/>
      <c r="AL23" s="1063"/>
      <c r="AM23" s="1063"/>
      <c r="AN23" s="1063"/>
      <c r="AO23" s="1063"/>
      <c r="AP23" s="1063"/>
      <c r="AQ23" s="1063"/>
      <c r="AR23" s="1063"/>
      <c r="AS23" s="1063"/>
    </row>
    <row r="24" spans="1:80" s="418" customFormat="1" ht="26.4" x14ac:dyDescent="0.3">
      <c r="A24" s="1052">
        <v>36</v>
      </c>
      <c r="B24" s="1053">
        <v>36</v>
      </c>
      <c r="C24" s="1067">
        <v>36</v>
      </c>
      <c r="D24" s="1068" t="s">
        <v>1444</v>
      </c>
      <c r="E24" s="1062" t="s">
        <v>323</v>
      </c>
      <c r="F24" s="1063">
        <v>0</v>
      </c>
      <c r="G24" s="1063">
        <v>529617994</v>
      </c>
      <c r="H24" s="1063">
        <v>194602960</v>
      </c>
      <c r="I24" s="1063">
        <v>343138341</v>
      </c>
      <c r="J24" s="1063">
        <v>0</v>
      </c>
      <c r="K24" s="1063">
        <v>0</v>
      </c>
      <c r="L24" s="1063">
        <v>0</v>
      </c>
      <c r="M24" s="1063">
        <v>0</v>
      </c>
      <c r="N24" s="1063">
        <v>269643174</v>
      </c>
      <c r="O24" s="1063">
        <v>72437308</v>
      </c>
      <c r="P24" s="1063">
        <v>399131290</v>
      </c>
      <c r="Q24" s="1063">
        <v>0</v>
      </c>
      <c r="R24" s="1063">
        <v>125760930</v>
      </c>
      <c r="S24" s="1063">
        <v>182186669</v>
      </c>
      <c r="T24" s="1063">
        <v>107168460</v>
      </c>
      <c r="U24" s="1063">
        <v>267142522</v>
      </c>
      <c r="V24" s="1063"/>
      <c r="W24" s="1063"/>
      <c r="X24" s="1063"/>
      <c r="Y24" s="1064"/>
      <c r="Z24" s="1065"/>
      <c r="AA24" s="1066"/>
      <c r="AB24" s="1065"/>
      <c r="AC24" s="1063"/>
      <c r="AD24" s="1063"/>
      <c r="AE24" s="1063"/>
      <c r="AF24" s="1063"/>
      <c r="AG24" s="1063"/>
      <c r="AH24" s="1063"/>
      <c r="AI24" s="1063"/>
      <c r="AJ24" s="1063"/>
      <c r="AK24" s="1063"/>
      <c r="AL24" s="1063"/>
      <c r="AM24" s="1063"/>
      <c r="AN24" s="1063"/>
      <c r="AO24" s="1063"/>
      <c r="AP24" s="1063"/>
      <c r="AQ24" s="1063"/>
      <c r="AR24" s="1063"/>
      <c r="AS24" s="1063"/>
    </row>
    <row r="25" spans="1:80" s="418" customFormat="1" ht="26.4" x14ac:dyDescent="0.3">
      <c r="A25" s="1052">
        <v>37</v>
      </c>
      <c r="B25" s="1053">
        <v>37</v>
      </c>
      <c r="C25" s="1069" t="s">
        <v>1772</v>
      </c>
      <c r="D25" s="1068" t="s">
        <v>324</v>
      </c>
      <c r="E25" s="1062" t="s">
        <v>325</v>
      </c>
      <c r="F25" s="1063">
        <v>0</v>
      </c>
      <c r="G25" s="1063">
        <v>53980000</v>
      </c>
      <c r="H25" s="1063">
        <v>0</v>
      </c>
      <c r="I25" s="1063">
        <v>32512744</v>
      </c>
      <c r="J25" s="1063">
        <v>0</v>
      </c>
      <c r="K25" s="1063">
        <v>0</v>
      </c>
      <c r="L25" s="1063">
        <v>0</v>
      </c>
      <c r="M25" s="1063">
        <v>0</v>
      </c>
      <c r="N25" s="1063">
        <v>16361848</v>
      </c>
      <c r="O25" s="1063">
        <v>12068042</v>
      </c>
      <c r="P25" s="1063">
        <v>94014302</v>
      </c>
      <c r="Q25" s="1063">
        <v>0</v>
      </c>
      <c r="R25" s="1063">
        <v>26678378</v>
      </c>
      <c r="S25" s="1063">
        <v>31550661</v>
      </c>
      <c r="T25" s="1063">
        <v>3668423</v>
      </c>
      <c r="U25" s="1063">
        <v>41341135</v>
      </c>
      <c r="V25" s="1063"/>
      <c r="W25" s="1063"/>
      <c r="X25" s="1063"/>
      <c r="Y25" s="1064"/>
      <c r="Z25" s="1065"/>
      <c r="AA25" s="1066"/>
      <c r="AB25" s="1065"/>
      <c r="AC25" s="1063"/>
      <c r="AD25" s="1063"/>
      <c r="AE25" s="1063"/>
      <c r="AF25" s="1063"/>
      <c r="AG25" s="1063"/>
      <c r="AH25" s="1063"/>
      <c r="AI25" s="1063"/>
      <c r="AJ25" s="1063"/>
      <c r="AK25" s="1063"/>
      <c r="AL25" s="1063"/>
      <c r="AM25" s="1063"/>
      <c r="AN25" s="1063"/>
      <c r="AO25" s="1063"/>
      <c r="AP25" s="1063"/>
      <c r="AQ25" s="1063"/>
      <c r="AR25" s="1063"/>
      <c r="AS25" s="1063"/>
    </row>
    <row r="26" spans="1:80" s="418" customFormat="1" ht="26.4" x14ac:dyDescent="0.3">
      <c r="A26" s="1052">
        <v>38</v>
      </c>
      <c r="B26" s="1053">
        <v>38</v>
      </c>
      <c r="C26" s="1069" t="s">
        <v>1773</v>
      </c>
      <c r="D26" s="1068" t="s">
        <v>1722</v>
      </c>
      <c r="E26" s="1062" t="s">
        <v>326</v>
      </c>
      <c r="F26" s="1063">
        <v>509166</v>
      </c>
      <c r="G26" s="1063">
        <v>427575186</v>
      </c>
      <c r="H26" s="1063">
        <v>203159582</v>
      </c>
      <c r="I26" s="1063">
        <v>137577780</v>
      </c>
      <c r="J26" s="1063">
        <v>0</v>
      </c>
      <c r="K26" s="1063">
        <v>0</v>
      </c>
      <c r="L26" s="1063">
        <v>0</v>
      </c>
      <c r="M26" s="1063">
        <v>0</v>
      </c>
      <c r="N26" s="1063">
        <v>75379826</v>
      </c>
      <c r="O26" s="1063">
        <v>16030722</v>
      </c>
      <c r="P26" s="1063">
        <v>234347712</v>
      </c>
      <c r="Q26" s="1063">
        <v>0</v>
      </c>
      <c r="R26" s="1063">
        <v>85600615</v>
      </c>
      <c r="S26" s="1063">
        <v>21560409</v>
      </c>
      <c r="T26" s="1063">
        <v>15488492</v>
      </c>
      <c r="U26" s="1063">
        <v>102081531</v>
      </c>
      <c r="V26" s="1063"/>
      <c r="W26" s="1063"/>
      <c r="X26" s="1063"/>
      <c r="Y26" s="1064"/>
      <c r="Z26" s="1065"/>
      <c r="AA26" s="1066"/>
      <c r="AB26" s="1065"/>
      <c r="AC26" s="1063"/>
      <c r="AD26" s="1063"/>
      <c r="AE26" s="1063"/>
      <c r="AF26" s="1063"/>
      <c r="AG26" s="1063"/>
      <c r="AH26" s="1063"/>
      <c r="AI26" s="1063"/>
      <c r="AJ26" s="1063"/>
      <c r="AK26" s="1063"/>
      <c r="AL26" s="1063"/>
      <c r="AM26" s="1063"/>
      <c r="AN26" s="1063"/>
      <c r="AO26" s="1063"/>
      <c r="AP26" s="1063"/>
      <c r="AQ26" s="1063"/>
      <c r="AR26" s="1063"/>
      <c r="AS26" s="1063"/>
    </row>
    <row r="27" spans="1:80" s="418" customFormat="1" ht="26.4" x14ac:dyDescent="0.3">
      <c r="A27" s="1052">
        <v>39</v>
      </c>
      <c r="B27" s="1053">
        <v>39</v>
      </c>
      <c r="C27" s="1069" t="s">
        <v>1774</v>
      </c>
      <c r="D27" s="1068" t="s">
        <v>327</v>
      </c>
      <c r="E27" s="1062" t="s">
        <v>328</v>
      </c>
      <c r="F27" s="1063">
        <v>0</v>
      </c>
      <c r="G27" s="1063">
        <v>1520000</v>
      </c>
      <c r="H27" s="1063">
        <v>0</v>
      </c>
      <c r="I27" s="1063">
        <v>2647431</v>
      </c>
      <c r="J27" s="1063">
        <v>0</v>
      </c>
      <c r="K27" s="1063">
        <v>0</v>
      </c>
      <c r="L27" s="1063">
        <v>0</v>
      </c>
      <c r="M27" s="1063">
        <v>0</v>
      </c>
      <c r="N27" s="1063">
        <v>3368865</v>
      </c>
      <c r="O27" s="1063">
        <v>655268</v>
      </c>
      <c r="P27" s="1063">
        <v>2520000</v>
      </c>
      <c r="Q27" s="1063">
        <v>0</v>
      </c>
      <c r="R27" s="1063">
        <v>3462010</v>
      </c>
      <c r="S27" s="1063">
        <v>2841113</v>
      </c>
      <c r="T27" s="1063">
        <v>1108001</v>
      </c>
      <c r="U27" s="1063">
        <v>-5085541</v>
      </c>
      <c r="V27" s="1063"/>
      <c r="W27" s="1063"/>
      <c r="X27" s="1063"/>
      <c r="Y27" s="1064"/>
      <c r="Z27" s="1065"/>
      <c r="AA27" s="1066"/>
      <c r="AB27" s="1065"/>
      <c r="AC27" s="1063"/>
      <c r="AD27" s="1063"/>
      <c r="AE27" s="1063"/>
      <c r="AF27" s="1063"/>
      <c r="AG27" s="1063"/>
      <c r="AH27" s="1063"/>
      <c r="AI27" s="1063"/>
      <c r="AJ27" s="1063"/>
      <c r="AK27" s="1063"/>
      <c r="AL27" s="1063"/>
      <c r="AM27" s="1063"/>
      <c r="AN27" s="1063"/>
      <c r="AO27" s="1063"/>
      <c r="AP27" s="1063"/>
      <c r="AQ27" s="1063"/>
      <c r="AR27" s="1063"/>
      <c r="AS27" s="1063"/>
    </row>
    <row r="28" spans="1:80" s="418" customFormat="1" ht="15" x14ac:dyDescent="0.3">
      <c r="A28" s="1052">
        <v>40</v>
      </c>
      <c r="B28" s="1053">
        <v>40</v>
      </c>
      <c r="C28" s="1069" t="s">
        <v>1775</v>
      </c>
      <c r="D28" s="1068" t="s">
        <v>329</v>
      </c>
      <c r="E28" s="1062" t="s">
        <v>330</v>
      </c>
      <c r="F28" s="1063">
        <v>0</v>
      </c>
      <c r="G28" s="1063">
        <v>417836767</v>
      </c>
      <c r="H28" s="1063">
        <v>165969258</v>
      </c>
      <c r="I28" s="1063">
        <v>306039244</v>
      </c>
      <c r="J28" s="1063">
        <v>0</v>
      </c>
      <c r="K28" s="1063">
        <v>0</v>
      </c>
      <c r="L28" s="1063">
        <v>0</v>
      </c>
      <c r="M28" s="1063">
        <v>0</v>
      </c>
      <c r="N28" s="1063">
        <v>249969490</v>
      </c>
      <c r="O28" s="1063">
        <v>35601207</v>
      </c>
      <c r="P28" s="1063">
        <v>229307521</v>
      </c>
      <c r="Q28" s="1063">
        <v>0</v>
      </c>
      <c r="R28" s="1063">
        <v>89630196</v>
      </c>
      <c r="S28" s="1063">
        <v>134416403</v>
      </c>
      <c r="T28" s="1063">
        <v>62359722</v>
      </c>
      <c r="U28" s="1063">
        <v>192012185</v>
      </c>
      <c r="V28" s="1063"/>
      <c r="W28" s="1063"/>
      <c r="X28" s="1063"/>
      <c r="Y28" s="1064"/>
      <c r="Z28" s="1065"/>
      <c r="AA28" s="1066"/>
      <c r="AB28" s="1065"/>
      <c r="AC28" s="1063"/>
      <c r="AD28" s="1063"/>
      <c r="AE28" s="1063"/>
      <c r="AF28" s="1063"/>
      <c r="AG28" s="1063"/>
      <c r="AH28" s="1063"/>
      <c r="AI28" s="1063"/>
      <c r="AJ28" s="1063"/>
      <c r="AK28" s="1063"/>
      <c r="AL28" s="1063"/>
      <c r="AM28" s="1063"/>
      <c r="AN28" s="1063"/>
      <c r="AO28" s="1063"/>
      <c r="AP28" s="1063"/>
      <c r="AQ28" s="1063"/>
      <c r="AR28" s="1063"/>
      <c r="AS28" s="1063"/>
    </row>
    <row r="29" spans="1:80" s="418" customFormat="1" ht="15" x14ac:dyDescent="0.3">
      <c r="A29" s="1052">
        <v>41</v>
      </c>
      <c r="B29" s="1053">
        <v>41</v>
      </c>
      <c r="C29" s="1069" t="s">
        <v>1776</v>
      </c>
      <c r="D29" s="1068" t="s">
        <v>331</v>
      </c>
      <c r="E29" s="1062" t="s">
        <v>332</v>
      </c>
      <c r="F29" s="1063">
        <v>0</v>
      </c>
      <c r="G29" s="1063">
        <v>1513218</v>
      </c>
      <c r="H29" s="1063">
        <v>37564</v>
      </c>
      <c r="I29" s="1063">
        <v>1102922</v>
      </c>
      <c r="J29" s="1063">
        <v>0</v>
      </c>
      <c r="K29" s="1063">
        <v>0</v>
      </c>
      <c r="L29" s="1063">
        <v>0</v>
      </c>
      <c r="M29" s="1063">
        <v>0</v>
      </c>
      <c r="N29" s="1063">
        <v>601697</v>
      </c>
      <c r="O29" s="1063">
        <v>263929</v>
      </c>
      <c r="P29" s="1063">
        <v>4674931</v>
      </c>
      <c r="Q29" s="1063">
        <v>0</v>
      </c>
      <c r="R29" s="1063">
        <v>1228898</v>
      </c>
      <c r="S29" s="1063">
        <v>1139782</v>
      </c>
      <c r="T29" s="1063">
        <v>137629</v>
      </c>
      <c r="U29" s="1063">
        <v>1911533</v>
      </c>
      <c r="V29" s="1063"/>
      <c r="W29" s="1063"/>
      <c r="X29" s="1063"/>
      <c r="Y29" s="1064"/>
      <c r="Z29" s="1065"/>
      <c r="AA29" s="1066"/>
      <c r="AB29" s="1065"/>
      <c r="AC29" s="1063"/>
      <c r="AD29" s="1063"/>
      <c r="AE29" s="1063"/>
      <c r="AF29" s="1063"/>
      <c r="AG29" s="1063"/>
      <c r="AH29" s="1063"/>
      <c r="AI29" s="1063"/>
      <c r="AJ29" s="1063"/>
      <c r="AK29" s="1063"/>
      <c r="AL29" s="1063"/>
      <c r="AM29" s="1063"/>
      <c r="AN29" s="1063"/>
      <c r="AO29" s="1063"/>
      <c r="AP29" s="1063"/>
      <c r="AQ29" s="1063"/>
      <c r="AR29" s="1063"/>
      <c r="AS29" s="1063"/>
    </row>
    <row r="30" spans="1:80" s="418" customFormat="1" ht="26.4" x14ac:dyDescent="0.3">
      <c r="A30" s="1052">
        <v>43</v>
      </c>
      <c r="B30" s="1049"/>
      <c r="C30" s="1069" t="s">
        <v>1777</v>
      </c>
      <c r="D30" s="1068" t="s">
        <v>333</v>
      </c>
      <c r="E30" s="1062" t="s">
        <v>334</v>
      </c>
      <c r="F30" s="1063">
        <v>0</v>
      </c>
      <c r="G30" s="1063">
        <v>0</v>
      </c>
      <c r="H30" s="1063">
        <v>0</v>
      </c>
      <c r="I30" s="1063">
        <v>0</v>
      </c>
      <c r="J30" s="1063">
        <v>0</v>
      </c>
      <c r="K30" s="1063">
        <v>0</v>
      </c>
      <c r="L30" s="1063">
        <v>0</v>
      </c>
      <c r="M30" s="1063">
        <v>0</v>
      </c>
      <c r="N30" s="1063">
        <v>0</v>
      </c>
      <c r="O30" s="1063">
        <v>0</v>
      </c>
      <c r="P30" s="1063">
        <v>0</v>
      </c>
      <c r="Q30" s="1063">
        <v>0</v>
      </c>
      <c r="R30" s="1063">
        <v>0</v>
      </c>
      <c r="S30" s="1063">
        <v>0</v>
      </c>
      <c r="T30" s="1063">
        <v>0</v>
      </c>
      <c r="U30" s="1063">
        <v>0</v>
      </c>
      <c r="V30" s="1063"/>
      <c r="W30" s="1063"/>
      <c r="X30" s="1063"/>
      <c r="Y30" s="1063"/>
      <c r="Z30" s="1063"/>
      <c r="AA30" s="1066"/>
      <c r="AB30" s="1065"/>
      <c r="AC30" s="1063"/>
      <c r="AD30" s="1063"/>
      <c r="AE30" s="1063"/>
      <c r="AF30" s="1063"/>
      <c r="AG30" s="1063"/>
      <c r="AH30" s="1063"/>
      <c r="AI30" s="1063"/>
      <c r="AJ30" s="1063"/>
      <c r="AK30" s="1063"/>
      <c r="AL30" s="1063"/>
      <c r="AM30" s="1063"/>
      <c r="AN30" s="1063"/>
      <c r="AO30" s="1063"/>
      <c r="AP30" s="1063"/>
      <c r="AQ30" s="1063"/>
      <c r="AR30" s="1063"/>
      <c r="AS30" s="1063"/>
    </row>
    <row r="31" spans="1:80" s="418" customFormat="1" ht="15.6" x14ac:dyDescent="0.3">
      <c r="A31" s="1052">
        <v>44</v>
      </c>
      <c r="B31" s="1049"/>
      <c r="C31" s="1060" t="s">
        <v>1940</v>
      </c>
      <c r="D31" s="1061" t="s">
        <v>1316</v>
      </c>
      <c r="E31" s="1062" t="s">
        <v>335</v>
      </c>
      <c r="F31" s="1063">
        <v>0</v>
      </c>
      <c r="G31" s="1063">
        <v>0</v>
      </c>
      <c r="H31" s="1063">
        <v>0</v>
      </c>
      <c r="I31" s="1063">
        <v>0</v>
      </c>
      <c r="J31" s="1063">
        <v>0</v>
      </c>
      <c r="K31" s="1063">
        <v>0</v>
      </c>
      <c r="L31" s="1063">
        <v>0</v>
      </c>
      <c r="M31" s="1063">
        <v>0</v>
      </c>
      <c r="N31" s="1063">
        <v>0</v>
      </c>
      <c r="O31" s="1063">
        <v>0</v>
      </c>
      <c r="P31" s="1063">
        <v>0</v>
      </c>
      <c r="Q31" s="1063">
        <v>0</v>
      </c>
      <c r="R31" s="1063">
        <v>0</v>
      </c>
      <c r="S31" s="1063">
        <v>0</v>
      </c>
      <c r="T31" s="1063">
        <v>0</v>
      </c>
      <c r="U31" s="1063">
        <v>0</v>
      </c>
      <c r="V31" s="1063"/>
      <c r="W31" s="1063"/>
      <c r="X31" s="1063"/>
      <c r="Y31" s="1063"/>
      <c r="Z31" s="1063"/>
      <c r="AA31" s="1066"/>
      <c r="AB31" s="1049"/>
      <c r="AC31" s="1063"/>
      <c r="AD31" s="1063"/>
      <c r="AE31" s="1063"/>
      <c r="AF31" s="1063"/>
      <c r="AG31" s="1063"/>
      <c r="AH31" s="1063"/>
      <c r="AI31" s="1063"/>
      <c r="AJ31" s="1063"/>
      <c r="AK31" s="1063"/>
      <c r="AL31" s="1063"/>
      <c r="AM31" s="1063"/>
      <c r="AN31" s="1063"/>
      <c r="AO31" s="1063"/>
      <c r="AP31" s="1063"/>
      <c r="AQ31" s="1063"/>
      <c r="AR31" s="1063"/>
      <c r="AS31" s="1063"/>
      <c r="AT31" s="418">
        <v>0</v>
      </c>
      <c r="AU31" s="418">
        <v>0</v>
      </c>
      <c r="AV31" s="418">
        <v>0</v>
      </c>
      <c r="AW31" s="418">
        <v>0</v>
      </c>
      <c r="AX31" s="418">
        <v>0</v>
      </c>
      <c r="AY31" s="418">
        <v>0</v>
      </c>
      <c r="AZ31" s="418">
        <v>0</v>
      </c>
      <c r="BA31" s="418">
        <v>0</v>
      </c>
      <c r="BB31" s="418">
        <v>0</v>
      </c>
      <c r="BC31" s="418">
        <v>0</v>
      </c>
      <c r="BD31" s="418">
        <v>0</v>
      </c>
      <c r="BE31" s="418">
        <v>0</v>
      </c>
      <c r="BF31" s="418">
        <v>0</v>
      </c>
      <c r="BG31" s="418">
        <v>0</v>
      </c>
      <c r="BH31" s="418">
        <v>0</v>
      </c>
      <c r="BI31" s="418">
        <v>0</v>
      </c>
      <c r="BJ31" s="418">
        <v>0</v>
      </c>
      <c r="BK31" s="418">
        <v>0</v>
      </c>
      <c r="BL31" s="418">
        <v>0</v>
      </c>
      <c r="BM31" s="418">
        <v>0</v>
      </c>
      <c r="BN31" s="418">
        <v>0</v>
      </c>
      <c r="BO31" s="418">
        <v>0</v>
      </c>
      <c r="BP31" s="418">
        <v>0</v>
      </c>
      <c r="BQ31" s="418">
        <v>0</v>
      </c>
      <c r="BR31" s="418">
        <v>0</v>
      </c>
      <c r="BS31" s="418">
        <v>0</v>
      </c>
      <c r="BT31" s="418">
        <v>0</v>
      </c>
      <c r="BU31" s="418">
        <v>0</v>
      </c>
      <c r="BV31" s="418">
        <v>0</v>
      </c>
      <c r="BW31" s="418">
        <v>0</v>
      </c>
      <c r="BX31" s="418">
        <v>0</v>
      </c>
      <c r="BY31" s="418">
        <v>0</v>
      </c>
      <c r="BZ31" s="418">
        <v>0</v>
      </c>
      <c r="CA31" s="418">
        <v>0</v>
      </c>
      <c r="CB31" s="418">
        <v>0</v>
      </c>
    </row>
    <row r="32" spans="1:80" s="418" customFormat="1" ht="15.6" x14ac:dyDescent="0.3">
      <c r="A32" s="1052">
        <v>45</v>
      </c>
      <c r="B32" s="1049"/>
      <c r="C32" s="1060" t="s">
        <v>1941</v>
      </c>
      <c r="D32" s="1061" t="s">
        <v>1317</v>
      </c>
      <c r="E32" s="1062" t="s">
        <v>336</v>
      </c>
      <c r="F32" s="1063">
        <v>0</v>
      </c>
      <c r="G32" s="1063">
        <v>0</v>
      </c>
      <c r="H32" s="1063">
        <v>0</v>
      </c>
      <c r="I32" s="1063">
        <v>0</v>
      </c>
      <c r="J32" s="1063">
        <v>0</v>
      </c>
      <c r="K32" s="1063">
        <v>0</v>
      </c>
      <c r="L32" s="1063">
        <v>0</v>
      </c>
      <c r="M32" s="1063">
        <v>0</v>
      </c>
      <c r="N32" s="1063">
        <v>0</v>
      </c>
      <c r="O32" s="1063">
        <v>0</v>
      </c>
      <c r="P32" s="1063">
        <v>0</v>
      </c>
      <c r="Q32" s="1063">
        <v>0</v>
      </c>
      <c r="R32" s="1063">
        <v>0</v>
      </c>
      <c r="S32" s="1063">
        <v>0</v>
      </c>
      <c r="T32" s="1063">
        <v>0</v>
      </c>
      <c r="U32" s="1063">
        <v>0</v>
      </c>
      <c r="V32" s="1063"/>
      <c r="W32" s="1063"/>
      <c r="X32" s="1063"/>
      <c r="Y32" s="1063"/>
      <c r="Z32" s="1063"/>
      <c r="AA32" s="1066"/>
      <c r="AB32" s="1065"/>
      <c r="AC32" s="1063"/>
      <c r="AD32" s="1063"/>
      <c r="AE32" s="1063"/>
      <c r="AF32" s="1063"/>
      <c r="AG32" s="1063"/>
      <c r="AH32" s="1063"/>
      <c r="AI32" s="1063"/>
      <c r="AJ32" s="1063"/>
      <c r="AK32" s="1063"/>
      <c r="AL32" s="1063"/>
      <c r="AM32" s="1063"/>
      <c r="AN32" s="1063"/>
      <c r="AO32" s="1063"/>
      <c r="AP32" s="1063"/>
      <c r="AQ32" s="1063"/>
      <c r="AR32" s="1063"/>
      <c r="AS32" s="1063"/>
      <c r="AT32" s="418">
        <v>0</v>
      </c>
      <c r="AU32" s="418">
        <v>0</v>
      </c>
      <c r="AV32" s="418">
        <v>0</v>
      </c>
      <c r="AW32" s="418">
        <v>0</v>
      </c>
      <c r="AX32" s="418">
        <v>0</v>
      </c>
      <c r="AY32" s="418">
        <v>0</v>
      </c>
      <c r="AZ32" s="418">
        <v>0</v>
      </c>
      <c r="BA32" s="418">
        <v>0</v>
      </c>
      <c r="BB32" s="418">
        <v>0</v>
      </c>
      <c r="BC32" s="418">
        <v>0</v>
      </c>
      <c r="BD32" s="418">
        <v>0</v>
      </c>
      <c r="BE32" s="418">
        <v>0</v>
      </c>
      <c r="BF32" s="418">
        <v>0</v>
      </c>
      <c r="BG32" s="418">
        <v>0</v>
      </c>
      <c r="BH32" s="418">
        <v>0</v>
      </c>
      <c r="BI32" s="418">
        <v>0</v>
      </c>
      <c r="BJ32" s="418">
        <v>0</v>
      </c>
      <c r="BK32" s="418">
        <v>0</v>
      </c>
      <c r="BL32" s="418">
        <v>0</v>
      </c>
      <c r="BM32" s="418">
        <v>0</v>
      </c>
      <c r="BN32" s="418">
        <v>0</v>
      </c>
      <c r="BO32" s="418">
        <v>0</v>
      </c>
      <c r="BP32" s="418">
        <v>0</v>
      </c>
      <c r="BQ32" s="418">
        <v>0</v>
      </c>
      <c r="BR32" s="418">
        <v>0</v>
      </c>
      <c r="BS32" s="418">
        <v>0</v>
      </c>
      <c r="BT32" s="418">
        <v>0</v>
      </c>
      <c r="BU32" s="418">
        <v>0</v>
      </c>
      <c r="BV32" s="418">
        <v>0</v>
      </c>
      <c r="BW32" s="418">
        <v>0</v>
      </c>
      <c r="BX32" s="418">
        <v>0</v>
      </c>
      <c r="BY32" s="418">
        <v>0</v>
      </c>
      <c r="BZ32" s="418">
        <v>0</v>
      </c>
      <c r="CA32" s="418">
        <v>0</v>
      </c>
      <c r="CB32" s="418">
        <v>0</v>
      </c>
    </row>
    <row r="33" spans="1:80" s="418" customFormat="1" ht="39.6" x14ac:dyDescent="0.3">
      <c r="A33" s="1052">
        <v>46</v>
      </c>
      <c r="B33" s="1049"/>
      <c r="C33" s="1067">
        <v>46</v>
      </c>
      <c r="D33" s="1068" t="s">
        <v>1778</v>
      </c>
      <c r="E33" s="1062" t="s">
        <v>337</v>
      </c>
      <c r="F33" s="1063">
        <v>0</v>
      </c>
      <c r="G33" s="1063">
        <v>0</v>
      </c>
      <c r="H33" s="1063">
        <v>0</v>
      </c>
      <c r="I33" s="1063">
        <v>0</v>
      </c>
      <c r="J33" s="1063">
        <v>0</v>
      </c>
      <c r="K33" s="1063">
        <v>0</v>
      </c>
      <c r="L33" s="1063">
        <v>0</v>
      </c>
      <c r="M33" s="1063">
        <v>0</v>
      </c>
      <c r="N33" s="1063">
        <v>0</v>
      </c>
      <c r="O33" s="1063">
        <v>0</v>
      </c>
      <c r="P33" s="1063">
        <v>0</v>
      </c>
      <c r="Q33" s="1063">
        <v>0</v>
      </c>
      <c r="R33" s="1063">
        <v>0</v>
      </c>
      <c r="S33" s="1063">
        <v>0</v>
      </c>
      <c r="T33" s="1063">
        <v>0</v>
      </c>
      <c r="U33" s="1063">
        <v>0</v>
      </c>
      <c r="V33" s="1063"/>
      <c r="W33" s="1063"/>
      <c r="X33" s="1063"/>
      <c r="Y33" s="1063"/>
      <c r="Z33" s="1063"/>
      <c r="AA33" s="1066"/>
      <c r="AB33" s="1049"/>
      <c r="AC33" s="1063"/>
      <c r="AD33" s="1063"/>
      <c r="AE33" s="1063"/>
      <c r="AF33" s="1063"/>
      <c r="AG33" s="1063"/>
      <c r="AH33" s="1063"/>
      <c r="AI33" s="1063"/>
      <c r="AJ33" s="1063"/>
      <c r="AK33" s="1063"/>
      <c r="AL33" s="1063"/>
      <c r="AM33" s="1063"/>
      <c r="AN33" s="1063"/>
      <c r="AO33" s="1063"/>
      <c r="AP33" s="1063"/>
      <c r="AQ33" s="1063"/>
      <c r="AR33" s="1063"/>
      <c r="AS33" s="1063"/>
    </row>
    <row r="34" spans="1:80" s="418" customFormat="1" ht="15.6" x14ac:dyDescent="0.3">
      <c r="A34" s="1052">
        <v>47</v>
      </c>
      <c r="B34" s="1049"/>
      <c r="C34" s="1060" t="s">
        <v>1942</v>
      </c>
      <c r="D34" s="1061" t="s">
        <v>1318</v>
      </c>
      <c r="E34" s="1062" t="s">
        <v>338</v>
      </c>
      <c r="F34" s="1063">
        <v>0</v>
      </c>
      <c r="G34" s="1063">
        <v>0</v>
      </c>
      <c r="H34" s="1063">
        <v>0</v>
      </c>
      <c r="I34" s="1063">
        <v>0</v>
      </c>
      <c r="J34" s="1063">
        <v>0</v>
      </c>
      <c r="K34" s="1063">
        <v>0</v>
      </c>
      <c r="L34" s="1063">
        <v>0</v>
      </c>
      <c r="M34" s="1063">
        <v>0</v>
      </c>
      <c r="N34" s="1063">
        <v>0</v>
      </c>
      <c r="O34" s="1063">
        <v>0</v>
      </c>
      <c r="P34" s="1063">
        <v>0</v>
      </c>
      <c r="Q34" s="1063">
        <v>0</v>
      </c>
      <c r="R34" s="1063">
        <v>0</v>
      </c>
      <c r="S34" s="1063">
        <v>0</v>
      </c>
      <c r="T34" s="1063">
        <v>0</v>
      </c>
      <c r="U34" s="1063">
        <v>0</v>
      </c>
      <c r="V34" s="1063"/>
      <c r="W34" s="1063"/>
      <c r="X34" s="1063"/>
      <c r="Y34" s="1063"/>
      <c r="Z34" s="1063"/>
      <c r="AA34" s="1066"/>
      <c r="AB34" s="1065"/>
      <c r="AC34" s="1063"/>
      <c r="AD34" s="1063"/>
      <c r="AE34" s="1063"/>
      <c r="AF34" s="1063"/>
      <c r="AG34" s="1063"/>
      <c r="AH34" s="1063"/>
      <c r="AI34" s="1063"/>
      <c r="AJ34" s="1063"/>
      <c r="AK34" s="1063"/>
      <c r="AL34" s="1063"/>
      <c r="AM34" s="1063"/>
      <c r="AN34" s="1063"/>
      <c r="AO34" s="1063"/>
      <c r="AP34" s="1063"/>
      <c r="AQ34" s="1063"/>
      <c r="AR34" s="1063"/>
      <c r="AS34" s="1063"/>
      <c r="AT34" s="418">
        <v>0</v>
      </c>
      <c r="AU34" s="418">
        <v>0</v>
      </c>
      <c r="AV34" s="418">
        <v>0</v>
      </c>
      <c r="AW34" s="418">
        <v>0</v>
      </c>
      <c r="AX34" s="418">
        <v>0</v>
      </c>
      <c r="AY34" s="418">
        <v>0</v>
      </c>
      <c r="AZ34" s="418">
        <v>0</v>
      </c>
      <c r="BA34" s="418">
        <v>0</v>
      </c>
      <c r="BB34" s="418">
        <v>0</v>
      </c>
      <c r="BC34" s="418">
        <v>0</v>
      </c>
      <c r="BD34" s="418">
        <v>0</v>
      </c>
      <c r="BE34" s="418">
        <v>0</v>
      </c>
      <c r="BF34" s="418">
        <v>0</v>
      </c>
      <c r="BG34" s="418">
        <v>0</v>
      </c>
      <c r="BH34" s="418">
        <v>0</v>
      </c>
      <c r="BI34" s="418">
        <v>0</v>
      </c>
      <c r="BJ34" s="418">
        <v>0</v>
      </c>
      <c r="BK34" s="418">
        <v>0</v>
      </c>
      <c r="BL34" s="418">
        <v>0</v>
      </c>
      <c r="BM34" s="418">
        <v>0</v>
      </c>
      <c r="BN34" s="418">
        <v>0</v>
      </c>
      <c r="BO34" s="418">
        <v>0</v>
      </c>
      <c r="BP34" s="418">
        <v>0</v>
      </c>
      <c r="BQ34" s="418">
        <v>0</v>
      </c>
      <c r="BR34" s="418">
        <v>0</v>
      </c>
      <c r="BS34" s="418">
        <v>0</v>
      </c>
      <c r="BT34" s="418">
        <v>0</v>
      </c>
      <c r="BU34" s="418">
        <v>0</v>
      </c>
      <c r="BV34" s="418">
        <v>0</v>
      </c>
      <c r="BW34" s="418">
        <v>0</v>
      </c>
      <c r="BX34" s="418">
        <v>0</v>
      </c>
      <c r="BY34" s="418">
        <v>0</v>
      </c>
      <c r="BZ34" s="418">
        <v>0</v>
      </c>
      <c r="CA34" s="418">
        <v>0</v>
      </c>
      <c r="CB34" s="418">
        <v>0</v>
      </c>
    </row>
    <row r="35" spans="1:80" s="418" customFormat="1" ht="15.6" x14ac:dyDescent="0.3">
      <c r="A35" s="1052">
        <v>48</v>
      </c>
      <c r="B35" s="1049"/>
      <c r="C35" s="1060" t="s">
        <v>1943</v>
      </c>
      <c r="D35" s="1061" t="s">
        <v>123</v>
      </c>
      <c r="E35" s="1062" t="s">
        <v>339</v>
      </c>
      <c r="F35" s="1063">
        <v>0</v>
      </c>
      <c r="G35" s="1063">
        <v>0</v>
      </c>
      <c r="H35" s="1063">
        <v>0</v>
      </c>
      <c r="I35" s="1063">
        <v>0</v>
      </c>
      <c r="J35" s="1063">
        <v>0</v>
      </c>
      <c r="K35" s="1063">
        <v>0</v>
      </c>
      <c r="L35" s="1063">
        <v>0</v>
      </c>
      <c r="M35" s="1063">
        <v>0</v>
      </c>
      <c r="N35" s="1063">
        <v>0</v>
      </c>
      <c r="O35" s="1063">
        <v>0</v>
      </c>
      <c r="P35" s="1063">
        <v>0</v>
      </c>
      <c r="Q35" s="1063">
        <v>0</v>
      </c>
      <c r="R35" s="1063">
        <v>0</v>
      </c>
      <c r="S35" s="1063">
        <v>0</v>
      </c>
      <c r="T35" s="1063">
        <v>0</v>
      </c>
      <c r="U35" s="1063">
        <v>0</v>
      </c>
      <c r="V35" s="1063"/>
      <c r="W35" s="1063"/>
      <c r="X35" s="1063"/>
      <c r="Y35" s="1063"/>
      <c r="Z35" s="1063"/>
      <c r="AA35" s="1066"/>
      <c r="AB35" s="1065"/>
      <c r="AC35" s="1063"/>
      <c r="AD35" s="1063"/>
      <c r="AE35" s="1063"/>
      <c r="AF35" s="1063"/>
      <c r="AG35" s="1063"/>
      <c r="AH35" s="1063"/>
      <c r="AI35" s="1063"/>
      <c r="AJ35" s="1063"/>
      <c r="AK35" s="1063"/>
      <c r="AL35" s="1063"/>
      <c r="AM35" s="1063"/>
      <c r="AN35" s="1063"/>
      <c r="AO35" s="1063"/>
      <c r="AP35" s="1063"/>
      <c r="AQ35" s="1063"/>
      <c r="AR35" s="1063"/>
      <c r="AS35" s="1063"/>
      <c r="AT35" s="418">
        <v>0</v>
      </c>
      <c r="AU35" s="418">
        <v>0</v>
      </c>
      <c r="AV35" s="418">
        <v>0</v>
      </c>
      <c r="AW35" s="418">
        <v>0</v>
      </c>
      <c r="AX35" s="418">
        <v>0</v>
      </c>
      <c r="AY35" s="418">
        <v>0</v>
      </c>
      <c r="AZ35" s="418">
        <v>0</v>
      </c>
      <c r="BA35" s="418">
        <v>0</v>
      </c>
      <c r="BB35" s="418">
        <v>0</v>
      </c>
      <c r="BC35" s="418">
        <v>0</v>
      </c>
      <c r="BD35" s="418">
        <v>0</v>
      </c>
      <c r="BE35" s="418">
        <v>0</v>
      </c>
      <c r="BF35" s="418">
        <v>0</v>
      </c>
      <c r="BG35" s="418">
        <v>0</v>
      </c>
      <c r="BH35" s="418">
        <v>0</v>
      </c>
      <c r="BI35" s="418">
        <v>0</v>
      </c>
      <c r="BJ35" s="418">
        <v>0</v>
      </c>
      <c r="BK35" s="418">
        <v>0</v>
      </c>
      <c r="BL35" s="418">
        <v>0</v>
      </c>
      <c r="BM35" s="418">
        <v>0</v>
      </c>
      <c r="BN35" s="418">
        <v>0</v>
      </c>
      <c r="BO35" s="418">
        <v>0</v>
      </c>
      <c r="BP35" s="418">
        <v>0</v>
      </c>
      <c r="BQ35" s="418">
        <v>0</v>
      </c>
      <c r="BR35" s="418">
        <v>0</v>
      </c>
      <c r="BS35" s="418">
        <v>0</v>
      </c>
      <c r="BT35" s="418">
        <v>0</v>
      </c>
      <c r="BU35" s="418">
        <v>0</v>
      </c>
      <c r="BV35" s="418">
        <v>0</v>
      </c>
      <c r="BW35" s="418">
        <v>0</v>
      </c>
      <c r="BX35" s="418">
        <v>0</v>
      </c>
      <c r="BY35" s="418">
        <v>0</v>
      </c>
      <c r="BZ35" s="418">
        <v>0</v>
      </c>
      <c r="CA35" s="418">
        <v>0</v>
      </c>
      <c r="CB35" s="418">
        <v>0</v>
      </c>
    </row>
    <row r="36" spans="1:80" s="418" customFormat="1" ht="27.6" x14ac:dyDescent="0.3">
      <c r="A36" s="1052">
        <v>49</v>
      </c>
      <c r="B36" s="1049"/>
      <c r="C36" s="1060" t="s">
        <v>1944</v>
      </c>
      <c r="D36" s="1061" t="s">
        <v>228</v>
      </c>
      <c r="E36" s="1062" t="s">
        <v>340</v>
      </c>
      <c r="F36" s="1063">
        <v>0</v>
      </c>
      <c r="G36" s="1063">
        <v>0</v>
      </c>
      <c r="H36" s="1063">
        <v>0</v>
      </c>
      <c r="I36" s="1063">
        <v>0</v>
      </c>
      <c r="J36" s="1063">
        <v>0</v>
      </c>
      <c r="K36" s="1063">
        <v>0</v>
      </c>
      <c r="L36" s="1063">
        <v>0</v>
      </c>
      <c r="M36" s="1063">
        <v>0</v>
      </c>
      <c r="N36" s="1063">
        <v>0</v>
      </c>
      <c r="O36" s="1063">
        <v>0</v>
      </c>
      <c r="P36" s="1063">
        <v>0</v>
      </c>
      <c r="Q36" s="1063">
        <v>0</v>
      </c>
      <c r="R36" s="1063">
        <v>0</v>
      </c>
      <c r="S36" s="1063">
        <v>0</v>
      </c>
      <c r="T36" s="1063">
        <v>0</v>
      </c>
      <c r="U36" s="1063">
        <v>0</v>
      </c>
      <c r="V36" s="1063"/>
      <c r="W36" s="1063"/>
      <c r="X36" s="1063"/>
      <c r="Y36" s="1063"/>
      <c r="Z36" s="1063"/>
      <c r="AA36" s="1066"/>
      <c r="AB36" s="1065"/>
      <c r="AC36" s="1063"/>
      <c r="AD36" s="1063"/>
      <c r="AE36" s="1063"/>
      <c r="AF36" s="1063"/>
      <c r="AG36" s="1063"/>
      <c r="AH36" s="1063"/>
      <c r="AI36" s="1063"/>
      <c r="AJ36" s="1063"/>
      <c r="AK36" s="1063"/>
      <c r="AL36" s="1063"/>
      <c r="AM36" s="1063"/>
      <c r="AN36" s="1063"/>
      <c r="AO36" s="1063"/>
      <c r="AP36" s="1063"/>
      <c r="AQ36" s="1063"/>
      <c r="AR36" s="1063"/>
      <c r="AS36" s="1063"/>
      <c r="AT36" s="418">
        <v>120311</v>
      </c>
      <c r="AU36" s="418">
        <v>260639</v>
      </c>
      <c r="AV36" s="418">
        <v>1695166</v>
      </c>
      <c r="AW36" s="418">
        <v>60968</v>
      </c>
      <c r="AX36" s="418">
        <v>175643</v>
      </c>
      <c r="AY36" s="418">
        <v>294430</v>
      </c>
      <c r="AZ36" s="418">
        <v>384632</v>
      </c>
      <c r="BA36" s="418">
        <v>584323</v>
      </c>
      <c r="BB36" s="418">
        <v>0</v>
      </c>
      <c r="BC36" s="418">
        <v>142574</v>
      </c>
      <c r="BD36" s="418">
        <v>0</v>
      </c>
      <c r="BE36" s="418">
        <v>0</v>
      </c>
      <c r="BF36" s="418">
        <v>1969711</v>
      </c>
      <c r="BG36" s="418">
        <v>0</v>
      </c>
      <c r="BH36" s="418">
        <v>0</v>
      </c>
      <c r="BI36" s="418">
        <v>292962</v>
      </c>
      <c r="BJ36" s="418">
        <v>189870</v>
      </c>
      <c r="BK36" s="418">
        <v>0</v>
      </c>
      <c r="BL36" s="418">
        <v>365807</v>
      </c>
      <c r="BM36" s="418">
        <v>324170</v>
      </c>
      <c r="BN36" s="418">
        <v>0</v>
      </c>
      <c r="BO36" s="418">
        <v>909491</v>
      </c>
      <c r="BP36" s="418">
        <v>276639</v>
      </c>
      <c r="BQ36" s="418">
        <v>319635</v>
      </c>
      <c r="BR36" s="418">
        <v>176712</v>
      </c>
      <c r="BS36" s="418">
        <v>0</v>
      </c>
      <c r="BT36" s="418">
        <v>0</v>
      </c>
      <c r="BU36" s="418">
        <v>253074</v>
      </c>
      <c r="BV36" s="418">
        <v>545811</v>
      </c>
      <c r="BW36" s="418">
        <v>149166</v>
      </c>
      <c r="BX36" s="418">
        <v>452547</v>
      </c>
      <c r="BY36" s="418">
        <v>0</v>
      </c>
      <c r="BZ36" s="418">
        <v>0</v>
      </c>
      <c r="CA36" s="418">
        <v>1551766</v>
      </c>
      <c r="CB36" s="418">
        <v>0</v>
      </c>
    </row>
    <row r="37" spans="1:80" s="418" customFormat="1" ht="15.6" x14ac:dyDescent="0.3">
      <c r="A37" s="1052">
        <v>50</v>
      </c>
      <c r="B37" s="1049"/>
      <c r="C37" s="1060" t="s">
        <v>1945</v>
      </c>
      <c r="D37" s="1061" t="s">
        <v>100</v>
      </c>
      <c r="E37" s="1062" t="s">
        <v>341</v>
      </c>
      <c r="F37" s="1063">
        <v>0</v>
      </c>
      <c r="G37" s="1063">
        <v>0</v>
      </c>
      <c r="H37" s="1063">
        <v>0</v>
      </c>
      <c r="I37" s="1063">
        <v>0</v>
      </c>
      <c r="J37" s="1063">
        <v>0</v>
      </c>
      <c r="K37" s="1063">
        <v>0</v>
      </c>
      <c r="L37" s="1063">
        <v>0</v>
      </c>
      <c r="M37" s="1063">
        <v>0</v>
      </c>
      <c r="N37" s="1063">
        <v>0</v>
      </c>
      <c r="O37" s="1063">
        <v>0</v>
      </c>
      <c r="P37" s="1063">
        <v>0</v>
      </c>
      <c r="Q37" s="1063">
        <v>0</v>
      </c>
      <c r="R37" s="1063">
        <v>0</v>
      </c>
      <c r="S37" s="1063">
        <v>0</v>
      </c>
      <c r="T37" s="1063">
        <v>0</v>
      </c>
      <c r="U37" s="1063">
        <v>0</v>
      </c>
      <c r="V37" s="1063"/>
      <c r="W37" s="1063"/>
      <c r="X37" s="1063"/>
      <c r="Y37" s="1063"/>
      <c r="Z37" s="1063"/>
      <c r="AA37" s="1066"/>
      <c r="AB37" s="1065"/>
      <c r="AC37" s="1063"/>
      <c r="AD37" s="1063"/>
      <c r="AE37" s="1063"/>
      <c r="AF37" s="1063"/>
      <c r="AG37" s="1063"/>
      <c r="AH37" s="1063"/>
      <c r="AI37" s="1063"/>
      <c r="AJ37" s="1063"/>
      <c r="AK37" s="1063"/>
      <c r="AL37" s="1063"/>
      <c r="AM37" s="1063"/>
      <c r="AN37" s="1063"/>
      <c r="AO37" s="1063"/>
      <c r="AP37" s="1063"/>
      <c r="AQ37" s="1063"/>
      <c r="AR37" s="1063"/>
      <c r="AS37" s="1063"/>
      <c r="AT37" s="418">
        <v>-94826</v>
      </c>
      <c r="AU37" s="418">
        <v>60387</v>
      </c>
      <c r="AV37" s="418">
        <v>668325</v>
      </c>
      <c r="AW37" s="418">
        <v>50432</v>
      </c>
      <c r="AX37" s="418">
        <v>338783</v>
      </c>
      <c r="AY37" s="418">
        <v>609195</v>
      </c>
      <c r="AZ37" s="418">
        <v>-88837</v>
      </c>
      <c r="BA37" s="418">
        <v>4461</v>
      </c>
      <c r="BB37" s="418">
        <v>-14536</v>
      </c>
      <c r="BC37" s="418">
        <v>3398</v>
      </c>
      <c r="BD37" s="418">
        <v>0</v>
      </c>
      <c r="BE37" s="418">
        <v>0</v>
      </c>
      <c r="BF37" s="418">
        <v>1544466</v>
      </c>
      <c r="BG37" s="418">
        <v>0</v>
      </c>
      <c r="BH37" s="418">
        <v>0</v>
      </c>
      <c r="BI37" s="418">
        <v>217225</v>
      </c>
      <c r="BJ37" s="418">
        <v>131142</v>
      </c>
      <c r="BK37" s="418">
        <v>0</v>
      </c>
      <c r="BL37" s="418">
        <v>-32085</v>
      </c>
      <c r="BM37" s="418">
        <v>223201</v>
      </c>
      <c r="BN37" s="418">
        <v>0</v>
      </c>
      <c r="BO37" s="418">
        <v>-361105</v>
      </c>
      <c r="BP37" s="418">
        <v>249720</v>
      </c>
      <c r="BQ37" s="418">
        <v>-136759</v>
      </c>
      <c r="BR37" s="418">
        <v>-1475914</v>
      </c>
      <c r="BS37" s="418">
        <v>0</v>
      </c>
      <c r="BT37" s="418">
        <v>0</v>
      </c>
      <c r="BU37" s="418">
        <v>-164984</v>
      </c>
      <c r="BV37" s="418">
        <v>-21399</v>
      </c>
      <c r="BW37" s="418">
        <v>866377</v>
      </c>
      <c r="BX37" s="418">
        <v>-856853</v>
      </c>
      <c r="BY37" s="418">
        <v>0</v>
      </c>
      <c r="BZ37" s="418">
        <v>0</v>
      </c>
      <c r="CA37" s="418">
        <v>5854413</v>
      </c>
      <c r="CB37" s="418">
        <v>0</v>
      </c>
    </row>
    <row r="38" spans="1:80" s="418" customFormat="1" ht="27.6" x14ac:dyDescent="0.3">
      <c r="A38" s="1052">
        <v>51</v>
      </c>
      <c r="B38" s="1049"/>
      <c r="C38" s="1060" t="s">
        <v>1946</v>
      </c>
      <c r="D38" s="1061" t="s">
        <v>246</v>
      </c>
      <c r="E38" s="1062" t="s">
        <v>342</v>
      </c>
      <c r="F38" s="1063">
        <v>0</v>
      </c>
      <c r="G38" s="1063">
        <v>0</v>
      </c>
      <c r="H38" s="1063">
        <v>0</v>
      </c>
      <c r="I38" s="1063">
        <v>0</v>
      </c>
      <c r="J38" s="1063">
        <v>0</v>
      </c>
      <c r="K38" s="1063">
        <v>0</v>
      </c>
      <c r="L38" s="1063">
        <v>0</v>
      </c>
      <c r="M38" s="1063">
        <v>0</v>
      </c>
      <c r="N38" s="1063">
        <v>0</v>
      </c>
      <c r="O38" s="1063">
        <v>0</v>
      </c>
      <c r="P38" s="1063">
        <v>0</v>
      </c>
      <c r="Q38" s="1063">
        <v>0</v>
      </c>
      <c r="R38" s="1063">
        <v>0</v>
      </c>
      <c r="S38" s="1063">
        <v>0</v>
      </c>
      <c r="T38" s="1063">
        <v>0</v>
      </c>
      <c r="U38" s="1063">
        <v>0</v>
      </c>
      <c r="V38" s="1063"/>
      <c r="W38" s="1063"/>
      <c r="X38" s="1063"/>
      <c r="Y38" s="1063"/>
      <c r="Z38" s="1063"/>
      <c r="AA38" s="1066"/>
      <c r="AB38" s="1065"/>
      <c r="AC38" s="1063"/>
      <c r="AD38" s="1063"/>
      <c r="AE38" s="1063"/>
      <c r="AF38" s="1063"/>
      <c r="AG38" s="1063"/>
      <c r="AH38" s="1063"/>
      <c r="AI38" s="1063"/>
      <c r="AJ38" s="1063"/>
      <c r="AK38" s="1063"/>
      <c r="AL38" s="1063"/>
      <c r="AM38" s="1063"/>
      <c r="AN38" s="1063"/>
      <c r="AO38" s="1063"/>
      <c r="AP38" s="1063"/>
      <c r="AQ38" s="1063"/>
      <c r="AR38" s="1063"/>
      <c r="AS38" s="1063"/>
      <c r="AT38" s="418">
        <v>15698</v>
      </c>
      <c r="AU38" s="418">
        <v>12304</v>
      </c>
      <c r="AV38" s="418">
        <v>2824949</v>
      </c>
      <c r="AW38" s="418">
        <v>141892</v>
      </c>
      <c r="AX38" s="418">
        <v>-30776</v>
      </c>
      <c r="AY38" s="418">
        <v>952068</v>
      </c>
      <c r="AZ38" s="418">
        <v>367844</v>
      </c>
      <c r="BA38" s="418">
        <v>351769</v>
      </c>
      <c r="BB38" s="418">
        <v>-89650</v>
      </c>
      <c r="BC38" s="418">
        <v>144505</v>
      </c>
      <c r="BD38" s="418">
        <v>0</v>
      </c>
      <c r="BE38" s="418">
        <v>0</v>
      </c>
      <c r="BF38" s="418">
        <v>1790295</v>
      </c>
      <c r="BG38" s="418">
        <v>0</v>
      </c>
      <c r="BH38" s="418">
        <v>0</v>
      </c>
      <c r="BI38" s="418">
        <v>138040</v>
      </c>
      <c r="BJ38" s="418">
        <v>377679</v>
      </c>
      <c r="BK38" s="418">
        <v>0</v>
      </c>
      <c r="BL38" s="418">
        <v>298735</v>
      </c>
      <c r="BM38" s="418">
        <v>593186</v>
      </c>
      <c r="BN38" s="418">
        <v>0</v>
      </c>
      <c r="BO38" s="418">
        <v>766093</v>
      </c>
      <c r="BP38" s="418">
        <v>721130</v>
      </c>
      <c r="BQ38" s="418">
        <v>224681</v>
      </c>
      <c r="BR38" s="418">
        <v>244949</v>
      </c>
      <c r="BS38" s="418">
        <v>0</v>
      </c>
      <c r="BT38" s="418">
        <v>0</v>
      </c>
      <c r="BU38" s="418">
        <v>39498</v>
      </c>
      <c r="BV38" s="418">
        <v>526379</v>
      </c>
      <c r="BW38" s="418">
        <v>84534</v>
      </c>
      <c r="BX38" s="418">
        <v>231899</v>
      </c>
      <c r="BY38" s="418">
        <v>0</v>
      </c>
      <c r="BZ38" s="418">
        <v>0</v>
      </c>
      <c r="CA38" s="418">
        <v>2517092</v>
      </c>
      <c r="CB38" s="418">
        <v>0</v>
      </c>
    </row>
    <row r="39" spans="1:80" s="418" customFormat="1" ht="27.6" x14ac:dyDescent="0.3">
      <c r="A39" s="1052">
        <v>52</v>
      </c>
      <c r="B39" s="1049"/>
      <c r="C39" s="1060" t="s">
        <v>1947</v>
      </c>
      <c r="D39" s="1061" t="s">
        <v>239</v>
      </c>
      <c r="E39" s="1062" t="s">
        <v>343</v>
      </c>
      <c r="F39" s="1063">
        <v>0</v>
      </c>
      <c r="G39" s="1063">
        <v>0</v>
      </c>
      <c r="H39" s="1063">
        <v>0</v>
      </c>
      <c r="I39" s="1063">
        <v>0</v>
      </c>
      <c r="J39" s="1063">
        <v>0</v>
      </c>
      <c r="K39" s="1063">
        <v>0</v>
      </c>
      <c r="L39" s="1063">
        <v>0</v>
      </c>
      <c r="M39" s="1063">
        <v>0</v>
      </c>
      <c r="N39" s="1063">
        <v>0</v>
      </c>
      <c r="O39" s="1063">
        <v>0</v>
      </c>
      <c r="P39" s="1063">
        <v>0</v>
      </c>
      <c r="Q39" s="1063">
        <v>0</v>
      </c>
      <c r="R39" s="1063">
        <v>0</v>
      </c>
      <c r="S39" s="1063">
        <v>0</v>
      </c>
      <c r="T39" s="1063">
        <v>0</v>
      </c>
      <c r="U39" s="1063">
        <v>0</v>
      </c>
      <c r="V39" s="1063"/>
      <c r="W39" s="1063"/>
      <c r="X39" s="1063"/>
      <c r="Y39" s="1063"/>
      <c r="Z39" s="1063"/>
      <c r="AA39" s="1066"/>
      <c r="AB39" s="1065"/>
      <c r="AC39" s="1063"/>
      <c r="AD39" s="1063"/>
      <c r="AE39" s="1063"/>
      <c r="AF39" s="1063"/>
      <c r="AG39" s="1063"/>
      <c r="AH39" s="1063"/>
      <c r="AI39" s="1063"/>
      <c r="AJ39" s="1063"/>
      <c r="AK39" s="1063"/>
      <c r="AL39" s="1063"/>
      <c r="AM39" s="1063"/>
      <c r="AN39" s="1063"/>
      <c r="AO39" s="1063"/>
      <c r="AP39" s="1063"/>
      <c r="AQ39" s="1063"/>
      <c r="AR39" s="1063"/>
      <c r="AS39" s="1063"/>
      <c r="AT39" s="418">
        <v>0</v>
      </c>
      <c r="AU39" s="418">
        <v>0</v>
      </c>
      <c r="AV39" s="418">
        <v>162528</v>
      </c>
      <c r="AW39" s="418">
        <v>0</v>
      </c>
      <c r="AX39" s="418">
        <v>0</v>
      </c>
      <c r="AY39" s="418">
        <v>0</v>
      </c>
      <c r="AZ39" s="418">
        <v>0</v>
      </c>
      <c r="BA39" s="418">
        <v>236152</v>
      </c>
      <c r="BB39" s="418">
        <v>0</v>
      </c>
      <c r="BC39" s="418">
        <v>0</v>
      </c>
      <c r="BD39" s="418">
        <v>0</v>
      </c>
      <c r="BE39" s="418">
        <v>0</v>
      </c>
      <c r="BF39" s="418">
        <v>849783</v>
      </c>
      <c r="BG39" s="418">
        <v>0</v>
      </c>
      <c r="BH39" s="418">
        <v>0</v>
      </c>
      <c r="BI39" s="418">
        <v>0</v>
      </c>
      <c r="BJ39" s="418">
        <v>0</v>
      </c>
      <c r="BK39" s="418">
        <v>0</v>
      </c>
      <c r="BL39" s="418">
        <v>164876</v>
      </c>
      <c r="BM39" s="418">
        <v>0</v>
      </c>
      <c r="BN39" s="418">
        <v>0</v>
      </c>
      <c r="BO39" s="418">
        <v>0</v>
      </c>
      <c r="BP39" s="418">
        <v>0</v>
      </c>
      <c r="BQ39" s="418">
        <v>0</v>
      </c>
      <c r="BR39" s="418">
        <v>0</v>
      </c>
      <c r="BS39" s="418">
        <v>0</v>
      </c>
      <c r="BT39" s="418">
        <v>0</v>
      </c>
      <c r="BU39" s="418">
        <v>0</v>
      </c>
      <c r="BV39" s="418">
        <v>0</v>
      </c>
      <c r="BW39" s="418">
        <v>0</v>
      </c>
      <c r="BX39" s="418">
        <v>0</v>
      </c>
      <c r="BY39" s="418">
        <v>0</v>
      </c>
      <c r="BZ39" s="418">
        <v>0</v>
      </c>
      <c r="CA39" s="418">
        <v>0</v>
      </c>
      <c r="CB39" s="418">
        <v>0</v>
      </c>
    </row>
    <row r="40" spans="1:80" s="418" customFormat="1" ht="15.6" x14ac:dyDescent="0.3">
      <c r="A40" s="1052">
        <v>53</v>
      </c>
      <c r="B40" s="1049"/>
      <c r="C40" s="1060" t="s">
        <v>1948</v>
      </c>
      <c r="D40" s="1061" t="s">
        <v>101</v>
      </c>
      <c r="E40" s="1062" t="s">
        <v>344</v>
      </c>
      <c r="F40" s="1063">
        <v>0</v>
      </c>
      <c r="G40" s="1063">
        <v>0</v>
      </c>
      <c r="H40" s="1063">
        <v>0</v>
      </c>
      <c r="I40" s="1063">
        <v>0</v>
      </c>
      <c r="J40" s="1063">
        <v>0</v>
      </c>
      <c r="K40" s="1063">
        <v>0</v>
      </c>
      <c r="L40" s="1063">
        <v>0</v>
      </c>
      <c r="M40" s="1063">
        <v>0</v>
      </c>
      <c r="N40" s="1063">
        <v>0</v>
      </c>
      <c r="O40" s="1063">
        <v>0</v>
      </c>
      <c r="P40" s="1063">
        <v>0</v>
      </c>
      <c r="Q40" s="1063">
        <v>0</v>
      </c>
      <c r="R40" s="1063">
        <v>0</v>
      </c>
      <c r="S40" s="1063">
        <v>0</v>
      </c>
      <c r="T40" s="1063">
        <v>0</v>
      </c>
      <c r="U40" s="1063">
        <v>0</v>
      </c>
      <c r="V40" s="1063"/>
      <c r="W40" s="1063"/>
      <c r="X40" s="1063"/>
      <c r="Y40" s="1063"/>
      <c r="Z40" s="1063"/>
      <c r="AA40" s="1066"/>
      <c r="AB40" s="1049"/>
      <c r="AC40" s="1063"/>
      <c r="AD40" s="1063"/>
      <c r="AE40" s="1063"/>
      <c r="AF40" s="1063"/>
      <c r="AG40" s="1063"/>
      <c r="AH40" s="1063"/>
      <c r="AI40" s="1063"/>
      <c r="AJ40" s="1063"/>
      <c r="AK40" s="1063"/>
      <c r="AL40" s="1063"/>
      <c r="AM40" s="1063"/>
      <c r="AN40" s="1063"/>
      <c r="AO40" s="1063"/>
      <c r="AP40" s="1063"/>
      <c r="AQ40" s="1063"/>
      <c r="AR40" s="1063"/>
      <c r="AS40" s="1063"/>
      <c r="AT40" s="418">
        <v>0</v>
      </c>
      <c r="AU40" s="418">
        <v>0</v>
      </c>
      <c r="AV40" s="418">
        <v>1107026</v>
      </c>
      <c r="AW40" s="418">
        <v>0</v>
      </c>
      <c r="AX40" s="418">
        <v>0</v>
      </c>
      <c r="AY40" s="418">
        <v>0</v>
      </c>
      <c r="AZ40" s="418">
        <v>0</v>
      </c>
      <c r="BA40" s="418">
        <v>-203934</v>
      </c>
      <c r="BB40" s="418">
        <v>0</v>
      </c>
      <c r="BC40" s="418">
        <v>0</v>
      </c>
      <c r="BD40" s="418">
        <v>0</v>
      </c>
      <c r="BE40" s="418">
        <v>0</v>
      </c>
      <c r="BF40" s="418">
        <v>619333</v>
      </c>
      <c r="BG40" s="418">
        <v>0</v>
      </c>
      <c r="BH40" s="418">
        <v>0</v>
      </c>
      <c r="BI40" s="418">
        <v>0</v>
      </c>
      <c r="BJ40" s="418">
        <v>0</v>
      </c>
      <c r="BK40" s="418">
        <v>0</v>
      </c>
      <c r="BL40" s="418">
        <v>959534</v>
      </c>
      <c r="BM40" s="418">
        <v>0</v>
      </c>
      <c r="BN40" s="418">
        <v>0</v>
      </c>
      <c r="BO40" s="418">
        <v>0</v>
      </c>
      <c r="BP40" s="418">
        <v>0</v>
      </c>
      <c r="BQ40" s="418">
        <v>0</v>
      </c>
      <c r="BR40" s="418">
        <v>0</v>
      </c>
      <c r="BS40" s="418">
        <v>0</v>
      </c>
      <c r="BT40" s="418">
        <v>0</v>
      </c>
      <c r="BU40" s="418">
        <v>0</v>
      </c>
      <c r="BV40" s="418">
        <v>0</v>
      </c>
      <c r="BW40" s="418">
        <v>0</v>
      </c>
      <c r="BX40" s="418">
        <v>0</v>
      </c>
      <c r="BY40" s="418">
        <v>0</v>
      </c>
      <c r="BZ40" s="418">
        <v>0</v>
      </c>
      <c r="CA40" s="418">
        <v>0</v>
      </c>
      <c r="CB40" s="418">
        <v>0</v>
      </c>
    </row>
    <row r="41" spans="1:80" s="418" customFormat="1" ht="15.6" x14ac:dyDescent="0.3">
      <c r="A41" s="1052">
        <v>54</v>
      </c>
      <c r="B41" s="1049"/>
      <c r="C41" s="1060" t="s">
        <v>1779</v>
      </c>
      <c r="D41" s="1061" t="s">
        <v>1780</v>
      </c>
      <c r="E41" s="1062" t="s">
        <v>345</v>
      </c>
      <c r="F41" s="1063">
        <v>0</v>
      </c>
      <c r="G41" s="1063">
        <v>0</v>
      </c>
      <c r="H41" s="1063">
        <v>0</v>
      </c>
      <c r="I41" s="1063">
        <v>0</v>
      </c>
      <c r="J41" s="1063">
        <v>0</v>
      </c>
      <c r="K41" s="1063">
        <v>0</v>
      </c>
      <c r="L41" s="1063">
        <v>0</v>
      </c>
      <c r="M41" s="1063">
        <v>0</v>
      </c>
      <c r="N41" s="1063">
        <v>0</v>
      </c>
      <c r="O41" s="1063">
        <v>0</v>
      </c>
      <c r="P41" s="1063">
        <v>0</v>
      </c>
      <c r="Q41" s="1063">
        <v>0</v>
      </c>
      <c r="R41" s="1063">
        <v>0</v>
      </c>
      <c r="S41" s="1063">
        <v>0</v>
      </c>
      <c r="T41" s="1063">
        <v>0</v>
      </c>
      <c r="U41" s="1063">
        <v>0</v>
      </c>
      <c r="V41" s="1063"/>
      <c r="W41" s="1063"/>
      <c r="X41" s="1063"/>
      <c r="Y41" s="1063"/>
      <c r="Z41" s="1063"/>
      <c r="AA41" s="1066"/>
      <c r="AB41" s="1065"/>
      <c r="AC41" s="1063"/>
      <c r="AD41" s="1063"/>
      <c r="AE41" s="1063"/>
      <c r="AF41" s="1063"/>
      <c r="AG41" s="1063"/>
      <c r="AH41" s="1063"/>
      <c r="AI41" s="1063"/>
      <c r="AJ41" s="1063"/>
      <c r="AK41" s="1063"/>
      <c r="AL41" s="1063"/>
      <c r="AM41" s="1063"/>
      <c r="AN41" s="1063"/>
      <c r="AO41" s="1063"/>
      <c r="AP41" s="1063"/>
      <c r="AQ41" s="1063"/>
      <c r="AR41" s="1063"/>
      <c r="AS41" s="1063"/>
    </row>
    <row r="42" spans="1:80" s="418" customFormat="1" ht="27.6" x14ac:dyDescent="0.3">
      <c r="A42" s="1052">
        <v>55</v>
      </c>
      <c r="B42" s="1049"/>
      <c r="C42" s="1060" t="s">
        <v>1949</v>
      </c>
      <c r="D42" s="1061" t="s">
        <v>249</v>
      </c>
      <c r="E42" s="1062" t="s">
        <v>346</v>
      </c>
      <c r="F42" s="1063">
        <v>0</v>
      </c>
      <c r="G42" s="1063">
        <v>0</v>
      </c>
      <c r="H42" s="1063">
        <v>0</v>
      </c>
      <c r="I42" s="1063">
        <v>0</v>
      </c>
      <c r="J42" s="1063">
        <v>0</v>
      </c>
      <c r="K42" s="1063">
        <v>0</v>
      </c>
      <c r="L42" s="1063">
        <v>0</v>
      </c>
      <c r="M42" s="1063">
        <v>0</v>
      </c>
      <c r="N42" s="1063">
        <v>0</v>
      </c>
      <c r="O42" s="1063">
        <v>0</v>
      </c>
      <c r="P42" s="1063">
        <v>0</v>
      </c>
      <c r="Q42" s="1063">
        <v>0</v>
      </c>
      <c r="R42" s="1063">
        <v>0</v>
      </c>
      <c r="S42" s="1063">
        <v>0</v>
      </c>
      <c r="T42" s="1063">
        <v>0</v>
      </c>
      <c r="U42" s="1063">
        <v>0</v>
      </c>
      <c r="V42" s="1063"/>
      <c r="W42" s="1063"/>
      <c r="X42" s="1063"/>
      <c r="Y42" s="1063"/>
      <c r="Z42" s="1063"/>
      <c r="AA42" s="1066"/>
      <c r="AB42" s="1065"/>
      <c r="AC42" s="1063"/>
      <c r="AD42" s="1063"/>
      <c r="AE42" s="1063"/>
      <c r="AF42" s="1063"/>
      <c r="AG42" s="1063"/>
      <c r="AH42" s="1063"/>
      <c r="AI42" s="1063"/>
      <c r="AJ42" s="1063"/>
      <c r="AK42" s="1063"/>
      <c r="AL42" s="1063"/>
      <c r="AM42" s="1063"/>
      <c r="AN42" s="1063"/>
      <c r="AO42" s="1063"/>
      <c r="AP42" s="1063"/>
      <c r="AQ42" s="1063"/>
      <c r="AR42" s="1063"/>
      <c r="AS42" s="1063"/>
      <c r="AT42" s="418">
        <v>0</v>
      </c>
      <c r="AU42" s="418">
        <v>0</v>
      </c>
      <c r="AV42" s="418">
        <v>1295545</v>
      </c>
      <c r="AW42" s="418">
        <v>0</v>
      </c>
      <c r="AX42" s="418">
        <v>0</v>
      </c>
      <c r="AY42" s="418">
        <v>0</v>
      </c>
      <c r="AZ42" s="418">
        <v>0</v>
      </c>
      <c r="BA42" s="418">
        <v>299194</v>
      </c>
      <c r="BB42" s="418">
        <v>0</v>
      </c>
      <c r="BC42" s="418">
        <v>0</v>
      </c>
      <c r="BD42" s="418">
        <v>0</v>
      </c>
      <c r="BE42" s="418">
        <v>0</v>
      </c>
      <c r="BF42" s="418">
        <v>2547456</v>
      </c>
      <c r="BG42" s="418">
        <v>0</v>
      </c>
      <c r="BH42" s="418">
        <v>0</v>
      </c>
      <c r="BI42" s="418">
        <v>0</v>
      </c>
      <c r="BJ42" s="418">
        <v>0</v>
      </c>
      <c r="BK42" s="418">
        <v>0</v>
      </c>
      <c r="BL42" s="418">
        <v>1374630</v>
      </c>
      <c r="BM42" s="418">
        <v>0</v>
      </c>
      <c r="BN42" s="418">
        <v>0</v>
      </c>
      <c r="BO42" s="418">
        <v>0</v>
      </c>
      <c r="BP42" s="418">
        <v>0</v>
      </c>
      <c r="BQ42" s="418">
        <v>0</v>
      </c>
      <c r="BR42" s="418">
        <v>0</v>
      </c>
      <c r="BS42" s="418">
        <v>0</v>
      </c>
      <c r="BT42" s="418">
        <v>0</v>
      </c>
      <c r="BU42" s="418">
        <v>0</v>
      </c>
      <c r="BV42" s="418">
        <v>0</v>
      </c>
      <c r="BW42" s="418">
        <v>0</v>
      </c>
      <c r="BX42" s="418">
        <v>0</v>
      </c>
      <c r="BY42" s="418">
        <v>0</v>
      </c>
      <c r="BZ42" s="418">
        <v>0</v>
      </c>
      <c r="CA42" s="418">
        <v>0</v>
      </c>
      <c r="CB42" s="418">
        <v>0</v>
      </c>
    </row>
    <row r="43" spans="1:80" s="419" customFormat="1" ht="15.6" x14ac:dyDescent="0.3">
      <c r="A43" s="1052">
        <v>61</v>
      </c>
      <c r="B43" s="1049"/>
      <c r="C43" s="1060" t="s">
        <v>1950</v>
      </c>
      <c r="D43" s="1061" t="s">
        <v>268</v>
      </c>
      <c r="E43" s="1062" t="s">
        <v>347</v>
      </c>
      <c r="F43" s="1063">
        <v>0</v>
      </c>
      <c r="G43" s="1063">
        <v>0</v>
      </c>
      <c r="H43" s="1063">
        <v>0</v>
      </c>
      <c r="I43" s="1063">
        <v>0</v>
      </c>
      <c r="J43" s="1063">
        <v>0</v>
      </c>
      <c r="K43" s="1063">
        <v>0</v>
      </c>
      <c r="L43" s="1063">
        <v>0</v>
      </c>
      <c r="M43" s="1063">
        <v>0</v>
      </c>
      <c r="N43" s="1063">
        <v>0</v>
      </c>
      <c r="O43" s="1063">
        <v>0</v>
      </c>
      <c r="P43" s="1063">
        <v>0</v>
      </c>
      <c r="Q43" s="1063">
        <v>0</v>
      </c>
      <c r="R43" s="1063">
        <v>0</v>
      </c>
      <c r="S43" s="1063">
        <v>0</v>
      </c>
      <c r="T43" s="1063">
        <v>0</v>
      </c>
      <c r="U43" s="1063">
        <v>0</v>
      </c>
      <c r="V43" s="1063"/>
      <c r="W43" s="1063"/>
      <c r="X43" s="1063"/>
      <c r="Y43" s="1063"/>
      <c r="Z43" s="1063"/>
      <c r="AA43" s="1066"/>
      <c r="AB43" s="1065"/>
      <c r="AC43" s="1063"/>
      <c r="AD43" s="1063"/>
      <c r="AE43" s="1063"/>
      <c r="AF43" s="1063"/>
      <c r="AG43" s="1063"/>
      <c r="AH43" s="1063"/>
      <c r="AI43" s="1063"/>
      <c r="AJ43" s="1063"/>
      <c r="AK43" s="1063"/>
      <c r="AL43" s="1063"/>
      <c r="AM43" s="1063"/>
      <c r="AN43" s="1063"/>
      <c r="AO43" s="1063"/>
      <c r="AP43" s="1063"/>
      <c r="AQ43" s="1063"/>
      <c r="AR43" s="1063"/>
      <c r="AS43" s="1063"/>
      <c r="AT43" s="419">
        <v>95.77</v>
      </c>
      <c r="AU43" s="419">
        <v>99.61</v>
      </c>
      <c r="AV43" s="419">
        <v>98.38</v>
      </c>
      <c r="AW43" s="419">
        <v>97.6</v>
      </c>
      <c r="AX43" s="419">
        <v>94.35</v>
      </c>
      <c r="AY43" s="419">
        <v>98.62</v>
      </c>
      <c r="AZ43" s="419">
        <v>96.9</v>
      </c>
      <c r="BA43" s="419">
        <v>97.79</v>
      </c>
      <c r="BB43" s="419">
        <v>91.14</v>
      </c>
      <c r="BC43" s="419">
        <v>98.93</v>
      </c>
      <c r="BD43" s="419">
        <v>0</v>
      </c>
      <c r="BE43" s="419">
        <v>96.89</v>
      </c>
      <c r="BF43" s="419">
        <v>94.48</v>
      </c>
      <c r="BG43" s="419">
        <v>0</v>
      </c>
      <c r="BH43" s="419">
        <v>92.02</v>
      </c>
      <c r="BI43" s="419">
        <v>99.11</v>
      </c>
      <c r="BJ43" s="419">
        <v>97.38</v>
      </c>
      <c r="BK43" s="419">
        <v>0</v>
      </c>
      <c r="BL43" s="419">
        <v>99.76</v>
      </c>
      <c r="BM43" s="419">
        <v>98.74</v>
      </c>
      <c r="BN43" s="419">
        <v>0</v>
      </c>
      <c r="BO43" s="419">
        <v>98.94</v>
      </c>
      <c r="BP43" s="419">
        <v>97.04</v>
      </c>
      <c r="BQ43" s="419">
        <v>97.05</v>
      </c>
      <c r="BR43" s="419">
        <v>98.64</v>
      </c>
      <c r="BS43" s="419">
        <v>99.6</v>
      </c>
      <c r="BT43" s="419">
        <v>99.14</v>
      </c>
      <c r="BU43" s="419">
        <v>85.91</v>
      </c>
      <c r="BV43" s="419">
        <v>99.23</v>
      </c>
      <c r="BW43" s="419">
        <v>94.91</v>
      </c>
      <c r="BX43" s="419">
        <v>99.42</v>
      </c>
      <c r="BY43" s="419">
        <v>95.49</v>
      </c>
      <c r="BZ43" s="419">
        <v>97.83</v>
      </c>
      <c r="CA43" s="419">
        <v>99.66</v>
      </c>
      <c r="CB43" s="419">
        <v>90.87</v>
      </c>
    </row>
    <row r="44" spans="1:80" s="418" customFormat="1" ht="27.6" x14ac:dyDescent="0.3">
      <c r="A44" s="1052">
        <v>80</v>
      </c>
      <c r="B44" s="1049"/>
      <c r="C44" s="1060" t="s">
        <v>1951</v>
      </c>
      <c r="D44" s="1061" t="s">
        <v>218</v>
      </c>
      <c r="E44" s="1062" t="s">
        <v>348</v>
      </c>
      <c r="F44" s="1063">
        <v>0</v>
      </c>
      <c r="G44" s="1063">
        <v>0</v>
      </c>
      <c r="H44" s="1063">
        <v>0</v>
      </c>
      <c r="I44" s="1063">
        <v>0</v>
      </c>
      <c r="J44" s="1063">
        <v>0</v>
      </c>
      <c r="K44" s="1063">
        <v>0</v>
      </c>
      <c r="L44" s="1063">
        <v>0</v>
      </c>
      <c r="M44" s="1063">
        <v>0</v>
      </c>
      <c r="N44" s="1063">
        <v>0</v>
      </c>
      <c r="O44" s="1063">
        <v>0</v>
      </c>
      <c r="P44" s="1063">
        <v>0</v>
      </c>
      <c r="Q44" s="1063">
        <v>0</v>
      </c>
      <c r="R44" s="1063">
        <v>0</v>
      </c>
      <c r="S44" s="1063">
        <v>0</v>
      </c>
      <c r="T44" s="1063">
        <v>0</v>
      </c>
      <c r="U44" s="1063">
        <v>0</v>
      </c>
      <c r="V44" s="1063"/>
      <c r="W44" s="1063"/>
      <c r="X44" s="1063"/>
      <c r="Y44" s="1063"/>
      <c r="Z44" s="1063"/>
      <c r="AA44" s="1066"/>
      <c r="AB44" s="1065"/>
      <c r="AC44" s="1063"/>
      <c r="AD44" s="1063"/>
      <c r="AE44" s="1063"/>
      <c r="AF44" s="1063"/>
      <c r="AG44" s="1063"/>
      <c r="AH44" s="1063"/>
      <c r="AI44" s="1063"/>
      <c r="AJ44" s="1063"/>
      <c r="AK44" s="1063"/>
      <c r="AL44" s="1063"/>
      <c r="AM44" s="1063"/>
      <c r="AN44" s="1063"/>
      <c r="AO44" s="1063"/>
      <c r="AP44" s="1063"/>
      <c r="AQ44" s="1063"/>
      <c r="AR44" s="1063"/>
      <c r="AS44" s="1063"/>
      <c r="AT44" s="418">
        <v>226559</v>
      </c>
      <c r="AU44" s="418">
        <v>1378755</v>
      </c>
      <c r="AV44" s="418">
        <v>7905864</v>
      </c>
      <c r="AW44" s="418">
        <v>1102695</v>
      </c>
      <c r="AX44" s="418">
        <v>705565</v>
      </c>
      <c r="AY44" s="418">
        <v>956683</v>
      </c>
      <c r="AZ44" s="418">
        <v>797331</v>
      </c>
      <c r="BA44" s="418">
        <v>1406768</v>
      </c>
      <c r="BB44" s="418">
        <v>1587</v>
      </c>
      <c r="BC44" s="418">
        <v>592119</v>
      </c>
      <c r="BD44" s="418">
        <v>0</v>
      </c>
      <c r="BE44" s="418">
        <v>0</v>
      </c>
      <c r="BF44" s="418">
        <v>1143952</v>
      </c>
      <c r="BG44" s="418">
        <v>0</v>
      </c>
      <c r="BH44" s="418">
        <v>0</v>
      </c>
      <c r="BI44" s="418">
        <v>629957</v>
      </c>
      <c r="BJ44" s="418">
        <v>1950576</v>
      </c>
      <c r="BK44" s="418">
        <v>0</v>
      </c>
      <c r="BL44" s="418">
        <v>4667608</v>
      </c>
      <c r="BM44" s="418">
        <v>2736585</v>
      </c>
      <c r="BN44" s="418">
        <v>0</v>
      </c>
      <c r="BO44" s="418">
        <v>1676370</v>
      </c>
      <c r="BP44" s="418">
        <v>3215759</v>
      </c>
      <c r="BQ44" s="418">
        <v>997878</v>
      </c>
      <c r="BR44" s="418">
        <v>1748084</v>
      </c>
      <c r="BS44" s="418">
        <v>0</v>
      </c>
      <c r="BT44" s="418">
        <v>0</v>
      </c>
      <c r="BU44" s="418">
        <v>1039245</v>
      </c>
      <c r="BV44" s="418">
        <v>1684666</v>
      </c>
      <c r="BW44" s="418">
        <v>170669</v>
      </c>
      <c r="BX44" s="418">
        <v>1208339</v>
      </c>
      <c r="BY44" s="418">
        <v>0</v>
      </c>
      <c r="BZ44" s="418">
        <v>0</v>
      </c>
      <c r="CA44" s="418">
        <v>7586901</v>
      </c>
      <c r="CB44" s="418">
        <v>0</v>
      </c>
    </row>
    <row r="45" spans="1:80" s="418" customFormat="1" ht="15.6" x14ac:dyDescent="0.3">
      <c r="A45" s="1052">
        <v>81</v>
      </c>
      <c r="B45" s="1049"/>
      <c r="C45" s="1060" t="s">
        <v>1952</v>
      </c>
      <c r="D45" s="1061" t="s">
        <v>219</v>
      </c>
      <c r="E45" s="1062" t="s">
        <v>349</v>
      </c>
      <c r="F45" s="1063">
        <v>0</v>
      </c>
      <c r="G45" s="1063">
        <v>0</v>
      </c>
      <c r="H45" s="1063">
        <v>0</v>
      </c>
      <c r="I45" s="1063">
        <v>0</v>
      </c>
      <c r="J45" s="1063">
        <v>0</v>
      </c>
      <c r="K45" s="1063">
        <v>0</v>
      </c>
      <c r="L45" s="1063">
        <v>0</v>
      </c>
      <c r="M45" s="1063">
        <v>0</v>
      </c>
      <c r="N45" s="1063">
        <v>0</v>
      </c>
      <c r="O45" s="1063">
        <v>0</v>
      </c>
      <c r="P45" s="1063">
        <v>0</v>
      </c>
      <c r="Q45" s="1063">
        <v>0</v>
      </c>
      <c r="R45" s="1063">
        <v>0</v>
      </c>
      <c r="S45" s="1063">
        <v>0</v>
      </c>
      <c r="T45" s="1063">
        <v>0</v>
      </c>
      <c r="U45" s="1063">
        <v>0</v>
      </c>
      <c r="V45" s="1063"/>
      <c r="W45" s="1049"/>
      <c r="X45" s="1049"/>
      <c r="Y45" s="1049"/>
      <c r="Z45" s="1049"/>
      <c r="AA45" s="1066"/>
      <c r="AB45" s="1065"/>
      <c r="AC45" s="1049"/>
      <c r="AD45" s="1049"/>
      <c r="AE45" s="1049"/>
      <c r="AF45" s="1049"/>
      <c r="AG45" s="1049"/>
      <c r="AH45" s="1049"/>
      <c r="AI45" s="1049"/>
      <c r="AJ45" s="1049"/>
      <c r="AK45" s="1049"/>
      <c r="AL45" s="1049"/>
      <c r="AM45" s="1049"/>
      <c r="AN45" s="1049"/>
      <c r="AO45" s="1049"/>
      <c r="AP45" s="1049"/>
      <c r="AQ45" s="1049"/>
      <c r="AR45" s="1049"/>
      <c r="AS45" s="1049"/>
      <c r="AT45" s="418">
        <v>52879</v>
      </c>
      <c r="AU45" s="418">
        <v>278969</v>
      </c>
      <c r="AV45" s="418">
        <v>696240</v>
      </c>
      <c r="AW45" s="418">
        <v>32583</v>
      </c>
      <c r="AX45" s="418">
        <v>30824</v>
      </c>
      <c r="AY45" s="418">
        <v>131699</v>
      </c>
      <c r="AZ45" s="418">
        <v>175652</v>
      </c>
      <c r="BA45" s="418">
        <v>316734</v>
      </c>
      <c r="BB45" s="418">
        <v>0</v>
      </c>
      <c r="BC45" s="418">
        <v>116859</v>
      </c>
      <c r="BD45" s="418">
        <v>0</v>
      </c>
      <c r="BE45" s="418">
        <v>0</v>
      </c>
      <c r="BF45" s="418">
        <v>4039003</v>
      </c>
      <c r="BG45" s="418">
        <v>0</v>
      </c>
      <c r="BH45" s="418">
        <v>0</v>
      </c>
      <c r="BI45" s="418">
        <v>140069</v>
      </c>
      <c r="BJ45" s="418">
        <v>132347</v>
      </c>
      <c r="BK45" s="418">
        <v>0</v>
      </c>
      <c r="BL45" s="418">
        <v>165764</v>
      </c>
      <c r="BM45" s="418">
        <v>302224</v>
      </c>
      <c r="BN45" s="418">
        <v>0</v>
      </c>
      <c r="BO45" s="418">
        <v>524605</v>
      </c>
      <c r="BP45" s="418">
        <v>94384</v>
      </c>
      <c r="BQ45" s="418">
        <v>76731</v>
      </c>
      <c r="BR45" s="418">
        <v>69150</v>
      </c>
      <c r="BS45" s="418">
        <v>0</v>
      </c>
      <c r="BT45" s="418">
        <v>0</v>
      </c>
      <c r="BU45" s="418">
        <v>157592</v>
      </c>
      <c r="BV45" s="418">
        <v>235820</v>
      </c>
      <c r="BW45" s="418">
        <v>89631</v>
      </c>
      <c r="BX45" s="418">
        <v>74242</v>
      </c>
      <c r="BY45" s="418">
        <v>0</v>
      </c>
      <c r="BZ45" s="418">
        <v>0</v>
      </c>
      <c r="CA45" s="418">
        <v>832878</v>
      </c>
      <c r="CB45" s="418">
        <v>0</v>
      </c>
    </row>
    <row r="46" spans="1:80" s="418" customFormat="1" ht="41.4" x14ac:dyDescent="0.3">
      <c r="A46" s="1052">
        <v>82</v>
      </c>
      <c r="B46" s="1049"/>
      <c r="C46" s="1060" t="s">
        <v>1953</v>
      </c>
      <c r="D46" s="1070" t="s">
        <v>1781</v>
      </c>
      <c r="E46" s="1062" t="s">
        <v>350</v>
      </c>
      <c r="F46" s="1063">
        <v>0</v>
      </c>
      <c r="G46" s="1063">
        <v>0</v>
      </c>
      <c r="H46" s="1063">
        <v>0</v>
      </c>
      <c r="I46" s="1063">
        <v>0</v>
      </c>
      <c r="J46" s="1063">
        <v>0</v>
      </c>
      <c r="K46" s="1063">
        <v>0</v>
      </c>
      <c r="L46" s="1063">
        <v>0</v>
      </c>
      <c r="M46" s="1063">
        <v>0</v>
      </c>
      <c r="N46" s="1063">
        <v>0</v>
      </c>
      <c r="O46" s="1063">
        <v>0</v>
      </c>
      <c r="P46" s="1063">
        <v>0</v>
      </c>
      <c r="Q46" s="1063">
        <v>0</v>
      </c>
      <c r="R46" s="1063">
        <v>0</v>
      </c>
      <c r="S46" s="1063">
        <v>0</v>
      </c>
      <c r="T46" s="1063">
        <v>0</v>
      </c>
      <c r="U46" s="1063">
        <v>0</v>
      </c>
      <c r="V46" s="1063"/>
      <c r="W46" s="1049"/>
      <c r="X46" s="1049"/>
      <c r="Y46" s="1049"/>
      <c r="Z46" s="1049"/>
      <c r="AA46" s="1066"/>
      <c r="AB46" s="1065"/>
      <c r="AC46" s="1049"/>
      <c r="AD46" s="1049"/>
      <c r="AE46" s="1049"/>
      <c r="AF46" s="1049"/>
      <c r="AG46" s="1049"/>
      <c r="AH46" s="1049"/>
      <c r="AI46" s="1049"/>
      <c r="AJ46" s="1049"/>
      <c r="AK46" s="1049"/>
      <c r="AL46" s="1049"/>
      <c r="AM46" s="1049"/>
      <c r="AN46" s="1049"/>
      <c r="AO46" s="1049"/>
      <c r="AP46" s="1049"/>
      <c r="AQ46" s="1049"/>
      <c r="AR46" s="1049"/>
      <c r="AS46" s="1049"/>
      <c r="AT46" s="418">
        <v>242000</v>
      </c>
      <c r="AU46" s="418">
        <v>0</v>
      </c>
      <c r="AV46" s="418">
        <v>5892113</v>
      </c>
      <c r="AW46" s="418">
        <v>163222</v>
      </c>
      <c r="AX46" s="418">
        <v>214253</v>
      </c>
      <c r="AY46" s="418">
        <v>0</v>
      </c>
      <c r="AZ46" s="418">
        <v>154605</v>
      </c>
      <c r="BA46" s="418">
        <v>3299636</v>
      </c>
      <c r="BB46" s="418">
        <v>0</v>
      </c>
      <c r="BC46" s="418">
        <v>468388</v>
      </c>
      <c r="BD46" s="418">
        <v>0</v>
      </c>
      <c r="BE46" s="418">
        <v>0</v>
      </c>
      <c r="BF46" s="418">
        <v>5967399</v>
      </c>
      <c r="BG46" s="418">
        <v>0</v>
      </c>
      <c r="BH46" s="418">
        <v>0</v>
      </c>
      <c r="BI46" s="418">
        <v>1220284</v>
      </c>
      <c r="BJ46" s="418">
        <v>1303686</v>
      </c>
      <c r="BK46" s="418">
        <v>0</v>
      </c>
      <c r="BL46" s="418">
        <v>539709</v>
      </c>
      <c r="BM46" s="418">
        <v>293312</v>
      </c>
      <c r="BN46" s="418">
        <v>0</v>
      </c>
      <c r="BO46" s="418">
        <v>1287514</v>
      </c>
      <c r="BP46" s="418">
        <v>697926</v>
      </c>
      <c r="BQ46" s="418">
        <v>667714</v>
      </c>
      <c r="BR46" s="418">
        <v>1061306</v>
      </c>
      <c r="BS46" s="418">
        <v>0</v>
      </c>
      <c r="BT46" s="418">
        <v>0</v>
      </c>
      <c r="BU46" s="418">
        <v>265584</v>
      </c>
      <c r="BV46" s="418">
        <v>1419627</v>
      </c>
      <c r="BW46" s="418">
        <v>664583</v>
      </c>
      <c r="BX46" s="418">
        <v>0</v>
      </c>
      <c r="BY46" s="418">
        <v>0</v>
      </c>
      <c r="BZ46" s="418">
        <v>0</v>
      </c>
      <c r="CA46" s="418">
        <v>7484033</v>
      </c>
      <c r="CB46" s="418">
        <v>0</v>
      </c>
    </row>
    <row r="47" spans="1:80" s="418" customFormat="1" ht="15.6" x14ac:dyDescent="0.3">
      <c r="A47" s="1052">
        <v>83</v>
      </c>
      <c r="B47" s="1049"/>
      <c r="C47" s="1060" t="s">
        <v>1954</v>
      </c>
      <c r="D47" s="1061" t="s">
        <v>102</v>
      </c>
      <c r="E47" s="1062" t="s">
        <v>351</v>
      </c>
      <c r="F47" s="1063">
        <v>0</v>
      </c>
      <c r="G47" s="1063">
        <v>0</v>
      </c>
      <c r="H47" s="1063">
        <v>0</v>
      </c>
      <c r="I47" s="1063">
        <v>0</v>
      </c>
      <c r="J47" s="1063">
        <v>0</v>
      </c>
      <c r="K47" s="1063">
        <v>0</v>
      </c>
      <c r="L47" s="1063">
        <v>0</v>
      </c>
      <c r="M47" s="1063">
        <v>0</v>
      </c>
      <c r="N47" s="1063">
        <v>0</v>
      </c>
      <c r="O47" s="1063">
        <v>0</v>
      </c>
      <c r="P47" s="1063">
        <v>0</v>
      </c>
      <c r="Q47" s="1063">
        <v>0</v>
      </c>
      <c r="R47" s="1063">
        <v>0</v>
      </c>
      <c r="S47" s="1063">
        <v>0</v>
      </c>
      <c r="T47" s="1063">
        <v>0</v>
      </c>
      <c r="U47" s="1063">
        <v>0</v>
      </c>
      <c r="V47" s="1063"/>
      <c r="W47" s="1049"/>
      <c r="X47" s="1049"/>
      <c r="Y47" s="1049"/>
      <c r="Z47" s="1049"/>
      <c r="AA47" s="1066"/>
      <c r="AB47" s="1065"/>
      <c r="AC47" s="1049"/>
      <c r="AD47" s="1049"/>
      <c r="AE47" s="1049"/>
      <c r="AF47" s="1049"/>
      <c r="AG47" s="1049"/>
      <c r="AH47" s="1049"/>
      <c r="AI47" s="1049"/>
      <c r="AJ47" s="1049"/>
      <c r="AK47" s="1049"/>
      <c r="AL47" s="1049"/>
      <c r="AM47" s="1049"/>
      <c r="AN47" s="1049"/>
      <c r="AO47" s="1049"/>
      <c r="AP47" s="1049"/>
      <c r="AQ47" s="1049"/>
      <c r="AR47" s="1049"/>
      <c r="AS47" s="1049"/>
      <c r="AT47" s="418">
        <v>4290596</v>
      </c>
      <c r="AU47" s="418">
        <v>5451529</v>
      </c>
      <c r="AV47" s="418">
        <v>27689774</v>
      </c>
      <c r="AW47" s="418">
        <v>1600622</v>
      </c>
      <c r="AX47" s="418">
        <v>5092569</v>
      </c>
      <c r="AY47" s="418">
        <v>10907173</v>
      </c>
      <c r="AZ47" s="418">
        <v>8947817</v>
      </c>
      <c r="BA47" s="418">
        <v>12792798</v>
      </c>
      <c r="BB47" s="418">
        <v>-14536</v>
      </c>
      <c r="BC47" s="418">
        <v>2904077</v>
      </c>
      <c r="BD47" s="418">
        <v>0</v>
      </c>
      <c r="BE47" s="418">
        <v>0</v>
      </c>
      <c r="BF47" s="418">
        <v>47035619</v>
      </c>
      <c r="BG47" s="418">
        <v>0</v>
      </c>
      <c r="BH47" s="418">
        <v>0</v>
      </c>
      <c r="BI47" s="418">
        <v>5575542</v>
      </c>
      <c r="BJ47" s="418">
        <v>6156770</v>
      </c>
      <c r="BK47" s="418">
        <v>0</v>
      </c>
      <c r="BL47" s="418">
        <v>12787813</v>
      </c>
      <c r="BM47" s="418">
        <v>7046574</v>
      </c>
      <c r="BN47" s="418">
        <v>0</v>
      </c>
      <c r="BO47" s="418">
        <v>19371468</v>
      </c>
      <c r="BP47" s="418">
        <v>11690997</v>
      </c>
      <c r="BQ47" s="418">
        <v>8169833</v>
      </c>
      <c r="BR47" s="418">
        <v>5212569</v>
      </c>
      <c r="BS47" s="418">
        <v>0</v>
      </c>
      <c r="BT47" s="418">
        <v>0</v>
      </c>
      <c r="BU47" s="418">
        <v>6593091</v>
      </c>
      <c r="BV47" s="418">
        <v>12505423</v>
      </c>
      <c r="BW47" s="418">
        <v>4851336</v>
      </c>
      <c r="BX47" s="418">
        <v>2608958</v>
      </c>
      <c r="BY47" s="418">
        <v>0</v>
      </c>
      <c r="BZ47" s="418">
        <v>0</v>
      </c>
      <c r="CA47" s="418">
        <v>53045884</v>
      </c>
      <c r="CB47" s="418">
        <v>0</v>
      </c>
    </row>
    <row r="48" spans="1:80" s="418" customFormat="1" ht="15.6" x14ac:dyDescent="0.3">
      <c r="A48" s="1052">
        <v>84</v>
      </c>
      <c r="B48" s="1049"/>
      <c r="C48" s="1060" t="s">
        <v>1955</v>
      </c>
      <c r="D48" s="1061" t="s">
        <v>227</v>
      </c>
      <c r="E48" s="1062" t="s">
        <v>352</v>
      </c>
      <c r="F48" s="1063">
        <v>0</v>
      </c>
      <c r="G48" s="1063">
        <v>0</v>
      </c>
      <c r="H48" s="1063">
        <v>0</v>
      </c>
      <c r="I48" s="1063">
        <v>0</v>
      </c>
      <c r="J48" s="1063">
        <v>0</v>
      </c>
      <c r="K48" s="1063">
        <v>0</v>
      </c>
      <c r="L48" s="1063">
        <v>0</v>
      </c>
      <c r="M48" s="1063">
        <v>0</v>
      </c>
      <c r="N48" s="1063">
        <v>0</v>
      </c>
      <c r="O48" s="1063">
        <v>0</v>
      </c>
      <c r="P48" s="1063">
        <v>0</v>
      </c>
      <c r="Q48" s="1063">
        <v>0</v>
      </c>
      <c r="R48" s="1063">
        <v>0</v>
      </c>
      <c r="S48" s="1063">
        <v>0</v>
      </c>
      <c r="T48" s="1063">
        <v>0</v>
      </c>
      <c r="U48" s="1063">
        <v>0</v>
      </c>
      <c r="V48" s="1063"/>
      <c r="W48" s="1049"/>
      <c r="X48" s="1049"/>
      <c r="Y48" s="1049"/>
      <c r="Z48" s="1049"/>
      <c r="AA48" s="1066"/>
      <c r="AB48" s="1049"/>
      <c r="AC48" s="1049"/>
      <c r="AD48" s="1049"/>
      <c r="AE48" s="1049"/>
      <c r="AF48" s="1049"/>
      <c r="AG48" s="1049"/>
      <c r="AH48" s="1049"/>
      <c r="AI48" s="1049"/>
      <c r="AJ48" s="1049"/>
      <c r="AK48" s="1049"/>
      <c r="AL48" s="1049"/>
      <c r="AM48" s="1049"/>
      <c r="AN48" s="1049"/>
      <c r="AO48" s="1049"/>
      <c r="AP48" s="1049"/>
      <c r="AQ48" s="1049"/>
      <c r="AR48" s="1049"/>
      <c r="AS48" s="1049"/>
      <c r="AT48" s="418">
        <v>311871</v>
      </c>
      <c r="AU48" s="418">
        <v>2416960</v>
      </c>
      <c r="AV48" s="418">
        <v>7598164</v>
      </c>
      <c r="AW48" s="418">
        <v>417506</v>
      </c>
      <c r="AX48" s="418">
        <v>348670</v>
      </c>
      <c r="AY48" s="418">
        <v>1790206</v>
      </c>
      <c r="AZ48" s="418">
        <v>2036003</v>
      </c>
      <c r="BA48" s="418">
        <v>2750571</v>
      </c>
      <c r="BB48" s="418">
        <v>12707</v>
      </c>
      <c r="BC48" s="418">
        <v>1270373</v>
      </c>
      <c r="BD48" s="418">
        <v>0</v>
      </c>
      <c r="BE48" s="418">
        <v>0</v>
      </c>
      <c r="BF48" s="418">
        <v>10622771</v>
      </c>
      <c r="BG48" s="418">
        <v>0</v>
      </c>
      <c r="BH48" s="418">
        <v>0</v>
      </c>
      <c r="BI48" s="418">
        <v>1440671</v>
      </c>
      <c r="BJ48" s="418">
        <v>978566</v>
      </c>
      <c r="BK48" s="418">
        <v>0</v>
      </c>
      <c r="BL48" s="418">
        <v>2303743</v>
      </c>
      <c r="BM48" s="418">
        <v>2002022</v>
      </c>
      <c r="BN48" s="418">
        <v>0</v>
      </c>
      <c r="BO48" s="418">
        <v>3681230</v>
      </c>
      <c r="BP48" s="418">
        <v>1016494</v>
      </c>
      <c r="BQ48" s="418">
        <v>713253</v>
      </c>
      <c r="BR48" s="418">
        <v>1340788</v>
      </c>
      <c r="BS48" s="418">
        <v>0</v>
      </c>
      <c r="BT48" s="418">
        <v>0</v>
      </c>
      <c r="BU48" s="418">
        <v>699634</v>
      </c>
      <c r="BV48" s="418">
        <v>2569029</v>
      </c>
      <c r="BW48" s="418">
        <v>511016</v>
      </c>
      <c r="BX48" s="418">
        <v>647727</v>
      </c>
      <c r="BY48" s="418">
        <v>0</v>
      </c>
      <c r="BZ48" s="418">
        <v>0</v>
      </c>
      <c r="CA48" s="418">
        <v>7644617</v>
      </c>
      <c r="CB48" s="418">
        <v>0</v>
      </c>
    </row>
    <row r="49" spans="1:80" s="418" customFormat="1" ht="15.6" x14ac:dyDescent="0.3">
      <c r="A49" s="1052">
        <v>85</v>
      </c>
      <c r="B49" s="1049"/>
      <c r="C49" s="1060" t="s">
        <v>1956</v>
      </c>
      <c r="D49" s="1061" t="s">
        <v>229</v>
      </c>
      <c r="E49" s="1062" t="s">
        <v>353</v>
      </c>
      <c r="F49" s="1063">
        <v>0</v>
      </c>
      <c r="G49" s="1063">
        <v>0</v>
      </c>
      <c r="H49" s="1063">
        <v>0</v>
      </c>
      <c r="I49" s="1063">
        <v>0</v>
      </c>
      <c r="J49" s="1063">
        <v>0</v>
      </c>
      <c r="K49" s="1063">
        <v>0</v>
      </c>
      <c r="L49" s="1063">
        <v>0</v>
      </c>
      <c r="M49" s="1063">
        <v>0</v>
      </c>
      <c r="N49" s="1063">
        <v>0</v>
      </c>
      <c r="O49" s="1063">
        <v>0</v>
      </c>
      <c r="P49" s="1063">
        <v>0</v>
      </c>
      <c r="Q49" s="1063">
        <v>0</v>
      </c>
      <c r="R49" s="1063">
        <v>0</v>
      </c>
      <c r="S49" s="1063">
        <v>0</v>
      </c>
      <c r="T49" s="1063">
        <v>0</v>
      </c>
      <c r="U49" s="1063">
        <v>0</v>
      </c>
      <c r="V49" s="1063"/>
      <c r="W49" s="1049"/>
      <c r="X49" s="1049"/>
      <c r="Y49" s="1049"/>
      <c r="Z49" s="1049"/>
      <c r="AA49" s="1066"/>
      <c r="AB49" s="1065"/>
      <c r="AT49" s="418">
        <v>399044</v>
      </c>
      <c r="AU49" s="418">
        <v>2380042</v>
      </c>
      <c r="AV49" s="418">
        <v>6522861</v>
      </c>
      <c r="AW49" s="418">
        <v>347312</v>
      </c>
      <c r="AX49" s="418">
        <v>588406</v>
      </c>
      <c r="AY49" s="418">
        <v>1176359</v>
      </c>
      <c r="AZ49" s="418">
        <v>2073402</v>
      </c>
      <c r="BA49" s="418">
        <v>2940879</v>
      </c>
      <c r="BB49" s="418">
        <v>102357</v>
      </c>
      <c r="BC49" s="418">
        <v>1312988</v>
      </c>
      <c r="BD49" s="418">
        <v>0</v>
      </c>
      <c r="BE49" s="418">
        <v>0</v>
      </c>
      <c r="BF49" s="418">
        <v>10714128</v>
      </c>
      <c r="BG49" s="418">
        <v>0</v>
      </c>
      <c r="BH49" s="418">
        <v>0</v>
      </c>
      <c r="BI49" s="418">
        <v>1384889</v>
      </c>
      <c r="BJ49" s="418">
        <v>862346</v>
      </c>
      <c r="BK49" s="418">
        <v>0</v>
      </c>
      <c r="BL49" s="418">
        <v>2393470</v>
      </c>
      <c r="BM49" s="418">
        <v>1810466</v>
      </c>
      <c r="BN49" s="418">
        <v>0</v>
      </c>
      <c r="BO49" s="418">
        <v>3957135</v>
      </c>
      <c r="BP49" s="418">
        <v>947789</v>
      </c>
      <c r="BQ49" s="418">
        <v>815766</v>
      </c>
      <c r="BR49" s="418">
        <v>1326355</v>
      </c>
      <c r="BS49" s="418">
        <v>0</v>
      </c>
      <c r="BT49" s="418">
        <v>0</v>
      </c>
      <c r="BU49" s="418">
        <v>965834</v>
      </c>
      <c r="BV49" s="418">
        <v>2608646</v>
      </c>
      <c r="BW49" s="418">
        <v>590683</v>
      </c>
      <c r="BX49" s="418">
        <v>438851</v>
      </c>
      <c r="BY49" s="418">
        <v>0</v>
      </c>
      <c r="BZ49" s="418">
        <v>0</v>
      </c>
      <c r="CA49" s="418">
        <v>7198130</v>
      </c>
      <c r="CB49" s="418">
        <v>0</v>
      </c>
    </row>
    <row r="50" spans="1:80" s="418" customFormat="1" ht="15.6" x14ac:dyDescent="0.3">
      <c r="A50" s="1052">
        <v>88</v>
      </c>
      <c r="B50" s="1049"/>
      <c r="C50" s="1060" t="s">
        <v>1957</v>
      </c>
      <c r="D50" s="1061" t="s">
        <v>226</v>
      </c>
      <c r="E50" s="1062" t="s">
        <v>354</v>
      </c>
      <c r="F50" s="1063">
        <v>0</v>
      </c>
      <c r="G50" s="1063">
        <v>0</v>
      </c>
      <c r="H50" s="1063">
        <v>0</v>
      </c>
      <c r="I50" s="1063">
        <v>0</v>
      </c>
      <c r="J50" s="1063">
        <v>0</v>
      </c>
      <c r="K50" s="1063">
        <v>0</v>
      </c>
      <c r="L50" s="1063">
        <v>0</v>
      </c>
      <c r="M50" s="1063">
        <v>0</v>
      </c>
      <c r="N50" s="1063">
        <v>0</v>
      </c>
      <c r="O50" s="1063">
        <v>0</v>
      </c>
      <c r="P50" s="1063">
        <v>0</v>
      </c>
      <c r="Q50" s="1063">
        <v>0</v>
      </c>
      <c r="R50" s="1063">
        <v>0</v>
      </c>
      <c r="S50" s="1063">
        <v>0</v>
      </c>
      <c r="T50" s="1063">
        <v>0</v>
      </c>
      <c r="U50" s="1063">
        <v>0</v>
      </c>
      <c r="V50" s="1063"/>
      <c r="W50" s="1049"/>
      <c r="X50" s="1049"/>
      <c r="Y50" s="1049"/>
      <c r="Z50" s="1049"/>
      <c r="AA50" s="1066"/>
      <c r="AB50" s="1065"/>
      <c r="AT50" s="418">
        <v>311871</v>
      </c>
      <c r="AU50" s="418">
        <v>2380401</v>
      </c>
      <c r="AV50" s="418">
        <v>7399071</v>
      </c>
      <c r="AW50" s="418">
        <v>409024</v>
      </c>
      <c r="AX50" s="418">
        <v>348015</v>
      </c>
      <c r="AY50" s="418">
        <v>1178267</v>
      </c>
      <c r="AZ50" s="418">
        <v>2036003</v>
      </c>
      <c r="BA50" s="418">
        <v>2714477</v>
      </c>
      <c r="BB50" s="418">
        <v>12707</v>
      </c>
      <c r="BC50" s="418">
        <v>1213931</v>
      </c>
      <c r="BD50" s="418">
        <v>0</v>
      </c>
      <c r="BE50" s="418">
        <v>0</v>
      </c>
      <c r="BF50" s="418">
        <v>8878089</v>
      </c>
      <c r="BG50" s="418">
        <v>0</v>
      </c>
      <c r="BH50" s="418">
        <v>0</v>
      </c>
      <c r="BI50" s="418">
        <v>1394975</v>
      </c>
      <c r="BJ50" s="418">
        <v>792392</v>
      </c>
      <c r="BK50" s="418">
        <v>0</v>
      </c>
      <c r="BL50" s="418">
        <v>2303743</v>
      </c>
      <c r="BM50" s="418">
        <v>1866679</v>
      </c>
      <c r="BN50" s="418">
        <v>0</v>
      </c>
      <c r="BO50" s="418">
        <v>3510623</v>
      </c>
      <c r="BP50" s="418">
        <v>1010585</v>
      </c>
      <c r="BQ50" s="418">
        <v>694333</v>
      </c>
      <c r="BR50" s="418">
        <v>1315039</v>
      </c>
      <c r="BS50" s="418">
        <v>0</v>
      </c>
      <c r="BT50" s="418">
        <v>0</v>
      </c>
      <c r="BU50" s="418">
        <v>699634</v>
      </c>
      <c r="BV50" s="418">
        <v>2308663</v>
      </c>
      <c r="BW50" s="418">
        <v>507893</v>
      </c>
      <c r="BX50" s="418">
        <v>644474</v>
      </c>
      <c r="BY50" s="418">
        <v>0</v>
      </c>
      <c r="BZ50" s="418">
        <v>0</v>
      </c>
      <c r="CA50" s="418">
        <v>6119414</v>
      </c>
      <c r="CB50" s="418">
        <v>0</v>
      </c>
    </row>
    <row r="51" spans="1:80" s="418" customFormat="1" ht="15.6" x14ac:dyDescent="0.3">
      <c r="A51" s="1052">
        <v>89</v>
      </c>
      <c r="B51" s="1049"/>
      <c r="C51" s="1060" t="s">
        <v>1958</v>
      </c>
      <c r="D51" s="1061" t="s">
        <v>230</v>
      </c>
      <c r="E51" s="1062" t="s">
        <v>355</v>
      </c>
      <c r="F51" s="1063">
        <v>0</v>
      </c>
      <c r="G51" s="1063">
        <v>0</v>
      </c>
      <c r="H51" s="1063">
        <v>0</v>
      </c>
      <c r="I51" s="1063">
        <v>0</v>
      </c>
      <c r="J51" s="1063">
        <v>0</v>
      </c>
      <c r="K51" s="1063">
        <v>0</v>
      </c>
      <c r="L51" s="1063">
        <v>0</v>
      </c>
      <c r="M51" s="1063">
        <v>0</v>
      </c>
      <c r="N51" s="1063">
        <v>0</v>
      </c>
      <c r="O51" s="1063">
        <v>0</v>
      </c>
      <c r="P51" s="1063">
        <v>0</v>
      </c>
      <c r="Q51" s="1063">
        <v>0</v>
      </c>
      <c r="R51" s="1063">
        <v>0</v>
      </c>
      <c r="S51" s="1063">
        <v>0</v>
      </c>
      <c r="T51" s="1063">
        <v>0</v>
      </c>
      <c r="U51" s="1063">
        <v>0</v>
      </c>
      <c r="V51" s="1063"/>
      <c r="W51" s="1049"/>
      <c r="X51" s="1049"/>
      <c r="Y51" s="1049"/>
      <c r="Z51" s="1049"/>
      <c r="AA51" s="1066"/>
      <c r="AB51" s="1065"/>
      <c r="AT51" s="418">
        <v>6765</v>
      </c>
      <c r="AU51" s="418">
        <v>0</v>
      </c>
      <c r="AV51" s="418">
        <v>148028</v>
      </c>
      <c r="AW51" s="418">
        <v>3060</v>
      </c>
      <c r="AX51" s="418">
        <v>9939</v>
      </c>
      <c r="AY51" s="418">
        <v>4652</v>
      </c>
      <c r="AZ51" s="418">
        <v>4124</v>
      </c>
      <c r="BA51" s="418">
        <v>102194</v>
      </c>
      <c r="BB51" s="418">
        <v>0</v>
      </c>
      <c r="BC51" s="418">
        <v>787</v>
      </c>
      <c r="BD51" s="418">
        <v>0</v>
      </c>
      <c r="BE51" s="418">
        <v>0</v>
      </c>
      <c r="BF51" s="418">
        <v>36713</v>
      </c>
      <c r="BG51" s="418">
        <v>0</v>
      </c>
      <c r="BH51" s="418">
        <v>0</v>
      </c>
      <c r="BI51" s="418">
        <v>50191</v>
      </c>
      <c r="BJ51" s="418">
        <v>30800</v>
      </c>
      <c r="BK51" s="418">
        <v>0</v>
      </c>
      <c r="BL51" s="418">
        <v>0</v>
      </c>
      <c r="BM51" s="418">
        <v>7474</v>
      </c>
      <c r="BN51" s="418">
        <v>0</v>
      </c>
      <c r="BO51" s="418">
        <v>18358</v>
      </c>
      <c r="BP51" s="418">
        <v>23427</v>
      </c>
      <c r="BQ51" s="418">
        <v>24607</v>
      </c>
      <c r="BR51" s="418">
        <v>0</v>
      </c>
      <c r="BS51" s="418">
        <v>0</v>
      </c>
      <c r="BT51" s="418">
        <v>0</v>
      </c>
      <c r="BU51" s="418">
        <v>9443</v>
      </c>
      <c r="BV51" s="418">
        <v>47228</v>
      </c>
      <c r="BW51" s="418">
        <v>0</v>
      </c>
      <c r="BX51" s="418">
        <v>0</v>
      </c>
      <c r="BY51" s="418">
        <v>0</v>
      </c>
      <c r="BZ51" s="418">
        <v>0</v>
      </c>
      <c r="CA51" s="418">
        <v>100206</v>
      </c>
      <c r="CB51" s="418">
        <v>0</v>
      </c>
    </row>
    <row r="52" spans="1:80" s="418" customFormat="1" ht="27.6" x14ac:dyDescent="0.3">
      <c r="A52" s="1052">
        <v>90</v>
      </c>
      <c r="B52" s="1049"/>
      <c r="C52" s="1060" t="s">
        <v>1959</v>
      </c>
      <c r="D52" s="1061" t="s">
        <v>223</v>
      </c>
      <c r="E52" s="1062" t="s">
        <v>356</v>
      </c>
      <c r="F52" s="1063">
        <v>0</v>
      </c>
      <c r="G52" s="1063">
        <v>0</v>
      </c>
      <c r="H52" s="1063">
        <v>0</v>
      </c>
      <c r="I52" s="1063">
        <v>0</v>
      </c>
      <c r="J52" s="1063">
        <v>0</v>
      </c>
      <c r="K52" s="1063">
        <v>0</v>
      </c>
      <c r="L52" s="1063">
        <v>0</v>
      </c>
      <c r="M52" s="1063">
        <v>0</v>
      </c>
      <c r="N52" s="1063">
        <v>0</v>
      </c>
      <c r="O52" s="1063">
        <v>0</v>
      </c>
      <c r="P52" s="1063">
        <v>0</v>
      </c>
      <c r="Q52" s="1063">
        <v>0</v>
      </c>
      <c r="R52" s="1063">
        <v>0</v>
      </c>
      <c r="S52" s="1063">
        <v>0</v>
      </c>
      <c r="T52" s="1063">
        <v>0</v>
      </c>
      <c r="U52" s="1063">
        <v>0</v>
      </c>
      <c r="V52" s="1063"/>
      <c r="W52" s="1049"/>
      <c r="X52" s="1049"/>
      <c r="Y52" s="1049"/>
      <c r="Z52" s="1049"/>
      <c r="AA52" s="1066"/>
      <c r="AB52" s="1065"/>
      <c r="AT52" s="418">
        <v>0</v>
      </c>
      <c r="AU52" s="418">
        <v>0</v>
      </c>
      <c r="AV52" s="418">
        <v>2853785</v>
      </c>
      <c r="AW52" s="418">
        <v>0</v>
      </c>
      <c r="AX52" s="418">
        <v>0</v>
      </c>
      <c r="AY52" s="418">
        <v>0</v>
      </c>
      <c r="AZ52" s="418">
        <v>0</v>
      </c>
      <c r="BA52" s="418">
        <v>1510387</v>
      </c>
      <c r="BB52" s="418">
        <v>0</v>
      </c>
      <c r="BC52" s="418">
        <v>0</v>
      </c>
      <c r="BD52" s="418">
        <v>0</v>
      </c>
      <c r="BE52" s="418">
        <v>0</v>
      </c>
      <c r="BF52" s="418">
        <v>5346067</v>
      </c>
      <c r="BG52" s="418">
        <v>0</v>
      </c>
      <c r="BH52" s="418">
        <v>0</v>
      </c>
      <c r="BI52" s="418">
        <v>0</v>
      </c>
      <c r="BJ52" s="418">
        <v>0</v>
      </c>
      <c r="BK52" s="418">
        <v>0</v>
      </c>
      <c r="BL52" s="418">
        <v>2555802</v>
      </c>
      <c r="BM52" s="418">
        <v>0</v>
      </c>
      <c r="BN52" s="418">
        <v>0</v>
      </c>
      <c r="BO52" s="418">
        <v>0</v>
      </c>
      <c r="BP52" s="418">
        <v>0</v>
      </c>
      <c r="BQ52" s="418">
        <v>0</v>
      </c>
      <c r="BR52" s="418">
        <v>0</v>
      </c>
      <c r="BS52" s="418">
        <v>0</v>
      </c>
      <c r="BT52" s="418">
        <v>0</v>
      </c>
      <c r="BU52" s="418">
        <v>0</v>
      </c>
      <c r="BV52" s="418">
        <v>0</v>
      </c>
      <c r="BW52" s="418">
        <v>0</v>
      </c>
      <c r="BX52" s="418">
        <v>0</v>
      </c>
      <c r="BY52" s="418">
        <v>0</v>
      </c>
      <c r="BZ52" s="418">
        <v>0</v>
      </c>
      <c r="CA52" s="418">
        <v>0</v>
      </c>
      <c r="CB52" s="418">
        <v>0</v>
      </c>
    </row>
    <row r="53" spans="1:80" s="418" customFormat="1" ht="15.6" x14ac:dyDescent="0.3">
      <c r="A53" s="1052">
        <v>91</v>
      </c>
      <c r="B53" s="1049"/>
      <c r="C53" s="1060" t="s">
        <v>1960</v>
      </c>
      <c r="D53" s="1061" t="s">
        <v>224</v>
      </c>
      <c r="E53" s="1062" t="s">
        <v>357</v>
      </c>
      <c r="F53" s="1063">
        <v>0</v>
      </c>
      <c r="G53" s="1063">
        <v>0</v>
      </c>
      <c r="H53" s="1063">
        <v>0</v>
      </c>
      <c r="I53" s="1063">
        <v>0</v>
      </c>
      <c r="J53" s="1063">
        <v>0</v>
      </c>
      <c r="K53" s="1063">
        <v>0</v>
      </c>
      <c r="L53" s="1063">
        <v>0</v>
      </c>
      <c r="M53" s="1063">
        <v>0</v>
      </c>
      <c r="N53" s="1063">
        <v>0</v>
      </c>
      <c r="O53" s="1063">
        <v>0</v>
      </c>
      <c r="P53" s="1063">
        <v>0</v>
      </c>
      <c r="Q53" s="1063">
        <v>0</v>
      </c>
      <c r="R53" s="1063">
        <v>0</v>
      </c>
      <c r="S53" s="1063">
        <v>0</v>
      </c>
      <c r="T53" s="1063">
        <v>0</v>
      </c>
      <c r="U53" s="1063">
        <v>0</v>
      </c>
      <c r="V53" s="1063"/>
      <c r="W53" s="1049"/>
      <c r="X53" s="1049"/>
      <c r="Y53" s="1049"/>
      <c r="Z53" s="1049"/>
      <c r="AA53" s="1066"/>
      <c r="AB53" s="1065"/>
      <c r="AT53" s="418">
        <v>0</v>
      </c>
      <c r="AU53" s="418">
        <v>0</v>
      </c>
      <c r="AV53" s="418">
        <v>575490</v>
      </c>
      <c r="AW53" s="418">
        <v>0</v>
      </c>
      <c r="AX53" s="418">
        <v>0</v>
      </c>
      <c r="AY53" s="418">
        <v>0</v>
      </c>
      <c r="AZ53" s="418">
        <v>0</v>
      </c>
      <c r="BA53" s="418">
        <v>683359</v>
      </c>
      <c r="BB53" s="418">
        <v>0</v>
      </c>
      <c r="BC53" s="418">
        <v>0</v>
      </c>
      <c r="BD53" s="418">
        <v>0</v>
      </c>
      <c r="BE53" s="418">
        <v>0</v>
      </c>
      <c r="BF53" s="418">
        <v>5921417</v>
      </c>
      <c r="BG53" s="418">
        <v>0</v>
      </c>
      <c r="BH53" s="418">
        <v>0</v>
      </c>
      <c r="BI53" s="418">
        <v>0</v>
      </c>
      <c r="BJ53" s="418">
        <v>0</v>
      </c>
      <c r="BK53" s="418">
        <v>0</v>
      </c>
      <c r="BL53" s="418">
        <v>448342</v>
      </c>
      <c r="BM53" s="418">
        <v>0</v>
      </c>
      <c r="BN53" s="418">
        <v>0</v>
      </c>
      <c r="BO53" s="418">
        <v>0</v>
      </c>
      <c r="BP53" s="418">
        <v>0</v>
      </c>
      <c r="BQ53" s="418">
        <v>0</v>
      </c>
      <c r="BR53" s="418">
        <v>0</v>
      </c>
      <c r="BS53" s="418">
        <v>0</v>
      </c>
      <c r="BT53" s="418">
        <v>0</v>
      </c>
      <c r="BU53" s="418">
        <v>0</v>
      </c>
      <c r="BV53" s="418">
        <v>0</v>
      </c>
      <c r="BW53" s="418">
        <v>0</v>
      </c>
      <c r="BX53" s="418">
        <v>0</v>
      </c>
      <c r="BY53" s="418">
        <v>0</v>
      </c>
      <c r="BZ53" s="418">
        <v>0</v>
      </c>
      <c r="CA53" s="418">
        <v>0</v>
      </c>
      <c r="CB53" s="418">
        <v>0</v>
      </c>
    </row>
    <row r="54" spans="1:80" s="418" customFormat="1" ht="15.6" x14ac:dyDescent="0.3">
      <c r="A54" s="1052">
        <v>92</v>
      </c>
      <c r="B54" s="1049"/>
      <c r="C54" s="1060" t="s">
        <v>1782</v>
      </c>
      <c r="D54" s="1061" t="s">
        <v>1783</v>
      </c>
      <c r="E54" s="1062" t="s">
        <v>358</v>
      </c>
      <c r="F54" s="1063">
        <v>0</v>
      </c>
      <c r="G54" s="1063">
        <v>0</v>
      </c>
      <c r="H54" s="1063">
        <v>0</v>
      </c>
      <c r="I54" s="1063">
        <v>0</v>
      </c>
      <c r="J54" s="1063">
        <v>0</v>
      </c>
      <c r="K54" s="1063">
        <v>0</v>
      </c>
      <c r="L54" s="1063">
        <v>0</v>
      </c>
      <c r="M54" s="1063">
        <v>0</v>
      </c>
      <c r="N54" s="1063">
        <v>0</v>
      </c>
      <c r="O54" s="1063">
        <v>0</v>
      </c>
      <c r="P54" s="1063">
        <v>0</v>
      </c>
      <c r="Q54" s="1063">
        <v>0</v>
      </c>
      <c r="R54" s="1063">
        <v>0</v>
      </c>
      <c r="S54" s="1063">
        <v>0</v>
      </c>
      <c r="T54" s="1063">
        <v>0</v>
      </c>
      <c r="U54" s="1063">
        <v>0</v>
      </c>
      <c r="V54" s="1063"/>
      <c r="W54" s="1049"/>
      <c r="X54" s="1049"/>
      <c r="Y54" s="1049"/>
      <c r="Z54" s="1049"/>
      <c r="AA54" s="1066"/>
      <c r="AB54" s="1049"/>
    </row>
    <row r="55" spans="1:80" s="418" customFormat="1" ht="15.6" x14ac:dyDescent="0.3">
      <c r="A55" s="1052">
        <v>93</v>
      </c>
      <c r="B55" s="1049"/>
      <c r="C55" s="1060" t="s">
        <v>1961</v>
      </c>
      <c r="D55" s="1061" t="s">
        <v>237</v>
      </c>
      <c r="E55" s="1062" t="s">
        <v>359</v>
      </c>
      <c r="F55" s="1063">
        <v>0</v>
      </c>
      <c r="G55" s="1063">
        <v>0</v>
      </c>
      <c r="H55" s="1063">
        <v>0</v>
      </c>
      <c r="I55" s="1063">
        <v>0</v>
      </c>
      <c r="J55" s="1063">
        <v>0</v>
      </c>
      <c r="K55" s="1063">
        <v>0</v>
      </c>
      <c r="L55" s="1063">
        <v>0</v>
      </c>
      <c r="M55" s="1063">
        <v>0</v>
      </c>
      <c r="N55" s="1063">
        <v>0</v>
      </c>
      <c r="O55" s="1063">
        <v>0</v>
      </c>
      <c r="P55" s="1063">
        <v>0</v>
      </c>
      <c r="Q55" s="1063">
        <v>0</v>
      </c>
      <c r="R55" s="1063">
        <v>0</v>
      </c>
      <c r="S55" s="1063">
        <v>0</v>
      </c>
      <c r="T55" s="1063">
        <v>0</v>
      </c>
      <c r="U55" s="1063">
        <v>0</v>
      </c>
      <c r="V55" s="1063"/>
      <c r="W55" s="1049"/>
      <c r="X55" s="1049"/>
      <c r="Y55" s="1049"/>
      <c r="Z55" s="1049"/>
      <c r="AA55" s="1066"/>
      <c r="AB55" s="1049"/>
      <c r="AT55" s="418">
        <v>0</v>
      </c>
      <c r="AU55" s="418">
        <v>0</v>
      </c>
      <c r="AV55" s="418">
        <v>7838694</v>
      </c>
      <c r="AW55" s="418">
        <v>0</v>
      </c>
      <c r="AX55" s="418">
        <v>0</v>
      </c>
      <c r="AY55" s="418">
        <v>0</v>
      </c>
      <c r="AZ55" s="418">
        <v>0</v>
      </c>
      <c r="BA55" s="418">
        <v>6587772</v>
      </c>
      <c r="BB55" s="418">
        <v>0</v>
      </c>
      <c r="BC55" s="418">
        <v>0</v>
      </c>
      <c r="BD55" s="418">
        <v>0</v>
      </c>
      <c r="BE55" s="418">
        <v>0</v>
      </c>
      <c r="BF55" s="418">
        <v>31037334</v>
      </c>
      <c r="BG55" s="418">
        <v>0</v>
      </c>
      <c r="BH55" s="418">
        <v>0</v>
      </c>
      <c r="BI55" s="418">
        <v>0</v>
      </c>
      <c r="BJ55" s="418">
        <v>0</v>
      </c>
      <c r="BK55" s="418">
        <v>0</v>
      </c>
      <c r="BL55" s="418">
        <v>8028086</v>
      </c>
      <c r="BM55" s="418">
        <v>0</v>
      </c>
      <c r="BN55" s="418">
        <v>0</v>
      </c>
      <c r="BO55" s="418">
        <v>0</v>
      </c>
      <c r="BP55" s="418">
        <v>0</v>
      </c>
      <c r="BQ55" s="418">
        <v>0</v>
      </c>
      <c r="BR55" s="418">
        <v>0</v>
      </c>
      <c r="BS55" s="418">
        <v>0</v>
      </c>
      <c r="BT55" s="418">
        <v>0</v>
      </c>
      <c r="BU55" s="418">
        <v>0</v>
      </c>
      <c r="BV55" s="418">
        <v>0</v>
      </c>
      <c r="BW55" s="418">
        <v>0</v>
      </c>
      <c r="BX55" s="418">
        <v>0</v>
      </c>
      <c r="BY55" s="418">
        <v>0</v>
      </c>
      <c r="BZ55" s="418">
        <v>0</v>
      </c>
      <c r="CA55" s="418">
        <v>0</v>
      </c>
      <c r="CB55" s="418">
        <v>0</v>
      </c>
    </row>
    <row r="56" spans="1:80" s="418" customFormat="1" ht="15.6" x14ac:dyDescent="0.3">
      <c r="A56" s="1052">
        <v>94</v>
      </c>
      <c r="B56" s="1049"/>
      <c r="C56" s="1060" t="s">
        <v>1962</v>
      </c>
      <c r="D56" s="1061" t="s">
        <v>240</v>
      </c>
      <c r="E56" s="1062" t="s">
        <v>360</v>
      </c>
      <c r="F56" s="1063">
        <v>0</v>
      </c>
      <c r="G56" s="1063">
        <v>0</v>
      </c>
      <c r="H56" s="1063">
        <v>0</v>
      </c>
      <c r="I56" s="1063">
        <v>0</v>
      </c>
      <c r="J56" s="1063">
        <v>0</v>
      </c>
      <c r="K56" s="1063">
        <v>0</v>
      </c>
      <c r="L56" s="1063">
        <v>0</v>
      </c>
      <c r="M56" s="1063">
        <v>0</v>
      </c>
      <c r="N56" s="1063">
        <v>0</v>
      </c>
      <c r="O56" s="1063">
        <v>0</v>
      </c>
      <c r="P56" s="1063">
        <v>0</v>
      </c>
      <c r="Q56" s="1063">
        <v>0</v>
      </c>
      <c r="R56" s="1063">
        <v>0</v>
      </c>
      <c r="S56" s="1063">
        <v>0</v>
      </c>
      <c r="T56" s="1063">
        <v>0</v>
      </c>
      <c r="U56" s="1063">
        <v>0</v>
      </c>
      <c r="V56" s="1063"/>
      <c r="W56" s="1049"/>
      <c r="X56" s="1049"/>
      <c r="Y56" s="1049"/>
      <c r="Z56" s="1049"/>
      <c r="AA56" s="1066"/>
      <c r="AB56" s="1065"/>
      <c r="AT56" s="418">
        <v>0</v>
      </c>
      <c r="AU56" s="418">
        <v>0</v>
      </c>
      <c r="AV56" s="418">
        <v>6773377</v>
      </c>
      <c r="AW56" s="418">
        <v>0</v>
      </c>
      <c r="AX56" s="418">
        <v>0</v>
      </c>
      <c r="AY56" s="418">
        <v>0</v>
      </c>
      <c r="AZ56" s="418">
        <v>0</v>
      </c>
      <c r="BA56" s="418">
        <v>6595934</v>
      </c>
      <c r="BB56" s="418">
        <v>0</v>
      </c>
      <c r="BC56" s="418">
        <v>0</v>
      </c>
      <c r="BD56" s="418">
        <v>0</v>
      </c>
      <c r="BE56" s="418">
        <v>0</v>
      </c>
      <c r="BF56" s="418">
        <v>29748161</v>
      </c>
      <c r="BG56" s="418">
        <v>0</v>
      </c>
      <c r="BH56" s="418">
        <v>0</v>
      </c>
      <c r="BI56" s="418">
        <v>0</v>
      </c>
      <c r="BJ56" s="418">
        <v>0</v>
      </c>
      <c r="BK56" s="418">
        <v>0</v>
      </c>
      <c r="BL56" s="418">
        <v>7097870</v>
      </c>
      <c r="BM56" s="418">
        <v>0</v>
      </c>
      <c r="BN56" s="418">
        <v>0</v>
      </c>
      <c r="BO56" s="418">
        <v>0</v>
      </c>
      <c r="BP56" s="418">
        <v>0</v>
      </c>
      <c r="BQ56" s="418">
        <v>0</v>
      </c>
      <c r="BR56" s="418">
        <v>0</v>
      </c>
      <c r="BS56" s="418">
        <v>0</v>
      </c>
      <c r="BT56" s="418">
        <v>0</v>
      </c>
      <c r="BU56" s="418">
        <v>0</v>
      </c>
      <c r="BV56" s="418">
        <v>0</v>
      </c>
      <c r="BW56" s="418">
        <v>0</v>
      </c>
      <c r="BX56" s="418">
        <v>0</v>
      </c>
      <c r="BY56" s="418">
        <v>0</v>
      </c>
      <c r="BZ56" s="418">
        <v>0</v>
      </c>
      <c r="CA56" s="418">
        <v>0</v>
      </c>
      <c r="CB56" s="418">
        <v>0</v>
      </c>
    </row>
    <row r="57" spans="1:80" s="418" customFormat="1" ht="15.6" x14ac:dyDescent="0.3">
      <c r="A57" s="1052">
        <v>97</v>
      </c>
      <c r="B57" s="1049"/>
      <c r="C57" s="1060" t="s">
        <v>1963</v>
      </c>
      <c r="D57" s="1061" t="s">
        <v>236</v>
      </c>
      <c r="E57" s="1062" t="s">
        <v>361</v>
      </c>
      <c r="F57" s="1063">
        <v>0</v>
      </c>
      <c r="G57" s="1063">
        <v>0</v>
      </c>
      <c r="H57" s="1063">
        <v>0</v>
      </c>
      <c r="I57" s="1063">
        <v>0</v>
      </c>
      <c r="J57" s="1063">
        <v>0</v>
      </c>
      <c r="K57" s="1063">
        <v>0</v>
      </c>
      <c r="L57" s="1063">
        <v>0</v>
      </c>
      <c r="M57" s="1063">
        <v>0</v>
      </c>
      <c r="N57" s="1063">
        <v>0</v>
      </c>
      <c r="O57" s="1063">
        <v>0</v>
      </c>
      <c r="P57" s="1063">
        <v>0</v>
      </c>
      <c r="Q57" s="1063">
        <v>0</v>
      </c>
      <c r="R57" s="1063">
        <v>0</v>
      </c>
      <c r="S57" s="1063">
        <v>0</v>
      </c>
      <c r="T57" s="1063">
        <v>0</v>
      </c>
      <c r="U57" s="1063">
        <v>0</v>
      </c>
      <c r="V57" s="1063"/>
      <c r="W57" s="1049"/>
      <c r="X57" s="1049"/>
      <c r="Y57" s="1049"/>
      <c r="Z57" s="1049"/>
      <c r="AA57" s="1066"/>
      <c r="AB57" s="1065"/>
      <c r="AT57" s="418">
        <v>0</v>
      </c>
      <c r="AU57" s="418">
        <v>0</v>
      </c>
      <c r="AV57" s="418">
        <v>6489145</v>
      </c>
      <c r="AW57" s="418">
        <v>0</v>
      </c>
      <c r="AX57" s="418">
        <v>0</v>
      </c>
      <c r="AY57" s="418">
        <v>0</v>
      </c>
      <c r="AZ57" s="418">
        <v>0</v>
      </c>
      <c r="BA57" s="418">
        <v>6514785</v>
      </c>
      <c r="BB57" s="418">
        <v>0</v>
      </c>
      <c r="BC57" s="418">
        <v>0</v>
      </c>
      <c r="BD57" s="418">
        <v>0</v>
      </c>
      <c r="BE57" s="418">
        <v>0</v>
      </c>
      <c r="BF57" s="418">
        <v>27998736</v>
      </c>
      <c r="BG57" s="418">
        <v>0</v>
      </c>
      <c r="BH57" s="418">
        <v>0</v>
      </c>
      <c r="BI57" s="418">
        <v>0</v>
      </c>
      <c r="BJ57" s="418">
        <v>0</v>
      </c>
      <c r="BK57" s="418">
        <v>0</v>
      </c>
      <c r="BL57" s="418">
        <v>8028086</v>
      </c>
      <c r="BM57" s="418">
        <v>0</v>
      </c>
      <c r="BN57" s="418">
        <v>0</v>
      </c>
      <c r="BO57" s="418">
        <v>0</v>
      </c>
      <c r="BP57" s="418">
        <v>0</v>
      </c>
      <c r="BQ57" s="418">
        <v>0</v>
      </c>
      <c r="BR57" s="418">
        <v>0</v>
      </c>
      <c r="BS57" s="418">
        <v>0</v>
      </c>
      <c r="BT57" s="418">
        <v>0</v>
      </c>
      <c r="BU57" s="418">
        <v>0</v>
      </c>
      <c r="BV57" s="418">
        <v>0</v>
      </c>
      <c r="BW57" s="418">
        <v>0</v>
      </c>
      <c r="BX57" s="418">
        <v>0</v>
      </c>
      <c r="BY57" s="418">
        <v>0</v>
      </c>
      <c r="BZ57" s="418">
        <v>0</v>
      </c>
      <c r="CA57" s="418">
        <v>0</v>
      </c>
      <c r="CB57" s="418">
        <v>0</v>
      </c>
    </row>
    <row r="58" spans="1:80" s="418" customFormat="1" ht="15.6" x14ac:dyDescent="0.3">
      <c r="A58" s="1052">
        <v>98</v>
      </c>
      <c r="B58" s="1049"/>
      <c r="C58" s="1060" t="s">
        <v>1964</v>
      </c>
      <c r="D58" s="1061" t="s">
        <v>241</v>
      </c>
      <c r="E58" s="1062" t="s">
        <v>362</v>
      </c>
      <c r="F58" s="1063">
        <v>0</v>
      </c>
      <c r="G58" s="1063">
        <v>0</v>
      </c>
      <c r="H58" s="1063">
        <v>0</v>
      </c>
      <c r="I58" s="1063">
        <v>0</v>
      </c>
      <c r="J58" s="1063">
        <v>0</v>
      </c>
      <c r="K58" s="1063">
        <v>0</v>
      </c>
      <c r="L58" s="1063">
        <v>0</v>
      </c>
      <c r="M58" s="1063">
        <v>0</v>
      </c>
      <c r="N58" s="1063">
        <v>0</v>
      </c>
      <c r="O58" s="1063">
        <v>0</v>
      </c>
      <c r="P58" s="1063">
        <v>0</v>
      </c>
      <c r="Q58" s="1063">
        <v>0</v>
      </c>
      <c r="R58" s="1063">
        <v>0</v>
      </c>
      <c r="S58" s="1063">
        <v>0</v>
      </c>
      <c r="T58" s="1063">
        <v>0</v>
      </c>
      <c r="U58" s="1063">
        <v>0</v>
      </c>
      <c r="V58" s="1063"/>
      <c r="W58" s="1049"/>
      <c r="X58" s="1049"/>
      <c r="Y58" s="1049"/>
      <c r="Z58" s="1049"/>
      <c r="AA58" s="1066"/>
      <c r="AB58" s="1065"/>
      <c r="AT58" s="418">
        <v>0</v>
      </c>
      <c r="AU58" s="418">
        <v>0</v>
      </c>
      <c r="AV58" s="418">
        <v>0</v>
      </c>
      <c r="AW58" s="418">
        <v>0</v>
      </c>
      <c r="AX58" s="418">
        <v>0</v>
      </c>
      <c r="AY58" s="418">
        <v>0</v>
      </c>
      <c r="AZ58" s="418">
        <v>0</v>
      </c>
      <c r="BA58" s="418">
        <v>11196</v>
      </c>
      <c r="BB58" s="418">
        <v>0</v>
      </c>
      <c r="BC58" s="418">
        <v>0</v>
      </c>
      <c r="BD58" s="418">
        <v>0</v>
      </c>
      <c r="BE58" s="418">
        <v>0</v>
      </c>
      <c r="BF58" s="418">
        <v>6030</v>
      </c>
      <c r="BG58" s="418">
        <v>0</v>
      </c>
      <c r="BH58" s="418">
        <v>0</v>
      </c>
      <c r="BI58" s="418">
        <v>0</v>
      </c>
      <c r="BJ58" s="418">
        <v>0</v>
      </c>
      <c r="BK58" s="418">
        <v>0</v>
      </c>
      <c r="BL58" s="418">
        <v>0</v>
      </c>
      <c r="BM58" s="418">
        <v>0</v>
      </c>
      <c r="BN58" s="418">
        <v>0</v>
      </c>
      <c r="BO58" s="418">
        <v>0</v>
      </c>
      <c r="BP58" s="418">
        <v>0</v>
      </c>
      <c r="BQ58" s="418">
        <v>0</v>
      </c>
      <c r="BR58" s="418">
        <v>0</v>
      </c>
      <c r="BS58" s="418">
        <v>0</v>
      </c>
      <c r="BT58" s="418">
        <v>0</v>
      </c>
      <c r="BU58" s="418">
        <v>0</v>
      </c>
      <c r="BV58" s="418">
        <v>0</v>
      </c>
      <c r="BW58" s="418">
        <v>0</v>
      </c>
      <c r="BX58" s="418">
        <v>0</v>
      </c>
      <c r="BY58" s="418">
        <v>0</v>
      </c>
      <c r="BZ58" s="418">
        <v>0</v>
      </c>
      <c r="CA58" s="418">
        <v>0</v>
      </c>
      <c r="CB58" s="418">
        <v>0</v>
      </c>
    </row>
    <row r="59" spans="1:80" s="418" customFormat="1" ht="15.6" x14ac:dyDescent="0.3">
      <c r="A59" s="1052">
        <v>99</v>
      </c>
      <c r="B59" s="1049"/>
      <c r="C59" s="1060" t="s">
        <v>1965</v>
      </c>
      <c r="D59" s="1061" t="s">
        <v>238</v>
      </c>
      <c r="E59" s="1062" t="s">
        <v>363</v>
      </c>
      <c r="F59" s="1063">
        <v>0</v>
      </c>
      <c r="G59" s="1063">
        <v>0</v>
      </c>
      <c r="H59" s="1063">
        <v>0</v>
      </c>
      <c r="I59" s="1063">
        <v>0</v>
      </c>
      <c r="J59" s="1063">
        <v>0</v>
      </c>
      <c r="K59" s="1063">
        <v>0</v>
      </c>
      <c r="L59" s="1063">
        <v>0</v>
      </c>
      <c r="M59" s="1063">
        <v>0</v>
      </c>
      <c r="N59" s="1063">
        <v>0</v>
      </c>
      <c r="O59" s="1063">
        <v>0</v>
      </c>
      <c r="P59" s="1063">
        <v>0</v>
      </c>
      <c r="Q59" s="1063">
        <v>0</v>
      </c>
      <c r="R59" s="1063">
        <v>0</v>
      </c>
      <c r="S59" s="1063">
        <v>0</v>
      </c>
      <c r="T59" s="1063">
        <v>0</v>
      </c>
      <c r="U59" s="1063">
        <v>0</v>
      </c>
      <c r="V59" s="1063"/>
      <c r="W59" s="1049"/>
      <c r="X59" s="1049"/>
      <c r="Y59" s="1049"/>
      <c r="Z59" s="1049"/>
      <c r="AA59" s="1066"/>
      <c r="AB59" s="1049"/>
      <c r="AT59" s="418">
        <v>0</v>
      </c>
      <c r="AU59" s="418">
        <v>0</v>
      </c>
      <c r="AV59" s="418">
        <v>4505513</v>
      </c>
      <c r="AW59" s="418">
        <v>0</v>
      </c>
      <c r="AX59" s="418">
        <v>0</v>
      </c>
      <c r="AY59" s="418">
        <v>0</v>
      </c>
      <c r="AZ59" s="418">
        <v>0</v>
      </c>
      <c r="BA59" s="418">
        <v>4099796</v>
      </c>
      <c r="BB59" s="418">
        <v>0</v>
      </c>
      <c r="BC59" s="418">
        <v>0</v>
      </c>
      <c r="BD59" s="418">
        <v>0</v>
      </c>
      <c r="BE59" s="418">
        <v>0</v>
      </c>
      <c r="BF59" s="418">
        <v>0</v>
      </c>
      <c r="BG59" s="418">
        <v>0</v>
      </c>
      <c r="BH59" s="418">
        <v>0</v>
      </c>
      <c r="BI59" s="418">
        <v>0</v>
      </c>
      <c r="BJ59" s="418">
        <v>0</v>
      </c>
      <c r="BK59" s="418">
        <v>0</v>
      </c>
      <c r="BL59" s="418">
        <v>6932994</v>
      </c>
      <c r="BM59" s="418">
        <v>0</v>
      </c>
      <c r="BN59" s="418">
        <v>0</v>
      </c>
      <c r="BO59" s="418">
        <v>0</v>
      </c>
      <c r="BP59" s="418">
        <v>0</v>
      </c>
      <c r="BQ59" s="418">
        <v>0</v>
      </c>
      <c r="BR59" s="418">
        <v>0</v>
      </c>
      <c r="BS59" s="418">
        <v>0</v>
      </c>
      <c r="BT59" s="418">
        <v>0</v>
      </c>
      <c r="BU59" s="418">
        <v>0</v>
      </c>
      <c r="BV59" s="418">
        <v>0</v>
      </c>
      <c r="BW59" s="418">
        <v>0</v>
      </c>
      <c r="BX59" s="418">
        <v>0</v>
      </c>
      <c r="BY59" s="418">
        <v>0</v>
      </c>
      <c r="BZ59" s="418">
        <v>0</v>
      </c>
      <c r="CA59" s="418">
        <v>0</v>
      </c>
      <c r="CB59" s="418">
        <v>0</v>
      </c>
    </row>
    <row r="60" spans="1:80" s="418" customFormat="1" ht="15.6" x14ac:dyDescent="0.3">
      <c r="A60" s="1052">
        <v>100</v>
      </c>
      <c r="B60" s="1049"/>
      <c r="C60" s="1060" t="s">
        <v>1966</v>
      </c>
      <c r="D60" s="1061" t="s">
        <v>251</v>
      </c>
      <c r="E60" s="1062" t="s">
        <v>364</v>
      </c>
      <c r="F60" s="1063">
        <v>0</v>
      </c>
      <c r="G60" s="1063">
        <v>0</v>
      </c>
      <c r="H60" s="1063">
        <v>0</v>
      </c>
      <c r="I60" s="1063">
        <v>0</v>
      </c>
      <c r="J60" s="1063">
        <v>0</v>
      </c>
      <c r="K60" s="1063">
        <v>0</v>
      </c>
      <c r="L60" s="1063">
        <v>0</v>
      </c>
      <c r="M60" s="1063">
        <v>0</v>
      </c>
      <c r="N60" s="1063">
        <v>0</v>
      </c>
      <c r="O60" s="1063">
        <v>0</v>
      </c>
      <c r="P60" s="1063">
        <v>0</v>
      </c>
      <c r="Q60" s="1063">
        <v>0</v>
      </c>
      <c r="R60" s="1063">
        <v>0</v>
      </c>
      <c r="S60" s="1063">
        <v>0</v>
      </c>
      <c r="T60" s="1063">
        <v>0</v>
      </c>
      <c r="U60" s="1063">
        <v>0</v>
      </c>
      <c r="V60" s="1063"/>
      <c r="W60" s="1049"/>
      <c r="X60" s="1049"/>
      <c r="Y60" s="1049"/>
      <c r="Z60" s="1049"/>
      <c r="AA60" s="1066"/>
      <c r="AB60" s="1065"/>
      <c r="AT60" s="418">
        <v>0</v>
      </c>
      <c r="AU60" s="418">
        <v>0</v>
      </c>
      <c r="AV60" s="418">
        <v>0</v>
      </c>
      <c r="AW60" s="418">
        <v>0</v>
      </c>
      <c r="AX60" s="418">
        <v>0</v>
      </c>
      <c r="AY60" s="418">
        <v>0</v>
      </c>
      <c r="AZ60" s="418">
        <v>0</v>
      </c>
      <c r="BA60" s="418">
        <v>107593</v>
      </c>
      <c r="BB60" s="418">
        <v>0</v>
      </c>
      <c r="BC60" s="418">
        <v>0</v>
      </c>
      <c r="BD60" s="418">
        <v>0</v>
      </c>
      <c r="BE60" s="418">
        <v>0</v>
      </c>
      <c r="BF60" s="418">
        <v>91132</v>
      </c>
      <c r="BG60" s="418">
        <v>0</v>
      </c>
      <c r="BH60" s="418">
        <v>0</v>
      </c>
      <c r="BI60" s="418">
        <v>0</v>
      </c>
      <c r="BJ60" s="418">
        <v>0</v>
      </c>
      <c r="BK60" s="418">
        <v>0</v>
      </c>
      <c r="BL60" s="418">
        <v>0</v>
      </c>
      <c r="BM60" s="418">
        <v>0</v>
      </c>
      <c r="BN60" s="418">
        <v>0</v>
      </c>
      <c r="BO60" s="418">
        <v>0</v>
      </c>
      <c r="BP60" s="418">
        <v>0</v>
      </c>
      <c r="BQ60" s="418">
        <v>0</v>
      </c>
      <c r="BR60" s="418">
        <v>0</v>
      </c>
      <c r="BS60" s="418">
        <v>0</v>
      </c>
      <c r="BT60" s="418">
        <v>0</v>
      </c>
      <c r="BU60" s="418">
        <v>0</v>
      </c>
      <c r="BV60" s="418">
        <v>0</v>
      </c>
      <c r="BW60" s="418">
        <v>0</v>
      </c>
      <c r="BX60" s="418">
        <v>0</v>
      </c>
      <c r="BY60" s="418">
        <v>0</v>
      </c>
      <c r="BZ60" s="418">
        <v>0</v>
      </c>
      <c r="CA60" s="418">
        <v>0</v>
      </c>
      <c r="CB60" s="418">
        <v>0</v>
      </c>
    </row>
    <row r="61" spans="1:80" s="418" customFormat="1" ht="15.6" x14ac:dyDescent="0.3">
      <c r="A61" s="1052">
        <v>101</v>
      </c>
      <c r="B61" s="1049"/>
      <c r="C61" s="1060" t="s">
        <v>1967</v>
      </c>
      <c r="D61" s="1061" t="s">
        <v>250</v>
      </c>
      <c r="E61" s="1062" t="s">
        <v>365</v>
      </c>
      <c r="F61" s="1063">
        <v>0</v>
      </c>
      <c r="G61" s="1063">
        <v>0</v>
      </c>
      <c r="H61" s="1063">
        <v>0</v>
      </c>
      <c r="I61" s="1063">
        <v>0</v>
      </c>
      <c r="J61" s="1063">
        <v>0</v>
      </c>
      <c r="K61" s="1063">
        <v>0</v>
      </c>
      <c r="L61" s="1063">
        <v>0</v>
      </c>
      <c r="M61" s="1063">
        <v>0</v>
      </c>
      <c r="N61" s="1063">
        <v>0</v>
      </c>
      <c r="O61" s="1063">
        <v>0</v>
      </c>
      <c r="P61" s="1063">
        <v>0</v>
      </c>
      <c r="Q61" s="1063">
        <v>0</v>
      </c>
      <c r="R61" s="1063">
        <v>0</v>
      </c>
      <c r="S61" s="1063">
        <v>0</v>
      </c>
      <c r="T61" s="1063">
        <v>0</v>
      </c>
      <c r="U61" s="1063">
        <v>0</v>
      </c>
      <c r="V61" s="1063"/>
      <c r="W61" s="1049"/>
      <c r="X61" s="1049"/>
      <c r="Y61" s="1049"/>
      <c r="Z61" s="1049"/>
      <c r="AA61" s="1066"/>
      <c r="AB61" s="1065"/>
      <c r="AT61" s="418">
        <v>0</v>
      </c>
      <c r="AU61" s="418">
        <v>0</v>
      </c>
      <c r="AV61" s="418">
        <v>1986621</v>
      </c>
      <c r="AW61" s="418">
        <v>0</v>
      </c>
      <c r="AX61" s="418">
        <v>0</v>
      </c>
      <c r="AY61" s="418">
        <v>0</v>
      </c>
      <c r="AZ61" s="418">
        <v>0</v>
      </c>
      <c r="BA61" s="418">
        <v>405288</v>
      </c>
      <c r="BB61" s="418">
        <v>0</v>
      </c>
      <c r="BC61" s="418">
        <v>0</v>
      </c>
      <c r="BD61" s="418">
        <v>0</v>
      </c>
      <c r="BE61" s="418">
        <v>0</v>
      </c>
      <c r="BF61" s="418">
        <v>2079992</v>
      </c>
      <c r="BG61" s="418">
        <v>0</v>
      </c>
      <c r="BH61" s="418">
        <v>0</v>
      </c>
      <c r="BI61" s="418">
        <v>0</v>
      </c>
      <c r="BJ61" s="418">
        <v>0</v>
      </c>
      <c r="BK61" s="418">
        <v>0</v>
      </c>
      <c r="BL61" s="418">
        <v>112950</v>
      </c>
      <c r="BM61" s="418">
        <v>0</v>
      </c>
      <c r="BN61" s="418">
        <v>0</v>
      </c>
      <c r="BO61" s="418">
        <v>0</v>
      </c>
      <c r="BP61" s="418">
        <v>0</v>
      </c>
      <c r="BQ61" s="418">
        <v>0</v>
      </c>
      <c r="BR61" s="418">
        <v>0</v>
      </c>
      <c r="BS61" s="418">
        <v>0</v>
      </c>
      <c r="BT61" s="418">
        <v>0</v>
      </c>
      <c r="BU61" s="418">
        <v>0</v>
      </c>
      <c r="BV61" s="418">
        <v>0</v>
      </c>
      <c r="BW61" s="418">
        <v>0</v>
      </c>
      <c r="BX61" s="418">
        <v>0</v>
      </c>
      <c r="BY61" s="418">
        <v>0</v>
      </c>
      <c r="BZ61" s="418">
        <v>0</v>
      </c>
      <c r="CA61" s="418">
        <v>0</v>
      </c>
      <c r="CB61" s="418">
        <v>0</v>
      </c>
    </row>
    <row r="62" spans="1:80" s="420" customFormat="1" ht="27.6" x14ac:dyDescent="0.3">
      <c r="A62" s="1052">
        <v>102</v>
      </c>
      <c r="B62" s="1049"/>
      <c r="C62" s="1060" t="s">
        <v>1968</v>
      </c>
      <c r="D62" s="1061" t="s">
        <v>269</v>
      </c>
      <c r="E62" s="1062" t="s">
        <v>366</v>
      </c>
      <c r="F62" s="1063">
        <v>0</v>
      </c>
      <c r="G62" s="1063">
        <v>0</v>
      </c>
      <c r="H62" s="1063">
        <v>0</v>
      </c>
      <c r="I62" s="1063">
        <v>0</v>
      </c>
      <c r="J62" s="1063">
        <v>0</v>
      </c>
      <c r="K62" s="1063">
        <v>0</v>
      </c>
      <c r="L62" s="1063">
        <v>0</v>
      </c>
      <c r="M62" s="1063">
        <v>0</v>
      </c>
      <c r="N62" s="1063">
        <v>0</v>
      </c>
      <c r="O62" s="1063">
        <v>0</v>
      </c>
      <c r="P62" s="1063">
        <v>0</v>
      </c>
      <c r="Q62" s="1063">
        <v>0</v>
      </c>
      <c r="R62" s="1063">
        <v>0</v>
      </c>
      <c r="S62" s="1063">
        <v>0</v>
      </c>
      <c r="T62" s="1063">
        <v>0</v>
      </c>
      <c r="U62" s="1063">
        <v>0</v>
      </c>
      <c r="V62" s="1063"/>
      <c r="W62" s="1049"/>
      <c r="X62" s="1049"/>
      <c r="Y62" s="1049"/>
      <c r="Z62" s="1049"/>
      <c r="AA62" s="1066"/>
      <c r="AB62" s="1065"/>
      <c r="AT62" s="420">
        <v>95</v>
      </c>
      <c r="AU62" s="420">
        <v>99.56</v>
      </c>
      <c r="AV62" s="420">
        <v>98.24</v>
      </c>
      <c r="AW62" s="420">
        <v>97.25</v>
      </c>
      <c r="AX62" s="420">
        <v>93.41</v>
      </c>
      <c r="AY62" s="420">
        <v>98.48</v>
      </c>
      <c r="AZ62" s="420">
        <v>96.55</v>
      </c>
      <c r="BA62" s="420">
        <v>97.64</v>
      </c>
      <c r="BB62" s="420">
        <v>89.81</v>
      </c>
      <c r="BC62" s="420">
        <v>98.83</v>
      </c>
      <c r="BD62" s="420">
        <v>0</v>
      </c>
      <c r="BE62" s="420">
        <v>96.56</v>
      </c>
      <c r="BF62" s="420">
        <v>93.96</v>
      </c>
      <c r="BG62" s="420">
        <v>0</v>
      </c>
      <c r="BH62" s="420">
        <v>90.88</v>
      </c>
      <c r="BI62" s="420">
        <v>99.05</v>
      </c>
      <c r="BJ62" s="420">
        <v>97.3</v>
      </c>
      <c r="BK62" s="420">
        <v>0</v>
      </c>
      <c r="BL62" s="420">
        <v>99.75</v>
      </c>
      <c r="BM62" s="420">
        <v>98.69</v>
      </c>
      <c r="BN62" s="420">
        <v>0</v>
      </c>
      <c r="BO62" s="420">
        <v>98.85</v>
      </c>
      <c r="BP62" s="420">
        <v>96.74</v>
      </c>
      <c r="BQ62" s="420">
        <v>96.88</v>
      </c>
      <c r="BR62" s="420">
        <v>98.5</v>
      </c>
      <c r="BS62" s="420">
        <v>99.56</v>
      </c>
      <c r="BT62" s="420">
        <v>99.04</v>
      </c>
      <c r="BU62" s="420">
        <v>83.82</v>
      </c>
      <c r="BV62" s="420">
        <v>99.18</v>
      </c>
      <c r="BW62" s="420">
        <v>94.07</v>
      </c>
      <c r="BX62" s="420">
        <v>99.38</v>
      </c>
      <c r="BY62" s="420">
        <v>95.03</v>
      </c>
      <c r="BZ62" s="420">
        <v>97.44</v>
      </c>
      <c r="CA62" s="420">
        <v>99.67</v>
      </c>
      <c r="CB62" s="420">
        <v>88.75</v>
      </c>
    </row>
    <row r="63" spans="1:80" s="420" customFormat="1" ht="15.6" x14ac:dyDescent="0.3">
      <c r="A63" s="1052">
        <v>103</v>
      </c>
      <c r="B63" s="1049"/>
      <c r="C63" s="1060" t="s">
        <v>1969</v>
      </c>
      <c r="D63" s="1061" t="s">
        <v>270</v>
      </c>
      <c r="E63" s="1062" t="s">
        <v>367</v>
      </c>
      <c r="F63" s="1063">
        <v>0</v>
      </c>
      <c r="G63" s="1063">
        <v>0</v>
      </c>
      <c r="H63" s="1063">
        <v>0</v>
      </c>
      <c r="I63" s="1063">
        <v>0</v>
      </c>
      <c r="J63" s="1063">
        <v>0</v>
      </c>
      <c r="K63" s="1063">
        <v>0</v>
      </c>
      <c r="L63" s="1063">
        <v>0</v>
      </c>
      <c r="M63" s="1063">
        <v>0</v>
      </c>
      <c r="N63" s="1063">
        <v>0</v>
      </c>
      <c r="O63" s="1063">
        <v>0</v>
      </c>
      <c r="P63" s="1063">
        <v>0</v>
      </c>
      <c r="Q63" s="1063">
        <v>0</v>
      </c>
      <c r="R63" s="1063">
        <v>0</v>
      </c>
      <c r="S63" s="1063">
        <v>0</v>
      </c>
      <c r="T63" s="1063">
        <v>0</v>
      </c>
      <c r="U63" s="1063">
        <v>0</v>
      </c>
      <c r="V63" s="1063"/>
      <c r="W63" s="1049"/>
      <c r="X63" s="1049"/>
      <c r="Y63" s="1049"/>
      <c r="Z63" s="1049"/>
      <c r="AA63" s="1066"/>
      <c r="AB63" s="1065"/>
      <c r="AT63" s="420">
        <v>100</v>
      </c>
      <c r="AU63" s="420">
        <v>100</v>
      </c>
      <c r="AV63" s="420">
        <v>100</v>
      </c>
      <c r="AW63" s="420">
        <v>99.88</v>
      </c>
      <c r="AX63" s="420">
        <v>100</v>
      </c>
      <c r="AY63" s="420">
        <v>100</v>
      </c>
      <c r="AZ63" s="420">
        <v>100</v>
      </c>
      <c r="BA63" s="420">
        <v>100</v>
      </c>
      <c r="BB63" s="420">
        <v>100</v>
      </c>
      <c r="BC63" s="420">
        <v>100</v>
      </c>
      <c r="BD63" s="420">
        <v>0</v>
      </c>
      <c r="BE63" s="420">
        <v>100</v>
      </c>
      <c r="BF63" s="420">
        <v>100</v>
      </c>
      <c r="BG63" s="420">
        <v>0</v>
      </c>
      <c r="BH63" s="420">
        <v>100</v>
      </c>
      <c r="BI63" s="420">
        <v>100</v>
      </c>
      <c r="BJ63" s="420">
        <v>98.79</v>
      </c>
      <c r="BK63" s="420">
        <v>0</v>
      </c>
      <c r="BL63" s="420">
        <v>100</v>
      </c>
      <c r="BM63" s="420">
        <v>100</v>
      </c>
      <c r="BN63" s="420">
        <v>0</v>
      </c>
      <c r="BO63" s="420">
        <v>100</v>
      </c>
      <c r="BP63" s="420">
        <v>100</v>
      </c>
      <c r="BQ63" s="420">
        <v>100</v>
      </c>
      <c r="BR63" s="420">
        <v>100</v>
      </c>
      <c r="BS63" s="420">
        <v>100</v>
      </c>
      <c r="BT63" s="420">
        <v>100</v>
      </c>
      <c r="BU63" s="420">
        <v>99.17</v>
      </c>
      <c r="BV63" s="420">
        <v>100</v>
      </c>
      <c r="BW63" s="420">
        <v>100</v>
      </c>
      <c r="BX63" s="420">
        <v>100</v>
      </c>
      <c r="BY63" s="420">
        <v>100</v>
      </c>
      <c r="BZ63" s="420">
        <v>100</v>
      </c>
      <c r="CA63" s="420">
        <v>99.61</v>
      </c>
      <c r="CB63" s="420">
        <v>100</v>
      </c>
    </row>
    <row r="64" spans="1:80" s="418" customFormat="1" ht="15" x14ac:dyDescent="0.3">
      <c r="A64" s="1052">
        <v>104</v>
      </c>
      <c r="B64" s="1053">
        <v>104</v>
      </c>
      <c r="C64" s="1069" t="s">
        <v>1784</v>
      </c>
      <c r="D64" s="1068" t="s">
        <v>368</v>
      </c>
      <c r="E64" s="1062" t="s">
        <v>369</v>
      </c>
      <c r="F64" s="1063">
        <v>0</v>
      </c>
      <c r="G64" s="1063">
        <v>37943823</v>
      </c>
      <c r="H64" s="1063">
        <v>8751282</v>
      </c>
      <c r="I64" s="1063">
        <v>16454731</v>
      </c>
      <c r="J64" s="1063">
        <v>0</v>
      </c>
      <c r="K64" s="1063">
        <v>0</v>
      </c>
      <c r="L64" s="1063">
        <v>0</v>
      </c>
      <c r="M64" s="1063">
        <v>0</v>
      </c>
      <c r="N64" s="1063">
        <v>10532912</v>
      </c>
      <c r="O64" s="1063">
        <v>2103443</v>
      </c>
      <c r="P64" s="1063">
        <v>1902442</v>
      </c>
      <c r="Q64" s="1063">
        <v>0</v>
      </c>
      <c r="R64" s="1063">
        <v>4508688</v>
      </c>
      <c r="S64" s="1063">
        <v>2328881</v>
      </c>
      <c r="T64" s="1063">
        <v>2868027</v>
      </c>
      <c r="U64" s="1063">
        <v>-6777603</v>
      </c>
      <c r="V64" s="1063"/>
      <c r="W64" s="1049"/>
      <c r="X64" s="1049"/>
      <c r="Y64" s="1064"/>
      <c r="Z64" s="1065"/>
      <c r="AA64" s="1066"/>
      <c r="AB64" s="1065"/>
    </row>
    <row r="65" spans="1:80" s="418" customFormat="1" ht="26.4" x14ac:dyDescent="0.3">
      <c r="A65" s="1052">
        <v>107</v>
      </c>
      <c r="B65" s="1053">
        <v>107</v>
      </c>
      <c r="C65" s="1069" t="s">
        <v>1785</v>
      </c>
      <c r="D65" s="1068" t="s">
        <v>1723</v>
      </c>
      <c r="E65" s="1062" t="s">
        <v>370</v>
      </c>
      <c r="F65" s="1063">
        <v>543</v>
      </c>
      <c r="G65" s="1063">
        <v>424762027</v>
      </c>
      <c r="H65" s="1063">
        <v>169127576</v>
      </c>
      <c r="I65" s="1063">
        <v>313390166</v>
      </c>
      <c r="J65" s="1063">
        <v>0</v>
      </c>
      <c r="K65" s="1063">
        <v>0</v>
      </c>
      <c r="L65" s="1063">
        <v>0</v>
      </c>
      <c r="M65" s="1063">
        <v>0</v>
      </c>
      <c r="N65" s="1063">
        <v>255818283</v>
      </c>
      <c r="O65" s="1063">
        <v>38282461</v>
      </c>
      <c r="P65" s="1063">
        <v>234202700</v>
      </c>
      <c r="Q65" s="1063">
        <v>0</v>
      </c>
      <c r="R65" s="1063">
        <v>96843418</v>
      </c>
      <c r="S65" s="1063">
        <v>137462689</v>
      </c>
      <c r="T65" s="1063">
        <v>63598190</v>
      </c>
      <c r="U65" s="1063">
        <v>195759812</v>
      </c>
      <c r="V65" s="1063"/>
      <c r="W65" s="1049"/>
      <c r="X65" s="1049"/>
      <c r="Y65" s="1064"/>
      <c r="Z65" s="1065"/>
      <c r="AA65" s="1066"/>
      <c r="AB65" s="1049"/>
      <c r="AC65" s="1049"/>
      <c r="AD65" s="1049"/>
      <c r="AE65" s="1049"/>
      <c r="AF65" s="1064"/>
      <c r="AG65" s="1065"/>
    </row>
    <row r="66" spans="1:80" s="418" customFormat="1" ht="26.4" x14ac:dyDescent="0.3">
      <c r="A66" s="1052">
        <v>108</v>
      </c>
      <c r="B66" s="1053">
        <v>108</v>
      </c>
      <c r="C66" s="1069" t="s">
        <v>1786</v>
      </c>
      <c r="D66" s="1068" t="s">
        <v>1724</v>
      </c>
      <c r="E66" s="1062" t="s">
        <v>371</v>
      </c>
      <c r="F66" s="1063">
        <v>209377</v>
      </c>
      <c r="G66" s="1063">
        <v>431677457</v>
      </c>
      <c r="H66" s="1063">
        <v>153865519</v>
      </c>
      <c r="I66" s="1063">
        <v>301836986</v>
      </c>
      <c r="J66" s="1063">
        <v>0</v>
      </c>
      <c r="K66" s="1063">
        <v>0</v>
      </c>
      <c r="L66" s="1063">
        <v>0</v>
      </c>
      <c r="M66" s="1063">
        <v>0</v>
      </c>
      <c r="N66" s="1063">
        <v>256746247</v>
      </c>
      <c r="O66" s="1063">
        <v>44212094</v>
      </c>
      <c r="P66" s="1063">
        <v>241168139</v>
      </c>
      <c r="Q66" s="1063">
        <v>0</v>
      </c>
      <c r="R66" s="1063">
        <v>102640507</v>
      </c>
      <c r="S66" s="1063">
        <v>141902425</v>
      </c>
      <c r="T66" s="1063">
        <v>64311063</v>
      </c>
      <c r="U66" s="1063">
        <v>199380472</v>
      </c>
      <c r="V66" s="1063"/>
      <c r="W66" s="1049"/>
      <c r="X66" s="1049"/>
      <c r="Y66" s="1064"/>
      <c r="Z66" s="1065"/>
      <c r="AA66" s="1066"/>
      <c r="AB66" s="1065"/>
      <c r="AC66" s="1049"/>
      <c r="AD66" s="1049"/>
      <c r="AE66" s="1049"/>
      <c r="AF66" s="1049"/>
      <c r="AG66" s="1049"/>
    </row>
    <row r="67" spans="1:80" s="418" customFormat="1" ht="26.4" x14ac:dyDescent="0.3">
      <c r="A67" s="1052">
        <v>147</v>
      </c>
      <c r="B67" s="1049"/>
      <c r="C67" s="1067">
        <v>147</v>
      </c>
      <c r="D67" s="1068" t="s">
        <v>372</v>
      </c>
      <c r="E67" s="1062" t="s">
        <v>373</v>
      </c>
      <c r="F67" s="1063">
        <v>0</v>
      </c>
      <c r="G67" s="1063">
        <v>0</v>
      </c>
      <c r="H67" s="1063">
        <v>0</v>
      </c>
      <c r="I67" s="1063">
        <v>0</v>
      </c>
      <c r="J67" s="1063">
        <v>0</v>
      </c>
      <c r="K67" s="1063">
        <v>0</v>
      </c>
      <c r="L67" s="1063">
        <v>0</v>
      </c>
      <c r="M67" s="1063">
        <v>0</v>
      </c>
      <c r="N67" s="1063">
        <v>0</v>
      </c>
      <c r="O67" s="1063">
        <v>0</v>
      </c>
      <c r="P67" s="1063">
        <v>0</v>
      </c>
      <c r="Q67" s="1063">
        <v>0</v>
      </c>
      <c r="R67" s="1063">
        <v>0</v>
      </c>
      <c r="S67" s="1063">
        <v>0</v>
      </c>
      <c r="T67" s="1063">
        <v>0</v>
      </c>
      <c r="U67" s="1063">
        <v>0</v>
      </c>
      <c r="V67" s="1063"/>
      <c r="W67" s="1049"/>
      <c r="X67" s="1049"/>
      <c r="Y67" s="1049"/>
      <c r="Z67" s="1049"/>
      <c r="AA67" s="1066"/>
      <c r="AB67" s="1065"/>
      <c r="AC67" s="1049"/>
      <c r="AD67" s="1049"/>
      <c r="AE67" s="1049"/>
      <c r="AF67" s="1049"/>
      <c r="AG67" s="1049"/>
    </row>
    <row r="68" spans="1:80" s="418" customFormat="1" ht="26.4" x14ac:dyDescent="0.3">
      <c r="A68" s="1052">
        <v>148</v>
      </c>
      <c r="B68" s="1049"/>
      <c r="C68" s="1067">
        <v>148</v>
      </c>
      <c r="D68" s="1068" t="s">
        <v>374</v>
      </c>
      <c r="E68" s="1062" t="s">
        <v>375</v>
      </c>
      <c r="F68" s="1063">
        <v>0</v>
      </c>
      <c r="G68" s="1063">
        <v>0</v>
      </c>
      <c r="H68" s="1063">
        <v>0</v>
      </c>
      <c r="I68" s="1063">
        <v>0</v>
      </c>
      <c r="J68" s="1063">
        <v>0</v>
      </c>
      <c r="K68" s="1063">
        <v>0</v>
      </c>
      <c r="L68" s="1063">
        <v>0</v>
      </c>
      <c r="M68" s="1063">
        <v>0</v>
      </c>
      <c r="N68" s="1063">
        <v>0</v>
      </c>
      <c r="O68" s="1063">
        <v>0</v>
      </c>
      <c r="P68" s="1063">
        <v>0</v>
      </c>
      <c r="Q68" s="1063">
        <v>0</v>
      </c>
      <c r="R68" s="1063">
        <v>0</v>
      </c>
      <c r="S68" s="1063">
        <v>0</v>
      </c>
      <c r="T68" s="1063">
        <v>0</v>
      </c>
      <c r="U68" s="1063">
        <v>0</v>
      </c>
      <c r="V68" s="1063"/>
      <c r="W68" s="1049"/>
      <c r="X68" s="1049"/>
      <c r="Y68" s="1049"/>
      <c r="Z68" s="1049"/>
      <c r="AA68" s="1066"/>
      <c r="AB68" s="1065"/>
      <c r="AC68" s="1049"/>
      <c r="AD68" s="1049"/>
      <c r="AE68" s="1049"/>
      <c r="AF68" s="1049"/>
      <c r="AG68" s="1049"/>
    </row>
    <row r="69" spans="1:80" s="418" customFormat="1" ht="26.4" x14ac:dyDescent="0.3">
      <c r="A69" s="1052">
        <v>149</v>
      </c>
      <c r="B69" s="1049"/>
      <c r="C69" s="1067">
        <v>149</v>
      </c>
      <c r="D69" s="1068" t="s">
        <v>376</v>
      </c>
      <c r="E69" s="1062" t="s">
        <v>377</v>
      </c>
      <c r="F69" s="1063">
        <v>0</v>
      </c>
      <c r="G69" s="1063">
        <v>0</v>
      </c>
      <c r="H69" s="1063">
        <v>0</v>
      </c>
      <c r="I69" s="1063">
        <v>0</v>
      </c>
      <c r="J69" s="1063">
        <v>0</v>
      </c>
      <c r="K69" s="1063">
        <v>0</v>
      </c>
      <c r="L69" s="1063">
        <v>0</v>
      </c>
      <c r="M69" s="1063">
        <v>0</v>
      </c>
      <c r="N69" s="1063">
        <v>0</v>
      </c>
      <c r="O69" s="1063">
        <v>0</v>
      </c>
      <c r="P69" s="1063">
        <v>0</v>
      </c>
      <c r="Q69" s="1063">
        <v>0</v>
      </c>
      <c r="R69" s="1063">
        <v>0</v>
      </c>
      <c r="S69" s="1063">
        <v>0</v>
      </c>
      <c r="T69" s="1063">
        <v>0</v>
      </c>
      <c r="U69" s="1063">
        <v>0</v>
      </c>
      <c r="V69" s="1063"/>
      <c r="W69" s="1049"/>
      <c r="X69" s="1049"/>
      <c r="Y69" s="1049"/>
      <c r="Z69" s="1049"/>
      <c r="AA69" s="1066"/>
      <c r="AB69" s="1065"/>
      <c r="AC69" s="1049"/>
      <c r="AD69" s="1049"/>
      <c r="AE69" s="1049"/>
      <c r="AF69" s="1049"/>
      <c r="AG69" s="1049"/>
    </row>
    <row r="70" spans="1:80" s="418" customFormat="1" ht="26.4" x14ac:dyDescent="0.3">
      <c r="A70" s="1052">
        <v>150</v>
      </c>
      <c r="B70" s="1049"/>
      <c r="C70" s="1067">
        <v>150</v>
      </c>
      <c r="D70" s="1068" t="s">
        <v>378</v>
      </c>
      <c r="E70" s="1062" t="s">
        <v>379</v>
      </c>
      <c r="F70" s="1063">
        <v>0</v>
      </c>
      <c r="G70" s="1063">
        <v>0</v>
      </c>
      <c r="H70" s="1063">
        <v>0</v>
      </c>
      <c r="I70" s="1063">
        <v>0</v>
      </c>
      <c r="J70" s="1063">
        <v>0</v>
      </c>
      <c r="K70" s="1063">
        <v>0</v>
      </c>
      <c r="L70" s="1063">
        <v>0</v>
      </c>
      <c r="M70" s="1063">
        <v>0</v>
      </c>
      <c r="N70" s="1063">
        <v>0</v>
      </c>
      <c r="O70" s="1063">
        <v>0</v>
      </c>
      <c r="P70" s="1063">
        <v>0</v>
      </c>
      <c r="Q70" s="1063">
        <v>0</v>
      </c>
      <c r="R70" s="1063">
        <v>0</v>
      </c>
      <c r="S70" s="1063">
        <v>0</v>
      </c>
      <c r="T70" s="1063">
        <v>0</v>
      </c>
      <c r="U70" s="1063">
        <v>0</v>
      </c>
      <c r="V70" s="1063"/>
      <c r="W70" s="1049"/>
      <c r="X70" s="1049"/>
      <c r="Y70" s="1049"/>
      <c r="Z70" s="1049"/>
      <c r="AA70" s="1066"/>
      <c r="AB70" s="1065"/>
      <c r="AC70" s="1049"/>
      <c r="AD70" s="1049"/>
      <c r="AE70" s="1049"/>
      <c r="AF70" s="1049"/>
      <c r="AG70" s="1049"/>
    </row>
    <row r="71" spans="1:80" s="418" customFormat="1" ht="15.6" x14ac:dyDescent="0.3">
      <c r="A71" s="1052">
        <v>171</v>
      </c>
      <c r="B71" s="1049"/>
      <c r="C71" s="1060" t="s">
        <v>1970</v>
      </c>
      <c r="D71" s="1061" t="s">
        <v>217</v>
      </c>
      <c r="E71" s="1062" t="s">
        <v>380</v>
      </c>
      <c r="F71" s="1063">
        <v>0</v>
      </c>
      <c r="G71" s="1063">
        <v>0</v>
      </c>
      <c r="H71" s="1063">
        <v>0</v>
      </c>
      <c r="I71" s="1063">
        <v>0</v>
      </c>
      <c r="J71" s="1063">
        <v>0</v>
      </c>
      <c r="K71" s="1063">
        <v>0</v>
      </c>
      <c r="L71" s="1063">
        <v>0</v>
      </c>
      <c r="M71" s="1063">
        <v>0</v>
      </c>
      <c r="N71" s="1063">
        <v>0</v>
      </c>
      <c r="O71" s="1063">
        <v>0</v>
      </c>
      <c r="P71" s="1063">
        <v>0</v>
      </c>
      <c r="Q71" s="1063">
        <v>0</v>
      </c>
      <c r="R71" s="1063">
        <v>0</v>
      </c>
      <c r="S71" s="1063">
        <v>0</v>
      </c>
      <c r="T71" s="1063">
        <v>0</v>
      </c>
      <c r="U71" s="1063">
        <v>0</v>
      </c>
      <c r="V71" s="1063"/>
      <c r="W71" s="1049"/>
      <c r="X71" s="1049"/>
      <c r="Y71" s="1049"/>
      <c r="Z71" s="1049"/>
      <c r="AA71" s="1066"/>
      <c r="AB71" s="1065"/>
      <c r="AC71" s="1049"/>
      <c r="AD71" s="1049"/>
      <c r="AE71" s="1049"/>
      <c r="AF71" s="1049"/>
      <c r="AG71" s="1049"/>
      <c r="AT71" s="418">
        <v>95440</v>
      </c>
      <c r="AU71" s="418">
        <v>313561</v>
      </c>
      <c r="AV71" s="418">
        <v>79398</v>
      </c>
      <c r="AW71" s="418">
        <v>0</v>
      </c>
      <c r="AX71" s="418">
        <v>3514</v>
      </c>
      <c r="AY71" s="418">
        <v>223692</v>
      </c>
      <c r="AZ71" s="418">
        <v>88346</v>
      </c>
      <c r="BA71" s="418">
        <v>167605</v>
      </c>
      <c r="BB71" s="418">
        <v>0</v>
      </c>
      <c r="BC71" s="418">
        <v>60429</v>
      </c>
      <c r="BD71" s="418">
        <v>0</v>
      </c>
      <c r="BE71" s="418">
        <v>0</v>
      </c>
      <c r="BF71" s="418">
        <v>1539320</v>
      </c>
      <c r="BG71" s="418">
        <v>0</v>
      </c>
      <c r="BH71" s="418">
        <v>0</v>
      </c>
      <c r="BI71" s="418">
        <v>23467</v>
      </c>
      <c r="BJ71" s="418">
        <v>61184</v>
      </c>
      <c r="BK71" s="418">
        <v>0</v>
      </c>
      <c r="BL71" s="418">
        <v>297196</v>
      </c>
      <c r="BM71" s="418">
        <v>0</v>
      </c>
      <c r="BN71" s="418">
        <v>0</v>
      </c>
      <c r="BO71" s="418">
        <v>220529</v>
      </c>
      <c r="BP71" s="418">
        <v>0</v>
      </c>
      <c r="BQ71" s="418">
        <v>12288</v>
      </c>
      <c r="BR71" s="418">
        <v>0</v>
      </c>
      <c r="BS71" s="418">
        <v>0</v>
      </c>
      <c r="BT71" s="418">
        <v>1268956</v>
      </c>
      <c r="BU71" s="418">
        <v>59295</v>
      </c>
      <c r="BV71" s="418">
        <v>76999</v>
      </c>
      <c r="BW71" s="418">
        <v>82104</v>
      </c>
      <c r="BX71" s="418">
        <v>0</v>
      </c>
      <c r="BY71" s="418">
        <v>0</v>
      </c>
      <c r="BZ71" s="418">
        <v>0</v>
      </c>
      <c r="CA71" s="418">
        <v>1536937</v>
      </c>
      <c r="CB71" s="418">
        <v>4956</v>
      </c>
    </row>
    <row r="72" spans="1:80" s="418" customFormat="1" ht="15.6" x14ac:dyDescent="0.3">
      <c r="A72" s="1052">
        <v>191</v>
      </c>
      <c r="B72" s="1049"/>
      <c r="C72" s="1060" t="s">
        <v>1971</v>
      </c>
      <c r="D72" s="1071" t="s">
        <v>233</v>
      </c>
      <c r="E72" s="1062" t="s">
        <v>381</v>
      </c>
      <c r="F72" s="1063">
        <v>0</v>
      </c>
      <c r="G72" s="1063">
        <v>0</v>
      </c>
      <c r="H72" s="1063">
        <v>0</v>
      </c>
      <c r="I72" s="1063">
        <v>0</v>
      </c>
      <c r="J72" s="1063">
        <v>0</v>
      </c>
      <c r="K72" s="1063">
        <v>0</v>
      </c>
      <c r="L72" s="1063">
        <v>0</v>
      </c>
      <c r="M72" s="1063">
        <v>0</v>
      </c>
      <c r="N72" s="1063">
        <v>0</v>
      </c>
      <c r="O72" s="1063">
        <v>0</v>
      </c>
      <c r="P72" s="1063">
        <v>0</v>
      </c>
      <c r="Q72" s="1063">
        <v>0</v>
      </c>
      <c r="R72" s="1063">
        <v>0</v>
      </c>
      <c r="S72" s="1063">
        <v>0</v>
      </c>
      <c r="T72" s="1063">
        <v>0</v>
      </c>
      <c r="U72" s="1063">
        <v>0</v>
      </c>
      <c r="V72" s="1063"/>
      <c r="W72" s="1049"/>
      <c r="X72" s="1049"/>
      <c r="Y72" s="1049"/>
      <c r="Z72" s="1049"/>
      <c r="AA72" s="1066"/>
      <c r="AB72" s="1049"/>
      <c r="AC72" s="1049"/>
      <c r="AD72" s="1049"/>
      <c r="AE72" s="1049"/>
      <c r="AF72" s="1049"/>
      <c r="AG72" s="1049"/>
      <c r="AT72" s="418">
        <v>0</v>
      </c>
      <c r="AU72" s="418">
        <v>0</v>
      </c>
      <c r="AV72" s="418">
        <v>0</v>
      </c>
      <c r="AW72" s="418">
        <v>0</v>
      </c>
      <c r="AX72" s="418">
        <v>0</v>
      </c>
      <c r="AY72" s="418">
        <v>0</v>
      </c>
      <c r="AZ72" s="418">
        <v>0</v>
      </c>
      <c r="BA72" s="418">
        <v>274278</v>
      </c>
      <c r="BB72" s="418">
        <v>75114</v>
      </c>
      <c r="BC72" s="418">
        <v>46795</v>
      </c>
      <c r="BD72" s="418">
        <v>0</v>
      </c>
      <c r="BE72" s="418">
        <v>0</v>
      </c>
      <c r="BF72" s="418">
        <v>0</v>
      </c>
      <c r="BG72" s="418">
        <v>0</v>
      </c>
      <c r="BH72" s="418">
        <v>0</v>
      </c>
      <c r="BI72" s="418">
        <v>207600</v>
      </c>
      <c r="BJ72" s="418">
        <v>0</v>
      </c>
      <c r="BK72" s="418">
        <v>0</v>
      </c>
      <c r="BL72" s="418">
        <v>10149</v>
      </c>
      <c r="BM72" s="418">
        <v>0</v>
      </c>
      <c r="BN72" s="418">
        <v>0</v>
      </c>
      <c r="BO72" s="418">
        <v>12317</v>
      </c>
      <c r="BP72" s="418">
        <v>165124</v>
      </c>
      <c r="BQ72" s="418">
        <v>0</v>
      </c>
      <c r="BR72" s="418">
        <v>0</v>
      </c>
      <c r="BS72" s="418">
        <v>0</v>
      </c>
      <c r="BT72" s="418">
        <v>0</v>
      </c>
      <c r="BU72" s="418">
        <v>71976</v>
      </c>
      <c r="BV72" s="418">
        <v>0</v>
      </c>
      <c r="BW72" s="418">
        <v>806402</v>
      </c>
      <c r="BX72" s="418">
        <v>13400</v>
      </c>
      <c r="BY72" s="418">
        <v>0</v>
      </c>
      <c r="BZ72" s="418">
        <v>0</v>
      </c>
      <c r="CA72" s="418">
        <v>5400880</v>
      </c>
      <c r="CB72" s="418">
        <v>0</v>
      </c>
    </row>
    <row r="73" spans="1:80" s="418" customFormat="1" ht="15.6" x14ac:dyDescent="0.3">
      <c r="A73" s="1052">
        <v>192</v>
      </c>
      <c r="B73" s="1049"/>
      <c r="C73" s="1060" t="s">
        <v>1972</v>
      </c>
      <c r="D73" s="1061" t="s">
        <v>244</v>
      </c>
      <c r="E73" s="1062" t="s">
        <v>382</v>
      </c>
      <c r="F73" s="1063">
        <v>0</v>
      </c>
      <c r="G73" s="1063">
        <v>0</v>
      </c>
      <c r="H73" s="1063">
        <v>0</v>
      </c>
      <c r="I73" s="1063">
        <v>0</v>
      </c>
      <c r="J73" s="1063">
        <v>0</v>
      </c>
      <c r="K73" s="1063">
        <v>0</v>
      </c>
      <c r="L73" s="1063">
        <v>0</v>
      </c>
      <c r="M73" s="1063">
        <v>0</v>
      </c>
      <c r="N73" s="1063">
        <v>0</v>
      </c>
      <c r="O73" s="1063">
        <v>0</v>
      </c>
      <c r="P73" s="1063">
        <v>0</v>
      </c>
      <c r="Q73" s="1063">
        <v>0</v>
      </c>
      <c r="R73" s="1063">
        <v>0</v>
      </c>
      <c r="S73" s="1063">
        <v>0</v>
      </c>
      <c r="T73" s="1063">
        <v>0</v>
      </c>
      <c r="U73" s="1063">
        <v>0</v>
      </c>
      <c r="V73" s="1063"/>
      <c r="W73" s="1049"/>
      <c r="X73" s="1049"/>
      <c r="Y73" s="1049"/>
      <c r="Z73" s="1049"/>
      <c r="AA73" s="1066"/>
      <c r="AB73" s="1065"/>
      <c r="AC73" s="1049"/>
      <c r="AD73" s="1049"/>
      <c r="AE73" s="1049"/>
      <c r="AF73" s="1049"/>
      <c r="AG73" s="1049"/>
      <c r="AT73" s="418">
        <v>0</v>
      </c>
      <c r="AU73" s="418">
        <v>0</v>
      </c>
      <c r="AV73" s="418">
        <v>0</v>
      </c>
      <c r="AW73" s="418">
        <v>0</v>
      </c>
      <c r="AX73" s="418">
        <v>0</v>
      </c>
      <c r="AY73" s="418">
        <v>0</v>
      </c>
      <c r="AZ73" s="418">
        <v>0</v>
      </c>
      <c r="BA73" s="418">
        <v>0</v>
      </c>
      <c r="BB73" s="418">
        <v>0</v>
      </c>
      <c r="BC73" s="418">
        <v>0</v>
      </c>
      <c r="BD73" s="418">
        <v>0</v>
      </c>
      <c r="BE73" s="418">
        <v>0</v>
      </c>
      <c r="BF73" s="418">
        <v>0</v>
      </c>
      <c r="BG73" s="418">
        <v>0</v>
      </c>
      <c r="BH73" s="418">
        <v>0</v>
      </c>
      <c r="BI73" s="418">
        <v>0</v>
      </c>
      <c r="BJ73" s="418">
        <v>0</v>
      </c>
      <c r="BK73" s="418">
        <v>0</v>
      </c>
      <c r="BL73" s="418">
        <v>20620</v>
      </c>
      <c r="BM73" s="418">
        <v>0</v>
      </c>
      <c r="BN73" s="418">
        <v>0</v>
      </c>
      <c r="BO73" s="418">
        <v>0</v>
      </c>
      <c r="BP73" s="418">
        <v>0</v>
      </c>
      <c r="BQ73" s="418">
        <v>0</v>
      </c>
      <c r="BR73" s="418">
        <v>0</v>
      </c>
      <c r="BS73" s="418">
        <v>0</v>
      </c>
      <c r="BT73" s="418">
        <v>0</v>
      </c>
      <c r="BU73" s="418">
        <v>0</v>
      </c>
      <c r="BV73" s="418">
        <v>0</v>
      </c>
      <c r="BW73" s="418">
        <v>0</v>
      </c>
      <c r="BX73" s="418">
        <v>0</v>
      </c>
      <c r="BY73" s="418">
        <v>0</v>
      </c>
      <c r="BZ73" s="418">
        <v>0</v>
      </c>
      <c r="CA73" s="418">
        <v>0</v>
      </c>
      <c r="CB73" s="418">
        <v>0</v>
      </c>
    </row>
    <row r="74" spans="1:80" s="418" customFormat="1" ht="27.6" x14ac:dyDescent="0.3">
      <c r="A74" s="1052">
        <v>193</v>
      </c>
      <c r="B74" s="1049"/>
      <c r="C74" s="1060" t="s">
        <v>1381</v>
      </c>
      <c r="D74" s="1061" t="s">
        <v>383</v>
      </c>
      <c r="E74" s="1062" t="s">
        <v>384</v>
      </c>
      <c r="F74" s="1063">
        <v>0</v>
      </c>
      <c r="G74" s="1063">
        <v>0</v>
      </c>
      <c r="H74" s="1063">
        <v>0</v>
      </c>
      <c r="I74" s="1063">
        <v>0</v>
      </c>
      <c r="J74" s="1063">
        <v>0</v>
      </c>
      <c r="K74" s="1063">
        <v>0</v>
      </c>
      <c r="L74" s="1063">
        <v>0</v>
      </c>
      <c r="M74" s="1063">
        <v>0</v>
      </c>
      <c r="N74" s="1063">
        <v>0</v>
      </c>
      <c r="O74" s="1063">
        <v>0</v>
      </c>
      <c r="P74" s="1063">
        <v>0</v>
      </c>
      <c r="Q74" s="1063">
        <v>0</v>
      </c>
      <c r="R74" s="1063">
        <v>0</v>
      </c>
      <c r="S74" s="1063">
        <v>0</v>
      </c>
      <c r="T74" s="1063">
        <v>0</v>
      </c>
      <c r="U74" s="1063">
        <v>0</v>
      </c>
      <c r="V74" s="1063"/>
      <c r="W74" s="1049"/>
      <c r="X74" s="1049"/>
      <c r="Y74" s="1049"/>
      <c r="Z74" s="1049"/>
      <c r="AA74" s="1066"/>
      <c r="AB74" s="1049"/>
      <c r="AC74" s="1049"/>
      <c r="AD74" s="1049"/>
      <c r="AE74" s="1049"/>
      <c r="AF74" s="1049"/>
      <c r="AG74" s="1049"/>
    </row>
    <row r="75" spans="1:80" s="418" customFormat="1" ht="26.4" x14ac:dyDescent="0.3">
      <c r="A75" s="1052">
        <v>194</v>
      </c>
      <c r="B75" s="1053">
        <v>194</v>
      </c>
      <c r="C75" s="1069" t="s">
        <v>1787</v>
      </c>
      <c r="D75" s="1068" t="s">
        <v>385</v>
      </c>
      <c r="E75" s="1062" t="s">
        <v>386</v>
      </c>
      <c r="F75" s="1063">
        <v>0</v>
      </c>
      <c r="G75" s="1063">
        <v>0</v>
      </c>
      <c r="H75" s="1063">
        <v>0</v>
      </c>
      <c r="I75" s="1063">
        <v>471703</v>
      </c>
      <c r="J75" s="1063">
        <v>0</v>
      </c>
      <c r="K75" s="1063">
        <v>0</v>
      </c>
      <c r="L75" s="1063">
        <v>0</v>
      </c>
      <c r="M75" s="1063">
        <v>0</v>
      </c>
      <c r="N75" s="1063">
        <v>0</v>
      </c>
      <c r="O75" s="1063">
        <v>227049</v>
      </c>
      <c r="P75" s="1063">
        <v>0</v>
      </c>
      <c r="Q75" s="1063">
        <v>0</v>
      </c>
      <c r="R75" s="1063">
        <v>0</v>
      </c>
      <c r="S75" s="1063">
        <v>1229385</v>
      </c>
      <c r="T75" s="1063">
        <v>0</v>
      </c>
      <c r="U75" s="1063">
        <v>2435611</v>
      </c>
      <c r="V75" s="1063"/>
      <c r="W75" s="1049"/>
      <c r="X75" s="1049"/>
      <c r="Y75" s="1064"/>
      <c r="Z75" s="1065"/>
      <c r="AA75" s="1066"/>
      <c r="AB75" s="1049"/>
      <c r="AC75" s="1049"/>
      <c r="AD75" s="1049"/>
      <c r="AE75" s="1049"/>
      <c r="AF75" s="1049"/>
      <c r="AG75" s="1049"/>
    </row>
    <row r="76" spans="1:80" s="418" customFormat="1" ht="26.4" x14ac:dyDescent="0.3">
      <c r="A76" s="1052">
        <v>231</v>
      </c>
      <c r="B76" s="1049"/>
      <c r="C76" s="1069" t="s">
        <v>1788</v>
      </c>
      <c r="D76" s="1068" t="s">
        <v>387</v>
      </c>
      <c r="E76" s="1062" t="s">
        <v>388</v>
      </c>
      <c r="F76" s="1063">
        <v>0</v>
      </c>
      <c r="G76" s="1063">
        <v>0</v>
      </c>
      <c r="H76" s="1063">
        <v>0</v>
      </c>
      <c r="I76" s="1063">
        <v>0</v>
      </c>
      <c r="J76" s="1063">
        <v>0</v>
      </c>
      <c r="K76" s="1063">
        <v>0</v>
      </c>
      <c r="L76" s="1063">
        <v>0</v>
      </c>
      <c r="M76" s="1063">
        <v>0</v>
      </c>
      <c r="N76" s="1063">
        <v>0</v>
      </c>
      <c r="O76" s="1063">
        <v>0</v>
      </c>
      <c r="P76" s="1063">
        <v>0</v>
      </c>
      <c r="Q76" s="1063">
        <v>0</v>
      </c>
      <c r="R76" s="1063">
        <v>0</v>
      </c>
      <c r="S76" s="1063">
        <v>0</v>
      </c>
      <c r="T76" s="1063">
        <v>0</v>
      </c>
      <c r="U76" s="1063">
        <v>0</v>
      </c>
      <c r="V76" s="1063"/>
      <c r="W76" s="1049"/>
      <c r="X76" s="1049"/>
      <c r="Y76" s="1049"/>
      <c r="Z76" s="1049"/>
      <c r="AA76" s="1066"/>
      <c r="AB76" s="1065"/>
      <c r="AC76" s="1049"/>
      <c r="AD76" s="1049"/>
      <c r="AE76" s="1049"/>
      <c r="AF76" s="1049"/>
      <c r="AG76" s="1049"/>
    </row>
    <row r="77" spans="1:80" s="418" customFormat="1" ht="26.4" x14ac:dyDescent="0.3">
      <c r="A77" s="1052">
        <v>251</v>
      </c>
      <c r="B77" s="1049"/>
      <c r="C77" s="1067">
        <v>251</v>
      </c>
      <c r="D77" s="1068" t="s">
        <v>389</v>
      </c>
      <c r="E77" s="1062" t="s">
        <v>390</v>
      </c>
      <c r="F77" s="1063">
        <v>0</v>
      </c>
      <c r="G77" s="1063">
        <v>0</v>
      </c>
      <c r="H77" s="1063">
        <v>0</v>
      </c>
      <c r="I77" s="1063">
        <v>0</v>
      </c>
      <c r="J77" s="1063">
        <v>0</v>
      </c>
      <c r="K77" s="1063">
        <v>0</v>
      </c>
      <c r="L77" s="1063">
        <v>0</v>
      </c>
      <c r="M77" s="1063">
        <v>0</v>
      </c>
      <c r="N77" s="1063">
        <v>0</v>
      </c>
      <c r="O77" s="1063">
        <v>0</v>
      </c>
      <c r="P77" s="1063">
        <v>0</v>
      </c>
      <c r="Q77" s="1063">
        <v>0</v>
      </c>
      <c r="R77" s="1063">
        <v>0</v>
      </c>
      <c r="S77" s="1063">
        <v>0</v>
      </c>
      <c r="T77" s="1063">
        <v>0</v>
      </c>
      <c r="U77" s="1063">
        <v>0</v>
      </c>
      <c r="V77" s="1063"/>
      <c r="W77" s="1049"/>
      <c r="X77" s="1049"/>
      <c r="Y77" s="1049"/>
      <c r="Z77" s="1049"/>
      <c r="AA77" s="1066"/>
      <c r="AB77" s="1065"/>
      <c r="AC77" s="1049"/>
      <c r="AD77" s="1049"/>
      <c r="AE77" s="1049"/>
      <c r="AF77" s="1049"/>
      <c r="AG77" s="1049"/>
    </row>
    <row r="78" spans="1:80" s="418" customFormat="1" ht="27.6" x14ac:dyDescent="0.3">
      <c r="A78" s="1052">
        <v>252</v>
      </c>
      <c r="B78" s="1049"/>
      <c r="C78" s="1060" t="s">
        <v>1973</v>
      </c>
      <c r="D78" s="1061" t="s">
        <v>103</v>
      </c>
      <c r="E78" s="1062" t="s">
        <v>391</v>
      </c>
      <c r="F78" s="1063">
        <v>0</v>
      </c>
      <c r="G78" s="1063">
        <v>0</v>
      </c>
      <c r="H78" s="1063">
        <v>0</v>
      </c>
      <c r="I78" s="1063">
        <v>0</v>
      </c>
      <c r="J78" s="1063">
        <v>0</v>
      </c>
      <c r="K78" s="1063">
        <v>0</v>
      </c>
      <c r="L78" s="1063">
        <v>0</v>
      </c>
      <c r="M78" s="1063">
        <v>0</v>
      </c>
      <c r="N78" s="1063">
        <v>0</v>
      </c>
      <c r="O78" s="1063">
        <v>0</v>
      </c>
      <c r="P78" s="1063">
        <v>0</v>
      </c>
      <c r="Q78" s="1063">
        <v>0</v>
      </c>
      <c r="R78" s="1063">
        <v>0</v>
      </c>
      <c r="S78" s="1063">
        <v>0</v>
      </c>
      <c r="T78" s="1063">
        <v>0</v>
      </c>
      <c r="U78" s="1063">
        <v>0</v>
      </c>
      <c r="V78" s="1063"/>
      <c r="W78" s="1049"/>
      <c r="X78" s="1049"/>
      <c r="Y78" s="1049"/>
      <c r="Z78" s="1049"/>
      <c r="AA78" s="1066"/>
      <c r="AB78" s="1065"/>
      <c r="AC78" s="1049"/>
      <c r="AD78" s="1049"/>
      <c r="AE78" s="1049"/>
      <c r="AF78" s="1049"/>
      <c r="AG78" s="1049"/>
      <c r="AT78" s="418">
        <v>1240527</v>
      </c>
      <c r="AU78" s="418">
        <v>3967172</v>
      </c>
      <c r="AV78" s="418">
        <v>18104701</v>
      </c>
      <c r="AW78" s="418">
        <v>848692</v>
      </c>
      <c r="AX78" s="418">
        <v>894270</v>
      </c>
      <c r="AY78" s="418">
        <v>12445622</v>
      </c>
      <c r="AZ78" s="418">
        <v>1960296</v>
      </c>
      <c r="BA78" s="418">
        <v>5688984</v>
      </c>
      <c r="BB78" s="418">
        <v>21936</v>
      </c>
      <c r="BC78" s="418">
        <v>1274516</v>
      </c>
      <c r="BD78" s="418">
        <v>0</v>
      </c>
      <c r="BE78" s="418">
        <v>18401</v>
      </c>
      <c r="BF78" s="418">
        <v>25936691</v>
      </c>
      <c r="BG78" s="418">
        <v>0</v>
      </c>
      <c r="BH78" s="418">
        <v>51249</v>
      </c>
      <c r="BI78" s="418">
        <v>2011472</v>
      </c>
      <c r="BJ78" s="418">
        <v>7591841</v>
      </c>
      <c r="BK78" s="418">
        <v>0</v>
      </c>
      <c r="BL78" s="418">
        <v>8774417</v>
      </c>
      <c r="BM78" s="418">
        <v>7330548</v>
      </c>
      <c r="BN78" s="418">
        <v>47440</v>
      </c>
      <c r="BO78" s="418">
        <v>7995695</v>
      </c>
      <c r="BP78" s="418">
        <v>4068031</v>
      </c>
      <c r="BQ78" s="418">
        <v>565322</v>
      </c>
      <c r="BR78" s="418">
        <v>1432425</v>
      </c>
      <c r="BS78" s="418">
        <v>8650791</v>
      </c>
      <c r="BT78" s="418">
        <v>251567133</v>
      </c>
      <c r="BU78" s="418">
        <v>1696284</v>
      </c>
      <c r="BV78" s="418">
        <v>2536762</v>
      </c>
      <c r="BW78" s="418">
        <v>884660</v>
      </c>
      <c r="BX78" s="418">
        <v>3420578</v>
      </c>
      <c r="BY78" s="418">
        <v>7793</v>
      </c>
      <c r="BZ78" s="418">
        <v>5739</v>
      </c>
      <c r="CA78" s="418">
        <v>48932506</v>
      </c>
      <c r="CB78" s="418">
        <v>198855</v>
      </c>
    </row>
    <row r="79" spans="1:80" s="418" customFormat="1" ht="15.6" x14ac:dyDescent="0.3">
      <c r="A79" s="1052">
        <v>253</v>
      </c>
      <c r="B79" s="1049"/>
      <c r="C79" s="1060" t="s">
        <v>1974</v>
      </c>
      <c r="D79" s="1061" t="s">
        <v>104</v>
      </c>
      <c r="E79" s="1062" t="s">
        <v>392</v>
      </c>
      <c r="F79" s="1063">
        <v>0</v>
      </c>
      <c r="G79" s="1063">
        <v>0</v>
      </c>
      <c r="H79" s="1063">
        <v>0</v>
      </c>
      <c r="I79" s="1063">
        <v>0</v>
      </c>
      <c r="J79" s="1063">
        <v>0</v>
      </c>
      <c r="K79" s="1063">
        <v>0</v>
      </c>
      <c r="L79" s="1063">
        <v>0</v>
      </c>
      <c r="M79" s="1063">
        <v>0</v>
      </c>
      <c r="N79" s="1063">
        <v>0</v>
      </c>
      <c r="O79" s="1063">
        <v>0</v>
      </c>
      <c r="P79" s="1063">
        <v>0</v>
      </c>
      <c r="Q79" s="1063">
        <v>0</v>
      </c>
      <c r="R79" s="1063">
        <v>0</v>
      </c>
      <c r="S79" s="1063">
        <v>0</v>
      </c>
      <c r="T79" s="1063">
        <v>0</v>
      </c>
      <c r="U79" s="1063">
        <v>0</v>
      </c>
      <c r="V79" s="1063"/>
      <c r="W79" s="1049"/>
      <c r="X79" s="1049"/>
      <c r="Y79" s="1049"/>
      <c r="Z79" s="1049"/>
      <c r="AA79" s="1066"/>
      <c r="AB79" s="1049"/>
      <c r="AC79" s="1049"/>
      <c r="AD79" s="1049"/>
      <c r="AE79" s="1049"/>
      <c r="AF79" s="1049"/>
      <c r="AG79" s="1049"/>
      <c r="AT79" s="418">
        <v>73003</v>
      </c>
      <c r="AU79" s="418">
        <v>926288</v>
      </c>
      <c r="AV79" s="418">
        <v>2127871</v>
      </c>
      <c r="AW79" s="418">
        <v>10826</v>
      </c>
      <c r="AX79" s="418">
        <v>225361</v>
      </c>
      <c r="AY79" s="418">
        <v>285386</v>
      </c>
      <c r="AZ79" s="418">
        <v>922408</v>
      </c>
      <c r="BA79" s="418">
        <v>1517207</v>
      </c>
      <c r="BB79" s="418">
        <v>49684</v>
      </c>
      <c r="BC79" s="418">
        <v>662337</v>
      </c>
      <c r="BD79" s="418">
        <v>0</v>
      </c>
      <c r="BE79" s="418">
        <v>15860</v>
      </c>
      <c r="BF79" s="418">
        <v>3213489</v>
      </c>
      <c r="BG79" s="418">
        <v>0</v>
      </c>
      <c r="BH79" s="418">
        <v>29512</v>
      </c>
      <c r="BI79" s="418">
        <v>445952</v>
      </c>
      <c r="BJ79" s="418">
        <v>453580</v>
      </c>
      <c r="BK79" s="418">
        <v>0</v>
      </c>
      <c r="BL79" s="418">
        <v>952637</v>
      </c>
      <c r="BM79" s="418">
        <v>432469</v>
      </c>
      <c r="BN79" s="418">
        <v>5800</v>
      </c>
      <c r="BO79" s="418">
        <v>1529703</v>
      </c>
      <c r="BP79" s="418">
        <v>343060</v>
      </c>
      <c r="BQ79" s="418">
        <v>226345</v>
      </c>
      <c r="BR79" s="418">
        <v>506246</v>
      </c>
      <c r="BS79" s="418">
        <v>79976</v>
      </c>
      <c r="BT79" s="418">
        <v>7149641</v>
      </c>
      <c r="BU79" s="418">
        <v>333682</v>
      </c>
      <c r="BV79" s="418">
        <v>456897</v>
      </c>
      <c r="BW79" s="418">
        <v>142338</v>
      </c>
      <c r="BX79" s="418">
        <v>553493</v>
      </c>
      <c r="BY79" s="418">
        <v>21475</v>
      </c>
      <c r="BZ79" s="418">
        <v>23979</v>
      </c>
      <c r="CA79" s="418">
        <v>2535935</v>
      </c>
      <c r="CB79" s="418">
        <v>8569</v>
      </c>
    </row>
    <row r="80" spans="1:80" s="418" customFormat="1" ht="15.6" x14ac:dyDescent="0.3">
      <c r="A80" s="1052">
        <v>254</v>
      </c>
      <c r="B80" s="1049"/>
      <c r="C80" s="1060" t="s">
        <v>1975</v>
      </c>
      <c r="D80" s="1061" t="s">
        <v>105</v>
      </c>
      <c r="E80" s="1062" t="s">
        <v>393</v>
      </c>
      <c r="F80" s="1063">
        <v>0</v>
      </c>
      <c r="G80" s="1063">
        <v>0</v>
      </c>
      <c r="H80" s="1063">
        <v>0</v>
      </c>
      <c r="I80" s="1063">
        <v>0</v>
      </c>
      <c r="J80" s="1063">
        <v>0</v>
      </c>
      <c r="K80" s="1063">
        <v>0</v>
      </c>
      <c r="L80" s="1063">
        <v>0</v>
      </c>
      <c r="M80" s="1063">
        <v>0</v>
      </c>
      <c r="N80" s="1063">
        <v>0</v>
      </c>
      <c r="O80" s="1063">
        <v>0</v>
      </c>
      <c r="P80" s="1063">
        <v>0</v>
      </c>
      <c r="Q80" s="1063">
        <v>0</v>
      </c>
      <c r="R80" s="1063">
        <v>0</v>
      </c>
      <c r="S80" s="1063">
        <v>0</v>
      </c>
      <c r="T80" s="1063">
        <v>0</v>
      </c>
      <c r="U80" s="1063">
        <v>0</v>
      </c>
      <c r="V80" s="1063"/>
      <c r="W80" s="1049"/>
      <c r="X80" s="1049"/>
      <c r="Y80" s="1049"/>
      <c r="Z80" s="1049"/>
      <c r="AA80" s="1066"/>
      <c r="AB80" s="1049"/>
      <c r="AC80" s="1049"/>
      <c r="AD80" s="1049"/>
      <c r="AE80" s="1049"/>
      <c r="AF80" s="1049"/>
      <c r="AG80" s="1049"/>
      <c r="AT80" s="418">
        <v>157669</v>
      </c>
      <c r="AU80" s="418">
        <v>168393</v>
      </c>
      <c r="AV80" s="418">
        <v>-6051578</v>
      </c>
      <c r="AW80" s="418">
        <v>146800</v>
      </c>
      <c r="AX80" s="418">
        <v>310480</v>
      </c>
      <c r="AY80" s="418">
        <v>935109</v>
      </c>
      <c r="AZ80" s="418">
        <v>1374318</v>
      </c>
      <c r="BA80" s="418">
        <v>-556067</v>
      </c>
      <c r="BB80" s="418">
        <v>76569</v>
      </c>
      <c r="BC80" s="418">
        <v>673131</v>
      </c>
      <c r="BD80" s="418">
        <v>0</v>
      </c>
      <c r="BE80" s="418">
        <v>384872</v>
      </c>
      <c r="BF80" s="418">
        <v>-30208987</v>
      </c>
      <c r="BG80" s="418">
        <v>0</v>
      </c>
      <c r="BH80" s="418">
        <v>153727</v>
      </c>
      <c r="BI80" s="418">
        <v>-992453</v>
      </c>
      <c r="BJ80" s="418">
        <v>2494348</v>
      </c>
      <c r="BK80" s="418">
        <v>0</v>
      </c>
      <c r="BL80" s="418">
        <v>1783466</v>
      </c>
      <c r="BM80" s="418">
        <v>3652165</v>
      </c>
      <c r="BN80" s="418">
        <v>136189</v>
      </c>
      <c r="BO80" s="418">
        <v>1880575</v>
      </c>
      <c r="BP80" s="418">
        <v>3131400</v>
      </c>
      <c r="BQ80" s="418">
        <v>1361244</v>
      </c>
      <c r="BR80" s="418">
        <v>2141629</v>
      </c>
      <c r="BS80" s="418">
        <v>3002283</v>
      </c>
      <c r="BT80" s="418">
        <v>2926238</v>
      </c>
      <c r="BU80" s="418">
        <v>2327954</v>
      </c>
      <c r="BV80" s="418">
        <v>-1998234</v>
      </c>
      <c r="BW80" s="418">
        <v>549799</v>
      </c>
      <c r="BX80" s="418">
        <v>751260</v>
      </c>
      <c r="BY80" s="418">
        <v>165573</v>
      </c>
      <c r="BZ80" s="418">
        <v>193444</v>
      </c>
      <c r="CA80" s="418">
        <v>6215856</v>
      </c>
      <c r="CB80" s="418">
        <v>106377</v>
      </c>
    </row>
    <row r="81" spans="1:80" s="418" customFormat="1" ht="15.6" x14ac:dyDescent="0.3">
      <c r="A81" s="1052">
        <v>255</v>
      </c>
      <c r="B81" s="1049"/>
      <c r="C81" s="1060" t="s">
        <v>1976</v>
      </c>
      <c r="D81" s="1061" t="s">
        <v>197</v>
      </c>
      <c r="E81" s="1062" t="s">
        <v>394</v>
      </c>
      <c r="F81" s="1063">
        <v>0</v>
      </c>
      <c r="G81" s="1063">
        <v>0</v>
      </c>
      <c r="H81" s="1063">
        <v>0</v>
      </c>
      <c r="I81" s="1063">
        <v>0</v>
      </c>
      <c r="J81" s="1063">
        <v>0</v>
      </c>
      <c r="K81" s="1063">
        <v>0</v>
      </c>
      <c r="L81" s="1063">
        <v>0</v>
      </c>
      <c r="M81" s="1063">
        <v>0</v>
      </c>
      <c r="N81" s="1063">
        <v>0</v>
      </c>
      <c r="O81" s="1063">
        <v>0</v>
      </c>
      <c r="P81" s="1063">
        <v>0</v>
      </c>
      <c r="Q81" s="1063">
        <v>0</v>
      </c>
      <c r="R81" s="1063">
        <v>0</v>
      </c>
      <c r="S81" s="1063">
        <v>0</v>
      </c>
      <c r="T81" s="1063">
        <v>0</v>
      </c>
      <c r="U81" s="1063">
        <v>0</v>
      </c>
      <c r="V81" s="1063"/>
      <c r="W81" s="1049"/>
      <c r="X81" s="1049"/>
      <c r="Y81" s="1049"/>
      <c r="Z81" s="1049"/>
      <c r="AA81" s="1066"/>
      <c r="AB81" s="1065"/>
      <c r="AT81" s="418">
        <v>141939</v>
      </c>
      <c r="AU81" s="418">
        <v>-117987</v>
      </c>
      <c r="AV81" s="418">
        <v>1461836</v>
      </c>
      <c r="AW81" s="418">
        <v>36686</v>
      </c>
      <c r="AX81" s="418">
        <v>29678</v>
      </c>
      <c r="AY81" s="418">
        <v>2667087</v>
      </c>
      <c r="AZ81" s="418">
        <v>85172</v>
      </c>
      <c r="BA81" s="418">
        <v>63460</v>
      </c>
      <c r="BB81" s="418">
        <v>22321</v>
      </c>
      <c r="BC81" s="418">
        <v>40420</v>
      </c>
      <c r="BD81" s="418">
        <v>0</v>
      </c>
      <c r="BE81" s="418">
        <v>14439</v>
      </c>
      <c r="BF81" s="418">
        <v>-1010183</v>
      </c>
      <c r="BG81" s="418">
        <v>0</v>
      </c>
      <c r="BH81" s="418">
        <v>16715</v>
      </c>
      <c r="BI81" s="418">
        <v>-376516</v>
      </c>
      <c r="BJ81" s="418">
        <v>471463</v>
      </c>
      <c r="BK81" s="418">
        <v>0</v>
      </c>
      <c r="BL81" s="418">
        <v>87778</v>
      </c>
      <c r="BM81" s="418">
        <v>-133539</v>
      </c>
      <c r="BN81" s="418">
        <v>6387</v>
      </c>
      <c r="BO81" s="418">
        <v>-876725</v>
      </c>
      <c r="BP81" s="418">
        <v>258453</v>
      </c>
      <c r="BQ81" s="418">
        <v>-70937</v>
      </c>
      <c r="BR81" s="418">
        <v>1403235</v>
      </c>
      <c r="BS81" s="418">
        <v>5228882</v>
      </c>
      <c r="BT81" s="418">
        <v>-292047</v>
      </c>
      <c r="BU81" s="418">
        <v>-5973</v>
      </c>
      <c r="BV81" s="418">
        <v>211489</v>
      </c>
      <c r="BW81" s="418">
        <v>-25043</v>
      </c>
      <c r="BX81" s="418">
        <v>406106</v>
      </c>
      <c r="BY81" s="418">
        <v>8253</v>
      </c>
      <c r="BZ81" s="418">
        <v>6444</v>
      </c>
      <c r="CA81" s="418">
        <v>3971837</v>
      </c>
      <c r="CB81" s="418">
        <v>12487</v>
      </c>
    </row>
    <row r="82" spans="1:80" s="418" customFormat="1" ht="15.6" x14ac:dyDescent="0.3">
      <c r="A82" s="1052">
        <v>274</v>
      </c>
      <c r="B82" s="1049"/>
      <c r="C82" s="1060" t="s">
        <v>1789</v>
      </c>
      <c r="D82" s="1061" t="s">
        <v>395</v>
      </c>
      <c r="E82" s="1062" t="s">
        <v>396</v>
      </c>
      <c r="F82" s="1063">
        <v>0</v>
      </c>
      <c r="G82" s="1063">
        <v>0</v>
      </c>
      <c r="H82" s="1063">
        <v>0</v>
      </c>
      <c r="I82" s="1063">
        <v>0</v>
      </c>
      <c r="J82" s="1063">
        <v>0</v>
      </c>
      <c r="K82" s="1063">
        <v>0</v>
      </c>
      <c r="L82" s="1063">
        <v>0</v>
      </c>
      <c r="M82" s="1063">
        <v>0</v>
      </c>
      <c r="N82" s="1063">
        <v>0</v>
      </c>
      <c r="O82" s="1063">
        <v>0</v>
      </c>
      <c r="P82" s="1063">
        <v>0</v>
      </c>
      <c r="Q82" s="1063">
        <v>0</v>
      </c>
      <c r="R82" s="1063">
        <v>0</v>
      </c>
      <c r="S82" s="1063">
        <v>0</v>
      </c>
      <c r="T82" s="1063">
        <v>0</v>
      </c>
      <c r="U82" s="1063">
        <v>0</v>
      </c>
      <c r="V82" s="1063"/>
      <c r="W82" s="1049"/>
      <c r="X82" s="1049"/>
      <c r="Y82" s="1049"/>
      <c r="Z82" s="1049"/>
      <c r="AA82" s="1066"/>
      <c r="AB82" s="1065"/>
    </row>
    <row r="83" spans="1:80" s="418" customFormat="1" ht="15.6" x14ac:dyDescent="0.3">
      <c r="A83" s="1052">
        <v>294</v>
      </c>
      <c r="B83" s="1053">
        <v>294</v>
      </c>
      <c r="C83" s="1060" t="s">
        <v>1790</v>
      </c>
      <c r="D83" s="1068" t="s">
        <v>1725</v>
      </c>
      <c r="E83" s="1062" t="s">
        <v>397</v>
      </c>
      <c r="F83" s="1063">
        <v>-509166</v>
      </c>
      <c r="G83" s="1063">
        <v>45487764</v>
      </c>
      <c r="H83" s="1063">
        <v>22151466</v>
      </c>
      <c r="I83" s="1063">
        <v>14248712</v>
      </c>
      <c r="J83" s="1063">
        <v>0</v>
      </c>
      <c r="K83" s="1063">
        <v>0</v>
      </c>
      <c r="L83" s="1063">
        <v>0</v>
      </c>
      <c r="M83" s="1063">
        <v>0</v>
      </c>
      <c r="N83" s="1063">
        <v>6150782</v>
      </c>
      <c r="O83" s="1063">
        <v>-1261008</v>
      </c>
      <c r="P83" s="1063">
        <v>-1322033</v>
      </c>
      <c r="Q83" s="1063">
        <v>0</v>
      </c>
      <c r="R83" s="1063">
        <v>4800310</v>
      </c>
      <c r="S83" s="1063">
        <v>6880864</v>
      </c>
      <c r="T83" s="1063">
        <v>1196385</v>
      </c>
      <c r="U83" s="1063">
        <v>4807542</v>
      </c>
      <c r="V83" s="1063"/>
      <c r="W83" s="1049"/>
      <c r="X83" s="1049"/>
      <c r="Y83" s="1064"/>
      <c r="Z83" s="1065"/>
      <c r="AA83" s="1066"/>
      <c r="AB83" s="1065"/>
    </row>
    <row r="84" spans="1:80" s="418" customFormat="1" ht="39.6" x14ac:dyDescent="0.3">
      <c r="A84" s="1052">
        <v>314</v>
      </c>
      <c r="B84" s="1049"/>
      <c r="C84" s="1067">
        <v>314</v>
      </c>
      <c r="D84" s="1068" t="s">
        <v>398</v>
      </c>
      <c r="E84" s="1062" t="s">
        <v>399</v>
      </c>
      <c r="F84" s="1063">
        <v>0</v>
      </c>
      <c r="G84" s="1063">
        <v>0</v>
      </c>
      <c r="H84" s="1063">
        <v>0</v>
      </c>
      <c r="I84" s="1063">
        <v>0</v>
      </c>
      <c r="J84" s="1063">
        <v>0</v>
      </c>
      <c r="K84" s="1063">
        <v>0</v>
      </c>
      <c r="L84" s="1063">
        <v>0</v>
      </c>
      <c r="M84" s="1063">
        <v>0</v>
      </c>
      <c r="N84" s="1063">
        <v>0</v>
      </c>
      <c r="O84" s="1063">
        <v>0</v>
      </c>
      <c r="P84" s="1063">
        <v>0</v>
      </c>
      <c r="Q84" s="1063">
        <v>0</v>
      </c>
      <c r="R84" s="1063">
        <v>0</v>
      </c>
      <c r="S84" s="1063">
        <v>0</v>
      </c>
      <c r="T84" s="1063">
        <v>0</v>
      </c>
      <c r="U84" s="1063">
        <v>0</v>
      </c>
      <c r="V84" s="1063"/>
      <c r="W84" s="1049"/>
      <c r="X84" s="1049"/>
      <c r="Y84" s="1049"/>
      <c r="Z84" s="1049"/>
      <c r="AA84" s="1066"/>
      <c r="AB84" s="1065"/>
    </row>
    <row r="85" spans="1:80" s="418" customFormat="1" ht="26.4" x14ac:dyDescent="0.3">
      <c r="A85" s="1052">
        <v>315</v>
      </c>
      <c r="B85" s="1049"/>
      <c r="C85" s="1067">
        <v>315</v>
      </c>
      <c r="D85" s="1068" t="s">
        <v>400</v>
      </c>
      <c r="E85" s="1062" t="s">
        <v>401</v>
      </c>
      <c r="F85" s="1063">
        <v>0</v>
      </c>
      <c r="G85" s="1063">
        <v>0</v>
      </c>
      <c r="H85" s="1063">
        <v>0</v>
      </c>
      <c r="I85" s="1063">
        <v>0</v>
      </c>
      <c r="J85" s="1063">
        <v>0</v>
      </c>
      <c r="K85" s="1063">
        <v>0</v>
      </c>
      <c r="L85" s="1063">
        <v>0</v>
      </c>
      <c r="M85" s="1063">
        <v>0</v>
      </c>
      <c r="N85" s="1063">
        <v>0</v>
      </c>
      <c r="O85" s="1063">
        <v>0</v>
      </c>
      <c r="P85" s="1063">
        <v>0</v>
      </c>
      <c r="Q85" s="1063">
        <v>0</v>
      </c>
      <c r="R85" s="1063">
        <v>0</v>
      </c>
      <c r="S85" s="1063">
        <v>0</v>
      </c>
      <c r="T85" s="1063">
        <v>0</v>
      </c>
      <c r="U85" s="1063">
        <v>0</v>
      </c>
      <c r="V85" s="1063"/>
      <c r="W85" s="1049"/>
      <c r="X85" s="1049"/>
      <c r="Y85" s="1049"/>
      <c r="Z85" s="1049"/>
      <c r="AA85" s="1066"/>
      <c r="AB85" s="1065"/>
    </row>
    <row r="86" spans="1:80" s="418" customFormat="1" ht="26.4" x14ac:dyDescent="0.3">
      <c r="A86" s="1052">
        <v>316</v>
      </c>
      <c r="B86" s="1049"/>
      <c r="C86" s="1067">
        <v>316</v>
      </c>
      <c r="D86" s="1068" t="s">
        <v>402</v>
      </c>
      <c r="E86" s="1062" t="s">
        <v>403</v>
      </c>
      <c r="F86" s="1063">
        <v>0</v>
      </c>
      <c r="G86" s="1063">
        <v>0</v>
      </c>
      <c r="H86" s="1063">
        <v>0</v>
      </c>
      <c r="I86" s="1063">
        <v>0</v>
      </c>
      <c r="J86" s="1063">
        <v>0</v>
      </c>
      <c r="K86" s="1063">
        <v>0</v>
      </c>
      <c r="L86" s="1063">
        <v>0</v>
      </c>
      <c r="M86" s="1063">
        <v>0</v>
      </c>
      <c r="N86" s="1063">
        <v>0</v>
      </c>
      <c r="O86" s="1063">
        <v>0</v>
      </c>
      <c r="P86" s="1063">
        <v>0</v>
      </c>
      <c r="Q86" s="1063">
        <v>0</v>
      </c>
      <c r="R86" s="1063">
        <v>0</v>
      </c>
      <c r="S86" s="1063">
        <v>0</v>
      </c>
      <c r="T86" s="1063">
        <v>0</v>
      </c>
      <c r="U86" s="1063">
        <v>0</v>
      </c>
      <c r="V86" s="1063"/>
      <c r="W86" s="1049"/>
      <c r="X86" s="1049"/>
      <c r="Y86" s="1049"/>
      <c r="Z86" s="1049"/>
      <c r="AA86" s="1066"/>
      <c r="AB86" s="1065"/>
    </row>
    <row r="87" spans="1:80" s="418" customFormat="1" ht="15.6" x14ac:dyDescent="0.3">
      <c r="A87" s="1052">
        <v>320</v>
      </c>
      <c r="B87" s="1049"/>
      <c r="C87" s="1060" t="s">
        <v>1977</v>
      </c>
      <c r="D87" s="1061" t="s">
        <v>258</v>
      </c>
      <c r="E87" s="1062" t="s">
        <v>404</v>
      </c>
      <c r="F87" s="1063">
        <v>0</v>
      </c>
      <c r="G87" s="1063">
        <v>0</v>
      </c>
      <c r="H87" s="1063">
        <v>0</v>
      </c>
      <c r="I87" s="1063">
        <v>0</v>
      </c>
      <c r="J87" s="1063">
        <v>0</v>
      </c>
      <c r="K87" s="1063">
        <v>0</v>
      </c>
      <c r="L87" s="1063">
        <v>0</v>
      </c>
      <c r="M87" s="1063">
        <v>0</v>
      </c>
      <c r="N87" s="1063">
        <v>0</v>
      </c>
      <c r="O87" s="1063">
        <v>0</v>
      </c>
      <c r="P87" s="1063">
        <v>0</v>
      </c>
      <c r="Q87" s="1063">
        <v>0</v>
      </c>
      <c r="R87" s="1063">
        <v>0</v>
      </c>
      <c r="S87" s="1063">
        <v>0</v>
      </c>
      <c r="T87" s="1063">
        <v>0</v>
      </c>
      <c r="U87" s="1063">
        <v>0</v>
      </c>
      <c r="V87" s="1063"/>
      <c r="W87" s="1049"/>
      <c r="X87" s="1049"/>
      <c r="Y87" s="1049"/>
      <c r="Z87" s="1049"/>
      <c r="AA87" s="1066"/>
      <c r="AB87" s="1065"/>
    </row>
    <row r="88" spans="1:80" s="418" customFormat="1" ht="15.6" x14ac:dyDescent="0.3">
      <c r="A88" s="1052">
        <v>321</v>
      </c>
      <c r="B88" s="1049"/>
      <c r="C88" s="1060" t="s">
        <v>1978</v>
      </c>
      <c r="D88" s="1061" t="s">
        <v>1791</v>
      </c>
      <c r="E88" s="1062" t="s">
        <v>405</v>
      </c>
      <c r="F88" s="1063">
        <v>0</v>
      </c>
      <c r="G88" s="1063">
        <v>0</v>
      </c>
      <c r="H88" s="1063">
        <v>0</v>
      </c>
      <c r="I88" s="1063">
        <v>0</v>
      </c>
      <c r="J88" s="1063">
        <v>0</v>
      </c>
      <c r="K88" s="1063">
        <v>0</v>
      </c>
      <c r="L88" s="1063">
        <v>0</v>
      </c>
      <c r="M88" s="1063">
        <v>0</v>
      </c>
      <c r="N88" s="1063">
        <v>0</v>
      </c>
      <c r="O88" s="1063">
        <v>0</v>
      </c>
      <c r="P88" s="1063">
        <v>0</v>
      </c>
      <c r="Q88" s="1063">
        <v>0</v>
      </c>
      <c r="R88" s="1063">
        <v>0</v>
      </c>
      <c r="S88" s="1063">
        <v>0</v>
      </c>
      <c r="T88" s="1063">
        <v>0</v>
      </c>
      <c r="U88" s="1063">
        <v>0</v>
      </c>
      <c r="V88" s="1063"/>
      <c r="W88" s="1049"/>
      <c r="X88" s="1049"/>
      <c r="Y88" s="1049"/>
      <c r="Z88" s="1049"/>
      <c r="AA88" s="1066"/>
      <c r="AB88" s="1065"/>
    </row>
    <row r="89" spans="1:80" s="418" customFormat="1" ht="15.6" x14ac:dyDescent="0.3">
      <c r="A89" s="1052">
        <v>322</v>
      </c>
      <c r="B89" s="1049"/>
      <c r="C89" s="1060" t="s">
        <v>1979</v>
      </c>
      <c r="D89" s="1061" t="s">
        <v>260</v>
      </c>
      <c r="E89" s="1062" t="s">
        <v>406</v>
      </c>
      <c r="F89" s="1063">
        <v>0</v>
      </c>
      <c r="G89" s="1063">
        <v>0</v>
      </c>
      <c r="H89" s="1063">
        <v>0</v>
      </c>
      <c r="I89" s="1063">
        <v>0</v>
      </c>
      <c r="J89" s="1063">
        <v>0</v>
      </c>
      <c r="K89" s="1063">
        <v>0</v>
      </c>
      <c r="L89" s="1063">
        <v>0</v>
      </c>
      <c r="M89" s="1063">
        <v>0</v>
      </c>
      <c r="N89" s="1063">
        <v>0</v>
      </c>
      <c r="O89" s="1063">
        <v>0</v>
      </c>
      <c r="P89" s="1063">
        <v>0</v>
      </c>
      <c r="Q89" s="1063">
        <v>0</v>
      </c>
      <c r="R89" s="1063">
        <v>0</v>
      </c>
      <c r="S89" s="1063">
        <v>0</v>
      </c>
      <c r="T89" s="1063">
        <v>0</v>
      </c>
      <c r="U89" s="1063">
        <v>0</v>
      </c>
      <c r="V89" s="1063"/>
      <c r="W89" s="1049"/>
      <c r="X89" s="1049"/>
      <c r="Y89" s="1049"/>
      <c r="Z89" s="1049"/>
      <c r="AA89" s="1066"/>
      <c r="AB89" s="1065"/>
    </row>
    <row r="90" spans="1:80" s="418" customFormat="1" ht="15.6" x14ac:dyDescent="0.3">
      <c r="A90" s="1052">
        <v>323</v>
      </c>
      <c r="B90" s="1049"/>
      <c r="C90" s="1060" t="s">
        <v>1980</v>
      </c>
      <c r="D90" s="1061" t="s">
        <v>259</v>
      </c>
      <c r="E90" s="1062" t="s">
        <v>407</v>
      </c>
      <c r="F90" s="1063">
        <v>0</v>
      </c>
      <c r="G90" s="1063">
        <v>0</v>
      </c>
      <c r="H90" s="1063">
        <v>0</v>
      </c>
      <c r="I90" s="1063">
        <v>0</v>
      </c>
      <c r="J90" s="1063">
        <v>0</v>
      </c>
      <c r="K90" s="1063">
        <v>0</v>
      </c>
      <c r="L90" s="1063">
        <v>0</v>
      </c>
      <c r="M90" s="1063">
        <v>0</v>
      </c>
      <c r="N90" s="1063">
        <v>0</v>
      </c>
      <c r="O90" s="1063">
        <v>0</v>
      </c>
      <c r="P90" s="1063">
        <v>0</v>
      </c>
      <c r="Q90" s="1063">
        <v>0</v>
      </c>
      <c r="R90" s="1063">
        <v>0</v>
      </c>
      <c r="S90" s="1063">
        <v>0</v>
      </c>
      <c r="T90" s="1063">
        <v>0</v>
      </c>
      <c r="U90" s="1063">
        <v>0</v>
      </c>
      <c r="V90" s="1063"/>
      <c r="W90" s="1049"/>
      <c r="X90" s="1049"/>
      <c r="Y90" s="1049"/>
      <c r="Z90" s="1049"/>
      <c r="AA90" s="1066"/>
      <c r="AB90" s="1065"/>
    </row>
    <row r="91" spans="1:80" s="418" customFormat="1" ht="15.6" x14ac:dyDescent="0.3">
      <c r="A91" s="1052">
        <v>324</v>
      </c>
      <c r="B91" s="1049"/>
      <c r="C91" s="1060" t="s">
        <v>1981</v>
      </c>
      <c r="D91" s="1061" t="s">
        <v>257</v>
      </c>
      <c r="E91" s="1062" t="s">
        <v>408</v>
      </c>
      <c r="F91" s="1063">
        <v>0</v>
      </c>
      <c r="G91" s="1063">
        <v>0</v>
      </c>
      <c r="H91" s="1063">
        <v>0</v>
      </c>
      <c r="I91" s="1063">
        <v>0</v>
      </c>
      <c r="J91" s="1063">
        <v>0</v>
      </c>
      <c r="K91" s="1063">
        <v>0</v>
      </c>
      <c r="L91" s="1063">
        <v>0</v>
      </c>
      <c r="M91" s="1063">
        <v>0</v>
      </c>
      <c r="N91" s="1063">
        <v>0</v>
      </c>
      <c r="O91" s="1063">
        <v>0</v>
      </c>
      <c r="P91" s="1063">
        <v>0</v>
      </c>
      <c r="Q91" s="1063">
        <v>0</v>
      </c>
      <c r="R91" s="1063">
        <v>0</v>
      </c>
      <c r="S91" s="1063">
        <v>0</v>
      </c>
      <c r="T91" s="1063">
        <v>0</v>
      </c>
      <c r="U91" s="1063">
        <v>0</v>
      </c>
      <c r="V91" s="1063"/>
      <c r="W91" s="1049"/>
      <c r="X91" s="1049"/>
      <c r="Y91" s="1049"/>
      <c r="Z91" s="1049"/>
      <c r="AA91" s="1066"/>
      <c r="AB91" s="1065"/>
    </row>
    <row r="92" spans="1:80" s="418" customFormat="1" ht="15.6" x14ac:dyDescent="0.3">
      <c r="A92" s="1052">
        <v>325</v>
      </c>
      <c r="B92" s="1049"/>
      <c r="C92" s="1060" t="s">
        <v>1982</v>
      </c>
      <c r="D92" s="1061" t="s">
        <v>261</v>
      </c>
      <c r="E92" s="1062" t="s">
        <v>409</v>
      </c>
      <c r="F92" s="1063">
        <v>0</v>
      </c>
      <c r="G92" s="1063">
        <v>0</v>
      </c>
      <c r="H92" s="1063">
        <v>0</v>
      </c>
      <c r="I92" s="1063">
        <v>0</v>
      </c>
      <c r="J92" s="1063">
        <v>0</v>
      </c>
      <c r="K92" s="1063">
        <v>0</v>
      </c>
      <c r="L92" s="1063">
        <v>0</v>
      </c>
      <c r="M92" s="1063">
        <v>0</v>
      </c>
      <c r="N92" s="1063">
        <v>0</v>
      </c>
      <c r="O92" s="1063">
        <v>0</v>
      </c>
      <c r="P92" s="1063">
        <v>0</v>
      </c>
      <c r="Q92" s="1063">
        <v>0</v>
      </c>
      <c r="R92" s="1063">
        <v>0</v>
      </c>
      <c r="S92" s="1063">
        <v>0</v>
      </c>
      <c r="T92" s="1063">
        <v>0</v>
      </c>
      <c r="U92" s="1063">
        <v>0</v>
      </c>
      <c r="V92" s="1063"/>
      <c r="W92" s="1049"/>
      <c r="X92" s="1049"/>
      <c r="Y92" s="1049"/>
      <c r="Z92" s="1049"/>
      <c r="AA92" s="1066"/>
      <c r="AB92" s="1065"/>
    </row>
    <row r="93" spans="1:80" s="418" customFormat="1" ht="15" x14ac:dyDescent="0.3">
      <c r="A93" s="1052">
        <v>326</v>
      </c>
      <c r="B93" s="1049"/>
      <c r="C93" s="1069" t="s">
        <v>1792</v>
      </c>
      <c r="D93" s="1068" t="s">
        <v>1793</v>
      </c>
      <c r="E93" s="1062" t="s">
        <v>410</v>
      </c>
      <c r="F93" s="1063">
        <v>0</v>
      </c>
      <c r="G93" s="1063">
        <v>0</v>
      </c>
      <c r="H93" s="1063">
        <v>0</v>
      </c>
      <c r="I93" s="1063">
        <v>0</v>
      </c>
      <c r="J93" s="1063">
        <v>0</v>
      </c>
      <c r="K93" s="1063">
        <v>0</v>
      </c>
      <c r="L93" s="1063">
        <v>0</v>
      </c>
      <c r="M93" s="1063">
        <v>0</v>
      </c>
      <c r="N93" s="1063">
        <v>0</v>
      </c>
      <c r="O93" s="1063">
        <v>0</v>
      </c>
      <c r="P93" s="1063">
        <v>0</v>
      </c>
      <c r="Q93" s="1063">
        <v>0</v>
      </c>
      <c r="R93" s="1063">
        <v>0</v>
      </c>
      <c r="S93" s="1063">
        <v>0</v>
      </c>
      <c r="T93" s="1063">
        <v>0</v>
      </c>
      <c r="U93" s="1063">
        <v>0</v>
      </c>
      <c r="V93" s="1063"/>
      <c r="W93" s="1049"/>
      <c r="X93" s="1049"/>
      <c r="Y93" s="1049"/>
      <c r="Z93" s="1049"/>
      <c r="AA93" s="1066"/>
      <c r="AB93" s="1065"/>
    </row>
    <row r="94" spans="1:80" s="418" customFormat="1" ht="27.6" x14ac:dyDescent="0.3">
      <c r="A94" s="1052">
        <v>327</v>
      </c>
      <c r="B94" s="1049"/>
      <c r="C94" s="1060" t="s">
        <v>1983</v>
      </c>
      <c r="D94" s="1061" t="s">
        <v>550</v>
      </c>
      <c r="E94" s="1062" t="s">
        <v>411</v>
      </c>
      <c r="F94" s="1063">
        <v>0</v>
      </c>
      <c r="G94" s="1063">
        <v>0</v>
      </c>
      <c r="H94" s="1063">
        <v>0</v>
      </c>
      <c r="I94" s="1063">
        <v>0</v>
      </c>
      <c r="J94" s="1063">
        <v>0</v>
      </c>
      <c r="K94" s="1063">
        <v>0</v>
      </c>
      <c r="L94" s="1063">
        <v>0</v>
      </c>
      <c r="M94" s="1063">
        <v>0</v>
      </c>
      <c r="N94" s="1063">
        <v>0</v>
      </c>
      <c r="O94" s="1063">
        <v>0</v>
      </c>
      <c r="P94" s="1063">
        <v>0</v>
      </c>
      <c r="Q94" s="1063">
        <v>0</v>
      </c>
      <c r="R94" s="1063">
        <v>0</v>
      </c>
      <c r="S94" s="1063">
        <v>0</v>
      </c>
      <c r="T94" s="1063">
        <v>0</v>
      </c>
      <c r="U94" s="1063">
        <v>0</v>
      </c>
      <c r="V94" s="1063"/>
      <c r="W94" s="1049"/>
      <c r="X94" s="1049"/>
      <c r="Y94" s="1049"/>
      <c r="Z94" s="1049"/>
      <c r="AA94" s="1066"/>
      <c r="AB94" s="1065"/>
      <c r="AT94" s="418">
        <v>14900</v>
      </c>
      <c r="AU94" s="418">
        <v>149857</v>
      </c>
      <c r="AV94" s="418">
        <v>122600</v>
      </c>
      <c r="AW94" s="418">
        <v>0</v>
      </c>
      <c r="AX94" s="418">
        <v>1500</v>
      </c>
      <c r="AY94" s="418">
        <v>0</v>
      </c>
      <c r="AZ94" s="418">
        <v>0</v>
      </c>
      <c r="BA94" s="418">
        <v>15485</v>
      </c>
      <c r="BB94" s="418">
        <v>0</v>
      </c>
      <c r="BC94" s="418">
        <v>15000</v>
      </c>
      <c r="BD94" s="418">
        <v>0</v>
      </c>
      <c r="BE94" s="418">
        <v>0</v>
      </c>
      <c r="BF94" s="418">
        <v>741714</v>
      </c>
      <c r="BG94" s="418">
        <v>0</v>
      </c>
      <c r="BH94" s="418">
        <v>0</v>
      </c>
      <c r="BI94" s="418">
        <v>43326</v>
      </c>
      <c r="BJ94" s="418">
        <v>125250</v>
      </c>
      <c r="BK94" s="418">
        <v>0</v>
      </c>
      <c r="BL94" s="418">
        <v>186016</v>
      </c>
      <c r="BM94" s="418">
        <v>229735</v>
      </c>
      <c r="BN94" s="418">
        <v>0</v>
      </c>
      <c r="BO94" s="418">
        <v>101245</v>
      </c>
      <c r="BP94" s="418">
        <v>82273</v>
      </c>
      <c r="BQ94" s="418">
        <v>62472</v>
      </c>
      <c r="BR94" s="418">
        <v>25109</v>
      </c>
      <c r="BS94" s="418">
        <v>0</v>
      </c>
      <c r="BT94" s="418">
        <v>0</v>
      </c>
      <c r="BU94" s="418">
        <v>131166</v>
      </c>
      <c r="BV94" s="418">
        <v>111061</v>
      </c>
      <c r="BW94" s="418">
        <v>21500</v>
      </c>
      <c r="BX94" s="418">
        <v>0</v>
      </c>
      <c r="BY94" s="418">
        <v>0</v>
      </c>
      <c r="BZ94" s="418">
        <v>0</v>
      </c>
      <c r="CA94" s="418">
        <v>520198</v>
      </c>
      <c r="CB94" s="418">
        <v>0</v>
      </c>
    </row>
    <row r="95" spans="1:80" s="418" customFormat="1" ht="27.6" x14ac:dyDescent="0.3">
      <c r="A95" s="1052">
        <v>328</v>
      </c>
      <c r="B95" s="1049"/>
      <c r="C95" s="1060" t="s">
        <v>1984</v>
      </c>
      <c r="D95" s="1061" t="s">
        <v>551</v>
      </c>
      <c r="E95" s="1062" t="s">
        <v>412</v>
      </c>
      <c r="F95" s="1063">
        <v>0</v>
      </c>
      <c r="G95" s="1063">
        <v>0</v>
      </c>
      <c r="H95" s="1063">
        <v>0</v>
      </c>
      <c r="I95" s="1063">
        <v>0</v>
      </c>
      <c r="J95" s="1063">
        <v>0</v>
      </c>
      <c r="K95" s="1063">
        <v>0</v>
      </c>
      <c r="L95" s="1063">
        <v>0</v>
      </c>
      <c r="M95" s="1063">
        <v>0</v>
      </c>
      <c r="N95" s="1063">
        <v>0</v>
      </c>
      <c r="O95" s="1063">
        <v>0</v>
      </c>
      <c r="P95" s="1063">
        <v>0</v>
      </c>
      <c r="Q95" s="1063">
        <v>0</v>
      </c>
      <c r="R95" s="1063">
        <v>0</v>
      </c>
      <c r="S95" s="1063">
        <v>0</v>
      </c>
      <c r="T95" s="1063">
        <v>0</v>
      </c>
      <c r="U95" s="1063">
        <v>0</v>
      </c>
      <c r="V95" s="1063"/>
      <c r="W95" s="1049"/>
      <c r="X95" s="1049"/>
      <c r="Y95" s="1049"/>
      <c r="Z95" s="1049"/>
      <c r="AA95" s="1066"/>
      <c r="AB95" s="1065"/>
      <c r="AT95" s="418">
        <v>0</v>
      </c>
      <c r="AU95" s="418">
        <v>27500</v>
      </c>
      <c r="AV95" s="418">
        <v>191771</v>
      </c>
      <c r="AW95" s="418">
        <v>0</v>
      </c>
      <c r="AX95" s="418">
        <v>0</v>
      </c>
      <c r="AY95" s="418">
        <v>566480</v>
      </c>
      <c r="AZ95" s="418">
        <v>541472</v>
      </c>
      <c r="BA95" s="418">
        <v>701226</v>
      </c>
      <c r="BB95" s="418">
        <v>0</v>
      </c>
      <c r="BC95" s="418">
        <v>35014</v>
      </c>
      <c r="BD95" s="418">
        <v>0</v>
      </c>
      <c r="BE95" s="418">
        <v>0</v>
      </c>
      <c r="BF95" s="418">
        <v>2091222</v>
      </c>
      <c r="BG95" s="418">
        <v>0</v>
      </c>
      <c r="BH95" s="418">
        <v>0</v>
      </c>
      <c r="BI95" s="418">
        <v>0</v>
      </c>
      <c r="BJ95" s="418">
        <v>22542</v>
      </c>
      <c r="BK95" s="418">
        <v>0</v>
      </c>
      <c r="BL95" s="418">
        <v>1066864</v>
      </c>
      <c r="BM95" s="418">
        <v>0</v>
      </c>
      <c r="BN95" s="418">
        <v>0</v>
      </c>
      <c r="BO95" s="418">
        <v>35710</v>
      </c>
      <c r="BP95" s="418">
        <v>838401</v>
      </c>
      <c r="BQ95" s="418">
        <v>0</v>
      </c>
      <c r="BR95" s="418">
        <v>592648</v>
      </c>
      <c r="BS95" s="418">
        <v>0</v>
      </c>
      <c r="BT95" s="418">
        <v>0</v>
      </c>
      <c r="BU95" s="418">
        <v>176833</v>
      </c>
      <c r="BV95" s="418">
        <v>402493</v>
      </c>
      <c r="BW95" s="418">
        <v>1512813</v>
      </c>
      <c r="BX95" s="418">
        <v>0</v>
      </c>
      <c r="BY95" s="418">
        <v>0</v>
      </c>
      <c r="BZ95" s="418">
        <v>0</v>
      </c>
      <c r="CA95" s="418">
        <v>357724</v>
      </c>
      <c r="CB95" s="418">
        <v>0</v>
      </c>
    </row>
    <row r="96" spans="1:80" s="418" customFormat="1" ht="26.4" x14ac:dyDescent="0.3">
      <c r="A96" s="1052">
        <v>330</v>
      </c>
      <c r="B96" s="1049"/>
      <c r="C96" s="1067">
        <v>330</v>
      </c>
      <c r="D96" s="1068" t="s">
        <v>1794</v>
      </c>
      <c r="E96" s="1062" t="s">
        <v>413</v>
      </c>
      <c r="F96" s="1063">
        <v>0</v>
      </c>
      <c r="G96" s="1063">
        <v>0</v>
      </c>
      <c r="H96" s="1063">
        <v>0</v>
      </c>
      <c r="I96" s="1063">
        <v>0</v>
      </c>
      <c r="J96" s="1063">
        <v>0</v>
      </c>
      <c r="K96" s="1063">
        <v>0</v>
      </c>
      <c r="L96" s="1063">
        <v>0</v>
      </c>
      <c r="M96" s="1063">
        <v>0</v>
      </c>
      <c r="N96" s="1063">
        <v>0</v>
      </c>
      <c r="O96" s="1063">
        <v>0</v>
      </c>
      <c r="P96" s="1063">
        <v>0</v>
      </c>
      <c r="Q96" s="1063">
        <v>0</v>
      </c>
      <c r="R96" s="1063">
        <v>0</v>
      </c>
      <c r="S96" s="1063">
        <v>0</v>
      </c>
      <c r="T96" s="1063">
        <v>0</v>
      </c>
      <c r="U96" s="1063">
        <v>0</v>
      </c>
      <c r="V96" s="1063"/>
      <c r="W96" s="1049"/>
      <c r="X96" s="1049"/>
      <c r="Y96" s="1049"/>
      <c r="Z96" s="1049"/>
      <c r="AA96" s="1066"/>
      <c r="AB96" s="1065"/>
      <c r="AT96" s="418">
        <v>0</v>
      </c>
      <c r="AU96" s="418">
        <v>0</v>
      </c>
      <c r="AV96" s="418">
        <v>0</v>
      </c>
      <c r="AW96" s="418">
        <v>0</v>
      </c>
      <c r="AX96" s="418">
        <v>0</v>
      </c>
      <c r="AY96" s="418">
        <v>0</v>
      </c>
      <c r="AZ96" s="418">
        <v>0</v>
      </c>
      <c r="BA96" s="418">
        <v>0</v>
      </c>
      <c r="BB96" s="418">
        <v>0</v>
      </c>
      <c r="BC96" s="418">
        <v>0</v>
      </c>
      <c r="BD96" s="418">
        <v>0</v>
      </c>
      <c r="BE96" s="418">
        <v>0</v>
      </c>
      <c r="BF96" s="418">
        <v>0</v>
      </c>
      <c r="BG96" s="418">
        <v>0</v>
      </c>
      <c r="BH96" s="418">
        <v>0</v>
      </c>
      <c r="BI96" s="418">
        <v>0</v>
      </c>
      <c r="BJ96" s="418">
        <v>0</v>
      </c>
      <c r="BK96" s="418">
        <v>0</v>
      </c>
      <c r="BL96" s="418">
        <v>0</v>
      </c>
      <c r="BM96" s="418">
        <v>0</v>
      </c>
      <c r="BN96" s="418">
        <v>0</v>
      </c>
      <c r="BO96" s="418">
        <v>0</v>
      </c>
      <c r="BP96" s="418">
        <v>0</v>
      </c>
      <c r="BQ96" s="418">
        <v>0</v>
      </c>
      <c r="BR96" s="418">
        <v>0</v>
      </c>
      <c r="BS96" s="418">
        <v>0</v>
      </c>
      <c r="BT96" s="418">
        <v>0</v>
      </c>
      <c r="BU96" s="418">
        <v>0</v>
      </c>
      <c r="BV96" s="418">
        <v>0</v>
      </c>
      <c r="BW96" s="418">
        <v>0</v>
      </c>
      <c r="BX96" s="418">
        <v>0</v>
      </c>
      <c r="BY96" s="418">
        <v>0</v>
      </c>
      <c r="BZ96" s="418">
        <v>0</v>
      </c>
      <c r="CA96" s="418">
        <v>0</v>
      </c>
      <c r="CB96" s="418">
        <v>0</v>
      </c>
    </row>
    <row r="97" spans="1:80" s="418" customFormat="1" ht="15.6" x14ac:dyDescent="0.3">
      <c r="A97" s="1052">
        <v>331</v>
      </c>
      <c r="B97" s="1049"/>
      <c r="C97" s="1060" t="s">
        <v>1985</v>
      </c>
      <c r="D97" s="1061" t="s">
        <v>247</v>
      </c>
      <c r="E97" s="1062" t="s">
        <v>414</v>
      </c>
      <c r="F97" s="1063">
        <v>0</v>
      </c>
      <c r="G97" s="1063">
        <v>0</v>
      </c>
      <c r="H97" s="1063">
        <v>0</v>
      </c>
      <c r="I97" s="1063">
        <v>0</v>
      </c>
      <c r="J97" s="1063">
        <v>0</v>
      </c>
      <c r="K97" s="1063">
        <v>0</v>
      </c>
      <c r="L97" s="1063">
        <v>0</v>
      </c>
      <c r="M97" s="1063">
        <v>0</v>
      </c>
      <c r="N97" s="1063">
        <v>0</v>
      </c>
      <c r="O97" s="1063">
        <v>0</v>
      </c>
      <c r="P97" s="1063">
        <v>0</v>
      </c>
      <c r="Q97" s="1063">
        <v>0</v>
      </c>
      <c r="R97" s="1063">
        <v>0</v>
      </c>
      <c r="S97" s="1063">
        <v>0</v>
      </c>
      <c r="T97" s="1063">
        <v>0</v>
      </c>
      <c r="U97" s="1063">
        <v>0</v>
      </c>
      <c r="V97" s="1063"/>
      <c r="W97" s="1049"/>
      <c r="X97" s="1049"/>
      <c r="Y97" s="1049"/>
      <c r="Z97" s="1049"/>
      <c r="AA97" s="1066"/>
      <c r="AB97" s="1065"/>
      <c r="AT97" s="418">
        <v>4000</v>
      </c>
      <c r="AU97" s="418">
        <v>0</v>
      </c>
      <c r="AV97" s="418">
        <v>2671902</v>
      </c>
      <c r="AW97" s="418">
        <v>18536</v>
      </c>
      <c r="AX97" s="418">
        <v>25170</v>
      </c>
      <c r="AY97" s="418">
        <v>695915</v>
      </c>
      <c r="AZ97" s="418">
        <v>39865</v>
      </c>
      <c r="BA97" s="418">
        <v>164401</v>
      </c>
      <c r="BB97" s="418">
        <v>0</v>
      </c>
      <c r="BC97" s="418">
        <v>72514</v>
      </c>
      <c r="BD97" s="418">
        <v>0</v>
      </c>
      <c r="BE97" s="418">
        <v>0</v>
      </c>
      <c r="BF97" s="418">
        <v>696226</v>
      </c>
      <c r="BG97" s="418">
        <v>0</v>
      </c>
      <c r="BH97" s="418">
        <v>0</v>
      </c>
      <c r="BI97" s="418">
        <v>267321</v>
      </c>
      <c r="BJ97" s="418">
        <v>162960</v>
      </c>
      <c r="BK97" s="418">
        <v>0</v>
      </c>
      <c r="BL97" s="418">
        <v>79013</v>
      </c>
      <c r="BM97" s="418">
        <v>36664</v>
      </c>
      <c r="BN97" s="418">
        <v>0</v>
      </c>
      <c r="BO97" s="418">
        <v>280980</v>
      </c>
      <c r="BP97" s="418">
        <v>88931</v>
      </c>
      <c r="BQ97" s="418">
        <v>11600</v>
      </c>
      <c r="BR97" s="418">
        <v>97188</v>
      </c>
      <c r="BS97" s="418">
        <v>0</v>
      </c>
      <c r="BT97" s="418">
        <v>0</v>
      </c>
      <c r="BU97" s="418">
        <v>32088</v>
      </c>
      <c r="BV97" s="418">
        <v>321659</v>
      </c>
      <c r="BW97" s="418">
        <v>12132</v>
      </c>
      <c r="BX97" s="418">
        <v>0</v>
      </c>
      <c r="BY97" s="418">
        <v>0</v>
      </c>
      <c r="BZ97" s="418">
        <v>0</v>
      </c>
      <c r="CA97" s="418">
        <v>751542</v>
      </c>
      <c r="CB97" s="418">
        <v>0</v>
      </c>
    </row>
    <row r="98" spans="1:80" s="418" customFormat="1" ht="15.6" x14ac:dyDescent="0.3">
      <c r="A98" s="1052">
        <v>332</v>
      </c>
      <c r="B98" s="1049"/>
      <c r="C98" s="1060" t="s">
        <v>1795</v>
      </c>
      <c r="D98" s="1061" t="s">
        <v>248</v>
      </c>
      <c r="E98" s="1062" t="s">
        <v>415</v>
      </c>
      <c r="F98" s="1063">
        <v>0</v>
      </c>
      <c r="G98" s="1063">
        <v>0</v>
      </c>
      <c r="H98" s="1063">
        <v>0</v>
      </c>
      <c r="I98" s="1063">
        <v>0</v>
      </c>
      <c r="J98" s="1063">
        <v>0</v>
      </c>
      <c r="K98" s="1063">
        <v>0</v>
      </c>
      <c r="L98" s="1063">
        <v>0</v>
      </c>
      <c r="M98" s="1063">
        <v>0</v>
      </c>
      <c r="N98" s="1063">
        <v>0</v>
      </c>
      <c r="O98" s="1063">
        <v>0</v>
      </c>
      <c r="P98" s="1063">
        <v>0</v>
      </c>
      <c r="Q98" s="1063">
        <v>0</v>
      </c>
      <c r="R98" s="1063">
        <v>0</v>
      </c>
      <c r="S98" s="1063">
        <v>0</v>
      </c>
      <c r="T98" s="1063">
        <v>0</v>
      </c>
      <c r="U98" s="1063">
        <v>0</v>
      </c>
      <c r="V98" s="1063"/>
      <c r="W98" s="1049"/>
      <c r="X98" s="1049"/>
      <c r="Y98" s="1049"/>
      <c r="Z98" s="1049"/>
      <c r="AA98" s="1066"/>
      <c r="AB98" s="1065"/>
      <c r="AT98" s="418">
        <v>0</v>
      </c>
      <c r="AU98" s="418">
        <v>0</v>
      </c>
      <c r="AV98" s="418">
        <v>2042620</v>
      </c>
      <c r="AW98" s="418">
        <v>0</v>
      </c>
      <c r="AX98" s="418">
        <v>0</v>
      </c>
      <c r="AY98" s="418">
        <v>518328</v>
      </c>
      <c r="AZ98" s="418">
        <v>0</v>
      </c>
      <c r="BA98" s="418">
        <v>674689</v>
      </c>
      <c r="BB98" s="418">
        <v>0</v>
      </c>
      <c r="BC98" s="418">
        <v>549776</v>
      </c>
      <c r="BD98" s="418">
        <v>0</v>
      </c>
      <c r="BE98" s="418">
        <v>0</v>
      </c>
      <c r="BF98" s="418">
        <v>2787164</v>
      </c>
      <c r="BG98" s="418">
        <v>0</v>
      </c>
      <c r="BH98" s="418">
        <v>0</v>
      </c>
      <c r="BI98" s="418">
        <v>120373</v>
      </c>
      <c r="BJ98" s="418">
        <v>61654</v>
      </c>
      <c r="BK98" s="418">
        <v>0</v>
      </c>
      <c r="BL98" s="418">
        <v>434230</v>
      </c>
      <c r="BM98" s="418">
        <v>87827</v>
      </c>
      <c r="BN98" s="418">
        <v>0</v>
      </c>
      <c r="BO98" s="418">
        <v>274395</v>
      </c>
      <c r="BP98" s="418">
        <v>251461</v>
      </c>
      <c r="BQ98" s="418">
        <v>2975</v>
      </c>
      <c r="BR98" s="418">
        <v>506613</v>
      </c>
      <c r="BS98" s="418">
        <v>0</v>
      </c>
      <c r="BT98" s="418">
        <v>0</v>
      </c>
      <c r="BU98" s="418">
        <v>71976</v>
      </c>
      <c r="BV98" s="418">
        <v>331847</v>
      </c>
      <c r="BW98" s="418">
        <v>1500846</v>
      </c>
      <c r="BX98" s="418">
        <v>359527</v>
      </c>
      <c r="BY98" s="418">
        <v>0</v>
      </c>
      <c r="BZ98" s="418">
        <v>0</v>
      </c>
      <c r="CA98" s="418">
        <v>1825053</v>
      </c>
      <c r="CB98" s="418">
        <v>0</v>
      </c>
    </row>
    <row r="99" spans="1:80" s="418" customFormat="1" ht="27.6" x14ac:dyDescent="0.3">
      <c r="A99" s="1052">
        <v>333</v>
      </c>
      <c r="B99" s="1049"/>
      <c r="C99" s="1060" t="s">
        <v>1796</v>
      </c>
      <c r="D99" s="1061" t="s">
        <v>184</v>
      </c>
      <c r="E99" s="1062" t="s">
        <v>416</v>
      </c>
      <c r="F99" s="1063">
        <v>0</v>
      </c>
      <c r="G99" s="1063">
        <v>0</v>
      </c>
      <c r="H99" s="1063">
        <v>0</v>
      </c>
      <c r="I99" s="1063">
        <v>0</v>
      </c>
      <c r="J99" s="1063">
        <v>0</v>
      </c>
      <c r="K99" s="1063">
        <v>0</v>
      </c>
      <c r="L99" s="1063">
        <v>0</v>
      </c>
      <c r="M99" s="1063">
        <v>0</v>
      </c>
      <c r="N99" s="1063">
        <v>0</v>
      </c>
      <c r="O99" s="1063">
        <v>0</v>
      </c>
      <c r="P99" s="1063">
        <v>0</v>
      </c>
      <c r="Q99" s="1063">
        <v>0</v>
      </c>
      <c r="R99" s="1063">
        <v>0</v>
      </c>
      <c r="S99" s="1063">
        <v>0</v>
      </c>
      <c r="T99" s="1063">
        <v>0</v>
      </c>
      <c r="U99" s="1063">
        <v>0</v>
      </c>
      <c r="V99" s="1063"/>
      <c r="W99" s="1049"/>
      <c r="X99" s="1049"/>
      <c r="Y99" s="1049"/>
      <c r="Z99" s="1049"/>
      <c r="AA99" s="1066"/>
      <c r="AB99" s="1065"/>
      <c r="AT99" s="418">
        <v>425268</v>
      </c>
      <c r="AU99" s="418">
        <v>2394446</v>
      </c>
      <c r="AV99" s="418">
        <v>5805328</v>
      </c>
      <c r="AW99" s="418">
        <v>194604</v>
      </c>
      <c r="AX99" s="418">
        <v>345508</v>
      </c>
      <c r="AY99" s="418">
        <v>3116039</v>
      </c>
      <c r="AZ99" s="418">
        <v>2182287</v>
      </c>
      <c r="BA99" s="418">
        <v>1493843</v>
      </c>
      <c r="BB99" s="418">
        <v>70595</v>
      </c>
      <c r="BC99" s="418">
        <v>1298800</v>
      </c>
      <c r="BD99" s="418">
        <v>0</v>
      </c>
      <c r="BE99" s="418">
        <v>383912</v>
      </c>
      <c r="BF99" s="418">
        <v>3999545</v>
      </c>
      <c r="BG99" s="418">
        <v>0</v>
      </c>
      <c r="BH99" s="418">
        <v>154205</v>
      </c>
      <c r="BI99" s="418">
        <v>2907659</v>
      </c>
      <c r="BJ99" s="418">
        <v>3433068</v>
      </c>
      <c r="BK99" s="418">
        <v>0</v>
      </c>
      <c r="BL99" s="418">
        <v>3239020</v>
      </c>
      <c r="BM99" s="418">
        <v>6246155</v>
      </c>
      <c r="BN99" s="418">
        <v>136189</v>
      </c>
      <c r="BO99" s="418">
        <v>3552094</v>
      </c>
      <c r="BP99" s="418">
        <v>3497525</v>
      </c>
      <c r="BQ99" s="418">
        <v>1469511</v>
      </c>
      <c r="BR99" s="418">
        <v>2534166</v>
      </c>
      <c r="BS99" s="418">
        <v>3043456</v>
      </c>
      <c r="BT99" s="418">
        <v>13944529</v>
      </c>
      <c r="BU99" s="418">
        <v>2184911</v>
      </c>
      <c r="BV99" s="418">
        <v>1638025</v>
      </c>
      <c r="BW99" s="418">
        <v>957606</v>
      </c>
      <c r="BX99" s="418">
        <v>1108232</v>
      </c>
      <c r="BY99" s="418">
        <v>165153</v>
      </c>
      <c r="BZ99" s="418">
        <v>192770</v>
      </c>
      <c r="CA99" s="418">
        <v>13891189</v>
      </c>
      <c r="CB99" s="418">
        <v>94313</v>
      </c>
    </row>
    <row r="100" spans="1:80" s="418" customFormat="1" ht="27.6" x14ac:dyDescent="0.3">
      <c r="A100" s="1052">
        <v>334</v>
      </c>
      <c r="B100" s="1049"/>
      <c r="C100" s="1060" t="s">
        <v>1797</v>
      </c>
      <c r="D100" s="1061" t="s">
        <v>276</v>
      </c>
      <c r="E100" s="1062" t="s">
        <v>417</v>
      </c>
      <c r="F100" s="1063">
        <v>0</v>
      </c>
      <c r="G100" s="1063">
        <v>0</v>
      </c>
      <c r="H100" s="1063">
        <v>0</v>
      </c>
      <c r="I100" s="1063">
        <v>0</v>
      </c>
      <c r="J100" s="1063">
        <v>0</v>
      </c>
      <c r="K100" s="1063">
        <v>0</v>
      </c>
      <c r="L100" s="1063">
        <v>0</v>
      </c>
      <c r="M100" s="1063">
        <v>0</v>
      </c>
      <c r="N100" s="1063">
        <v>0</v>
      </c>
      <c r="O100" s="1063">
        <v>0</v>
      </c>
      <c r="P100" s="1063">
        <v>0</v>
      </c>
      <c r="Q100" s="1063">
        <v>0</v>
      </c>
      <c r="R100" s="1063">
        <v>0</v>
      </c>
      <c r="S100" s="1063">
        <v>0</v>
      </c>
      <c r="T100" s="1063">
        <v>0</v>
      </c>
      <c r="U100" s="1063">
        <v>0</v>
      </c>
      <c r="V100" s="1063"/>
      <c r="W100" s="1049"/>
      <c r="X100" s="1049"/>
      <c r="Y100" s="1049"/>
      <c r="Z100" s="1049"/>
      <c r="AA100" s="1066"/>
      <c r="AB100" s="1065"/>
      <c r="AT100" s="418">
        <v>3821636</v>
      </c>
      <c r="AU100" s="418">
        <v>9995347</v>
      </c>
      <c r="AV100" s="418">
        <v>34937964</v>
      </c>
      <c r="AW100" s="418">
        <v>761790</v>
      </c>
      <c r="AX100" s="418">
        <v>1367902</v>
      </c>
      <c r="AY100" s="418">
        <v>17704282</v>
      </c>
      <c r="AZ100" s="418">
        <v>8006105</v>
      </c>
      <c r="BA100" s="418">
        <v>9181769</v>
      </c>
      <c r="BB100" s="418">
        <v>5342</v>
      </c>
      <c r="BC100" s="418">
        <v>5179934</v>
      </c>
      <c r="BD100" s="418">
        <v>0</v>
      </c>
      <c r="BE100" s="418">
        <v>103316</v>
      </c>
      <c r="BF100" s="418">
        <v>44535186</v>
      </c>
      <c r="BG100" s="418">
        <v>0</v>
      </c>
      <c r="BH100" s="418">
        <v>125775</v>
      </c>
      <c r="BI100" s="418">
        <v>6268686</v>
      </c>
      <c r="BJ100" s="418">
        <v>9087858</v>
      </c>
      <c r="BK100" s="418">
        <v>0</v>
      </c>
      <c r="BL100" s="418">
        <v>18897555</v>
      </c>
      <c r="BM100" s="418">
        <v>9185348</v>
      </c>
      <c r="BN100" s="418">
        <v>154058</v>
      </c>
      <c r="BO100" s="418">
        <v>16949536</v>
      </c>
      <c r="BP100" s="418">
        <v>9178071</v>
      </c>
      <c r="BQ100" s="418">
        <v>1250506</v>
      </c>
      <c r="BR100" s="418">
        <v>3071799</v>
      </c>
      <c r="BS100" s="418">
        <v>6069729</v>
      </c>
      <c r="BT100" s="418">
        <v>147737450</v>
      </c>
      <c r="BU100" s="418">
        <v>4927540</v>
      </c>
      <c r="BV100" s="418">
        <v>6077751</v>
      </c>
      <c r="BW100" s="418">
        <v>1824619</v>
      </c>
      <c r="BX100" s="418">
        <v>3774650</v>
      </c>
      <c r="BY100" s="418">
        <v>43270</v>
      </c>
      <c r="BZ100" s="418">
        <v>67343</v>
      </c>
      <c r="CA100" s="418">
        <v>66201823</v>
      </c>
      <c r="CB100" s="418">
        <v>312234</v>
      </c>
    </row>
    <row r="101" spans="1:80" s="418" customFormat="1" ht="27.6" x14ac:dyDescent="0.3">
      <c r="A101" s="1052">
        <v>335</v>
      </c>
      <c r="B101" s="1049"/>
      <c r="C101" s="1060" t="s">
        <v>1986</v>
      </c>
      <c r="D101" s="1061" t="s">
        <v>117</v>
      </c>
      <c r="E101" s="1062" t="s">
        <v>418</v>
      </c>
      <c r="F101" s="1063">
        <v>0</v>
      </c>
      <c r="G101" s="1063">
        <v>0</v>
      </c>
      <c r="H101" s="1063">
        <v>0</v>
      </c>
      <c r="I101" s="1063">
        <v>0</v>
      </c>
      <c r="J101" s="1063">
        <v>0</v>
      </c>
      <c r="K101" s="1063">
        <v>0</v>
      </c>
      <c r="L101" s="1063">
        <v>0</v>
      </c>
      <c r="M101" s="1063">
        <v>0</v>
      </c>
      <c r="N101" s="1063">
        <v>0</v>
      </c>
      <c r="O101" s="1063">
        <v>0</v>
      </c>
      <c r="P101" s="1063">
        <v>0</v>
      </c>
      <c r="Q101" s="1063">
        <v>0</v>
      </c>
      <c r="R101" s="1063">
        <v>0</v>
      </c>
      <c r="S101" s="1063">
        <v>0</v>
      </c>
      <c r="T101" s="1063">
        <v>0</v>
      </c>
      <c r="U101" s="1063">
        <v>0</v>
      </c>
      <c r="V101" s="1063"/>
      <c r="W101" s="1049"/>
      <c r="X101" s="1049"/>
      <c r="Y101" s="1049"/>
      <c r="Z101" s="1049"/>
      <c r="AA101" s="1066"/>
      <c r="AB101" s="1065"/>
      <c r="AT101" s="418">
        <v>0</v>
      </c>
      <c r="AU101" s="418">
        <v>0</v>
      </c>
      <c r="AV101" s="418">
        <v>0</v>
      </c>
      <c r="AW101" s="418">
        <v>0</v>
      </c>
      <c r="AX101" s="418">
        <v>0</v>
      </c>
      <c r="AY101" s="418">
        <v>0</v>
      </c>
      <c r="AZ101" s="418">
        <v>0</v>
      </c>
      <c r="BA101" s="418">
        <v>0</v>
      </c>
      <c r="BB101" s="418">
        <v>0</v>
      </c>
      <c r="BC101" s="418">
        <v>0</v>
      </c>
      <c r="BD101" s="418">
        <v>0</v>
      </c>
      <c r="BE101" s="418">
        <v>0</v>
      </c>
      <c r="BF101" s="418">
        <v>701527</v>
      </c>
      <c r="BG101" s="418">
        <v>0</v>
      </c>
      <c r="BH101" s="418">
        <v>0</v>
      </c>
      <c r="BI101" s="418">
        <v>0</v>
      </c>
      <c r="BJ101" s="418">
        <v>0</v>
      </c>
      <c r="BK101" s="418">
        <v>0</v>
      </c>
      <c r="BL101" s="418">
        <v>148</v>
      </c>
      <c r="BM101" s="418">
        <v>0</v>
      </c>
      <c r="BN101" s="418">
        <v>0</v>
      </c>
      <c r="BO101" s="418">
        <v>0</v>
      </c>
      <c r="BP101" s="418">
        <v>0</v>
      </c>
      <c r="BQ101" s="418">
        <v>0</v>
      </c>
      <c r="BR101" s="418">
        <v>0</v>
      </c>
      <c r="BS101" s="418">
        <v>0</v>
      </c>
      <c r="BT101" s="418">
        <v>0</v>
      </c>
      <c r="BU101" s="418">
        <v>0</v>
      </c>
      <c r="BV101" s="418">
        <v>0</v>
      </c>
      <c r="BW101" s="418">
        <v>0</v>
      </c>
      <c r="BX101" s="418">
        <v>0</v>
      </c>
      <c r="BY101" s="418">
        <v>0</v>
      </c>
      <c r="BZ101" s="418">
        <v>0</v>
      </c>
      <c r="CA101" s="418">
        <v>0</v>
      </c>
      <c r="CB101" s="418">
        <v>0</v>
      </c>
    </row>
    <row r="102" spans="1:80" s="418" customFormat="1" ht="15.6" x14ac:dyDescent="0.3">
      <c r="A102" s="1052">
        <v>336</v>
      </c>
      <c r="B102" s="1049"/>
      <c r="C102" s="1060" t="s">
        <v>1987</v>
      </c>
      <c r="D102" s="1061" t="s">
        <v>1315</v>
      </c>
      <c r="E102" s="1062" t="s">
        <v>419</v>
      </c>
      <c r="F102" s="1063">
        <v>0</v>
      </c>
      <c r="G102" s="1063">
        <v>0</v>
      </c>
      <c r="H102" s="1063">
        <v>0</v>
      </c>
      <c r="I102" s="1063">
        <v>0</v>
      </c>
      <c r="J102" s="1063">
        <v>0</v>
      </c>
      <c r="K102" s="1063">
        <v>0</v>
      </c>
      <c r="L102" s="1063">
        <v>0</v>
      </c>
      <c r="M102" s="1063">
        <v>0</v>
      </c>
      <c r="N102" s="1063">
        <v>0</v>
      </c>
      <c r="O102" s="1063">
        <v>0</v>
      </c>
      <c r="P102" s="1063">
        <v>0</v>
      </c>
      <c r="Q102" s="1063">
        <v>0</v>
      </c>
      <c r="R102" s="1063">
        <v>0</v>
      </c>
      <c r="S102" s="1063">
        <v>0</v>
      </c>
      <c r="T102" s="1063">
        <v>0</v>
      </c>
      <c r="U102" s="1063">
        <v>0</v>
      </c>
      <c r="V102" s="1063"/>
      <c r="W102" s="1049"/>
      <c r="X102" s="1049"/>
      <c r="Y102" s="1049"/>
      <c r="Z102" s="1049"/>
      <c r="AA102" s="1066"/>
      <c r="AB102" s="1065"/>
      <c r="AT102" s="418">
        <v>0</v>
      </c>
      <c r="AU102" s="418">
        <v>0</v>
      </c>
      <c r="AV102" s="418">
        <v>0</v>
      </c>
      <c r="AW102" s="418">
        <v>0</v>
      </c>
      <c r="AX102" s="418">
        <v>0</v>
      </c>
      <c r="AY102" s="418">
        <v>0</v>
      </c>
      <c r="AZ102" s="418">
        <v>0</v>
      </c>
      <c r="BA102" s="418">
        <v>0</v>
      </c>
      <c r="BB102" s="418">
        <v>0</v>
      </c>
      <c r="BC102" s="418">
        <v>0</v>
      </c>
      <c r="BD102" s="418">
        <v>0</v>
      </c>
      <c r="BE102" s="418">
        <v>0</v>
      </c>
      <c r="BF102" s="418">
        <v>0</v>
      </c>
      <c r="BG102" s="418">
        <v>0</v>
      </c>
      <c r="BH102" s="418">
        <v>0</v>
      </c>
      <c r="BI102" s="418">
        <v>0</v>
      </c>
      <c r="BJ102" s="418">
        <v>0</v>
      </c>
      <c r="BK102" s="418">
        <v>0</v>
      </c>
      <c r="BL102" s="418">
        <v>0</v>
      </c>
      <c r="BM102" s="418">
        <v>0</v>
      </c>
      <c r="BN102" s="418">
        <v>0</v>
      </c>
      <c r="BO102" s="418">
        <v>0</v>
      </c>
      <c r="BP102" s="418">
        <v>0</v>
      </c>
      <c r="BQ102" s="418">
        <v>0</v>
      </c>
      <c r="BR102" s="418">
        <v>0</v>
      </c>
      <c r="BS102" s="418">
        <v>0</v>
      </c>
      <c r="BT102" s="418">
        <v>0</v>
      </c>
      <c r="BU102" s="418">
        <v>0</v>
      </c>
      <c r="BV102" s="418">
        <v>0</v>
      </c>
      <c r="BW102" s="418">
        <v>0</v>
      </c>
      <c r="BX102" s="418">
        <v>0</v>
      </c>
      <c r="BY102" s="418">
        <v>0</v>
      </c>
      <c r="BZ102" s="418">
        <v>0</v>
      </c>
      <c r="CA102" s="418">
        <v>0</v>
      </c>
      <c r="CB102" s="418">
        <v>0</v>
      </c>
    </row>
    <row r="103" spans="1:80" s="418" customFormat="1" ht="15.6" x14ac:dyDescent="0.3">
      <c r="A103" s="1052">
        <v>337</v>
      </c>
      <c r="B103" s="1049"/>
      <c r="C103" s="1060" t="s">
        <v>1988</v>
      </c>
      <c r="D103" s="1061" t="s">
        <v>254</v>
      </c>
      <c r="E103" s="1062" t="s">
        <v>420</v>
      </c>
      <c r="F103" s="1063">
        <v>0</v>
      </c>
      <c r="G103" s="1063">
        <v>0</v>
      </c>
      <c r="H103" s="1063">
        <v>0</v>
      </c>
      <c r="I103" s="1063">
        <v>0</v>
      </c>
      <c r="J103" s="1063">
        <v>0</v>
      </c>
      <c r="K103" s="1063">
        <v>0</v>
      </c>
      <c r="L103" s="1063">
        <v>0</v>
      </c>
      <c r="M103" s="1063">
        <v>0</v>
      </c>
      <c r="N103" s="1063">
        <v>0</v>
      </c>
      <c r="O103" s="1063">
        <v>0</v>
      </c>
      <c r="P103" s="1063">
        <v>0</v>
      </c>
      <c r="Q103" s="1063">
        <v>0</v>
      </c>
      <c r="R103" s="1063">
        <v>0</v>
      </c>
      <c r="S103" s="1063">
        <v>0</v>
      </c>
      <c r="T103" s="1063">
        <v>0</v>
      </c>
      <c r="U103" s="1063">
        <v>0</v>
      </c>
      <c r="V103" s="1063"/>
      <c r="W103" s="1049"/>
      <c r="X103" s="1049"/>
      <c r="Y103" s="1049"/>
      <c r="Z103" s="1049"/>
      <c r="AA103" s="1066"/>
      <c r="AB103" s="1065"/>
      <c r="AT103" s="418">
        <v>881378</v>
      </c>
      <c r="AU103" s="418">
        <v>2765560</v>
      </c>
      <c r="AV103" s="418">
        <v>911880</v>
      </c>
      <c r="AW103" s="418">
        <v>0</v>
      </c>
      <c r="AX103" s="418">
        <v>195735</v>
      </c>
      <c r="AY103" s="418">
        <v>1746152</v>
      </c>
      <c r="AZ103" s="418">
        <v>762311</v>
      </c>
      <c r="BA103" s="418">
        <v>1028790</v>
      </c>
      <c r="BB103" s="418">
        <v>0</v>
      </c>
      <c r="BC103" s="418">
        <v>244779</v>
      </c>
      <c r="BD103" s="418">
        <v>0</v>
      </c>
      <c r="BE103" s="418">
        <v>0</v>
      </c>
      <c r="BF103" s="418">
        <v>14407364</v>
      </c>
      <c r="BG103" s="418">
        <v>0</v>
      </c>
      <c r="BH103" s="418">
        <v>0</v>
      </c>
      <c r="BI103" s="418">
        <v>104357</v>
      </c>
      <c r="BJ103" s="418">
        <v>0</v>
      </c>
      <c r="BK103" s="418">
        <v>0</v>
      </c>
      <c r="BL103" s="418">
        <v>1736667</v>
      </c>
      <c r="BM103" s="418">
        <v>0</v>
      </c>
      <c r="BN103" s="418">
        <v>0</v>
      </c>
      <c r="BO103" s="418">
        <v>1592703</v>
      </c>
      <c r="BP103" s="418">
        <v>0</v>
      </c>
      <c r="BQ103" s="418">
        <v>0</v>
      </c>
      <c r="BR103" s="418">
        <v>0</v>
      </c>
      <c r="BS103" s="418">
        <v>0</v>
      </c>
      <c r="BT103" s="418">
        <v>6563429</v>
      </c>
      <c r="BU103" s="418">
        <v>509638</v>
      </c>
      <c r="BV103" s="418">
        <v>271856</v>
      </c>
      <c r="BW103" s="418">
        <v>233497</v>
      </c>
      <c r="BX103" s="418">
        <v>0</v>
      </c>
      <c r="BY103" s="418">
        <v>0</v>
      </c>
      <c r="BZ103" s="418">
        <v>0</v>
      </c>
      <c r="CA103" s="418">
        <v>8371909</v>
      </c>
      <c r="CB103" s="418">
        <v>52121</v>
      </c>
    </row>
    <row r="104" spans="1:80" s="418" customFormat="1" ht="27.6" x14ac:dyDescent="0.3">
      <c r="A104" s="1052">
        <v>338</v>
      </c>
      <c r="B104" s="1049"/>
      <c r="C104" s="1060" t="s">
        <v>1989</v>
      </c>
      <c r="D104" s="1061" t="s">
        <v>116</v>
      </c>
      <c r="E104" s="1062" t="s">
        <v>421</v>
      </c>
      <c r="F104" s="1063">
        <v>0</v>
      </c>
      <c r="G104" s="1063">
        <v>0</v>
      </c>
      <c r="H104" s="1063">
        <v>0</v>
      </c>
      <c r="I104" s="1063">
        <v>0</v>
      </c>
      <c r="J104" s="1063">
        <v>0</v>
      </c>
      <c r="K104" s="1063">
        <v>0</v>
      </c>
      <c r="L104" s="1063">
        <v>0</v>
      </c>
      <c r="M104" s="1063">
        <v>0</v>
      </c>
      <c r="N104" s="1063">
        <v>0</v>
      </c>
      <c r="O104" s="1063">
        <v>0</v>
      </c>
      <c r="P104" s="1063">
        <v>0</v>
      </c>
      <c r="Q104" s="1063">
        <v>0</v>
      </c>
      <c r="R104" s="1063">
        <v>0</v>
      </c>
      <c r="S104" s="1063">
        <v>0</v>
      </c>
      <c r="T104" s="1063">
        <v>0</v>
      </c>
      <c r="U104" s="1063">
        <v>0</v>
      </c>
      <c r="V104" s="1063"/>
      <c r="W104" s="1049"/>
      <c r="X104" s="1049"/>
      <c r="Y104" s="1049"/>
      <c r="Z104" s="1049"/>
      <c r="AA104" s="1066"/>
      <c r="AB104" s="1065"/>
      <c r="AT104" s="418">
        <v>1205456</v>
      </c>
      <c r="AU104" s="418">
        <v>5468549</v>
      </c>
      <c r="AV104" s="418">
        <v>14674581</v>
      </c>
      <c r="AW104" s="418">
        <v>49822</v>
      </c>
      <c r="AX104" s="418">
        <v>317985</v>
      </c>
      <c r="AY104" s="418">
        <v>2840912</v>
      </c>
      <c r="AZ104" s="418">
        <v>2104314</v>
      </c>
      <c r="BA104" s="418">
        <v>3287438</v>
      </c>
      <c r="BB104" s="418">
        <v>0</v>
      </c>
      <c r="BC104" s="418">
        <v>1163170</v>
      </c>
      <c r="BD104" s="418">
        <v>0</v>
      </c>
      <c r="BE104" s="418">
        <v>3368</v>
      </c>
      <c r="BF104" s="418">
        <v>58829992</v>
      </c>
      <c r="BG104" s="418">
        <v>0</v>
      </c>
      <c r="BH104" s="418">
        <v>2267</v>
      </c>
      <c r="BI104" s="418">
        <v>5058840</v>
      </c>
      <c r="BJ104" s="418">
        <v>1173100</v>
      </c>
      <c r="BK104" s="418">
        <v>0</v>
      </c>
      <c r="BL104" s="418">
        <v>3627249</v>
      </c>
      <c r="BM104" s="418">
        <v>3025909</v>
      </c>
      <c r="BN104" s="418">
        <v>0</v>
      </c>
      <c r="BO104" s="418">
        <v>4247810</v>
      </c>
      <c r="BP104" s="418">
        <v>836771</v>
      </c>
      <c r="BQ104" s="418">
        <v>241283</v>
      </c>
      <c r="BR104" s="418">
        <v>669506</v>
      </c>
      <c r="BS104" s="418">
        <v>153655</v>
      </c>
      <c r="BT104" s="418">
        <v>16149902</v>
      </c>
      <c r="BU104" s="418">
        <v>1133803</v>
      </c>
      <c r="BV104" s="418">
        <v>4353773</v>
      </c>
      <c r="BW104" s="418">
        <v>946560</v>
      </c>
      <c r="BX104" s="418">
        <v>48929</v>
      </c>
      <c r="BY104" s="418">
        <v>0</v>
      </c>
      <c r="BZ104" s="418">
        <v>0</v>
      </c>
      <c r="CA104" s="418">
        <v>22361004</v>
      </c>
      <c r="CB104" s="418">
        <v>52121</v>
      </c>
    </row>
    <row r="105" spans="1:80" s="418" customFormat="1" ht="15.6" x14ac:dyDescent="0.3">
      <c r="A105" s="1052">
        <v>339</v>
      </c>
      <c r="B105" s="1049"/>
      <c r="C105" s="1060" t="s">
        <v>1990</v>
      </c>
      <c r="D105" s="1061" t="s">
        <v>190</v>
      </c>
      <c r="E105" s="1062" t="s">
        <v>422</v>
      </c>
      <c r="F105" s="1063">
        <v>0</v>
      </c>
      <c r="G105" s="1063">
        <v>0</v>
      </c>
      <c r="H105" s="1063">
        <v>0</v>
      </c>
      <c r="I105" s="1063">
        <v>0</v>
      </c>
      <c r="J105" s="1063">
        <v>0</v>
      </c>
      <c r="K105" s="1063">
        <v>0</v>
      </c>
      <c r="L105" s="1063">
        <v>0</v>
      </c>
      <c r="M105" s="1063">
        <v>0</v>
      </c>
      <c r="N105" s="1063">
        <v>0</v>
      </c>
      <c r="O105" s="1063">
        <v>0</v>
      </c>
      <c r="P105" s="1063">
        <v>0</v>
      </c>
      <c r="Q105" s="1063">
        <v>0</v>
      </c>
      <c r="R105" s="1063">
        <v>0</v>
      </c>
      <c r="S105" s="1063">
        <v>0</v>
      </c>
      <c r="T105" s="1063">
        <v>0</v>
      </c>
      <c r="U105" s="1063">
        <v>0</v>
      </c>
      <c r="V105" s="1063"/>
      <c r="W105" s="1049"/>
      <c r="X105" s="1049"/>
      <c r="Y105" s="1049"/>
      <c r="Z105" s="1049"/>
      <c r="AA105" s="1066"/>
      <c r="AB105" s="1065"/>
      <c r="AT105" s="418">
        <v>19969</v>
      </c>
      <c r="AU105" s="418">
        <v>805251</v>
      </c>
      <c r="AV105" s="418">
        <v>155739</v>
      </c>
      <c r="AW105" s="418">
        <v>13620</v>
      </c>
      <c r="AX105" s="418">
        <v>102026</v>
      </c>
      <c r="AY105" s="418">
        <v>51391</v>
      </c>
      <c r="AZ105" s="418">
        <v>368162</v>
      </c>
      <c r="BA105" s="418">
        <v>444060</v>
      </c>
      <c r="BB105" s="418">
        <v>13897</v>
      </c>
      <c r="BC105" s="418">
        <v>184863</v>
      </c>
      <c r="BD105" s="418">
        <v>0</v>
      </c>
      <c r="BE105" s="418">
        <v>0</v>
      </c>
      <c r="BF105" s="418">
        <v>4107278</v>
      </c>
      <c r="BG105" s="418">
        <v>0</v>
      </c>
      <c r="BH105" s="418">
        <v>5405</v>
      </c>
      <c r="BI105" s="418">
        <v>197651</v>
      </c>
      <c r="BJ105" s="418">
        <v>130499</v>
      </c>
      <c r="BK105" s="418">
        <v>0</v>
      </c>
      <c r="BL105" s="418">
        <v>257541</v>
      </c>
      <c r="BM105" s="418">
        <v>296519</v>
      </c>
      <c r="BN105" s="418">
        <v>0</v>
      </c>
      <c r="BO105" s="418">
        <v>1544228</v>
      </c>
      <c r="BP105" s="418">
        <v>29014</v>
      </c>
      <c r="BQ105" s="418">
        <v>40912</v>
      </c>
      <c r="BR105" s="418">
        <v>240044</v>
      </c>
      <c r="BS105" s="418">
        <v>92534</v>
      </c>
      <c r="BT105" s="418">
        <v>2131895</v>
      </c>
      <c r="BU105" s="418">
        <v>256648</v>
      </c>
      <c r="BV105" s="418">
        <v>275192</v>
      </c>
      <c r="BW105" s="418">
        <v>141522</v>
      </c>
      <c r="BX105" s="418">
        <v>1075</v>
      </c>
      <c r="BY105" s="418">
        <v>0</v>
      </c>
      <c r="BZ105" s="418">
        <v>0</v>
      </c>
      <c r="CA105" s="418">
        <v>1464352</v>
      </c>
      <c r="CB105" s="418">
        <v>384</v>
      </c>
    </row>
    <row r="106" spans="1:80" s="418" customFormat="1" ht="15.6" x14ac:dyDescent="0.3">
      <c r="A106" s="1052">
        <v>340</v>
      </c>
      <c r="B106" s="1049"/>
      <c r="C106" s="1060" t="s">
        <v>1798</v>
      </c>
      <c r="D106" s="1061" t="s">
        <v>1799</v>
      </c>
      <c r="E106" s="1062" t="s">
        <v>423</v>
      </c>
      <c r="F106" s="1063">
        <v>0</v>
      </c>
      <c r="G106" s="1063">
        <v>0</v>
      </c>
      <c r="H106" s="1063">
        <v>0</v>
      </c>
      <c r="I106" s="1063">
        <v>0</v>
      </c>
      <c r="J106" s="1063">
        <v>0</v>
      </c>
      <c r="K106" s="1063">
        <v>0</v>
      </c>
      <c r="L106" s="1063">
        <v>0</v>
      </c>
      <c r="M106" s="1063">
        <v>0</v>
      </c>
      <c r="N106" s="1063">
        <v>0</v>
      </c>
      <c r="O106" s="1063">
        <v>0</v>
      </c>
      <c r="P106" s="1063">
        <v>0</v>
      </c>
      <c r="Q106" s="1063">
        <v>0</v>
      </c>
      <c r="R106" s="1063">
        <v>0</v>
      </c>
      <c r="S106" s="1063">
        <v>0</v>
      </c>
      <c r="T106" s="1063">
        <v>0</v>
      </c>
      <c r="U106" s="1063">
        <v>0</v>
      </c>
      <c r="V106" s="1063"/>
      <c r="W106" s="1049"/>
      <c r="X106" s="1049"/>
      <c r="Y106" s="1049"/>
      <c r="Z106" s="1049"/>
      <c r="AA106" s="1066"/>
      <c r="AB106" s="1065"/>
    </row>
    <row r="107" spans="1:80" s="418" customFormat="1" ht="41.4" x14ac:dyDescent="0.3">
      <c r="A107" s="1052">
        <v>341</v>
      </c>
      <c r="B107" s="1049"/>
      <c r="C107" s="1060" t="s">
        <v>1991</v>
      </c>
      <c r="D107" s="1070" t="s">
        <v>1800</v>
      </c>
      <c r="E107" s="1062" t="s">
        <v>424</v>
      </c>
      <c r="F107" s="1063">
        <v>0</v>
      </c>
      <c r="G107" s="1063">
        <v>0</v>
      </c>
      <c r="H107" s="1063">
        <v>0</v>
      </c>
      <c r="I107" s="1063">
        <v>0</v>
      </c>
      <c r="J107" s="1063">
        <v>0</v>
      </c>
      <c r="K107" s="1063">
        <v>0</v>
      </c>
      <c r="L107" s="1063">
        <v>0</v>
      </c>
      <c r="M107" s="1063">
        <v>0</v>
      </c>
      <c r="N107" s="1063">
        <v>0</v>
      </c>
      <c r="O107" s="1063">
        <v>0</v>
      </c>
      <c r="P107" s="1063">
        <v>0</v>
      </c>
      <c r="Q107" s="1063">
        <v>0</v>
      </c>
      <c r="R107" s="1063">
        <v>0</v>
      </c>
      <c r="S107" s="1063">
        <v>0</v>
      </c>
      <c r="T107" s="1063">
        <v>0</v>
      </c>
      <c r="U107" s="1063">
        <v>0</v>
      </c>
      <c r="V107" s="1063"/>
      <c r="W107" s="1049"/>
      <c r="X107" s="1049"/>
      <c r="Y107" s="1049"/>
      <c r="Z107" s="1049"/>
      <c r="AA107" s="1066"/>
      <c r="AB107" s="1065"/>
      <c r="AT107" s="418">
        <v>616770</v>
      </c>
      <c r="AU107" s="418">
        <v>3593761</v>
      </c>
      <c r="AV107" s="418">
        <v>10473091</v>
      </c>
      <c r="AW107" s="418">
        <v>87630</v>
      </c>
      <c r="AX107" s="418">
        <v>498112</v>
      </c>
      <c r="AY107" s="418">
        <v>3219952</v>
      </c>
      <c r="AZ107" s="418">
        <v>3516198</v>
      </c>
      <c r="BA107" s="418">
        <v>2517488</v>
      </c>
      <c r="BB107" s="418">
        <v>64682</v>
      </c>
      <c r="BC107" s="418">
        <v>2268629</v>
      </c>
      <c r="BD107" s="418">
        <v>0</v>
      </c>
      <c r="BE107" s="418">
        <v>79767</v>
      </c>
      <c r="BF107" s="418">
        <v>21171575</v>
      </c>
      <c r="BG107" s="418">
        <v>0</v>
      </c>
      <c r="BH107" s="418">
        <v>60740</v>
      </c>
      <c r="BI107" s="418">
        <v>2956856</v>
      </c>
      <c r="BJ107" s="418">
        <v>2597072</v>
      </c>
      <c r="BK107" s="418">
        <v>0</v>
      </c>
      <c r="BL107" s="418">
        <v>8356070</v>
      </c>
      <c r="BM107" s="418">
        <v>4139203</v>
      </c>
      <c r="BN107" s="418">
        <v>50974</v>
      </c>
      <c r="BO107" s="418">
        <v>5058536</v>
      </c>
      <c r="BP107" s="418">
        <v>1941710</v>
      </c>
      <c r="BQ107" s="418">
        <v>890328</v>
      </c>
      <c r="BR107" s="418">
        <v>1696198</v>
      </c>
      <c r="BS107" s="418">
        <v>1372902</v>
      </c>
      <c r="BT107" s="418">
        <v>21903074</v>
      </c>
      <c r="BU107" s="418">
        <v>1724066</v>
      </c>
      <c r="BV107" s="418">
        <v>2437775</v>
      </c>
      <c r="BW107" s="418">
        <v>515242</v>
      </c>
      <c r="BX107" s="418">
        <v>958648</v>
      </c>
      <c r="BY107" s="418">
        <v>36718</v>
      </c>
      <c r="BZ107" s="418">
        <v>43403</v>
      </c>
      <c r="CA107" s="418">
        <v>17058382</v>
      </c>
      <c r="CB107" s="418">
        <v>82344</v>
      </c>
    </row>
    <row r="108" spans="1:80" s="418" customFormat="1" ht="15.6" x14ac:dyDescent="0.3">
      <c r="A108" s="1052">
        <v>342</v>
      </c>
      <c r="B108" s="1049"/>
      <c r="C108" s="1060" t="s">
        <v>1801</v>
      </c>
      <c r="D108" s="1061" t="s">
        <v>1802</v>
      </c>
      <c r="E108" s="1062" t="s">
        <v>425</v>
      </c>
      <c r="F108" s="1063">
        <v>0</v>
      </c>
      <c r="G108" s="1063">
        <v>0</v>
      </c>
      <c r="H108" s="1063">
        <v>0</v>
      </c>
      <c r="I108" s="1063">
        <v>0</v>
      </c>
      <c r="J108" s="1063">
        <v>0</v>
      </c>
      <c r="K108" s="1063">
        <v>0</v>
      </c>
      <c r="L108" s="1063">
        <v>0</v>
      </c>
      <c r="M108" s="1063">
        <v>0</v>
      </c>
      <c r="N108" s="1063">
        <v>0</v>
      </c>
      <c r="O108" s="1063">
        <v>0</v>
      </c>
      <c r="P108" s="1063">
        <v>0</v>
      </c>
      <c r="Q108" s="1063">
        <v>0</v>
      </c>
      <c r="R108" s="1063">
        <v>0</v>
      </c>
      <c r="S108" s="1063">
        <v>0</v>
      </c>
      <c r="T108" s="1063">
        <v>0</v>
      </c>
      <c r="U108" s="1063">
        <v>0</v>
      </c>
      <c r="V108" s="1063"/>
      <c r="W108" s="1049"/>
      <c r="X108" s="1049"/>
      <c r="Y108" s="1049"/>
      <c r="Z108" s="1049"/>
      <c r="AA108" s="1066"/>
      <c r="AB108" s="1065"/>
    </row>
    <row r="109" spans="1:80" s="418" customFormat="1" ht="15.6" x14ac:dyDescent="0.3">
      <c r="A109" s="1052">
        <v>343</v>
      </c>
      <c r="B109" s="1049"/>
      <c r="C109" s="1060" t="s">
        <v>1992</v>
      </c>
      <c r="D109" s="1061" t="s">
        <v>255</v>
      </c>
      <c r="E109" s="1062" t="s">
        <v>426</v>
      </c>
      <c r="F109" s="1063">
        <v>0</v>
      </c>
      <c r="G109" s="1063">
        <v>0</v>
      </c>
      <c r="H109" s="1063">
        <v>0</v>
      </c>
      <c r="I109" s="1063">
        <v>0</v>
      </c>
      <c r="J109" s="1063">
        <v>0</v>
      </c>
      <c r="K109" s="1063">
        <v>0</v>
      </c>
      <c r="L109" s="1063">
        <v>0</v>
      </c>
      <c r="M109" s="1063">
        <v>0</v>
      </c>
      <c r="N109" s="1063">
        <v>0</v>
      </c>
      <c r="O109" s="1063">
        <v>0</v>
      </c>
      <c r="P109" s="1063">
        <v>0</v>
      </c>
      <c r="Q109" s="1063">
        <v>0</v>
      </c>
      <c r="R109" s="1063">
        <v>0</v>
      </c>
      <c r="S109" s="1063">
        <v>0</v>
      </c>
      <c r="T109" s="1063">
        <v>0</v>
      </c>
      <c r="U109" s="1063">
        <v>0</v>
      </c>
      <c r="V109" s="1063"/>
      <c r="W109" s="1049"/>
      <c r="X109" s="1049"/>
      <c r="Y109" s="1049"/>
      <c r="Z109" s="1049"/>
      <c r="AA109" s="1066"/>
      <c r="AB109" s="1065"/>
      <c r="AT109" s="418">
        <v>86250</v>
      </c>
      <c r="AU109" s="418">
        <v>213561</v>
      </c>
      <c r="AV109" s="418">
        <v>426798</v>
      </c>
      <c r="AW109" s="418">
        <v>0</v>
      </c>
      <c r="AX109" s="418">
        <v>2578</v>
      </c>
      <c r="AY109" s="418">
        <v>154131</v>
      </c>
      <c r="AZ109" s="418">
        <v>63233</v>
      </c>
      <c r="BA109" s="418">
        <v>147795</v>
      </c>
      <c r="BB109" s="418">
        <v>0</v>
      </c>
      <c r="BC109" s="418">
        <v>63385</v>
      </c>
      <c r="BD109" s="418">
        <v>0</v>
      </c>
      <c r="BE109" s="418">
        <v>0</v>
      </c>
      <c r="BF109" s="418">
        <v>978176</v>
      </c>
      <c r="BG109" s="418">
        <v>0</v>
      </c>
      <c r="BH109" s="418">
        <v>0</v>
      </c>
      <c r="BI109" s="418">
        <v>20808</v>
      </c>
      <c r="BJ109" s="418">
        <v>59991</v>
      </c>
      <c r="BK109" s="418">
        <v>0</v>
      </c>
      <c r="BL109" s="418">
        <v>218333</v>
      </c>
      <c r="BM109" s="418">
        <v>0</v>
      </c>
      <c r="BN109" s="418">
        <v>0</v>
      </c>
      <c r="BO109" s="418">
        <v>187311</v>
      </c>
      <c r="BP109" s="418">
        <v>0</v>
      </c>
      <c r="BQ109" s="418">
        <v>12019</v>
      </c>
      <c r="BR109" s="418">
        <v>0</v>
      </c>
      <c r="BS109" s="418">
        <v>0</v>
      </c>
      <c r="BT109" s="418">
        <v>1080011</v>
      </c>
      <c r="BU109" s="418">
        <v>46518</v>
      </c>
      <c r="BV109" s="418">
        <v>69583</v>
      </c>
      <c r="BW109" s="418">
        <v>80922</v>
      </c>
      <c r="BX109" s="418">
        <v>0</v>
      </c>
      <c r="BY109" s="418">
        <v>0</v>
      </c>
      <c r="BZ109" s="418">
        <v>0</v>
      </c>
      <c r="CA109" s="418">
        <v>1273190</v>
      </c>
      <c r="CB109" s="418">
        <v>2548</v>
      </c>
    </row>
    <row r="110" spans="1:80" s="418" customFormat="1" ht="15.6" x14ac:dyDescent="0.3">
      <c r="A110" s="1052">
        <v>344</v>
      </c>
      <c r="B110" s="1049"/>
      <c r="C110" s="1060" t="s">
        <v>1993</v>
      </c>
      <c r="D110" s="1061" t="s">
        <v>188</v>
      </c>
      <c r="E110" s="1062" t="s">
        <v>427</v>
      </c>
      <c r="F110" s="1063">
        <v>0</v>
      </c>
      <c r="G110" s="1063">
        <v>0</v>
      </c>
      <c r="H110" s="1063">
        <v>0</v>
      </c>
      <c r="I110" s="1063">
        <v>0</v>
      </c>
      <c r="J110" s="1063">
        <v>0</v>
      </c>
      <c r="K110" s="1063">
        <v>0</v>
      </c>
      <c r="L110" s="1063">
        <v>0</v>
      </c>
      <c r="M110" s="1063">
        <v>0</v>
      </c>
      <c r="N110" s="1063">
        <v>0</v>
      </c>
      <c r="O110" s="1063">
        <v>0</v>
      </c>
      <c r="P110" s="1063">
        <v>0</v>
      </c>
      <c r="Q110" s="1063">
        <v>0</v>
      </c>
      <c r="R110" s="1063">
        <v>0</v>
      </c>
      <c r="S110" s="1063">
        <v>0</v>
      </c>
      <c r="T110" s="1063">
        <v>0</v>
      </c>
      <c r="U110" s="1063">
        <v>0</v>
      </c>
      <c r="V110" s="1063"/>
      <c r="W110" s="1049"/>
      <c r="X110" s="1049"/>
      <c r="Y110" s="1049"/>
      <c r="Z110" s="1049"/>
      <c r="AA110" s="1066"/>
      <c r="AB110" s="1065"/>
      <c r="AT110" s="418">
        <v>13022</v>
      </c>
      <c r="AU110" s="418">
        <v>79281</v>
      </c>
      <c r="AV110" s="418">
        <v>40228</v>
      </c>
      <c r="AW110" s="418">
        <v>0</v>
      </c>
      <c r="AX110" s="418">
        <v>936</v>
      </c>
      <c r="AY110" s="418">
        <v>7045</v>
      </c>
      <c r="AZ110" s="418">
        <v>25112</v>
      </c>
      <c r="BA110" s="418">
        <v>19809</v>
      </c>
      <c r="BB110" s="418">
        <v>0</v>
      </c>
      <c r="BC110" s="418">
        <v>2843</v>
      </c>
      <c r="BD110" s="418">
        <v>0</v>
      </c>
      <c r="BE110" s="418">
        <v>0</v>
      </c>
      <c r="BF110" s="418">
        <v>553677</v>
      </c>
      <c r="BG110" s="418">
        <v>0</v>
      </c>
      <c r="BH110" s="418">
        <v>0</v>
      </c>
      <c r="BI110" s="418">
        <v>2659</v>
      </c>
      <c r="BJ110" s="418">
        <v>1193</v>
      </c>
      <c r="BK110" s="418">
        <v>0</v>
      </c>
      <c r="BL110" s="418">
        <v>52728</v>
      </c>
      <c r="BM110" s="418">
        <v>7474</v>
      </c>
      <c r="BN110" s="418">
        <v>0</v>
      </c>
      <c r="BO110" s="418">
        <v>32521</v>
      </c>
      <c r="BP110" s="418">
        <v>0</v>
      </c>
      <c r="BQ110" s="418">
        <v>269</v>
      </c>
      <c r="BR110" s="418">
        <v>0</v>
      </c>
      <c r="BS110" s="418">
        <v>0</v>
      </c>
      <c r="BT110" s="418">
        <v>177933</v>
      </c>
      <c r="BU110" s="418">
        <v>20874</v>
      </c>
      <c r="BV110" s="418">
        <v>7416</v>
      </c>
      <c r="BW110" s="418">
        <v>1182</v>
      </c>
      <c r="BX110" s="418">
        <v>0</v>
      </c>
      <c r="BY110" s="418">
        <v>0</v>
      </c>
      <c r="BZ110" s="418">
        <v>0</v>
      </c>
      <c r="CA110" s="418">
        <v>257803</v>
      </c>
      <c r="CB110" s="418">
        <v>2408</v>
      </c>
    </row>
    <row r="111" spans="1:80" s="418" customFormat="1" ht="15.6" x14ac:dyDescent="0.3">
      <c r="A111" s="1052">
        <v>346</v>
      </c>
      <c r="B111" s="1049"/>
      <c r="C111" s="1060" t="s">
        <v>1803</v>
      </c>
      <c r="D111" s="1061" t="s">
        <v>1804</v>
      </c>
      <c r="E111" s="1062" t="s">
        <v>428</v>
      </c>
      <c r="F111" s="1063">
        <v>0</v>
      </c>
      <c r="G111" s="1063">
        <v>0</v>
      </c>
      <c r="H111" s="1063">
        <v>0</v>
      </c>
      <c r="I111" s="1063">
        <v>0</v>
      </c>
      <c r="J111" s="1063">
        <v>0</v>
      </c>
      <c r="K111" s="1063">
        <v>0</v>
      </c>
      <c r="L111" s="1063">
        <v>0</v>
      </c>
      <c r="M111" s="1063">
        <v>0</v>
      </c>
      <c r="N111" s="1063">
        <v>0</v>
      </c>
      <c r="O111" s="1063">
        <v>0</v>
      </c>
      <c r="P111" s="1063">
        <v>0</v>
      </c>
      <c r="Q111" s="1063">
        <v>0</v>
      </c>
      <c r="R111" s="1063">
        <v>0</v>
      </c>
      <c r="S111" s="1063">
        <v>0</v>
      </c>
      <c r="T111" s="1063">
        <v>0</v>
      </c>
      <c r="U111" s="1063">
        <v>0</v>
      </c>
      <c r="V111" s="1063"/>
      <c r="W111" s="1049"/>
      <c r="X111" s="1049"/>
      <c r="Y111" s="1049"/>
      <c r="Z111" s="1049"/>
      <c r="AA111" s="1066"/>
      <c r="AB111" s="1049"/>
      <c r="AT111" s="418">
        <v>0</v>
      </c>
      <c r="AU111" s="418">
        <v>0</v>
      </c>
      <c r="AV111" s="418">
        <v>0</v>
      </c>
      <c r="AW111" s="418">
        <v>0</v>
      </c>
      <c r="AX111" s="418">
        <v>0</v>
      </c>
      <c r="AY111" s="418">
        <v>0</v>
      </c>
      <c r="AZ111" s="418">
        <v>0</v>
      </c>
      <c r="BA111" s="418">
        <v>0</v>
      </c>
      <c r="BB111" s="418">
        <v>0</v>
      </c>
      <c r="BC111" s="418">
        <v>0</v>
      </c>
      <c r="BD111" s="418">
        <v>0</v>
      </c>
      <c r="BE111" s="418">
        <v>0</v>
      </c>
      <c r="BF111" s="418">
        <v>0</v>
      </c>
      <c r="BG111" s="418">
        <v>0</v>
      </c>
      <c r="BH111" s="418">
        <v>0</v>
      </c>
      <c r="BI111" s="418">
        <v>0</v>
      </c>
      <c r="BJ111" s="418">
        <v>0</v>
      </c>
      <c r="BK111" s="418">
        <v>0</v>
      </c>
      <c r="BL111" s="418">
        <v>0</v>
      </c>
      <c r="BM111" s="418">
        <v>0</v>
      </c>
      <c r="BN111" s="418">
        <v>0</v>
      </c>
      <c r="BO111" s="418">
        <v>0</v>
      </c>
      <c r="BP111" s="418">
        <v>0</v>
      </c>
      <c r="BQ111" s="418">
        <v>0</v>
      </c>
      <c r="BR111" s="418">
        <v>0</v>
      </c>
      <c r="BS111" s="418">
        <v>0</v>
      </c>
      <c r="BT111" s="418">
        <v>0</v>
      </c>
      <c r="BU111" s="418">
        <v>0</v>
      </c>
      <c r="BV111" s="418">
        <v>0</v>
      </c>
      <c r="BW111" s="418">
        <v>0</v>
      </c>
      <c r="BX111" s="418">
        <v>0</v>
      </c>
      <c r="BY111" s="418">
        <v>0</v>
      </c>
      <c r="BZ111" s="418">
        <v>0</v>
      </c>
      <c r="CA111" s="418">
        <v>0</v>
      </c>
      <c r="CB111" s="418">
        <v>0</v>
      </c>
    </row>
    <row r="112" spans="1:80" s="418" customFormat="1" ht="15.6" x14ac:dyDescent="0.3">
      <c r="A112" s="1052">
        <v>347</v>
      </c>
      <c r="B112" s="1049"/>
      <c r="C112" s="1060" t="s">
        <v>1805</v>
      </c>
      <c r="D112" s="1061" t="s">
        <v>1806</v>
      </c>
      <c r="E112" s="1062" t="s">
        <v>429</v>
      </c>
      <c r="F112" s="1063">
        <v>0</v>
      </c>
      <c r="G112" s="1063">
        <v>0</v>
      </c>
      <c r="H112" s="1063">
        <v>0</v>
      </c>
      <c r="I112" s="1063">
        <v>0</v>
      </c>
      <c r="J112" s="1063">
        <v>0</v>
      </c>
      <c r="K112" s="1063">
        <v>0</v>
      </c>
      <c r="L112" s="1063">
        <v>0</v>
      </c>
      <c r="M112" s="1063">
        <v>0</v>
      </c>
      <c r="N112" s="1063">
        <v>0</v>
      </c>
      <c r="O112" s="1063">
        <v>0</v>
      </c>
      <c r="P112" s="1063">
        <v>0</v>
      </c>
      <c r="Q112" s="1063">
        <v>0</v>
      </c>
      <c r="R112" s="1063">
        <v>0</v>
      </c>
      <c r="S112" s="1063">
        <v>0</v>
      </c>
      <c r="T112" s="1063">
        <v>0</v>
      </c>
      <c r="U112" s="1063">
        <v>0</v>
      </c>
      <c r="V112" s="1063"/>
      <c r="W112" s="1049"/>
      <c r="X112" s="1049"/>
      <c r="Y112" s="1049"/>
      <c r="Z112" s="1049"/>
      <c r="AA112" s="1066"/>
      <c r="AB112" s="1065"/>
      <c r="AT112" s="418">
        <v>0</v>
      </c>
      <c r="AU112" s="418">
        <v>0</v>
      </c>
      <c r="AV112" s="418">
        <v>0</v>
      </c>
      <c r="AW112" s="418">
        <v>0</v>
      </c>
      <c r="AX112" s="418">
        <v>0</v>
      </c>
      <c r="AY112" s="418">
        <v>0</v>
      </c>
      <c r="AZ112" s="418">
        <v>0</v>
      </c>
      <c r="BA112" s="418">
        <v>0</v>
      </c>
      <c r="BB112" s="418">
        <v>0</v>
      </c>
      <c r="BC112" s="418">
        <v>0</v>
      </c>
      <c r="BD112" s="418">
        <v>0</v>
      </c>
      <c r="BE112" s="418">
        <v>0</v>
      </c>
      <c r="BF112" s="418">
        <v>0</v>
      </c>
      <c r="BG112" s="418">
        <v>0</v>
      </c>
      <c r="BH112" s="418">
        <v>0</v>
      </c>
      <c r="BI112" s="418">
        <v>0</v>
      </c>
      <c r="BJ112" s="418">
        <v>0</v>
      </c>
      <c r="BK112" s="418">
        <v>0</v>
      </c>
      <c r="BL112" s="418">
        <v>0</v>
      </c>
      <c r="BM112" s="418">
        <v>0</v>
      </c>
      <c r="BN112" s="418">
        <v>0</v>
      </c>
      <c r="BO112" s="418">
        <v>0</v>
      </c>
      <c r="BP112" s="418">
        <v>0</v>
      </c>
      <c r="BQ112" s="418">
        <v>0</v>
      </c>
      <c r="BR112" s="418">
        <v>0</v>
      </c>
      <c r="BS112" s="418">
        <v>0</v>
      </c>
      <c r="BT112" s="418">
        <v>0</v>
      </c>
      <c r="BU112" s="418">
        <v>0</v>
      </c>
      <c r="BV112" s="418">
        <v>0</v>
      </c>
      <c r="BW112" s="418">
        <v>0</v>
      </c>
      <c r="BX112" s="418">
        <v>0</v>
      </c>
      <c r="BY112" s="418">
        <v>0</v>
      </c>
      <c r="BZ112" s="418">
        <v>0</v>
      </c>
      <c r="CA112" s="418">
        <v>0</v>
      </c>
      <c r="CB112" s="418">
        <v>0</v>
      </c>
    </row>
    <row r="113" spans="1:80" s="418" customFormat="1" ht="27.6" x14ac:dyDescent="0.3">
      <c r="A113" s="1052">
        <v>349</v>
      </c>
      <c r="B113" s="1049"/>
      <c r="C113" s="1060" t="s">
        <v>1994</v>
      </c>
      <c r="D113" s="1061" t="s">
        <v>122</v>
      </c>
      <c r="E113" s="1062" t="s">
        <v>430</v>
      </c>
      <c r="F113" s="1063">
        <v>0</v>
      </c>
      <c r="G113" s="1063">
        <v>0</v>
      </c>
      <c r="H113" s="1063">
        <v>0</v>
      </c>
      <c r="I113" s="1063">
        <v>0</v>
      </c>
      <c r="J113" s="1063">
        <v>0</v>
      </c>
      <c r="K113" s="1063">
        <v>0</v>
      </c>
      <c r="L113" s="1063">
        <v>0</v>
      </c>
      <c r="M113" s="1063">
        <v>0</v>
      </c>
      <c r="N113" s="1063">
        <v>0</v>
      </c>
      <c r="O113" s="1063">
        <v>0</v>
      </c>
      <c r="P113" s="1063">
        <v>0</v>
      </c>
      <c r="Q113" s="1063">
        <v>0</v>
      </c>
      <c r="R113" s="1063">
        <v>0</v>
      </c>
      <c r="S113" s="1063">
        <v>0</v>
      </c>
      <c r="T113" s="1063">
        <v>0</v>
      </c>
      <c r="U113" s="1063">
        <v>0</v>
      </c>
      <c r="V113" s="1063"/>
      <c r="W113" s="1049"/>
      <c r="X113" s="1049"/>
      <c r="Y113" s="1049"/>
      <c r="Z113" s="1049"/>
      <c r="AA113" s="1066"/>
      <c r="AB113" s="1065"/>
      <c r="AT113" s="418">
        <v>428926</v>
      </c>
      <c r="AU113" s="418">
        <v>465331</v>
      </c>
      <c r="AV113" s="418">
        <v>9268205</v>
      </c>
      <c r="AW113" s="418">
        <v>240325</v>
      </c>
      <c r="AX113" s="418">
        <v>299718</v>
      </c>
      <c r="AY113" s="418">
        <v>140301</v>
      </c>
      <c r="AZ113" s="418">
        <v>434137</v>
      </c>
      <c r="BA113" s="418">
        <v>4344537</v>
      </c>
      <c r="BB113" s="418">
        <v>16123</v>
      </c>
      <c r="BC113" s="418">
        <v>776949</v>
      </c>
      <c r="BD113" s="418">
        <v>0</v>
      </c>
      <c r="BE113" s="418">
        <v>0</v>
      </c>
      <c r="BF113" s="418">
        <v>14425057</v>
      </c>
      <c r="BG113" s="418">
        <v>0</v>
      </c>
      <c r="BH113" s="418">
        <v>0</v>
      </c>
      <c r="BI113" s="418">
        <v>2101556</v>
      </c>
      <c r="BJ113" s="418">
        <v>1506849</v>
      </c>
      <c r="BK113" s="418">
        <v>0</v>
      </c>
      <c r="BL113" s="418">
        <v>933745</v>
      </c>
      <c r="BM113" s="418">
        <v>1416241</v>
      </c>
      <c r="BN113" s="418">
        <v>0</v>
      </c>
      <c r="BO113" s="418">
        <v>1984459</v>
      </c>
      <c r="BP113" s="418">
        <v>933225</v>
      </c>
      <c r="BQ113" s="418">
        <v>771094</v>
      </c>
      <c r="BR113" s="418">
        <v>1828025</v>
      </c>
      <c r="BS113" s="418">
        <v>0</v>
      </c>
      <c r="BT113" s="418">
        <v>0</v>
      </c>
      <c r="BU113" s="418">
        <v>436931</v>
      </c>
      <c r="BV113" s="418">
        <v>5024080</v>
      </c>
      <c r="BW113" s="418">
        <v>819581</v>
      </c>
      <c r="BX113" s="418">
        <v>605259</v>
      </c>
      <c r="BY113" s="418">
        <v>0</v>
      </c>
      <c r="BZ113" s="418">
        <v>0</v>
      </c>
      <c r="CA113" s="418">
        <v>10364647</v>
      </c>
      <c r="CB113" s="418">
        <v>0</v>
      </c>
    </row>
    <row r="114" spans="1:80" s="418" customFormat="1" ht="27.6" x14ac:dyDescent="0.3">
      <c r="A114" s="1052">
        <v>350</v>
      </c>
      <c r="B114" s="1049"/>
      <c r="C114" s="1060" t="s">
        <v>1995</v>
      </c>
      <c r="D114" s="1061" t="s">
        <v>1807</v>
      </c>
      <c r="E114" s="1062" t="s">
        <v>431</v>
      </c>
      <c r="F114" s="1063">
        <v>0</v>
      </c>
      <c r="G114" s="1063">
        <v>0</v>
      </c>
      <c r="H114" s="1063">
        <v>0</v>
      </c>
      <c r="I114" s="1063">
        <v>0</v>
      </c>
      <c r="J114" s="1063">
        <v>0</v>
      </c>
      <c r="K114" s="1063">
        <v>0</v>
      </c>
      <c r="L114" s="1063">
        <v>0</v>
      </c>
      <c r="M114" s="1063">
        <v>0</v>
      </c>
      <c r="N114" s="1063">
        <v>0</v>
      </c>
      <c r="O114" s="1063">
        <v>0</v>
      </c>
      <c r="P114" s="1063">
        <v>0</v>
      </c>
      <c r="Q114" s="1063">
        <v>0</v>
      </c>
      <c r="R114" s="1063">
        <v>0</v>
      </c>
      <c r="S114" s="1063">
        <v>0</v>
      </c>
      <c r="T114" s="1063">
        <v>0</v>
      </c>
      <c r="U114" s="1063">
        <v>0</v>
      </c>
      <c r="V114" s="1063"/>
      <c r="W114" s="1049"/>
      <c r="X114" s="1049"/>
      <c r="Y114" s="1049"/>
      <c r="Z114" s="1049"/>
      <c r="AA114" s="1066"/>
      <c r="AB114" s="1065"/>
      <c r="AT114" s="418">
        <v>200</v>
      </c>
      <c r="AU114" s="418">
        <v>23469</v>
      </c>
      <c r="AV114" s="418">
        <v>148028</v>
      </c>
      <c r="AW114" s="418">
        <v>3298</v>
      </c>
      <c r="AX114" s="418">
        <v>588458</v>
      </c>
      <c r="AY114" s="418">
        <v>0</v>
      </c>
      <c r="AZ114" s="418">
        <v>12686</v>
      </c>
      <c r="BA114" s="418">
        <v>22685</v>
      </c>
      <c r="BB114" s="418">
        <v>0</v>
      </c>
      <c r="BC114" s="418">
        <v>5</v>
      </c>
      <c r="BD114" s="418">
        <v>0</v>
      </c>
      <c r="BE114" s="418">
        <v>0</v>
      </c>
      <c r="BF114" s="418">
        <v>1672536</v>
      </c>
      <c r="BG114" s="418">
        <v>0</v>
      </c>
      <c r="BH114" s="418">
        <v>0</v>
      </c>
      <c r="BI114" s="418">
        <v>4034</v>
      </c>
      <c r="BJ114" s="418">
        <v>45722</v>
      </c>
      <c r="BK114" s="418">
        <v>0</v>
      </c>
      <c r="BL114" s="418">
        <v>47493</v>
      </c>
      <c r="BM114" s="418">
        <v>39119</v>
      </c>
      <c r="BN114" s="418">
        <v>0</v>
      </c>
      <c r="BO114" s="418">
        <v>93841</v>
      </c>
      <c r="BP114" s="418">
        <v>39318</v>
      </c>
      <c r="BQ114" s="418">
        <v>0</v>
      </c>
      <c r="BR114" s="418">
        <v>5521</v>
      </c>
      <c r="BS114" s="418">
        <v>0</v>
      </c>
      <c r="BT114" s="418">
        <v>0</v>
      </c>
      <c r="BU114" s="418">
        <v>32472</v>
      </c>
      <c r="BV114" s="418">
        <v>44374</v>
      </c>
      <c r="BW114" s="418">
        <v>27849</v>
      </c>
      <c r="BX114" s="418">
        <v>5481</v>
      </c>
      <c r="BY114" s="418">
        <v>0</v>
      </c>
      <c r="BZ114" s="418">
        <v>0</v>
      </c>
      <c r="CA114" s="418">
        <v>105857</v>
      </c>
      <c r="CB114" s="418">
        <v>0</v>
      </c>
    </row>
    <row r="115" spans="1:80" s="418" customFormat="1" ht="15.6" x14ac:dyDescent="0.3">
      <c r="A115" s="1052">
        <v>351</v>
      </c>
      <c r="B115" s="1049"/>
      <c r="C115" s="1060" t="s">
        <v>1996</v>
      </c>
      <c r="D115" s="1061" t="s">
        <v>232</v>
      </c>
      <c r="E115" s="1062" t="s">
        <v>432</v>
      </c>
      <c r="F115" s="1063">
        <v>0</v>
      </c>
      <c r="G115" s="1063">
        <v>0</v>
      </c>
      <c r="H115" s="1063">
        <v>0</v>
      </c>
      <c r="I115" s="1063">
        <v>0</v>
      </c>
      <c r="J115" s="1063">
        <v>0</v>
      </c>
      <c r="K115" s="1063">
        <v>0</v>
      </c>
      <c r="L115" s="1063">
        <v>0</v>
      </c>
      <c r="M115" s="1063">
        <v>0</v>
      </c>
      <c r="N115" s="1063">
        <v>0</v>
      </c>
      <c r="O115" s="1063">
        <v>0</v>
      </c>
      <c r="P115" s="1063">
        <v>0</v>
      </c>
      <c r="Q115" s="1063">
        <v>0</v>
      </c>
      <c r="R115" s="1063">
        <v>0</v>
      </c>
      <c r="S115" s="1063">
        <v>0</v>
      </c>
      <c r="T115" s="1063">
        <v>0</v>
      </c>
      <c r="U115" s="1063">
        <v>0</v>
      </c>
      <c r="V115" s="1063"/>
      <c r="W115" s="1049"/>
      <c r="X115" s="1049"/>
      <c r="Y115" s="1049"/>
      <c r="Z115" s="1049"/>
      <c r="AA115" s="1066"/>
      <c r="AB115" s="1065"/>
      <c r="AT115" s="418">
        <v>6765</v>
      </c>
      <c r="AU115" s="418">
        <v>0</v>
      </c>
      <c r="AV115" s="418">
        <v>175910</v>
      </c>
      <c r="AW115" s="418">
        <v>3060</v>
      </c>
      <c r="AX115" s="418">
        <v>9939</v>
      </c>
      <c r="AY115" s="418">
        <v>4652</v>
      </c>
      <c r="AZ115" s="418">
        <v>4124</v>
      </c>
      <c r="BA115" s="418">
        <v>102194</v>
      </c>
      <c r="BB115" s="418">
        <v>0</v>
      </c>
      <c r="BC115" s="418">
        <v>787</v>
      </c>
      <c r="BD115" s="418">
        <v>0</v>
      </c>
      <c r="BE115" s="418">
        <v>0</v>
      </c>
      <c r="BF115" s="418">
        <v>36713</v>
      </c>
      <c r="BG115" s="418">
        <v>0</v>
      </c>
      <c r="BH115" s="418">
        <v>0</v>
      </c>
      <c r="BI115" s="418">
        <v>50191</v>
      </c>
      <c r="BJ115" s="418">
        <v>30800</v>
      </c>
      <c r="BK115" s="418">
        <v>0</v>
      </c>
      <c r="BL115" s="418">
        <v>0</v>
      </c>
      <c r="BM115" s="418">
        <v>7474</v>
      </c>
      <c r="BN115" s="418">
        <v>0</v>
      </c>
      <c r="BO115" s="418">
        <v>18358</v>
      </c>
      <c r="BP115" s="418">
        <v>23427</v>
      </c>
      <c r="BQ115" s="418">
        <v>34246</v>
      </c>
      <c r="BR115" s="418">
        <v>0</v>
      </c>
      <c r="BS115" s="418">
        <v>0</v>
      </c>
      <c r="BT115" s="418">
        <v>0</v>
      </c>
      <c r="BU115" s="418">
        <v>9443</v>
      </c>
      <c r="BV115" s="418">
        <v>47228</v>
      </c>
      <c r="BW115" s="418">
        <v>17803</v>
      </c>
      <c r="BX115" s="418">
        <v>1084610</v>
      </c>
      <c r="BY115" s="418">
        <v>0</v>
      </c>
      <c r="BZ115" s="418">
        <v>0</v>
      </c>
      <c r="CA115" s="418">
        <v>100206</v>
      </c>
      <c r="CB115" s="418">
        <v>0</v>
      </c>
    </row>
    <row r="116" spans="1:80" s="418" customFormat="1" ht="15.6" x14ac:dyDescent="0.3">
      <c r="A116" s="1052">
        <v>352</v>
      </c>
      <c r="B116" s="1049"/>
      <c r="C116" s="1060" t="s">
        <v>1997</v>
      </c>
      <c r="D116" s="1061" t="s">
        <v>234</v>
      </c>
      <c r="E116" s="1062" t="s">
        <v>433</v>
      </c>
      <c r="F116" s="1063">
        <v>0</v>
      </c>
      <c r="G116" s="1063">
        <v>0</v>
      </c>
      <c r="H116" s="1063">
        <v>0</v>
      </c>
      <c r="I116" s="1063">
        <v>0</v>
      </c>
      <c r="J116" s="1063">
        <v>0</v>
      </c>
      <c r="K116" s="1063">
        <v>0</v>
      </c>
      <c r="L116" s="1063">
        <v>0</v>
      </c>
      <c r="M116" s="1063">
        <v>0</v>
      </c>
      <c r="N116" s="1063">
        <v>0</v>
      </c>
      <c r="O116" s="1063">
        <v>0</v>
      </c>
      <c r="P116" s="1063">
        <v>0</v>
      </c>
      <c r="Q116" s="1063">
        <v>0</v>
      </c>
      <c r="R116" s="1063">
        <v>0</v>
      </c>
      <c r="S116" s="1063">
        <v>0</v>
      </c>
      <c r="T116" s="1063">
        <v>0</v>
      </c>
      <c r="U116" s="1063">
        <v>0</v>
      </c>
      <c r="V116" s="1063"/>
      <c r="W116" s="1049"/>
      <c r="X116" s="1049"/>
      <c r="Y116" s="1049"/>
      <c r="Z116" s="1049"/>
      <c r="AA116" s="1066"/>
      <c r="AB116" s="1049"/>
      <c r="AT116" s="418">
        <v>10765</v>
      </c>
      <c r="AU116" s="418">
        <v>0</v>
      </c>
      <c r="AV116" s="418">
        <v>0</v>
      </c>
      <c r="AW116" s="418">
        <v>0</v>
      </c>
      <c r="AX116" s="418">
        <v>0</v>
      </c>
      <c r="AY116" s="418">
        <v>0</v>
      </c>
      <c r="AZ116" s="418">
        <v>0</v>
      </c>
      <c r="BA116" s="418">
        <v>0</v>
      </c>
      <c r="BB116" s="418">
        <v>0</v>
      </c>
      <c r="BC116" s="418">
        <v>0</v>
      </c>
      <c r="BD116" s="418">
        <v>0</v>
      </c>
      <c r="BE116" s="418">
        <v>0</v>
      </c>
      <c r="BF116" s="418">
        <v>0</v>
      </c>
      <c r="BG116" s="418">
        <v>0</v>
      </c>
      <c r="BH116" s="418">
        <v>0</v>
      </c>
      <c r="BI116" s="418">
        <v>0</v>
      </c>
      <c r="BJ116" s="418">
        <v>0</v>
      </c>
      <c r="BK116" s="418">
        <v>0</v>
      </c>
      <c r="BL116" s="418">
        <v>0</v>
      </c>
      <c r="BM116" s="418">
        <v>0</v>
      </c>
      <c r="BN116" s="418">
        <v>0</v>
      </c>
      <c r="BO116" s="418">
        <v>0</v>
      </c>
      <c r="BP116" s="418">
        <v>0</v>
      </c>
      <c r="BQ116" s="418">
        <v>0</v>
      </c>
      <c r="BR116" s="418">
        <v>0</v>
      </c>
      <c r="BS116" s="418">
        <v>0</v>
      </c>
      <c r="BT116" s="418">
        <v>0</v>
      </c>
      <c r="BU116" s="418">
        <v>6211</v>
      </c>
      <c r="BV116" s="418">
        <v>21072</v>
      </c>
      <c r="BW116" s="418">
        <v>129596</v>
      </c>
      <c r="BX116" s="418">
        <v>0</v>
      </c>
      <c r="BY116" s="418">
        <v>0</v>
      </c>
      <c r="BZ116" s="418">
        <v>0</v>
      </c>
      <c r="CA116" s="418">
        <v>1395</v>
      </c>
      <c r="CB116" s="418">
        <v>0</v>
      </c>
    </row>
    <row r="117" spans="1:80" s="418" customFormat="1" ht="15.6" x14ac:dyDescent="0.3">
      <c r="A117" s="1052">
        <v>353</v>
      </c>
      <c r="B117" s="1049"/>
      <c r="C117" s="1060" t="s">
        <v>1998</v>
      </c>
      <c r="D117" s="1061" t="s">
        <v>235</v>
      </c>
      <c r="E117" s="1062" t="s">
        <v>434</v>
      </c>
      <c r="F117" s="1063">
        <v>0</v>
      </c>
      <c r="G117" s="1063">
        <v>0</v>
      </c>
      <c r="H117" s="1063">
        <v>0</v>
      </c>
      <c r="I117" s="1063">
        <v>0</v>
      </c>
      <c r="J117" s="1063">
        <v>0</v>
      </c>
      <c r="K117" s="1063">
        <v>0</v>
      </c>
      <c r="L117" s="1063">
        <v>0</v>
      </c>
      <c r="M117" s="1063">
        <v>0</v>
      </c>
      <c r="N117" s="1063">
        <v>0</v>
      </c>
      <c r="O117" s="1063">
        <v>0</v>
      </c>
      <c r="P117" s="1063">
        <v>0</v>
      </c>
      <c r="Q117" s="1063">
        <v>0</v>
      </c>
      <c r="R117" s="1063">
        <v>0</v>
      </c>
      <c r="S117" s="1063">
        <v>0</v>
      </c>
      <c r="T117" s="1063">
        <v>0</v>
      </c>
      <c r="U117" s="1063">
        <v>0</v>
      </c>
      <c r="V117" s="1063"/>
      <c r="W117" s="1049"/>
      <c r="X117" s="1049"/>
      <c r="Y117" s="1049"/>
      <c r="Z117" s="1049"/>
      <c r="AA117" s="1066"/>
      <c r="AB117" s="1049"/>
      <c r="AT117" s="418">
        <v>11853</v>
      </c>
      <c r="AU117" s="418">
        <v>0</v>
      </c>
      <c r="AV117" s="418">
        <v>379096</v>
      </c>
      <c r="AW117" s="418">
        <v>20000</v>
      </c>
      <c r="AX117" s="418">
        <v>0</v>
      </c>
      <c r="AY117" s="418">
        <v>0</v>
      </c>
      <c r="AZ117" s="418">
        <v>60000</v>
      </c>
      <c r="BA117" s="418">
        <v>0</v>
      </c>
      <c r="BB117" s="418">
        <v>0</v>
      </c>
      <c r="BC117" s="418">
        <v>0</v>
      </c>
      <c r="BD117" s="418">
        <v>0</v>
      </c>
      <c r="BE117" s="418">
        <v>0</v>
      </c>
      <c r="BF117" s="418">
        <v>0</v>
      </c>
      <c r="BG117" s="418">
        <v>0</v>
      </c>
      <c r="BH117" s="418">
        <v>0</v>
      </c>
      <c r="BI117" s="418">
        <v>0</v>
      </c>
      <c r="BJ117" s="418">
        <v>0</v>
      </c>
      <c r="BK117" s="418">
        <v>0</v>
      </c>
      <c r="BL117" s="418">
        <v>0</v>
      </c>
      <c r="BM117" s="418">
        <v>0</v>
      </c>
      <c r="BN117" s="418">
        <v>0</v>
      </c>
      <c r="BO117" s="418">
        <v>173000</v>
      </c>
      <c r="BP117" s="418">
        <v>0</v>
      </c>
      <c r="BQ117" s="418">
        <v>0</v>
      </c>
      <c r="BR117" s="418">
        <v>1495868</v>
      </c>
      <c r="BS117" s="418">
        <v>0</v>
      </c>
      <c r="BT117" s="418">
        <v>0</v>
      </c>
      <c r="BU117" s="418">
        <v>0</v>
      </c>
      <c r="BV117" s="418">
        <v>0</v>
      </c>
      <c r="BW117" s="418">
        <v>0</v>
      </c>
      <c r="BX117" s="418">
        <v>0</v>
      </c>
      <c r="BY117" s="418">
        <v>0</v>
      </c>
      <c r="BZ117" s="418">
        <v>0</v>
      </c>
      <c r="CA117" s="418">
        <v>0</v>
      </c>
      <c r="CB117" s="418">
        <v>0</v>
      </c>
    </row>
    <row r="118" spans="1:80" s="418" customFormat="1" ht="27.6" x14ac:dyDescent="0.3">
      <c r="A118" s="1052">
        <v>356</v>
      </c>
      <c r="B118" s="1049"/>
      <c r="C118" s="1060" t="s">
        <v>1999</v>
      </c>
      <c r="D118" s="1061" t="s">
        <v>552</v>
      </c>
      <c r="E118" s="1062" t="s">
        <v>435</v>
      </c>
      <c r="F118" s="1063">
        <v>0</v>
      </c>
      <c r="G118" s="1063">
        <v>0</v>
      </c>
      <c r="H118" s="1063">
        <v>0</v>
      </c>
      <c r="I118" s="1063">
        <v>0</v>
      </c>
      <c r="J118" s="1063">
        <v>0</v>
      </c>
      <c r="K118" s="1063">
        <v>0</v>
      </c>
      <c r="L118" s="1063">
        <v>0</v>
      </c>
      <c r="M118" s="1063">
        <v>0</v>
      </c>
      <c r="N118" s="1063">
        <v>0</v>
      </c>
      <c r="O118" s="1063">
        <v>0</v>
      </c>
      <c r="P118" s="1063">
        <v>0</v>
      </c>
      <c r="Q118" s="1063">
        <v>0</v>
      </c>
      <c r="R118" s="1063">
        <v>0</v>
      </c>
      <c r="S118" s="1063">
        <v>0</v>
      </c>
      <c r="T118" s="1063">
        <v>0</v>
      </c>
      <c r="U118" s="1063">
        <v>0</v>
      </c>
      <c r="V118" s="1063"/>
      <c r="W118" s="1049"/>
      <c r="X118" s="1049"/>
      <c r="Y118" s="1049"/>
      <c r="Z118" s="1049"/>
      <c r="AA118" s="1066"/>
      <c r="AB118" s="1049"/>
      <c r="AT118" s="418">
        <v>0</v>
      </c>
      <c r="AU118" s="418">
        <v>0</v>
      </c>
      <c r="AV118" s="418">
        <v>6253714</v>
      </c>
      <c r="AW118" s="418">
        <v>0</v>
      </c>
      <c r="AX118" s="418">
        <v>0</v>
      </c>
      <c r="AY118" s="418">
        <v>0</v>
      </c>
      <c r="AZ118" s="418">
        <v>0</v>
      </c>
      <c r="BA118" s="418">
        <v>10800097</v>
      </c>
      <c r="BB118" s="418">
        <v>0</v>
      </c>
      <c r="BC118" s="418">
        <v>0</v>
      </c>
      <c r="BD118" s="418">
        <v>0</v>
      </c>
      <c r="BE118" s="418">
        <v>0</v>
      </c>
      <c r="BF118" s="418">
        <v>35732952</v>
      </c>
      <c r="BG118" s="418">
        <v>0</v>
      </c>
      <c r="BH118" s="418">
        <v>0</v>
      </c>
      <c r="BI118" s="418">
        <v>0</v>
      </c>
      <c r="BJ118" s="418">
        <v>0</v>
      </c>
      <c r="BK118" s="418">
        <v>0</v>
      </c>
      <c r="BL118" s="418">
        <v>6765833</v>
      </c>
      <c r="BM118" s="418">
        <v>0</v>
      </c>
      <c r="BN118" s="418">
        <v>0</v>
      </c>
      <c r="BO118" s="418">
        <v>0</v>
      </c>
      <c r="BP118" s="418">
        <v>0</v>
      </c>
      <c r="BQ118" s="418">
        <v>0</v>
      </c>
      <c r="BR118" s="418">
        <v>0</v>
      </c>
      <c r="BS118" s="418">
        <v>0</v>
      </c>
      <c r="BT118" s="418">
        <v>0</v>
      </c>
      <c r="BU118" s="418">
        <v>0</v>
      </c>
      <c r="BV118" s="418">
        <v>0</v>
      </c>
      <c r="BW118" s="418">
        <v>0</v>
      </c>
      <c r="BX118" s="418">
        <v>0</v>
      </c>
      <c r="BY118" s="418">
        <v>0</v>
      </c>
      <c r="BZ118" s="418">
        <v>0</v>
      </c>
      <c r="CA118" s="418">
        <v>0</v>
      </c>
      <c r="CB118" s="418">
        <v>0</v>
      </c>
    </row>
    <row r="119" spans="1:80" s="418" customFormat="1" ht="15.6" x14ac:dyDescent="0.3">
      <c r="A119" s="1052">
        <v>357</v>
      </c>
      <c r="B119" s="1049"/>
      <c r="C119" s="1060" t="s">
        <v>2000</v>
      </c>
      <c r="D119" s="1061" t="s">
        <v>553</v>
      </c>
      <c r="E119" s="1062" t="s">
        <v>436</v>
      </c>
      <c r="F119" s="1063">
        <v>0</v>
      </c>
      <c r="G119" s="1063">
        <v>0</v>
      </c>
      <c r="H119" s="1063">
        <v>0</v>
      </c>
      <c r="I119" s="1063">
        <v>0</v>
      </c>
      <c r="J119" s="1063">
        <v>0</v>
      </c>
      <c r="K119" s="1063">
        <v>0</v>
      </c>
      <c r="L119" s="1063">
        <v>0</v>
      </c>
      <c r="M119" s="1063">
        <v>0</v>
      </c>
      <c r="N119" s="1063">
        <v>0</v>
      </c>
      <c r="O119" s="1063">
        <v>0</v>
      </c>
      <c r="P119" s="1063">
        <v>0</v>
      </c>
      <c r="Q119" s="1063">
        <v>0</v>
      </c>
      <c r="R119" s="1063">
        <v>0</v>
      </c>
      <c r="S119" s="1063">
        <v>0</v>
      </c>
      <c r="T119" s="1063">
        <v>0</v>
      </c>
      <c r="U119" s="1063">
        <v>0</v>
      </c>
      <c r="V119" s="1063"/>
      <c r="W119" s="1049"/>
      <c r="X119" s="1049"/>
      <c r="Y119" s="1049"/>
      <c r="Z119" s="1049"/>
      <c r="AA119" s="1066"/>
      <c r="AB119" s="1049"/>
      <c r="AT119" s="418">
        <v>0</v>
      </c>
      <c r="AU119" s="418">
        <v>0</v>
      </c>
      <c r="AV119" s="418">
        <v>4369561</v>
      </c>
      <c r="AW119" s="418">
        <v>0</v>
      </c>
      <c r="AX119" s="418">
        <v>0</v>
      </c>
      <c r="AY119" s="418">
        <v>0</v>
      </c>
      <c r="AZ119" s="418">
        <v>0</v>
      </c>
      <c r="BA119" s="418">
        <v>7827873</v>
      </c>
      <c r="BB119" s="418">
        <v>0</v>
      </c>
      <c r="BC119" s="418">
        <v>0</v>
      </c>
      <c r="BD119" s="418">
        <v>0</v>
      </c>
      <c r="BE119" s="418">
        <v>0</v>
      </c>
      <c r="BF119" s="418">
        <v>23101162</v>
      </c>
      <c r="BG119" s="418">
        <v>0</v>
      </c>
      <c r="BH119" s="418">
        <v>0</v>
      </c>
      <c r="BI119" s="418">
        <v>0</v>
      </c>
      <c r="BJ119" s="418">
        <v>0</v>
      </c>
      <c r="BK119" s="418">
        <v>0</v>
      </c>
      <c r="BL119" s="418">
        <v>4499353</v>
      </c>
      <c r="BM119" s="418">
        <v>0</v>
      </c>
      <c r="BN119" s="418">
        <v>0</v>
      </c>
      <c r="BO119" s="418">
        <v>0</v>
      </c>
      <c r="BP119" s="418">
        <v>0</v>
      </c>
      <c r="BQ119" s="418">
        <v>0</v>
      </c>
      <c r="BR119" s="418">
        <v>0</v>
      </c>
      <c r="BS119" s="418">
        <v>0</v>
      </c>
      <c r="BT119" s="418">
        <v>0</v>
      </c>
      <c r="BU119" s="418">
        <v>0</v>
      </c>
      <c r="BV119" s="418">
        <v>0</v>
      </c>
      <c r="BW119" s="418">
        <v>0</v>
      </c>
      <c r="BX119" s="418">
        <v>0</v>
      </c>
      <c r="BY119" s="418">
        <v>0</v>
      </c>
      <c r="BZ119" s="418">
        <v>0</v>
      </c>
      <c r="CA119" s="418">
        <v>0</v>
      </c>
      <c r="CB119" s="418">
        <v>0</v>
      </c>
    </row>
    <row r="120" spans="1:80" s="418" customFormat="1" ht="15.6" x14ac:dyDescent="0.3">
      <c r="A120" s="1052">
        <v>359</v>
      </c>
      <c r="B120" s="1049"/>
      <c r="C120" s="1060" t="s">
        <v>2001</v>
      </c>
      <c r="D120" s="1061" t="s">
        <v>256</v>
      </c>
      <c r="E120" s="1062" t="s">
        <v>437</v>
      </c>
      <c r="F120" s="1063">
        <v>0</v>
      </c>
      <c r="G120" s="1063">
        <v>0</v>
      </c>
      <c r="H120" s="1063">
        <v>0</v>
      </c>
      <c r="I120" s="1063">
        <v>0</v>
      </c>
      <c r="J120" s="1063">
        <v>0</v>
      </c>
      <c r="K120" s="1063">
        <v>0</v>
      </c>
      <c r="L120" s="1063">
        <v>0</v>
      </c>
      <c r="M120" s="1063">
        <v>0</v>
      </c>
      <c r="N120" s="1063">
        <v>0</v>
      </c>
      <c r="O120" s="1063">
        <v>0</v>
      </c>
      <c r="P120" s="1063">
        <v>0</v>
      </c>
      <c r="Q120" s="1063">
        <v>0</v>
      </c>
      <c r="R120" s="1063">
        <v>0</v>
      </c>
      <c r="S120" s="1063">
        <v>0</v>
      </c>
      <c r="T120" s="1063">
        <v>0</v>
      </c>
      <c r="U120" s="1063">
        <v>0</v>
      </c>
      <c r="V120" s="1063"/>
      <c r="W120" s="1049"/>
      <c r="X120" s="1049"/>
      <c r="Y120" s="1049"/>
      <c r="Z120" s="1049"/>
      <c r="AA120" s="1066"/>
      <c r="AB120" s="1049"/>
      <c r="AT120" s="418">
        <v>0</v>
      </c>
      <c r="AU120" s="418">
        <v>0</v>
      </c>
      <c r="AV120" s="418">
        <v>0</v>
      </c>
      <c r="AW120" s="418">
        <v>0</v>
      </c>
      <c r="AX120" s="418">
        <v>0</v>
      </c>
      <c r="AY120" s="418">
        <v>0</v>
      </c>
      <c r="AZ120" s="418">
        <v>0</v>
      </c>
      <c r="BA120" s="418">
        <v>230378</v>
      </c>
      <c r="BB120" s="418">
        <v>0</v>
      </c>
      <c r="BC120" s="418">
        <v>0</v>
      </c>
      <c r="BD120" s="418">
        <v>0</v>
      </c>
      <c r="BE120" s="418">
        <v>0</v>
      </c>
      <c r="BF120" s="418">
        <v>0</v>
      </c>
      <c r="BG120" s="418">
        <v>0</v>
      </c>
      <c r="BH120" s="418">
        <v>0</v>
      </c>
      <c r="BI120" s="418">
        <v>0</v>
      </c>
      <c r="BJ120" s="418">
        <v>0</v>
      </c>
      <c r="BK120" s="418">
        <v>0</v>
      </c>
      <c r="BL120" s="418">
        <v>0</v>
      </c>
      <c r="BM120" s="418">
        <v>0</v>
      </c>
      <c r="BN120" s="418">
        <v>0</v>
      </c>
      <c r="BO120" s="418">
        <v>0</v>
      </c>
      <c r="BP120" s="418">
        <v>0</v>
      </c>
      <c r="BQ120" s="418">
        <v>0</v>
      </c>
      <c r="BR120" s="418">
        <v>0</v>
      </c>
      <c r="BS120" s="418">
        <v>0</v>
      </c>
      <c r="BT120" s="418">
        <v>0</v>
      </c>
      <c r="BU120" s="418">
        <v>0</v>
      </c>
      <c r="BV120" s="418">
        <v>0</v>
      </c>
      <c r="BW120" s="418">
        <v>0</v>
      </c>
      <c r="BX120" s="418">
        <v>0</v>
      </c>
      <c r="BY120" s="418">
        <v>0</v>
      </c>
      <c r="BZ120" s="418">
        <v>0</v>
      </c>
      <c r="CA120" s="418">
        <v>0</v>
      </c>
      <c r="CB120" s="418">
        <v>0</v>
      </c>
    </row>
    <row r="121" spans="1:80" s="418" customFormat="1" ht="27.6" x14ac:dyDescent="0.3">
      <c r="A121" s="1052">
        <v>360</v>
      </c>
      <c r="B121" s="1049"/>
      <c r="C121" s="1060" t="s">
        <v>2002</v>
      </c>
      <c r="D121" s="1061" t="s">
        <v>125</v>
      </c>
      <c r="E121" s="1062" t="s">
        <v>438</v>
      </c>
      <c r="F121" s="1063">
        <v>0</v>
      </c>
      <c r="G121" s="1063">
        <v>0</v>
      </c>
      <c r="H121" s="1063">
        <v>0</v>
      </c>
      <c r="I121" s="1063">
        <v>0</v>
      </c>
      <c r="J121" s="1063">
        <v>0</v>
      </c>
      <c r="K121" s="1063">
        <v>0</v>
      </c>
      <c r="L121" s="1063">
        <v>0</v>
      </c>
      <c r="M121" s="1063">
        <v>0</v>
      </c>
      <c r="N121" s="1063">
        <v>0</v>
      </c>
      <c r="O121" s="1063">
        <v>0</v>
      </c>
      <c r="P121" s="1063">
        <v>0</v>
      </c>
      <c r="Q121" s="1063">
        <v>0</v>
      </c>
      <c r="R121" s="1063">
        <v>0</v>
      </c>
      <c r="S121" s="1063">
        <v>0</v>
      </c>
      <c r="T121" s="1063">
        <v>0</v>
      </c>
      <c r="U121" s="1063">
        <v>0</v>
      </c>
      <c r="V121" s="1063"/>
      <c r="W121" s="1049"/>
      <c r="X121" s="1049"/>
      <c r="Y121" s="1049"/>
      <c r="Z121" s="1049"/>
      <c r="AA121" s="1066"/>
      <c r="AB121" s="1065"/>
      <c r="AT121" s="418">
        <v>0</v>
      </c>
      <c r="AU121" s="418">
        <v>0</v>
      </c>
      <c r="AV121" s="418">
        <v>1503653</v>
      </c>
      <c r="AW121" s="418">
        <v>0</v>
      </c>
      <c r="AX121" s="418">
        <v>0</v>
      </c>
      <c r="AY121" s="418">
        <v>0</v>
      </c>
      <c r="AZ121" s="418">
        <v>0</v>
      </c>
      <c r="BA121" s="418">
        <v>1374646</v>
      </c>
      <c r="BB121" s="418">
        <v>0</v>
      </c>
      <c r="BC121" s="418">
        <v>0</v>
      </c>
      <c r="BD121" s="418">
        <v>0</v>
      </c>
      <c r="BE121" s="418">
        <v>0</v>
      </c>
      <c r="BF121" s="418">
        <v>9694508</v>
      </c>
      <c r="BG121" s="418">
        <v>0</v>
      </c>
      <c r="BH121" s="418">
        <v>0</v>
      </c>
      <c r="BI121" s="418">
        <v>0</v>
      </c>
      <c r="BJ121" s="418">
        <v>0</v>
      </c>
      <c r="BK121" s="418">
        <v>0</v>
      </c>
      <c r="BL121" s="418">
        <v>315641</v>
      </c>
      <c r="BM121" s="418">
        <v>0</v>
      </c>
      <c r="BN121" s="418">
        <v>0</v>
      </c>
      <c r="BO121" s="418">
        <v>0</v>
      </c>
      <c r="BP121" s="418">
        <v>0</v>
      </c>
      <c r="BQ121" s="418">
        <v>0</v>
      </c>
      <c r="BR121" s="418">
        <v>0</v>
      </c>
      <c r="BS121" s="418">
        <v>0</v>
      </c>
      <c r="BT121" s="418">
        <v>0</v>
      </c>
      <c r="BU121" s="418">
        <v>0</v>
      </c>
      <c r="BV121" s="418">
        <v>0</v>
      </c>
      <c r="BW121" s="418">
        <v>0</v>
      </c>
      <c r="BX121" s="418">
        <v>0</v>
      </c>
      <c r="BY121" s="418">
        <v>0</v>
      </c>
      <c r="BZ121" s="418">
        <v>0</v>
      </c>
      <c r="CA121" s="418">
        <v>0</v>
      </c>
      <c r="CB121" s="418">
        <v>0</v>
      </c>
    </row>
    <row r="122" spans="1:80" s="418" customFormat="1" ht="15.6" x14ac:dyDescent="0.3">
      <c r="A122" s="1052">
        <v>361</v>
      </c>
      <c r="B122" s="1049"/>
      <c r="C122" s="1060" t="s">
        <v>2003</v>
      </c>
      <c r="D122" s="1061" t="s">
        <v>106</v>
      </c>
      <c r="E122" s="1062" t="s">
        <v>439</v>
      </c>
      <c r="F122" s="1063">
        <v>0</v>
      </c>
      <c r="G122" s="1063">
        <v>0</v>
      </c>
      <c r="H122" s="1063">
        <v>0</v>
      </c>
      <c r="I122" s="1063">
        <v>0</v>
      </c>
      <c r="J122" s="1063">
        <v>0</v>
      </c>
      <c r="K122" s="1063">
        <v>0</v>
      </c>
      <c r="L122" s="1063">
        <v>0</v>
      </c>
      <c r="M122" s="1063">
        <v>0</v>
      </c>
      <c r="N122" s="1063">
        <v>0</v>
      </c>
      <c r="O122" s="1063">
        <v>0</v>
      </c>
      <c r="P122" s="1063">
        <v>0</v>
      </c>
      <c r="Q122" s="1063">
        <v>0</v>
      </c>
      <c r="R122" s="1063">
        <v>0</v>
      </c>
      <c r="S122" s="1063">
        <v>0</v>
      </c>
      <c r="T122" s="1063">
        <v>0</v>
      </c>
      <c r="U122" s="1063">
        <v>0</v>
      </c>
      <c r="V122" s="1063"/>
      <c r="W122" s="1049"/>
      <c r="X122" s="1049"/>
      <c r="Y122" s="1049"/>
      <c r="Z122" s="1049"/>
      <c r="AA122" s="1066"/>
      <c r="AB122" s="1049"/>
      <c r="AT122" s="418">
        <v>0</v>
      </c>
      <c r="AU122" s="418">
        <v>0</v>
      </c>
      <c r="AV122" s="418">
        <v>3370542</v>
      </c>
      <c r="AW122" s="418">
        <v>0</v>
      </c>
      <c r="AX122" s="418">
        <v>0</v>
      </c>
      <c r="AY122" s="418">
        <v>0</v>
      </c>
      <c r="AZ122" s="418">
        <v>0</v>
      </c>
      <c r="BA122" s="418">
        <v>1350829</v>
      </c>
      <c r="BB122" s="418">
        <v>0</v>
      </c>
      <c r="BC122" s="418">
        <v>0</v>
      </c>
      <c r="BD122" s="418">
        <v>0</v>
      </c>
      <c r="BE122" s="418">
        <v>0</v>
      </c>
      <c r="BF122" s="418">
        <v>7137581</v>
      </c>
      <c r="BG122" s="418">
        <v>0</v>
      </c>
      <c r="BH122" s="418">
        <v>0</v>
      </c>
      <c r="BI122" s="418">
        <v>0</v>
      </c>
      <c r="BJ122" s="418">
        <v>0</v>
      </c>
      <c r="BK122" s="418">
        <v>0</v>
      </c>
      <c r="BL122" s="418">
        <v>3323193</v>
      </c>
      <c r="BM122" s="418">
        <v>0</v>
      </c>
      <c r="BN122" s="418">
        <v>0</v>
      </c>
      <c r="BO122" s="418">
        <v>0</v>
      </c>
      <c r="BP122" s="418">
        <v>0</v>
      </c>
      <c r="BQ122" s="418">
        <v>0</v>
      </c>
      <c r="BR122" s="418">
        <v>0</v>
      </c>
      <c r="BS122" s="418">
        <v>0</v>
      </c>
      <c r="BT122" s="418">
        <v>0</v>
      </c>
      <c r="BU122" s="418">
        <v>0</v>
      </c>
      <c r="BV122" s="418">
        <v>0</v>
      </c>
      <c r="BW122" s="418">
        <v>0</v>
      </c>
      <c r="BX122" s="418">
        <v>0</v>
      </c>
      <c r="BY122" s="418">
        <v>0</v>
      </c>
      <c r="BZ122" s="418">
        <v>0</v>
      </c>
      <c r="CA122" s="418">
        <v>0</v>
      </c>
      <c r="CB122" s="418">
        <v>0</v>
      </c>
    </row>
    <row r="123" spans="1:80" s="418" customFormat="1" ht="15.6" x14ac:dyDescent="0.3">
      <c r="A123" s="1052">
        <v>362</v>
      </c>
      <c r="B123" s="1049"/>
      <c r="C123" s="1060" t="s">
        <v>2004</v>
      </c>
      <c r="D123" s="1061" t="s">
        <v>107</v>
      </c>
      <c r="E123" s="1062" t="s">
        <v>440</v>
      </c>
      <c r="F123" s="1063">
        <v>0</v>
      </c>
      <c r="G123" s="1063">
        <v>0</v>
      </c>
      <c r="H123" s="1063">
        <v>0</v>
      </c>
      <c r="I123" s="1063">
        <v>0</v>
      </c>
      <c r="J123" s="1063">
        <v>0</v>
      </c>
      <c r="K123" s="1063">
        <v>0</v>
      </c>
      <c r="L123" s="1063">
        <v>0</v>
      </c>
      <c r="M123" s="1063">
        <v>0</v>
      </c>
      <c r="N123" s="1063">
        <v>0</v>
      </c>
      <c r="O123" s="1063">
        <v>0</v>
      </c>
      <c r="P123" s="1063">
        <v>0</v>
      </c>
      <c r="Q123" s="1063">
        <v>0</v>
      </c>
      <c r="R123" s="1063">
        <v>0</v>
      </c>
      <c r="S123" s="1063">
        <v>0</v>
      </c>
      <c r="T123" s="1063">
        <v>0</v>
      </c>
      <c r="U123" s="1063">
        <v>0</v>
      </c>
      <c r="V123" s="1063"/>
      <c r="W123" s="1049"/>
      <c r="X123" s="1049"/>
      <c r="Y123" s="1049"/>
      <c r="Z123" s="1049"/>
      <c r="AA123" s="1066"/>
      <c r="AB123" s="1049"/>
      <c r="AT123" s="418">
        <v>0</v>
      </c>
      <c r="AU123" s="418">
        <v>0</v>
      </c>
      <c r="AV123" s="418">
        <v>6985300</v>
      </c>
      <c r="AW123" s="418">
        <v>0</v>
      </c>
      <c r="AX123" s="418">
        <v>0</v>
      </c>
      <c r="AY123" s="418">
        <v>0</v>
      </c>
      <c r="AZ123" s="418">
        <v>0</v>
      </c>
      <c r="BA123" s="418">
        <v>5255654</v>
      </c>
      <c r="BB123" s="418">
        <v>0</v>
      </c>
      <c r="BC123" s="418">
        <v>0</v>
      </c>
      <c r="BD123" s="418">
        <v>0</v>
      </c>
      <c r="BE123" s="418">
        <v>0</v>
      </c>
      <c r="BF123" s="418">
        <v>20395826</v>
      </c>
      <c r="BG123" s="418">
        <v>0</v>
      </c>
      <c r="BH123" s="418">
        <v>0</v>
      </c>
      <c r="BI123" s="418">
        <v>0</v>
      </c>
      <c r="BJ123" s="418">
        <v>0</v>
      </c>
      <c r="BK123" s="418">
        <v>0</v>
      </c>
      <c r="BL123" s="418">
        <v>5609473</v>
      </c>
      <c r="BM123" s="418">
        <v>0</v>
      </c>
      <c r="BN123" s="418">
        <v>0</v>
      </c>
      <c r="BO123" s="418">
        <v>0</v>
      </c>
      <c r="BP123" s="418">
        <v>0</v>
      </c>
      <c r="BQ123" s="418">
        <v>0</v>
      </c>
      <c r="BR123" s="418">
        <v>0</v>
      </c>
      <c r="BS123" s="418">
        <v>0</v>
      </c>
      <c r="BT123" s="418">
        <v>0</v>
      </c>
      <c r="BU123" s="418">
        <v>0</v>
      </c>
      <c r="BV123" s="418">
        <v>0</v>
      </c>
      <c r="BW123" s="418">
        <v>0</v>
      </c>
      <c r="BX123" s="418">
        <v>0</v>
      </c>
      <c r="BY123" s="418">
        <v>0</v>
      </c>
      <c r="BZ123" s="418">
        <v>0</v>
      </c>
      <c r="CA123" s="418">
        <v>0</v>
      </c>
      <c r="CB123" s="418">
        <v>0</v>
      </c>
    </row>
    <row r="124" spans="1:80" s="418" customFormat="1" ht="27.6" x14ac:dyDescent="0.3">
      <c r="A124" s="1052">
        <v>363</v>
      </c>
      <c r="B124" s="1049"/>
      <c r="C124" s="1060" t="s">
        <v>2005</v>
      </c>
      <c r="D124" s="1061" t="s">
        <v>242</v>
      </c>
      <c r="E124" s="1062" t="s">
        <v>441</v>
      </c>
      <c r="F124" s="1063">
        <v>0</v>
      </c>
      <c r="G124" s="1063">
        <v>0</v>
      </c>
      <c r="H124" s="1063">
        <v>0</v>
      </c>
      <c r="I124" s="1063">
        <v>0</v>
      </c>
      <c r="J124" s="1063">
        <v>0</v>
      </c>
      <c r="K124" s="1063">
        <v>0</v>
      </c>
      <c r="L124" s="1063">
        <v>0</v>
      </c>
      <c r="M124" s="1063">
        <v>0</v>
      </c>
      <c r="N124" s="1063">
        <v>0</v>
      </c>
      <c r="O124" s="1063">
        <v>0</v>
      </c>
      <c r="P124" s="1063">
        <v>0</v>
      </c>
      <c r="Q124" s="1063">
        <v>0</v>
      </c>
      <c r="R124" s="1063">
        <v>0</v>
      </c>
      <c r="S124" s="1063">
        <v>0</v>
      </c>
      <c r="T124" s="1063">
        <v>0</v>
      </c>
      <c r="U124" s="1063">
        <v>0</v>
      </c>
      <c r="V124" s="1063"/>
      <c r="W124" s="1049"/>
      <c r="X124" s="1049"/>
      <c r="Y124" s="1049"/>
      <c r="Z124" s="1049"/>
      <c r="AA124" s="1066"/>
      <c r="AB124" s="1049"/>
      <c r="AT124" s="418">
        <v>0</v>
      </c>
      <c r="AU124" s="418">
        <v>0</v>
      </c>
      <c r="AV124" s="418">
        <v>67684</v>
      </c>
      <c r="AW124" s="418">
        <v>0</v>
      </c>
      <c r="AX124" s="418">
        <v>0</v>
      </c>
      <c r="AY124" s="418">
        <v>0</v>
      </c>
      <c r="AZ124" s="418">
        <v>0</v>
      </c>
      <c r="BA124" s="418">
        <v>83652</v>
      </c>
      <c r="BB124" s="418">
        <v>0</v>
      </c>
      <c r="BC124" s="418">
        <v>0</v>
      </c>
      <c r="BD124" s="418">
        <v>0</v>
      </c>
      <c r="BE124" s="418">
        <v>0</v>
      </c>
      <c r="BF124" s="418">
        <v>98435</v>
      </c>
      <c r="BG124" s="418">
        <v>0</v>
      </c>
      <c r="BH124" s="418">
        <v>0</v>
      </c>
      <c r="BI124" s="418">
        <v>0</v>
      </c>
      <c r="BJ124" s="418">
        <v>0</v>
      </c>
      <c r="BK124" s="418">
        <v>0</v>
      </c>
      <c r="BL124" s="418">
        <v>8698</v>
      </c>
      <c r="BM124" s="418">
        <v>0</v>
      </c>
      <c r="BN124" s="418">
        <v>0</v>
      </c>
      <c r="BO124" s="418">
        <v>0</v>
      </c>
      <c r="BP124" s="418">
        <v>0</v>
      </c>
      <c r="BQ124" s="418">
        <v>0</v>
      </c>
      <c r="BR124" s="418">
        <v>0</v>
      </c>
      <c r="BS124" s="418">
        <v>0</v>
      </c>
      <c r="BT124" s="418">
        <v>0</v>
      </c>
      <c r="BU124" s="418">
        <v>0</v>
      </c>
      <c r="BV124" s="418">
        <v>0</v>
      </c>
      <c r="BW124" s="418">
        <v>0</v>
      </c>
      <c r="BX124" s="418">
        <v>0</v>
      </c>
      <c r="BY124" s="418">
        <v>0</v>
      </c>
      <c r="BZ124" s="418">
        <v>0</v>
      </c>
      <c r="CA124" s="418">
        <v>0</v>
      </c>
      <c r="CB124" s="418">
        <v>0</v>
      </c>
    </row>
    <row r="125" spans="1:80" s="418" customFormat="1" ht="27.6" x14ac:dyDescent="0.3">
      <c r="A125" s="1052">
        <v>364</v>
      </c>
      <c r="B125" s="1049"/>
      <c r="C125" s="1060" t="s">
        <v>2006</v>
      </c>
      <c r="D125" s="1061" t="s">
        <v>243</v>
      </c>
      <c r="E125" s="1062" t="s">
        <v>442</v>
      </c>
      <c r="F125" s="1063">
        <v>0</v>
      </c>
      <c r="G125" s="1063">
        <v>0</v>
      </c>
      <c r="H125" s="1063">
        <v>0</v>
      </c>
      <c r="I125" s="1063">
        <v>0</v>
      </c>
      <c r="J125" s="1063">
        <v>0</v>
      </c>
      <c r="K125" s="1063">
        <v>0</v>
      </c>
      <c r="L125" s="1063">
        <v>0</v>
      </c>
      <c r="M125" s="1063">
        <v>0</v>
      </c>
      <c r="N125" s="1063">
        <v>0</v>
      </c>
      <c r="O125" s="1063">
        <v>0</v>
      </c>
      <c r="P125" s="1063">
        <v>0</v>
      </c>
      <c r="Q125" s="1063">
        <v>0</v>
      </c>
      <c r="R125" s="1063">
        <v>0</v>
      </c>
      <c r="S125" s="1063">
        <v>0</v>
      </c>
      <c r="T125" s="1063">
        <v>0</v>
      </c>
      <c r="U125" s="1063">
        <v>0</v>
      </c>
      <c r="V125" s="1063"/>
      <c r="W125" s="1049"/>
      <c r="X125" s="1049"/>
      <c r="Y125" s="1049"/>
      <c r="Z125" s="1049"/>
      <c r="AA125" s="1066"/>
      <c r="AB125" s="1049"/>
      <c r="AT125" s="418">
        <v>0</v>
      </c>
      <c r="AU125" s="418">
        <v>0</v>
      </c>
      <c r="AV125" s="418">
        <v>0</v>
      </c>
      <c r="AW125" s="418">
        <v>0</v>
      </c>
      <c r="AX125" s="418">
        <v>0</v>
      </c>
      <c r="AY125" s="418">
        <v>0</v>
      </c>
      <c r="AZ125" s="418">
        <v>0</v>
      </c>
      <c r="BA125" s="418">
        <v>11196</v>
      </c>
      <c r="BB125" s="418">
        <v>0</v>
      </c>
      <c r="BC125" s="418">
        <v>0</v>
      </c>
      <c r="BD125" s="418">
        <v>0</v>
      </c>
      <c r="BE125" s="418">
        <v>0</v>
      </c>
      <c r="BF125" s="418">
        <v>6030</v>
      </c>
      <c r="BG125" s="418">
        <v>0</v>
      </c>
      <c r="BH125" s="418">
        <v>0</v>
      </c>
      <c r="BI125" s="418">
        <v>0</v>
      </c>
      <c r="BJ125" s="418">
        <v>0</v>
      </c>
      <c r="BK125" s="418">
        <v>0</v>
      </c>
      <c r="BL125" s="418">
        <v>0</v>
      </c>
      <c r="BM125" s="418">
        <v>0</v>
      </c>
      <c r="BN125" s="418">
        <v>0</v>
      </c>
      <c r="BO125" s="418">
        <v>0</v>
      </c>
      <c r="BP125" s="418">
        <v>0</v>
      </c>
      <c r="BQ125" s="418">
        <v>0</v>
      </c>
      <c r="BR125" s="418">
        <v>0</v>
      </c>
      <c r="BS125" s="418">
        <v>0</v>
      </c>
      <c r="BT125" s="418">
        <v>0</v>
      </c>
      <c r="BU125" s="418">
        <v>0</v>
      </c>
      <c r="BV125" s="418">
        <v>0</v>
      </c>
      <c r="BW125" s="418">
        <v>0</v>
      </c>
      <c r="BX125" s="418">
        <v>0</v>
      </c>
      <c r="BY125" s="418">
        <v>0</v>
      </c>
      <c r="BZ125" s="418">
        <v>0</v>
      </c>
      <c r="CA125" s="418">
        <v>0</v>
      </c>
      <c r="CB125" s="418">
        <v>0</v>
      </c>
    </row>
    <row r="126" spans="1:80" s="418" customFormat="1" ht="15.6" x14ac:dyDescent="0.3">
      <c r="A126" s="1052">
        <v>365</v>
      </c>
      <c r="B126" s="1049"/>
      <c r="C126" s="1060" t="s">
        <v>2007</v>
      </c>
      <c r="D126" s="1061" t="s">
        <v>245</v>
      </c>
      <c r="E126" s="1062" t="s">
        <v>443</v>
      </c>
      <c r="F126" s="1063">
        <v>0</v>
      </c>
      <c r="G126" s="1063">
        <v>0</v>
      </c>
      <c r="H126" s="1063">
        <v>0</v>
      </c>
      <c r="I126" s="1063">
        <v>0</v>
      </c>
      <c r="J126" s="1063">
        <v>0</v>
      </c>
      <c r="K126" s="1063">
        <v>0</v>
      </c>
      <c r="L126" s="1063">
        <v>0</v>
      </c>
      <c r="M126" s="1063">
        <v>0</v>
      </c>
      <c r="N126" s="1063">
        <v>0</v>
      </c>
      <c r="O126" s="1063">
        <v>0</v>
      </c>
      <c r="P126" s="1063">
        <v>0</v>
      </c>
      <c r="Q126" s="1063">
        <v>0</v>
      </c>
      <c r="R126" s="1063">
        <v>0</v>
      </c>
      <c r="S126" s="1063">
        <v>0</v>
      </c>
      <c r="T126" s="1063">
        <v>0</v>
      </c>
      <c r="U126" s="1063">
        <v>0</v>
      </c>
      <c r="V126" s="1063"/>
      <c r="W126" s="1049"/>
      <c r="X126" s="1049"/>
      <c r="Y126" s="1049"/>
      <c r="Z126" s="1049"/>
      <c r="AA126" s="1066"/>
      <c r="AB126" s="1049"/>
      <c r="AT126" s="418">
        <v>0</v>
      </c>
      <c r="AU126" s="418">
        <v>0</v>
      </c>
      <c r="AV126" s="418">
        <v>0</v>
      </c>
      <c r="AW126" s="418">
        <v>0</v>
      </c>
      <c r="AX126" s="418">
        <v>0</v>
      </c>
      <c r="AY126" s="418">
        <v>0</v>
      </c>
      <c r="AZ126" s="418">
        <v>0</v>
      </c>
      <c r="BA126" s="418">
        <v>109142</v>
      </c>
      <c r="BB126" s="418">
        <v>0</v>
      </c>
      <c r="BC126" s="418">
        <v>0</v>
      </c>
      <c r="BD126" s="418">
        <v>0</v>
      </c>
      <c r="BE126" s="418">
        <v>0</v>
      </c>
      <c r="BF126" s="418">
        <v>0</v>
      </c>
      <c r="BG126" s="418">
        <v>0</v>
      </c>
      <c r="BH126" s="418">
        <v>0</v>
      </c>
      <c r="BI126" s="418">
        <v>0</v>
      </c>
      <c r="BJ126" s="418">
        <v>0</v>
      </c>
      <c r="BK126" s="418">
        <v>0</v>
      </c>
      <c r="BL126" s="418">
        <v>0</v>
      </c>
      <c r="BM126" s="418">
        <v>0</v>
      </c>
      <c r="BN126" s="418">
        <v>0</v>
      </c>
      <c r="BO126" s="418">
        <v>0</v>
      </c>
      <c r="BP126" s="418">
        <v>0</v>
      </c>
      <c r="BQ126" s="418">
        <v>0</v>
      </c>
      <c r="BR126" s="418">
        <v>0</v>
      </c>
      <c r="BS126" s="418">
        <v>0</v>
      </c>
      <c r="BT126" s="418">
        <v>0</v>
      </c>
      <c r="BU126" s="418">
        <v>0</v>
      </c>
      <c r="BV126" s="418">
        <v>0</v>
      </c>
      <c r="BW126" s="418">
        <v>0</v>
      </c>
      <c r="BX126" s="418">
        <v>0</v>
      </c>
      <c r="BY126" s="418">
        <v>0</v>
      </c>
      <c r="BZ126" s="418">
        <v>0</v>
      </c>
      <c r="CA126" s="418">
        <v>0</v>
      </c>
      <c r="CB126" s="418">
        <v>0</v>
      </c>
    </row>
    <row r="127" spans="1:80" s="418" customFormat="1" ht="27.6" x14ac:dyDescent="0.3">
      <c r="A127" s="1052">
        <v>366</v>
      </c>
      <c r="B127" s="1049"/>
      <c r="C127" s="1060" t="s">
        <v>2008</v>
      </c>
      <c r="D127" s="1061" t="s">
        <v>1808</v>
      </c>
      <c r="E127" s="1062" t="s">
        <v>444</v>
      </c>
      <c r="F127" s="1063">
        <v>0</v>
      </c>
      <c r="G127" s="1063">
        <v>0</v>
      </c>
      <c r="H127" s="1063">
        <v>0</v>
      </c>
      <c r="I127" s="1063">
        <v>0</v>
      </c>
      <c r="J127" s="1063">
        <v>0</v>
      </c>
      <c r="K127" s="1063">
        <v>0</v>
      </c>
      <c r="L127" s="1063">
        <v>0</v>
      </c>
      <c r="M127" s="1063">
        <v>0</v>
      </c>
      <c r="N127" s="1063">
        <v>0</v>
      </c>
      <c r="O127" s="1063">
        <v>0</v>
      </c>
      <c r="P127" s="1063">
        <v>0</v>
      </c>
      <c r="Q127" s="1063">
        <v>0</v>
      </c>
      <c r="R127" s="1063">
        <v>0</v>
      </c>
      <c r="S127" s="1063">
        <v>0</v>
      </c>
      <c r="T127" s="1063">
        <v>0</v>
      </c>
      <c r="U127" s="1063">
        <v>0</v>
      </c>
      <c r="V127" s="1063"/>
      <c r="W127" s="1049"/>
      <c r="X127" s="1049"/>
      <c r="Y127" s="1049"/>
      <c r="Z127" s="1049"/>
      <c r="AA127" s="1066"/>
      <c r="AB127" s="1072">
        <v>6956919340.0500002</v>
      </c>
      <c r="AT127" s="418">
        <v>0</v>
      </c>
      <c r="AU127" s="418">
        <v>0</v>
      </c>
      <c r="AV127" s="418">
        <v>25975</v>
      </c>
      <c r="AW127" s="418">
        <v>0</v>
      </c>
      <c r="AX127" s="418">
        <v>0</v>
      </c>
      <c r="AY127" s="418">
        <v>0</v>
      </c>
      <c r="AZ127" s="418">
        <v>0</v>
      </c>
      <c r="BA127" s="418">
        <v>377370</v>
      </c>
      <c r="BB127" s="418">
        <v>0</v>
      </c>
      <c r="BC127" s="418">
        <v>0</v>
      </c>
      <c r="BD127" s="418">
        <v>0</v>
      </c>
      <c r="BE127" s="418">
        <v>0</v>
      </c>
      <c r="BF127" s="418">
        <v>762245</v>
      </c>
      <c r="BG127" s="418">
        <v>0</v>
      </c>
      <c r="BH127" s="418">
        <v>0</v>
      </c>
      <c r="BI127" s="418">
        <v>0</v>
      </c>
      <c r="BJ127" s="418">
        <v>0</v>
      </c>
      <c r="BK127" s="418">
        <v>0</v>
      </c>
      <c r="BL127" s="418">
        <v>0</v>
      </c>
      <c r="BM127" s="418">
        <v>0</v>
      </c>
      <c r="BN127" s="418">
        <v>0</v>
      </c>
      <c r="BO127" s="418">
        <v>0</v>
      </c>
      <c r="BP127" s="418">
        <v>0</v>
      </c>
      <c r="BQ127" s="418">
        <v>0</v>
      </c>
      <c r="BR127" s="418">
        <v>0</v>
      </c>
      <c r="BS127" s="418">
        <v>0</v>
      </c>
      <c r="BT127" s="418">
        <v>0</v>
      </c>
      <c r="BU127" s="418">
        <v>0</v>
      </c>
      <c r="BV127" s="418">
        <v>0</v>
      </c>
      <c r="BW127" s="418">
        <v>0</v>
      </c>
      <c r="BX127" s="418">
        <v>0</v>
      </c>
      <c r="BY127" s="418">
        <v>0</v>
      </c>
      <c r="BZ127" s="418">
        <v>0</v>
      </c>
      <c r="CA127" s="418">
        <v>0</v>
      </c>
      <c r="CB127" s="418">
        <v>0</v>
      </c>
    </row>
    <row r="128" spans="1:80" s="418" customFormat="1" ht="27.6" x14ac:dyDescent="0.3">
      <c r="A128" s="1052">
        <v>367</v>
      </c>
      <c r="B128" s="1049"/>
      <c r="C128" s="1060" t="s">
        <v>2009</v>
      </c>
      <c r="D128" s="1071" t="s">
        <v>2010</v>
      </c>
      <c r="E128" s="1062" t="s">
        <v>445</v>
      </c>
      <c r="F128" s="1063">
        <v>0</v>
      </c>
      <c r="G128" s="1063">
        <v>0</v>
      </c>
      <c r="H128" s="1063">
        <v>0</v>
      </c>
      <c r="I128" s="1063">
        <v>0</v>
      </c>
      <c r="J128" s="1063">
        <v>0</v>
      </c>
      <c r="K128" s="1063">
        <v>0</v>
      </c>
      <c r="L128" s="1063">
        <v>0</v>
      </c>
      <c r="M128" s="1063">
        <v>0</v>
      </c>
      <c r="N128" s="1063">
        <v>0</v>
      </c>
      <c r="O128" s="1063">
        <v>0</v>
      </c>
      <c r="P128" s="1063">
        <v>0</v>
      </c>
      <c r="Q128" s="1063">
        <v>0</v>
      </c>
      <c r="R128" s="1063">
        <v>0</v>
      </c>
      <c r="S128" s="1063">
        <v>0</v>
      </c>
      <c r="T128" s="1063">
        <v>0</v>
      </c>
      <c r="U128" s="1063">
        <v>0</v>
      </c>
      <c r="V128" s="1063"/>
      <c r="W128" s="1049"/>
      <c r="X128" s="1049"/>
      <c r="Y128" s="1049"/>
      <c r="Z128" s="1049"/>
      <c r="AA128" s="1066"/>
      <c r="AB128" s="1049"/>
    </row>
    <row r="129" spans="1:80" s="418" customFormat="1" ht="27.6" x14ac:dyDescent="0.3">
      <c r="A129" s="1052">
        <v>368</v>
      </c>
      <c r="B129" s="1049"/>
      <c r="C129" s="1060" t="s">
        <v>2011</v>
      </c>
      <c r="D129" s="1061" t="s">
        <v>200</v>
      </c>
      <c r="E129" s="1062" t="s">
        <v>446</v>
      </c>
      <c r="F129" s="1063">
        <v>0</v>
      </c>
      <c r="G129" s="1063">
        <v>0</v>
      </c>
      <c r="H129" s="1063">
        <v>0</v>
      </c>
      <c r="I129" s="1063">
        <v>0</v>
      </c>
      <c r="J129" s="1063">
        <v>0</v>
      </c>
      <c r="K129" s="1063">
        <v>0</v>
      </c>
      <c r="L129" s="1063">
        <v>0</v>
      </c>
      <c r="M129" s="1063">
        <v>0</v>
      </c>
      <c r="N129" s="1063">
        <v>0</v>
      </c>
      <c r="O129" s="1063">
        <v>0</v>
      </c>
      <c r="P129" s="1063">
        <v>0</v>
      </c>
      <c r="Q129" s="1063">
        <v>0</v>
      </c>
      <c r="R129" s="1063">
        <v>0</v>
      </c>
      <c r="S129" s="1063">
        <v>0</v>
      </c>
      <c r="T129" s="1063">
        <v>0</v>
      </c>
      <c r="U129" s="1063">
        <v>0</v>
      </c>
      <c r="V129" s="1063"/>
      <c r="W129" s="1049"/>
      <c r="X129" s="1049"/>
      <c r="Y129" s="1049"/>
      <c r="Z129" s="1049"/>
      <c r="AA129" s="1066"/>
      <c r="AT129" s="418">
        <v>0</v>
      </c>
      <c r="AU129" s="418">
        <v>0</v>
      </c>
      <c r="AV129" s="418">
        <v>0</v>
      </c>
      <c r="AW129" s="418">
        <v>0</v>
      </c>
      <c r="AX129" s="418">
        <v>0</v>
      </c>
      <c r="AY129" s="418">
        <v>0</v>
      </c>
      <c r="AZ129" s="418">
        <v>0</v>
      </c>
      <c r="BA129" s="418">
        <v>0</v>
      </c>
      <c r="BB129" s="418">
        <v>0</v>
      </c>
      <c r="BC129" s="418">
        <v>0</v>
      </c>
      <c r="BD129" s="418">
        <v>0</v>
      </c>
      <c r="BE129" s="418">
        <v>0</v>
      </c>
      <c r="BF129" s="418">
        <v>0</v>
      </c>
      <c r="BG129" s="418">
        <v>0</v>
      </c>
      <c r="BH129" s="418">
        <v>0</v>
      </c>
      <c r="BI129" s="418">
        <v>0</v>
      </c>
      <c r="BJ129" s="418">
        <v>22090</v>
      </c>
      <c r="BK129" s="418">
        <v>0</v>
      </c>
      <c r="BL129" s="418">
        <v>155</v>
      </c>
      <c r="BM129" s="418">
        <v>0</v>
      </c>
      <c r="BN129" s="418">
        <v>0</v>
      </c>
      <c r="BO129" s="418">
        <v>7637</v>
      </c>
      <c r="BP129" s="418">
        <v>0</v>
      </c>
      <c r="BQ129" s="418">
        <v>0</v>
      </c>
      <c r="BR129" s="418">
        <v>0</v>
      </c>
      <c r="BS129" s="418">
        <v>33020</v>
      </c>
      <c r="BT129" s="418">
        <v>0</v>
      </c>
      <c r="BU129" s="418">
        <v>0</v>
      </c>
      <c r="BV129" s="418">
        <v>0</v>
      </c>
      <c r="BW129" s="418">
        <v>0</v>
      </c>
      <c r="BX129" s="418">
        <v>0</v>
      </c>
      <c r="BY129" s="418">
        <v>0</v>
      </c>
      <c r="BZ129" s="418">
        <v>0</v>
      </c>
      <c r="CA129" s="418">
        <v>863078</v>
      </c>
      <c r="CB129" s="418">
        <v>0</v>
      </c>
    </row>
    <row r="130" spans="1:80" s="418" customFormat="1" ht="15.6" x14ac:dyDescent="0.3">
      <c r="A130" s="1052">
        <v>369</v>
      </c>
      <c r="B130" s="1049"/>
      <c r="C130" s="1060" t="s">
        <v>2012</v>
      </c>
      <c r="D130" s="1061" t="s">
        <v>205</v>
      </c>
      <c r="E130" s="1062" t="s">
        <v>447</v>
      </c>
      <c r="F130" s="1063">
        <v>0</v>
      </c>
      <c r="G130" s="1063">
        <v>0</v>
      </c>
      <c r="H130" s="1063">
        <v>0</v>
      </c>
      <c r="I130" s="1063">
        <v>0</v>
      </c>
      <c r="J130" s="1063">
        <v>0</v>
      </c>
      <c r="K130" s="1063">
        <v>0</v>
      </c>
      <c r="L130" s="1063">
        <v>0</v>
      </c>
      <c r="M130" s="1063">
        <v>0</v>
      </c>
      <c r="N130" s="1063">
        <v>0</v>
      </c>
      <c r="O130" s="1063">
        <v>0</v>
      </c>
      <c r="P130" s="1063">
        <v>0</v>
      </c>
      <c r="Q130" s="1063">
        <v>0</v>
      </c>
      <c r="R130" s="1063">
        <v>0</v>
      </c>
      <c r="S130" s="1063">
        <v>0</v>
      </c>
      <c r="T130" s="1063">
        <v>0</v>
      </c>
      <c r="U130" s="1063">
        <v>0</v>
      </c>
      <c r="V130" s="1063"/>
      <c r="W130" s="1049"/>
      <c r="X130" s="1049"/>
      <c r="Y130" s="1049"/>
      <c r="Z130" s="1049"/>
      <c r="AA130" s="1066"/>
      <c r="AT130" s="418">
        <v>213656</v>
      </c>
      <c r="AU130" s="418">
        <v>2023647</v>
      </c>
      <c r="AV130" s="418">
        <v>6006530</v>
      </c>
      <c r="AW130" s="418">
        <v>43624</v>
      </c>
      <c r="AX130" s="418">
        <v>192856</v>
      </c>
      <c r="AY130" s="418">
        <v>1469658</v>
      </c>
      <c r="AZ130" s="418">
        <v>832386</v>
      </c>
      <c r="BA130" s="418">
        <v>1504765</v>
      </c>
      <c r="BB130" s="418">
        <v>48868</v>
      </c>
      <c r="BC130" s="418">
        <v>857101</v>
      </c>
      <c r="BD130" s="418">
        <v>0</v>
      </c>
      <c r="BE130" s="418">
        <v>42866</v>
      </c>
      <c r="BF130" s="418">
        <v>3210244</v>
      </c>
      <c r="BG130" s="418">
        <v>0</v>
      </c>
      <c r="BH130" s="418">
        <v>49771</v>
      </c>
      <c r="BI130" s="418">
        <v>1399197</v>
      </c>
      <c r="BJ130" s="418">
        <v>138984</v>
      </c>
      <c r="BK130" s="418">
        <v>0</v>
      </c>
      <c r="BL130" s="418">
        <v>1970496</v>
      </c>
      <c r="BM130" s="418">
        <v>2005501</v>
      </c>
      <c r="BN130" s="418">
        <v>49869</v>
      </c>
      <c r="BO130" s="418">
        <v>1516479</v>
      </c>
      <c r="BP130" s="418">
        <v>818748</v>
      </c>
      <c r="BQ130" s="418">
        <v>551419</v>
      </c>
      <c r="BR130" s="418">
        <v>612233</v>
      </c>
      <c r="BS130" s="418">
        <v>673590</v>
      </c>
      <c r="BT130" s="418">
        <v>1363487</v>
      </c>
      <c r="BU130" s="418">
        <v>914547</v>
      </c>
      <c r="BV130" s="418">
        <v>444054</v>
      </c>
      <c r="BW130" s="418">
        <v>224595</v>
      </c>
      <c r="BX130" s="418">
        <v>468182</v>
      </c>
      <c r="BY130" s="418">
        <v>36662</v>
      </c>
      <c r="BZ130" s="418">
        <v>35011</v>
      </c>
      <c r="CA130" s="418">
        <v>6695775</v>
      </c>
      <c r="CB130" s="418">
        <v>27563</v>
      </c>
    </row>
    <row r="131" spans="1:80" s="418" customFormat="1" ht="15.6" x14ac:dyDescent="0.3">
      <c r="A131" s="1052">
        <v>370</v>
      </c>
      <c r="B131" s="1049"/>
      <c r="C131" s="1060" t="s">
        <v>2013</v>
      </c>
      <c r="D131" s="1061" t="s">
        <v>207</v>
      </c>
      <c r="E131" s="1062" t="s">
        <v>448</v>
      </c>
      <c r="F131" s="1063">
        <v>0</v>
      </c>
      <c r="G131" s="1063">
        <v>0</v>
      </c>
      <c r="H131" s="1063">
        <v>0</v>
      </c>
      <c r="I131" s="1063">
        <v>0</v>
      </c>
      <c r="J131" s="1063">
        <v>0</v>
      </c>
      <c r="K131" s="1063">
        <v>0</v>
      </c>
      <c r="L131" s="1063">
        <v>0</v>
      </c>
      <c r="M131" s="1063">
        <v>0</v>
      </c>
      <c r="N131" s="1063">
        <v>0</v>
      </c>
      <c r="O131" s="1063">
        <v>0</v>
      </c>
      <c r="P131" s="1063">
        <v>0</v>
      </c>
      <c r="Q131" s="1063">
        <v>0</v>
      </c>
      <c r="R131" s="1063">
        <v>0</v>
      </c>
      <c r="S131" s="1063">
        <v>0</v>
      </c>
      <c r="T131" s="1063">
        <v>0</v>
      </c>
      <c r="U131" s="1063">
        <v>0</v>
      </c>
      <c r="V131" s="1063"/>
      <c r="W131" s="1049"/>
      <c r="X131" s="1049"/>
      <c r="Y131" s="1049"/>
      <c r="Z131" s="1049"/>
      <c r="AA131" s="1066"/>
      <c r="AT131" s="418">
        <v>95440</v>
      </c>
      <c r="AU131" s="418">
        <v>313258</v>
      </c>
      <c r="AV131" s="418">
        <v>463516</v>
      </c>
      <c r="AW131" s="418">
        <v>0</v>
      </c>
      <c r="AX131" s="418">
        <v>2578</v>
      </c>
      <c r="AY131" s="418">
        <v>223692</v>
      </c>
      <c r="AZ131" s="418">
        <v>88346</v>
      </c>
      <c r="BA131" s="418">
        <v>167605</v>
      </c>
      <c r="BB131" s="418">
        <v>0</v>
      </c>
      <c r="BC131" s="418">
        <v>60429</v>
      </c>
      <c r="BD131" s="418">
        <v>0</v>
      </c>
      <c r="BE131" s="418">
        <v>0</v>
      </c>
      <c r="BF131" s="418">
        <v>1539320</v>
      </c>
      <c r="BG131" s="418">
        <v>0</v>
      </c>
      <c r="BH131" s="418">
        <v>0</v>
      </c>
      <c r="BI131" s="418">
        <v>23467</v>
      </c>
      <c r="BJ131" s="418">
        <v>61184</v>
      </c>
      <c r="BK131" s="418">
        <v>0</v>
      </c>
      <c r="BL131" s="418">
        <v>271196</v>
      </c>
      <c r="BM131" s="418">
        <v>0</v>
      </c>
      <c r="BN131" s="418">
        <v>0</v>
      </c>
      <c r="BO131" s="418">
        <v>220529</v>
      </c>
      <c r="BP131" s="418">
        <v>0</v>
      </c>
      <c r="BQ131" s="418">
        <v>12288</v>
      </c>
      <c r="BR131" s="418">
        <v>0</v>
      </c>
      <c r="BS131" s="418">
        <v>0</v>
      </c>
      <c r="BT131" s="418">
        <v>1090674</v>
      </c>
      <c r="BU131" s="418">
        <v>59295</v>
      </c>
      <c r="BV131" s="418">
        <v>76999</v>
      </c>
      <c r="BW131" s="418">
        <v>82104</v>
      </c>
      <c r="BX131" s="418">
        <v>0</v>
      </c>
      <c r="BY131" s="418">
        <v>0</v>
      </c>
      <c r="BZ131" s="418">
        <v>0</v>
      </c>
      <c r="CA131" s="418">
        <v>1536937</v>
      </c>
      <c r="CB131" s="418">
        <v>4956</v>
      </c>
    </row>
    <row r="132" spans="1:80" s="418" customFormat="1" ht="15.6" x14ac:dyDescent="0.3">
      <c r="A132" s="1052">
        <v>371</v>
      </c>
      <c r="B132" s="1049"/>
      <c r="C132" s="1073" t="s">
        <v>1809</v>
      </c>
      <c r="D132" s="1061" t="s">
        <v>262</v>
      </c>
      <c r="E132" s="1062" t="s">
        <v>449</v>
      </c>
      <c r="F132" s="1063">
        <v>0</v>
      </c>
      <c r="G132" s="1063">
        <v>0</v>
      </c>
      <c r="H132" s="1063">
        <v>0</v>
      </c>
      <c r="I132" s="1063">
        <v>0</v>
      </c>
      <c r="J132" s="1063">
        <v>0</v>
      </c>
      <c r="K132" s="1063">
        <v>0</v>
      </c>
      <c r="L132" s="1063">
        <v>0</v>
      </c>
      <c r="M132" s="1063">
        <v>0</v>
      </c>
      <c r="N132" s="1063">
        <v>0</v>
      </c>
      <c r="O132" s="1063">
        <v>0</v>
      </c>
      <c r="P132" s="1063">
        <v>0</v>
      </c>
      <c r="Q132" s="1063">
        <v>0</v>
      </c>
      <c r="R132" s="1063">
        <v>0</v>
      </c>
      <c r="S132" s="1063">
        <v>0</v>
      </c>
      <c r="T132" s="1063">
        <v>0</v>
      </c>
      <c r="U132" s="1063">
        <v>0</v>
      </c>
      <c r="V132" s="1063"/>
      <c r="W132" s="1049"/>
      <c r="X132" s="1049"/>
      <c r="Y132" s="1049"/>
      <c r="Z132" s="1049"/>
      <c r="AA132" s="1066"/>
      <c r="AT132" s="418">
        <v>0</v>
      </c>
      <c r="AU132" s="418">
        <v>0</v>
      </c>
      <c r="AV132" s="418">
        <v>0</v>
      </c>
      <c r="AW132" s="418">
        <v>0</v>
      </c>
      <c r="AX132" s="418">
        <v>0</v>
      </c>
      <c r="AY132" s="418">
        <v>0</v>
      </c>
      <c r="AZ132" s="418">
        <v>0</v>
      </c>
      <c r="BA132" s="418">
        <v>0</v>
      </c>
      <c r="BB132" s="418">
        <v>0</v>
      </c>
      <c r="BC132" s="418">
        <v>0</v>
      </c>
      <c r="BD132" s="418">
        <v>0</v>
      </c>
      <c r="BE132" s="418">
        <v>0</v>
      </c>
      <c r="BF132" s="418">
        <v>0</v>
      </c>
      <c r="BG132" s="418">
        <v>0</v>
      </c>
      <c r="BH132" s="418">
        <v>0</v>
      </c>
      <c r="BI132" s="418">
        <v>0</v>
      </c>
      <c r="BJ132" s="418">
        <v>0</v>
      </c>
      <c r="BK132" s="418">
        <v>0</v>
      </c>
      <c r="BL132" s="418">
        <v>0</v>
      </c>
      <c r="BM132" s="418">
        <v>0</v>
      </c>
      <c r="BN132" s="418">
        <v>0</v>
      </c>
      <c r="BO132" s="418">
        <v>0</v>
      </c>
      <c r="BP132" s="418">
        <v>0</v>
      </c>
      <c r="BQ132" s="418">
        <v>0</v>
      </c>
      <c r="BR132" s="418">
        <v>0</v>
      </c>
      <c r="BS132" s="418">
        <v>0</v>
      </c>
      <c r="BT132" s="418">
        <v>0</v>
      </c>
      <c r="BU132" s="418">
        <v>0</v>
      </c>
      <c r="BV132" s="418">
        <v>0</v>
      </c>
      <c r="BW132" s="418">
        <v>0</v>
      </c>
      <c r="BX132" s="418">
        <v>0</v>
      </c>
      <c r="BY132" s="418">
        <v>0</v>
      </c>
      <c r="BZ132" s="418">
        <v>0</v>
      </c>
      <c r="CA132" s="418">
        <v>0</v>
      </c>
      <c r="CB132" s="418">
        <v>0</v>
      </c>
    </row>
    <row r="133" spans="1:80" s="418" customFormat="1" ht="15.6" x14ac:dyDescent="0.3">
      <c r="A133" s="1052">
        <v>373</v>
      </c>
      <c r="B133" s="1049"/>
      <c r="C133" s="1060" t="s">
        <v>2014</v>
      </c>
      <c r="D133" s="1061" t="s">
        <v>549</v>
      </c>
      <c r="E133" s="1062" t="s">
        <v>450</v>
      </c>
      <c r="F133" s="1063">
        <v>0</v>
      </c>
      <c r="G133" s="1063">
        <v>0</v>
      </c>
      <c r="H133" s="1063">
        <v>0</v>
      </c>
      <c r="I133" s="1063">
        <v>0</v>
      </c>
      <c r="J133" s="1063">
        <v>0</v>
      </c>
      <c r="K133" s="1063">
        <v>0</v>
      </c>
      <c r="L133" s="1063">
        <v>0</v>
      </c>
      <c r="M133" s="1063">
        <v>0</v>
      </c>
      <c r="N133" s="1063">
        <v>0</v>
      </c>
      <c r="O133" s="1063">
        <v>0</v>
      </c>
      <c r="P133" s="1063">
        <v>0</v>
      </c>
      <c r="Q133" s="1063">
        <v>0</v>
      </c>
      <c r="R133" s="1063">
        <v>0</v>
      </c>
      <c r="S133" s="1063">
        <v>0</v>
      </c>
      <c r="T133" s="1063">
        <v>0</v>
      </c>
      <c r="U133" s="1063">
        <v>0</v>
      </c>
      <c r="V133" s="1063"/>
      <c r="W133" s="1049"/>
      <c r="X133" s="1049"/>
      <c r="Y133" s="1049"/>
      <c r="Z133" s="1049"/>
      <c r="AA133" s="1066"/>
      <c r="AT133" s="418">
        <v>1741223</v>
      </c>
      <c r="AU133" s="418">
        <v>3971639</v>
      </c>
      <c r="AV133" s="418">
        <v>24640193</v>
      </c>
      <c r="AW133" s="418">
        <v>90389</v>
      </c>
      <c r="AX133" s="418">
        <v>305812</v>
      </c>
      <c r="AY133" s="418">
        <v>5952442</v>
      </c>
      <c r="AZ133" s="418">
        <v>5728569</v>
      </c>
      <c r="BA133" s="418">
        <v>6454820</v>
      </c>
      <c r="BB133" s="418">
        <v>4475</v>
      </c>
      <c r="BC133" s="418">
        <v>3773069</v>
      </c>
      <c r="BD133" s="418">
        <v>0</v>
      </c>
      <c r="BE133" s="418">
        <v>87916</v>
      </c>
      <c r="BF133" s="418">
        <v>25810710</v>
      </c>
      <c r="BG133" s="418">
        <v>0</v>
      </c>
      <c r="BH133" s="418">
        <v>98178</v>
      </c>
      <c r="BI133" s="418">
        <v>4498730</v>
      </c>
      <c r="BJ133" s="418">
        <v>3740345</v>
      </c>
      <c r="BK133" s="418">
        <v>0</v>
      </c>
      <c r="BL133" s="418">
        <v>9713890</v>
      </c>
      <c r="BM133" s="418">
        <v>4181121</v>
      </c>
      <c r="BN133" s="418">
        <v>113773</v>
      </c>
      <c r="BO133" s="418">
        <v>10048026</v>
      </c>
      <c r="BP133" s="418">
        <v>5921092</v>
      </c>
      <c r="BQ133" s="418">
        <v>744819</v>
      </c>
      <c r="BR133" s="418">
        <v>1952720</v>
      </c>
      <c r="BS133" s="418">
        <v>363062</v>
      </c>
      <c r="BT133" s="418">
        <v>119622405</v>
      </c>
      <c r="BU133" s="418">
        <v>2819623</v>
      </c>
      <c r="BV133" s="418">
        <v>3956837</v>
      </c>
      <c r="BW133" s="418">
        <v>754399</v>
      </c>
      <c r="BX133" s="418">
        <v>876572</v>
      </c>
      <c r="BY133" s="418">
        <v>35477</v>
      </c>
      <c r="BZ133" s="418">
        <v>62604</v>
      </c>
      <c r="CA133" s="418">
        <v>15999429</v>
      </c>
      <c r="CB133" s="418">
        <v>72671</v>
      </c>
    </row>
    <row r="134" spans="1:80" s="418" customFormat="1" ht="15.6" x14ac:dyDescent="0.3">
      <c r="A134" s="1052">
        <v>375</v>
      </c>
      <c r="B134" s="1049"/>
      <c r="C134" s="1060" t="s">
        <v>2015</v>
      </c>
      <c r="D134" s="1061" t="s">
        <v>222</v>
      </c>
      <c r="E134" s="1062" t="s">
        <v>451</v>
      </c>
      <c r="F134" s="1063">
        <v>0</v>
      </c>
      <c r="G134" s="1063">
        <v>0</v>
      </c>
      <c r="H134" s="1063">
        <v>0</v>
      </c>
      <c r="I134" s="1063">
        <v>0</v>
      </c>
      <c r="J134" s="1063">
        <v>0</v>
      </c>
      <c r="K134" s="1063">
        <v>0</v>
      </c>
      <c r="L134" s="1063">
        <v>0</v>
      </c>
      <c r="M134" s="1063">
        <v>0</v>
      </c>
      <c r="N134" s="1063">
        <v>0</v>
      </c>
      <c r="O134" s="1063">
        <v>0</v>
      </c>
      <c r="P134" s="1063">
        <v>0</v>
      </c>
      <c r="Q134" s="1063">
        <v>0</v>
      </c>
      <c r="R134" s="1063">
        <v>0</v>
      </c>
      <c r="S134" s="1063">
        <v>0</v>
      </c>
      <c r="T134" s="1063">
        <v>0</v>
      </c>
      <c r="U134" s="1063">
        <v>0</v>
      </c>
      <c r="V134" s="1063"/>
      <c r="W134" s="1049"/>
      <c r="X134" s="1049"/>
      <c r="Y134" s="1049"/>
      <c r="Z134" s="1049"/>
      <c r="AA134" s="1066"/>
      <c r="AT134" s="418">
        <v>132997</v>
      </c>
      <c r="AU134" s="418">
        <v>1446708</v>
      </c>
      <c r="AV134" s="418">
        <v>5819195</v>
      </c>
      <c r="AW134" s="418">
        <v>1160933</v>
      </c>
      <c r="AX134" s="418">
        <v>712057</v>
      </c>
      <c r="AY134" s="418">
        <v>1265825</v>
      </c>
      <c r="AZ134" s="418">
        <v>971497</v>
      </c>
      <c r="BA134" s="418">
        <v>1222388</v>
      </c>
      <c r="BB134" s="418">
        <v>-14536</v>
      </c>
      <c r="BC134" s="418">
        <v>482518</v>
      </c>
      <c r="BD134" s="418">
        <v>0</v>
      </c>
      <c r="BE134" s="418">
        <v>0</v>
      </c>
      <c r="BF134" s="418">
        <v>72167</v>
      </c>
      <c r="BG134" s="418">
        <v>0</v>
      </c>
      <c r="BH134" s="418">
        <v>0</v>
      </c>
      <c r="BI134" s="418">
        <v>2175811</v>
      </c>
      <c r="BJ134" s="418">
        <v>1934549</v>
      </c>
      <c r="BK134" s="418">
        <v>0</v>
      </c>
      <c r="BL134" s="418">
        <v>12787813</v>
      </c>
      <c r="BM134" s="418">
        <v>2220946</v>
      </c>
      <c r="BN134" s="418">
        <v>0</v>
      </c>
      <c r="BO134" s="418">
        <v>2189563</v>
      </c>
      <c r="BP134" s="418">
        <v>3910590</v>
      </c>
      <c r="BQ134" s="418">
        <v>1007395</v>
      </c>
      <c r="BR134" s="418">
        <v>1220077</v>
      </c>
      <c r="BS134" s="418">
        <v>0</v>
      </c>
      <c r="BT134" s="418">
        <v>0</v>
      </c>
      <c r="BU134" s="418">
        <v>1192745</v>
      </c>
      <c r="BV134" s="418">
        <v>-518361</v>
      </c>
      <c r="BW134" s="418">
        <v>199918</v>
      </c>
      <c r="BX134" s="418">
        <v>909649</v>
      </c>
      <c r="BY134" s="418">
        <v>0</v>
      </c>
      <c r="BZ134" s="418">
        <v>0</v>
      </c>
      <c r="CA134" s="418">
        <v>6837732</v>
      </c>
      <c r="CB134" s="418">
        <v>0</v>
      </c>
    </row>
    <row r="135" spans="1:80" s="418" customFormat="1" ht="27.6" x14ac:dyDescent="0.3">
      <c r="A135" s="1052">
        <v>376</v>
      </c>
      <c r="B135" s="1049"/>
      <c r="C135" s="1060" t="s">
        <v>2016</v>
      </c>
      <c r="D135" s="1061" t="s">
        <v>108</v>
      </c>
      <c r="E135" s="1062" t="s">
        <v>452</v>
      </c>
      <c r="F135" s="1063">
        <v>0</v>
      </c>
      <c r="G135" s="1063">
        <v>0</v>
      </c>
      <c r="H135" s="1063">
        <v>0</v>
      </c>
      <c r="I135" s="1063">
        <v>0</v>
      </c>
      <c r="J135" s="1063">
        <v>0</v>
      </c>
      <c r="K135" s="1063">
        <v>0</v>
      </c>
      <c r="L135" s="1063">
        <v>0</v>
      </c>
      <c r="M135" s="1063">
        <v>0</v>
      </c>
      <c r="N135" s="1063">
        <v>0</v>
      </c>
      <c r="O135" s="1063">
        <v>0</v>
      </c>
      <c r="P135" s="1063">
        <v>0</v>
      </c>
      <c r="Q135" s="1063">
        <v>0</v>
      </c>
      <c r="R135" s="1063">
        <v>0</v>
      </c>
      <c r="S135" s="1063">
        <v>0</v>
      </c>
      <c r="T135" s="1063">
        <v>0</v>
      </c>
      <c r="U135" s="1063">
        <v>0</v>
      </c>
      <c r="V135" s="1063"/>
      <c r="W135" s="1049"/>
      <c r="X135" s="1049"/>
      <c r="Y135" s="1049"/>
      <c r="Z135" s="1049"/>
      <c r="AA135" s="1066"/>
      <c r="AT135" s="418">
        <v>0</v>
      </c>
      <c r="AU135" s="418">
        <v>0</v>
      </c>
      <c r="AV135" s="418">
        <v>0</v>
      </c>
      <c r="AW135" s="418">
        <v>4553</v>
      </c>
      <c r="AX135" s="418">
        <v>74221</v>
      </c>
      <c r="AY135" s="418">
        <v>0</v>
      </c>
      <c r="AZ135" s="418">
        <v>1</v>
      </c>
      <c r="BA135" s="418">
        <v>0</v>
      </c>
      <c r="BB135" s="418">
        <v>1</v>
      </c>
      <c r="BC135" s="418">
        <v>0</v>
      </c>
      <c r="BD135" s="418">
        <v>0</v>
      </c>
      <c r="BE135" s="418">
        <v>0</v>
      </c>
      <c r="BF135" s="418">
        <v>-4550178</v>
      </c>
      <c r="BG135" s="418">
        <v>0</v>
      </c>
      <c r="BH135" s="418">
        <v>0</v>
      </c>
      <c r="BI135" s="418">
        <v>0</v>
      </c>
      <c r="BJ135" s="418">
        <v>0</v>
      </c>
      <c r="BK135" s="418">
        <v>0</v>
      </c>
      <c r="BL135" s="418">
        <v>0</v>
      </c>
      <c r="BM135" s="418">
        <v>0</v>
      </c>
      <c r="BN135" s="418">
        <v>0</v>
      </c>
      <c r="BO135" s="418">
        <v>0</v>
      </c>
      <c r="BP135" s="418">
        <v>0</v>
      </c>
      <c r="BQ135" s="418">
        <v>0</v>
      </c>
      <c r="BR135" s="418">
        <v>-1</v>
      </c>
      <c r="BS135" s="418">
        <v>0</v>
      </c>
      <c r="BT135" s="418">
        <v>0</v>
      </c>
      <c r="BU135" s="418">
        <v>0</v>
      </c>
      <c r="BV135" s="418">
        <v>0</v>
      </c>
      <c r="BW135" s="418">
        <v>-450000</v>
      </c>
      <c r="BX135" s="418">
        <v>0</v>
      </c>
      <c r="BY135" s="418">
        <v>0</v>
      </c>
      <c r="BZ135" s="418">
        <v>0</v>
      </c>
      <c r="CA135" s="418">
        <v>0</v>
      </c>
      <c r="CB135" s="418">
        <v>1</v>
      </c>
    </row>
    <row r="136" spans="1:80" s="418" customFormat="1" ht="27.6" x14ac:dyDescent="0.3">
      <c r="A136" s="1052">
        <v>377</v>
      </c>
      <c r="B136" s="1049"/>
      <c r="C136" s="1060" t="s">
        <v>2017</v>
      </c>
      <c r="D136" s="1061" t="s">
        <v>109</v>
      </c>
      <c r="E136" s="1062" t="s">
        <v>453</v>
      </c>
      <c r="F136" s="1063">
        <v>0</v>
      </c>
      <c r="G136" s="1063">
        <v>0</v>
      </c>
      <c r="H136" s="1063">
        <v>0</v>
      </c>
      <c r="I136" s="1063">
        <v>0</v>
      </c>
      <c r="J136" s="1063">
        <v>0</v>
      </c>
      <c r="K136" s="1063">
        <v>0</v>
      </c>
      <c r="L136" s="1063">
        <v>0</v>
      </c>
      <c r="M136" s="1063">
        <v>0</v>
      </c>
      <c r="N136" s="1063">
        <v>0</v>
      </c>
      <c r="O136" s="1063">
        <v>0</v>
      </c>
      <c r="P136" s="1063">
        <v>0</v>
      </c>
      <c r="Q136" s="1063">
        <v>0</v>
      </c>
      <c r="R136" s="1063">
        <v>0</v>
      </c>
      <c r="S136" s="1063">
        <v>0</v>
      </c>
      <c r="T136" s="1063">
        <v>0</v>
      </c>
      <c r="U136" s="1063">
        <v>0</v>
      </c>
      <c r="V136" s="1063"/>
      <c r="W136" s="1049"/>
      <c r="X136" s="1049"/>
      <c r="Y136" s="1049"/>
      <c r="Z136" s="1049"/>
      <c r="AA136" s="1066"/>
      <c r="AT136" s="418">
        <v>0</v>
      </c>
      <c r="AU136" s="418">
        <v>318686</v>
      </c>
      <c r="AV136" s="418">
        <v>0</v>
      </c>
      <c r="AW136" s="418">
        <v>0</v>
      </c>
      <c r="AX136" s="418">
        <v>0</v>
      </c>
      <c r="AY136" s="418">
        <v>-1</v>
      </c>
      <c r="AZ136" s="418">
        <v>0</v>
      </c>
      <c r="BA136" s="418">
        <v>0</v>
      </c>
      <c r="BB136" s="418">
        <v>0</v>
      </c>
      <c r="BC136" s="418">
        <v>0</v>
      </c>
      <c r="BD136" s="418">
        <v>0</v>
      </c>
      <c r="BE136" s="418">
        <v>0</v>
      </c>
      <c r="BF136" s="418">
        <v>479307</v>
      </c>
      <c r="BG136" s="418">
        <v>0</v>
      </c>
      <c r="BH136" s="418">
        <v>0</v>
      </c>
      <c r="BI136" s="418">
        <v>0</v>
      </c>
      <c r="BJ136" s="418">
        <v>0</v>
      </c>
      <c r="BK136" s="418">
        <v>0</v>
      </c>
      <c r="BL136" s="418">
        <v>0</v>
      </c>
      <c r="BM136" s="418">
        <v>0</v>
      </c>
      <c r="BN136" s="418">
        <v>0</v>
      </c>
      <c r="BO136" s="418">
        <v>0</v>
      </c>
      <c r="BP136" s="418">
        <v>0</v>
      </c>
      <c r="BQ136" s="418">
        <v>0</v>
      </c>
      <c r="BR136" s="418">
        <v>2</v>
      </c>
      <c r="BS136" s="418">
        <v>0</v>
      </c>
      <c r="BT136" s="418">
        <v>0</v>
      </c>
      <c r="BU136" s="418">
        <v>0</v>
      </c>
      <c r="BV136" s="418">
        <v>1</v>
      </c>
      <c r="BW136" s="418">
        <v>-1</v>
      </c>
      <c r="BX136" s="418">
        <v>0</v>
      </c>
      <c r="BY136" s="418">
        <v>0</v>
      </c>
      <c r="BZ136" s="418">
        <v>0</v>
      </c>
      <c r="CA136" s="418">
        <v>0</v>
      </c>
      <c r="CB136" s="418">
        <v>0</v>
      </c>
    </row>
    <row r="137" spans="1:80" s="418" customFormat="1" ht="27.6" x14ac:dyDescent="0.3">
      <c r="A137" s="1052">
        <v>378</v>
      </c>
      <c r="B137" s="1049"/>
      <c r="C137" s="1060" t="s">
        <v>2018</v>
      </c>
      <c r="D137" s="1061" t="s">
        <v>110</v>
      </c>
      <c r="E137" s="1062" t="s">
        <v>454</v>
      </c>
      <c r="F137" s="1063">
        <v>0</v>
      </c>
      <c r="G137" s="1063">
        <v>0</v>
      </c>
      <c r="H137" s="1063">
        <v>0</v>
      </c>
      <c r="I137" s="1063">
        <v>0</v>
      </c>
      <c r="J137" s="1063">
        <v>0</v>
      </c>
      <c r="K137" s="1063">
        <v>0</v>
      </c>
      <c r="L137" s="1063">
        <v>0</v>
      </c>
      <c r="M137" s="1063">
        <v>0</v>
      </c>
      <c r="N137" s="1063">
        <v>0</v>
      </c>
      <c r="O137" s="1063">
        <v>0</v>
      </c>
      <c r="P137" s="1063">
        <v>0</v>
      </c>
      <c r="Q137" s="1063">
        <v>0</v>
      </c>
      <c r="R137" s="1063">
        <v>0</v>
      </c>
      <c r="S137" s="1063">
        <v>0</v>
      </c>
      <c r="T137" s="1063">
        <v>0</v>
      </c>
      <c r="U137" s="1063">
        <v>0</v>
      </c>
      <c r="V137" s="1063"/>
      <c r="W137" s="1049"/>
      <c r="X137" s="1049"/>
      <c r="Y137" s="1049"/>
      <c r="Z137" s="1049"/>
      <c r="AA137" s="1066"/>
      <c r="AT137" s="418">
        <v>0</v>
      </c>
      <c r="AU137" s="418">
        <v>0</v>
      </c>
      <c r="AV137" s="418">
        <v>0</v>
      </c>
      <c r="AW137" s="418">
        <v>0</v>
      </c>
      <c r="AX137" s="418">
        <v>0</v>
      </c>
      <c r="AY137" s="418">
        <v>0</v>
      </c>
      <c r="AZ137" s="418">
        <v>0</v>
      </c>
      <c r="BA137" s="418">
        <v>0</v>
      </c>
      <c r="BB137" s="418">
        <v>0</v>
      </c>
      <c r="BC137" s="418">
        <v>0</v>
      </c>
      <c r="BD137" s="418">
        <v>0</v>
      </c>
      <c r="BE137" s="418">
        <v>0</v>
      </c>
      <c r="BF137" s="418">
        <v>2226188</v>
      </c>
      <c r="BG137" s="418">
        <v>0</v>
      </c>
      <c r="BH137" s="418">
        <v>0</v>
      </c>
      <c r="BI137" s="418">
        <v>0</v>
      </c>
      <c r="BJ137" s="418">
        <v>0</v>
      </c>
      <c r="BK137" s="418">
        <v>0</v>
      </c>
      <c r="BL137" s="418">
        <v>0</v>
      </c>
      <c r="BM137" s="418">
        <v>0</v>
      </c>
      <c r="BN137" s="418">
        <v>0</v>
      </c>
      <c r="BO137" s="418">
        <v>0</v>
      </c>
      <c r="BP137" s="418">
        <v>0</v>
      </c>
      <c r="BQ137" s="418">
        <v>0</v>
      </c>
      <c r="BR137" s="418">
        <v>0</v>
      </c>
      <c r="BS137" s="418">
        <v>0</v>
      </c>
      <c r="BT137" s="418">
        <v>0</v>
      </c>
      <c r="BU137" s="418">
        <v>0</v>
      </c>
      <c r="BV137" s="418">
        <v>0</v>
      </c>
      <c r="BW137" s="418">
        <v>0</v>
      </c>
      <c r="BX137" s="418">
        <v>0</v>
      </c>
      <c r="BY137" s="418">
        <v>0</v>
      </c>
      <c r="BZ137" s="418">
        <v>0</v>
      </c>
      <c r="CA137" s="418">
        <v>0</v>
      </c>
      <c r="CB137" s="418">
        <v>0</v>
      </c>
    </row>
    <row r="138" spans="1:80" s="418" customFormat="1" ht="27.6" x14ac:dyDescent="0.3">
      <c r="A138" s="1052">
        <v>379</v>
      </c>
      <c r="B138" s="1049"/>
      <c r="C138" s="1060" t="s">
        <v>2019</v>
      </c>
      <c r="D138" s="1061" t="s">
        <v>118</v>
      </c>
      <c r="E138" s="1062" t="s">
        <v>455</v>
      </c>
      <c r="F138" s="1063">
        <v>0</v>
      </c>
      <c r="G138" s="1063">
        <v>0</v>
      </c>
      <c r="H138" s="1063">
        <v>0</v>
      </c>
      <c r="I138" s="1063">
        <v>0</v>
      </c>
      <c r="J138" s="1063">
        <v>0</v>
      </c>
      <c r="K138" s="1063">
        <v>0</v>
      </c>
      <c r="L138" s="1063">
        <v>0</v>
      </c>
      <c r="M138" s="1063">
        <v>0</v>
      </c>
      <c r="N138" s="1063">
        <v>0</v>
      </c>
      <c r="O138" s="1063">
        <v>0</v>
      </c>
      <c r="P138" s="1063">
        <v>0</v>
      </c>
      <c r="Q138" s="1063">
        <v>0</v>
      </c>
      <c r="R138" s="1063">
        <v>0</v>
      </c>
      <c r="S138" s="1063">
        <v>0</v>
      </c>
      <c r="T138" s="1063">
        <v>0</v>
      </c>
      <c r="U138" s="1063">
        <v>0</v>
      </c>
      <c r="V138" s="1063"/>
      <c r="W138" s="1049"/>
      <c r="X138" s="1049"/>
      <c r="Y138" s="1049"/>
      <c r="Z138" s="1049"/>
      <c r="AA138" s="1066"/>
      <c r="AT138" s="418">
        <v>511688</v>
      </c>
      <c r="AU138" s="418">
        <v>3322876</v>
      </c>
      <c r="AV138" s="418">
        <v>8054637</v>
      </c>
      <c r="AW138" s="418">
        <v>206186</v>
      </c>
      <c r="AX138" s="418">
        <v>611977</v>
      </c>
      <c r="AY138" s="418">
        <v>3766230</v>
      </c>
      <c r="AZ138" s="418">
        <v>3184144</v>
      </c>
      <c r="BA138" s="418">
        <v>2674623</v>
      </c>
      <c r="BB138" s="418">
        <v>126170</v>
      </c>
      <c r="BC138" s="418">
        <v>1947516</v>
      </c>
      <c r="BD138" s="418">
        <v>0</v>
      </c>
      <c r="BE138" s="418">
        <v>404100</v>
      </c>
      <c r="BF138" s="418">
        <v>7507234</v>
      </c>
      <c r="BG138" s="418">
        <v>0</v>
      </c>
      <c r="BH138" s="418">
        <v>185339</v>
      </c>
      <c r="BI138" s="418">
        <v>3037385</v>
      </c>
      <c r="BJ138" s="418">
        <v>3862533</v>
      </c>
      <c r="BK138" s="418">
        <v>0</v>
      </c>
      <c r="BL138" s="418">
        <v>3465457</v>
      </c>
      <c r="BM138" s="418">
        <v>6236100</v>
      </c>
      <c r="BN138" s="418">
        <v>141989</v>
      </c>
      <c r="BO138" s="418">
        <v>4783507</v>
      </c>
      <c r="BP138" s="418">
        <v>3875164</v>
      </c>
      <c r="BQ138" s="418">
        <v>1725155</v>
      </c>
      <c r="BR138" s="418">
        <v>3090698</v>
      </c>
      <c r="BS138" s="418">
        <v>2163436</v>
      </c>
      <c r="BT138" s="418">
        <v>13822058</v>
      </c>
      <c r="BU138" s="418">
        <v>3018789</v>
      </c>
      <c r="BV138" s="418">
        <v>2086608</v>
      </c>
      <c r="BW138" s="418">
        <v>1125269</v>
      </c>
      <c r="BX138" s="418">
        <v>1331772</v>
      </c>
      <c r="BY138" s="418">
        <v>187048</v>
      </c>
      <c r="BZ138" s="418">
        <v>217423</v>
      </c>
      <c r="CA138" s="418">
        <v>16790502</v>
      </c>
      <c r="CB138" s="418">
        <v>114946</v>
      </c>
    </row>
    <row r="139" spans="1:80" s="418" customFormat="1" ht="27.6" x14ac:dyDescent="0.3">
      <c r="A139" s="1052">
        <v>380</v>
      </c>
      <c r="B139" s="1049"/>
      <c r="C139" s="1060" t="s">
        <v>2020</v>
      </c>
      <c r="D139" s="1061" t="s">
        <v>121</v>
      </c>
      <c r="E139" s="1062" t="s">
        <v>456</v>
      </c>
      <c r="F139" s="1063">
        <v>0</v>
      </c>
      <c r="G139" s="1063">
        <v>0</v>
      </c>
      <c r="H139" s="1063">
        <v>0</v>
      </c>
      <c r="I139" s="1063">
        <v>0</v>
      </c>
      <c r="J139" s="1063">
        <v>0</v>
      </c>
      <c r="K139" s="1063">
        <v>0</v>
      </c>
      <c r="L139" s="1063">
        <v>0</v>
      </c>
      <c r="M139" s="1063">
        <v>0</v>
      </c>
      <c r="N139" s="1063">
        <v>0</v>
      </c>
      <c r="O139" s="1063">
        <v>0</v>
      </c>
      <c r="P139" s="1063">
        <v>0</v>
      </c>
      <c r="Q139" s="1063">
        <v>0</v>
      </c>
      <c r="R139" s="1063">
        <v>0</v>
      </c>
      <c r="S139" s="1063">
        <v>0</v>
      </c>
      <c r="T139" s="1063">
        <v>0</v>
      </c>
      <c r="U139" s="1063">
        <v>0</v>
      </c>
      <c r="V139" s="1063"/>
      <c r="W139" s="1049"/>
      <c r="X139" s="1049"/>
      <c r="Y139" s="1049"/>
      <c r="Z139" s="1049"/>
      <c r="AA139" s="1066"/>
      <c r="AT139" s="418">
        <v>17675</v>
      </c>
      <c r="AU139" s="418">
        <v>11949</v>
      </c>
      <c r="AV139" s="418">
        <v>102222</v>
      </c>
      <c r="AW139" s="418">
        <v>756</v>
      </c>
      <c r="AX139" s="418">
        <v>41108</v>
      </c>
      <c r="AY139" s="418">
        <v>48002</v>
      </c>
      <c r="AZ139" s="418">
        <v>64497</v>
      </c>
      <c r="BA139" s="418">
        <v>41806</v>
      </c>
      <c r="BB139" s="418">
        <v>5974</v>
      </c>
      <c r="BC139" s="418">
        <v>36333</v>
      </c>
      <c r="BD139" s="418">
        <v>0</v>
      </c>
      <c r="BE139" s="418">
        <v>4328</v>
      </c>
      <c r="BF139" s="418">
        <v>578807</v>
      </c>
      <c r="BG139" s="418">
        <v>0</v>
      </c>
      <c r="BH139" s="418">
        <v>1622</v>
      </c>
      <c r="BI139" s="418">
        <v>47490</v>
      </c>
      <c r="BJ139" s="418">
        <v>58391</v>
      </c>
      <c r="BK139" s="418">
        <v>0</v>
      </c>
      <c r="BL139" s="418">
        <v>16442</v>
      </c>
      <c r="BM139" s="418">
        <v>44469</v>
      </c>
      <c r="BN139" s="418">
        <v>0</v>
      </c>
      <c r="BO139" s="418">
        <v>78877</v>
      </c>
      <c r="BP139" s="418">
        <v>37727</v>
      </c>
      <c r="BQ139" s="418">
        <v>25299</v>
      </c>
      <c r="BR139" s="418">
        <v>50285</v>
      </c>
      <c r="BS139" s="418">
        <v>3464</v>
      </c>
      <c r="BT139" s="418">
        <v>376628</v>
      </c>
      <c r="BU139" s="418">
        <v>500196</v>
      </c>
      <c r="BV139" s="418">
        <v>30651</v>
      </c>
      <c r="BW139" s="418">
        <v>525325</v>
      </c>
      <c r="BX139" s="418">
        <v>5047</v>
      </c>
      <c r="BY139" s="418">
        <v>420</v>
      </c>
      <c r="BZ139" s="418">
        <v>674</v>
      </c>
      <c r="CA139" s="418">
        <v>110641</v>
      </c>
      <c r="CB139" s="418">
        <v>12064</v>
      </c>
    </row>
    <row r="140" spans="1:80" s="418" customFormat="1" ht="27.6" x14ac:dyDescent="0.3">
      <c r="A140" s="1052">
        <v>381</v>
      </c>
      <c r="B140" s="1049"/>
      <c r="C140" s="1060" t="s">
        <v>2021</v>
      </c>
      <c r="D140" s="1061" t="s">
        <v>113</v>
      </c>
      <c r="E140" s="1062" t="s">
        <v>457</v>
      </c>
      <c r="F140" s="1063">
        <v>0</v>
      </c>
      <c r="G140" s="1063">
        <v>0</v>
      </c>
      <c r="H140" s="1063">
        <v>0</v>
      </c>
      <c r="I140" s="1063">
        <v>0</v>
      </c>
      <c r="J140" s="1063">
        <v>0</v>
      </c>
      <c r="K140" s="1063">
        <v>0</v>
      </c>
      <c r="L140" s="1063">
        <v>0</v>
      </c>
      <c r="M140" s="1063">
        <v>0</v>
      </c>
      <c r="N140" s="1063">
        <v>0</v>
      </c>
      <c r="O140" s="1063">
        <v>0</v>
      </c>
      <c r="P140" s="1063">
        <v>0</v>
      </c>
      <c r="Q140" s="1063">
        <v>0</v>
      </c>
      <c r="R140" s="1063">
        <v>0</v>
      </c>
      <c r="S140" s="1063">
        <v>0</v>
      </c>
      <c r="T140" s="1063">
        <v>0</v>
      </c>
      <c r="U140" s="1063">
        <v>0</v>
      </c>
      <c r="V140" s="1063"/>
      <c r="W140" s="1049"/>
      <c r="X140" s="1049"/>
      <c r="Y140" s="1049"/>
      <c r="Z140" s="1049"/>
      <c r="AA140" s="1066"/>
      <c r="AT140" s="418">
        <v>4719522</v>
      </c>
      <c r="AU140" s="418">
        <v>5916860</v>
      </c>
      <c r="AV140" s="418">
        <v>36957979</v>
      </c>
      <c r="AW140" s="418">
        <v>1840947</v>
      </c>
      <c r="AX140" s="418">
        <v>5392287</v>
      </c>
      <c r="AY140" s="418">
        <v>11047474</v>
      </c>
      <c r="AZ140" s="418">
        <v>9381954</v>
      </c>
      <c r="BA140" s="418">
        <v>17137335</v>
      </c>
      <c r="BB140" s="418">
        <v>1587</v>
      </c>
      <c r="BC140" s="418">
        <v>3681026</v>
      </c>
      <c r="BD140" s="418">
        <v>0</v>
      </c>
      <c r="BE140" s="418">
        <v>0</v>
      </c>
      <c r="BF140" s="418">
        <v>61460676</v>
      </c>
      <c r="BG140" s="418">
        <v>0</v>
      </c>
      <c r="BH140" s="418">
        <v>0</v>
      </c>
      <c r="BI140" s="418">
        <v>7677098</v>
      </c>
      <c r="BJ140" s="418">
        <v>7663619</v>
      </c>
      <c r="BK140" s="418">
        <v>0</v>
      </c>
      <c r="BL140" s="418">
        <v>13721558</v>
      </c>
      <c r="BM140" s="418">
        <v>8462815</v>
      </c>
      <c r="BN140" s="418">
        <v>0</v>
      </c>
      <c r="BO140" s="418">
        <v>21355927</v>
      </c>
      <c r="BP140" s="418">
        <v>12624222</v>
      </c>
      <c r="BQ140" s="418">
        <v>8940927</v>
      </c>
      <c r="BR140" s="418">
        <v>7040594</v>
      </c>
      <c r="BS140" s="418">
        <v>0</v>
      </c>
      <c r="BT140" s="418">
        <v>0</v>
      </c>
      <c r="BU140" s="418">
        <v>7030022</v>
      </c>
      <c r="BV140" s="418">
        <v>17529503</v>
      </c>
      <c r="BW140" s="418">
        <v>5670917</v>
      </c>
      <c r="BX140" s="418">
        <v>3214217</v>
      </c>
      <c r="BY140" s="418">
        <v>0</v>
      </c>
      <c r="BZ140" s="418">
        <v>0</v>
      </c>
      <c r="CA140" s="418">
        <v>63410531</v>
      </c>
      <c r="CB140" s="418">
        <v>0</v>
      </c>
    </row>
    <row r="141" spans="1:80" s="418" customFormat="1" ht="27.6" x14ac:dyDescent="0.3">
      <c r="A141" s="1052">
        <v>382</v>
      </c>
      <c r="B141" s="1049"/>
      <c r="C141" s="1060" t="s">
        <v>2022</v>
      </c>
      <c r="D141" s="1061" t="s">
        <v>114</v>
      </c>
      <c r="E141" s="1062" t="s">
        <v>458</v>
      </c>
      <c r="F141" s="1063">
        <v>0</v>
      </c>
      <c r="G141" s="1063">
        <v>0</v>
      </c>
      <c r="H141" s="1063">
        <v>0</v>
      </c>
      <c r="I141" s="1063">
        <v>0</v>
      </c>
      <c r="J141" s="1063">
        <v>0</v>
      </c>
      <c r="K141" s="1063">
        <v>0</v>
      </c>
      <c r="L141" s="1063">
        <v>0</v>
      </c>
      <c r="M141" s="1063">
        <v>0</v>
      </c>
      <c r="N141" s="1063">
        <v>0</v>
      </c>
      <c r="O141" s="1063">
        <v>0</v>
      </c>
      <c r="P141" s="1063">
        <v>0</v>
      </c>
      <c r="Q141" s="1063">
        <v>0</v>
      </c>
      <c r="R141" s="1063">
        <v>0</v>
      </c>
      <c r="S141" s="1063">
        <v>0</v>
      </c>
      <c r="T141" s="1063">
        <v>0</v>
      </c>
      <c r="U141" s="1063">
        <v>0</v>
      </c>
      <c r="V141" s="1063"/>
      <c r="W141" s="1049"/>
      <c r="X141" s="1049"/>
      <c r="Y141" s="1049"/>
      <c r="Z141" s="1049"/>
      <c r="AA141" s="1066"/>
      <c r="AT141" s="418">
        <v>0</v>
      </c>
      <c r="AU141" s="418">
        <v>0</v>
      </c>
      <c r="AV141" s="418">
        <v>8488953</v>
      </c>
      <c r="AW141" s="418">
        <v>0</v>
      </c>
      <c r="AX141" s="418">
        <v>0</v>
      </c>
      <c r="AY141" s="418">
        <v>0</v>
      </c>
      <c r="AZ141" s="418">
        <v>0</v>
      </c>
      <c r="BA141" s="418">
        <v>6630300</v>
      </c>
      <c r="BB141" s="418">
        <v>0</v>
      </c>
      <c r="BC141" s="418">
        <v>0</v>
      </c>
      <c r="BD141" s="418">
        <v>0</v>
      </c>
      <c r="BE141" s="418">
        <v>0</v>
      </c>
      <c r="BF141" s="418">
        <v>30090334</v>
      </c>
      <c r="BG141" s="418">
        <v>0</v>
      </c>
      <c r="BH141" s="418">
        <v>0</v>
      </c>
      <c r="BI141" s="418">
        <v>0</v>
      </c>
      <c r="BJ141" s="418">
        <v>0</v>
      </c>
      <c r="BK141" s="418">
        <v>0</v>
      </c>
      <c r="BL141" s="418">
        <v>5925114</v>
      </c>
      <c r="BM141" s="418">
        <v>0</v>
      </c>
      <c r="BN141" s="418">
        <v>0</v>
      </c>
      <c r="BO141" s="418">
        <v>0</v>
      </c>
      <c r="BP141" s="418">
        <v>0</v>
      </c>
      <c r="BQ141" s="418">
        <v>0</v>
      </c>
      <c r="BR141" s="418">
        <v>0</v>
      </c>
      <c r="BS141" s="418">
        <v>0</v>
      </c>
      <c r="BT141" s="418">
        <v>0</v>
      </c>
      <c r="BU141" s="418">
        <v>0</v>
      </c>
      <c r="BV141" s="418">
        <v>0</v>
      </c>
      <c r="BW141" s="418">
        <v>0</v>
      </c>
      <c r="BX141" s="418">
        <v>0</v>
      </c>
      <c r="BY141" s="418">
        <v>0</v>
      </c>
      <c r="BZ141" s="418">
        <v>0</v>
      </c>
      <c r="CA141" s="418">
        <v>0</v>
      </c>
      <c r="CB141" s="418">
        <v>0</v>
      </c>
    </row>
    <row r="142" spans="1:80" s="418" customFormat="1" ht="15.6" x14ac:dyDescent="0.3">
      <c r="A142" s="1052">
        <v>383</v>
      </c>
      <c r="B142" s="1049"/>
      <c r="C142" s="1060" t="s">
        <v>2023</v>
      </c>
      <c r="D142" s="1061" t="s">
        <v>221</v>
      </c>
      <c r="E142" s="1062" t="s">
        <v>459</v>
      </c>
      <c r="F142" s="1063">
        <v>0</v>
      </c>
      <c r="G142" s="1063">
        <v>0</v>
      </c>
      <c r="H142" s="1063">
        <v>0</v>
      </c>
      <c r="I142" s="1063">
        <v>0</v>
      </c>
      <c r="J142" s="1063">
        <v>0</v>
      </c>
      <c r="K142" s="1063">
        <v>0</v>
      </c>
      <c r="L142" s="1063">
        <v>0</v>
      </c>
      <c r="M142" s="1063">
        <v>0</v>
      </c>
      <c r="N142" s="1063">
        <v>0</v>
      </c>
      <c r="O142" s="1063">
        <v>0</v>
      </c>
      <c r="P142" s="1063">
        <v>0</v>
      </c>
      <c r="Q142" s="1063">
        <v>0</v>
      </c>
      <c r="R142" s="1063">
        <v>0</v>
      </c>
      <c r="S142" s="1063">
        <v>0</v>
      </c>
      <c r="T142" s="1063">
        <v>0</v>
      </c>
      <c r="U142" s="1063">
        <v>0</v>
      </c>
      <c r="V142" s="1063"/>
      <c r="W142" s="1049"/>
      <c r="X142" s="1049"/>
      <c r="Y142" s="1049"/>
      <c r="Z142" s="1049"/>
      <c r="AA142" s="1066"/>
      <c r="AT142" s="418">
        <v>0</v>
      </c>
      <c r="AU142" s="418">
        <v>0</v>
      </c>
      <c r="AV142" s="418">
        <v>0</v>
      </c>
      <c r="AW142" s="418">
        <v>0</v>
      </c>
      <c r="AX142" s="418">
        <v>0</v>
      </c>
      <c r="AY142" s="418">
        <v>0</v>
      </c>
      <c r="AZ142" s="418">
        <v>0</v>
      </c>
      <c r="BA142" s="418">
        <v>0</v>
      </c>
      <c r="BB142" s="418">
        <v>0</v>
      </c>
      <c r="BC142" s="418">
        <v>0</v>
      </c>
      <c r="BD142" s="418">
        <v>0</v>
      </c>
      <c r="BE142" s="418">
        <v>0</v>
      </c>
      <c r="BF142" s="418">
        <v>0</v>
      </c>
      <c r="BG142" s="418">
        <v>0</v>
      </c>
      <c r="BH142" s="418">
        <v>0</v>
      </c>
      <c r="BI142" s="418">
        <v>0</v>
      </c>
      <c r="BJ142" s="418">
        <v>0</v>
      </c>
      <c r="BK142" s="418">
        <v>0</v>
      </c>
      <c r="BL142" s="418">
        <v>0</v>
      </c>
      <c r="BM142" s="418">
        <v>0</v>
      </c>
      <c r="BN142" s="418">
        <v>0</v>
      </c>
      <c r="BO142" s="418">
        <v>0</v>
      </c>
      <c r="BP142" s="418">
        <v>6921</v>
      </c>
      <c r="BQ142" s="418">
        <v>0</v>
      </c>
      <c r="BR142" s="418">
        <v>0</v>
      </c>
      <c r="BS142" s="418">
        <v>0</v>
      </c>
      <c r="BT142" s="418">
        <v>0</v>
      </c>
      <c r="BU142" s="418">
        <v>0</v>
      </c>
      <c r="BV142" s="418">
        <v>0</v>
      </c>
      <c r="BW142" s="418">
        <v>25000</v>
      </c>
      <c r="BX142" s="418">
        <v>0</v>
      </c>
      <c r="BY142" s="418">
        <v>0</v>
      </c>
      <c r="BZ142" s="418">
        <v>0</v>
      </c>
      <c r="CA142" s="418">
        <v>0</v>
      </c>
      <c r="CB142" s="418">
        <v>0</v>
      </c>
    </row>
    <row r="143" spans="1:80" s="418" customFormat="1" ht="27.6" x14ac:dyDescent="0.3">
      <c r="A143" s="1052">
        <v>384</v>
      </c>
      <c r="B143" s="1049"/>
      <c r="C143" s="1060" t="s">
        <v>2024</v>
      </c>
      <c r="D143" s="1061" t="s">
        <v>124</v>
      </c>
      <c r="E143" s="1062" t="s">
        <v>460</v>
      </c>
      <c r="F143" s="1063">
        <v>0</v>
      </c>
      <c r="G143" s="1063">
        <v>0</v>
      </c>
      <c r="H143" s="1063">
        <v>0</v>
      </c>
      <c r="I143" s="1063">
        <v>0</v>
      </c>
      <c r="J143" s="1063">
        <v>0</v>
      </c>
      <c r="K143" s="1063">
        <v>0</v>
      </c>
      <c r="L143" s="1063">
        <v>0</v>
      </c>
      <c r="M143" s="1063">
        <v>0</v>
      </c>
      <c r="N143" s="1063">
        <v>0</v>
      </c>
      <c r="O143" s="1063">
        <v>0</v>
      </c>
      <c r="P143" s="1063">
        <v>0</v>
      </c>
      <c r="Q143" s="1063">
        <v>0</v>
      </c>
      <c r="R143" s="1063">
        <v>0</v>
      </c>
      <c r="S143" s="1063">
        <v>0</v>
      </c>
      <c r="T143" s="1063">
        <v>0</v>
      </c>
      <c r="U143" s="1063">
        <v>0</v>
      </c>
      <c r="V143" s="1063"/>
      <c r="W143" s="1049"/>
      <c r="X143" s="1049"/>
      <c r="Y143" s="1049"/>
      <c r="Z143" s="1049"/>
      <c r="AA143" s="1066"/>
      <c r="AT143" s="418">
        <v>0</v>
      </c>
      <c r="AU143" s="418">
        <v>0</v>
      </c>
      <c r="AV143" s="418">
        <v>0</v>
      </c>
      <c r="AW143" s="418">
        <v>0</v>
      </c>
      <c r="AX143" s="418">
        <v>0</v>
      </c>
      <c r="AY143" s="418">
        <v>0</v>
      </c>
      <c r="AZ143" s="418">
        <v>0</v>
      </c>
      <c r="BA143" s="418">
        <v>0</v>
      </c>
      <c r="BB143" s="418">
        <v>0</v>
      </c>
      <c r="BC143" s="418">
        <v>0</v>
      </c>
      <c r="BD143" s="418">
        <v>0</v>
      </c>
      <c r="BE143" s="418">
        <v>0</v>
      </c>
      <c r="BF143" s="418">
        <v>0</v>
      </c>
      <c r="BG143" s="418">
        <v>0</v>
      </c>
      <c r="BH143" s="418">
        <v>0</v>
      </c>
      <c r="BI143" s="418">
        <v>0</v>
      </c>
      <c r="BJ143" s="418">
        <v>0</v>
      </c>
      <c r="BK143" s="418">
        <v>0</v>
      </c>
      <c r="BL143" s="418">
        <v>0</v>
      </c>
      <c r="BM143" s="418">
        <v>0</v>
      </c>
      <c r="BN143" s="418">
        <v>0</v>
      </c>
      <c r="BO143" s="418">
        <v>0</v>
      </c>
      <c r="BP143" s="418">
        <v>0</v>
      </c>
      <c r="BQ143" s="418">
        <v>0</v>
      </c>
      <c r="BR143" s="418">
        <v>0</v>
      </c>
      <c r="BS143" s="418">
        <v>0</v>
      </c>
      <c r="BT143" s="418">
        <v>0</v>
      </c>
      <c r="BU143" s="418">
        <v>0</v>
      </c>
      <c r="BV143" s="418">
        <v>0</v>
      </c>
      <c r="BW143" s="418">
        <v>0</v>
      </c>
      <c r="BX143" s="418">
        <v>0</v>
      </c>
      <c r="BY143" s="418">
        <v>0</v>
      </c>
      <c r="BZ143" s="418">
        <v>0</v>
      </c>
      <c r="CA143" s="418">
        <v>0</v>
      </c>
      <c r="CB143" s="418">
        <v>0</v>
      </c>
    </row>
    <row r="144" spans="1:80" s="418" customFormat="1" ht="27.6" x14ac:dyDescent="0.3">
      <c r="A144" s="1052">
        <v>385</v>
      </c>
      <c r="B144" s="1049"/>
      <c r="C144" s="1060" t="s">
        <v>2025</v>
      </c>
      <c r="D144" s="1061" t="s">
        <v>115</v>
      </c>
      <c r="E144" s="1062" t="s">
        <v>461</v>
      </c>
      <c r="F144" s="1063">
        <v>0</v>
      </c>
      <c r="G144" s="1063">
        <v>0</v>
      </c>
      <c r="H144" s="1063">
        <v>0</v>
      </c>
      <c r="I144" s="1063">
        <v>0</v>
      </c>
      <c r="J144" s="1063">
        <v>0</v>
      </c>
      <c r="K144" s="1063">
        <v>0</v>
      </c>
      <c r="L144" s="1063">
        <v>0</v>
      </c>
      <c r="M144" s="1063">
        <v>0</v>
      </c>
      <c r="N144" s="1063">
        <v>0</v>
      </c>
      <c r="O144" s="1063">
        <v>0</v>
      </c>
      <c r="P144" s="1063">
        <v>0</v>
      </c>
      <c r="Q144" s="1063">
        <v>0</v>
      </c>
      <c r="R144" s="1063">
        <v>0</v>
      </c>
      <c r="S144" s="1063">
        <v>0</v>
      </c>
      <c r="T144" s="1063">
        <v>0</v>
      </c>
      <c r="U144" s="1063">
        <v>0</v>
      </c>
      <c r="V144" s="1063"/>
      <c r="W144" s="1049"/>
      <c r="X144" s="1049"/>
      <c r="Y144" s="1049"/>
      <c r="Z144" s="1049"/>
      <c r="AA144" s="1066"/>
      <c r="AT144" s="418">
        <v>2676655</v>
      </c>
      <c r="AU144" s="418">
        <v>10530402</v>
      </c>
      <c r="AV144" s="418">
        <v>28855575</v>
      </c>
      <c r="AW144" s="418">
        <v>1056140</v>
      </c>
      <c r="AX144" s="418">
        <v>1748096</v>
      </c>
      <c r="AY144" s="418">
        <v>16507029</v>
      </c>
      <c r="AZ144" s="418">
        <v>6361336</v>
      </c>
      <c r="BA144" s="418">
        <v>9937562</v>
      </c>
      <c r="BB144" s="418">
        <v>148189</v>
      </c>
      <c r="BC144" s="418">
        <v>3773154</v>
      </c>
      <c r="BD144" s="418">
        <v>0</v>
      </c>
      <c r="BE144" s="418">
        <v>422501</v>
      </c>
      <c r="BF144" s="418">
        <v>57771185</v>
      </c>
      <c r="BG144" s="418">
        <v>0</v>
      </c>
      <c r="BH144" s="418">
        <v>236755</v>
      </c>
      <c r="BI144" s="418">
        <v>6523811</v>
      </c>
      <c r="BJ144" s="418">
        <v>11712869</v>
      </c>
      <c r="BK144" s="418">
        <v>0</v>
      </c>
      <c r="BL144" s="418">
        <v>15137769</v>
      </c>
      <c r="BM144" s="418">
        <v>14441091</v>
      </c>
      <c r="BN144" s="418">
        <v>189429</v>
      </c>
      <c r="BO144" s="418">
        <v>15653783</v>
      </c>
      <c r="BP144" s="418">
        <v>8379262</v>
      </c>
      <c r="BQ144" s="418">
        <v>2394194</v>
      </c>
      <c r="BR144" s="418">
        <v>4749806</v>
      </c>
      <c r="BS144" s="418">
        <v>11886705</v>
      </c>
      <c r="BT144" s="418">
        <v>277792914</v>
      </c>
      <c r="BU144" s="418">
        <v>5491723</v>
      </c>
      <c r="BV144" s="418">
        <v>5349198</v>
      </c>
      <c r="BW144" s="418">
        <v>2523357</v>
      </c>
      <c r="BX144" s="418">
        <v>4774260</v>
      </c>
      <c r="BY144" s="418">
        <v>194841</v>
      </c>
      <c r="BZ144" s="418">
        <v>223162</v>
      </c>
      <c r="CA144" s="418">
        <v>80045301</v>
      </c>
      <c r="CB144" s="418">
        <v>365922</v>
      </c>
    </row>
    <row r="145" spans="1:80" s="418" customFormat="1" ht="15.6" x14ac:dyDescent="0.3">
      <c r="A145" s="1052">
        <v>386</v>
      </c>
      <c r="B145" s="1049"/>
      <c r="C145" s="1060" t="s">
        <v>2026</v>
      </c>
      <c r="D145" s="1061" t="s">
        <v>194</v>
      </c>
      <c r="E145" s="1062" t="s">
        <v>462</v>
      </c>
      <c r="F145" s="1063">
        <v>0</v>
      </c>
      <c r="G145" s="1063">
        <v>0</v>
      </c>
      <c r="H145" s="1063">
        <v>0</v>
      </c>
      <c r="I145" s="1063">
        <v>0</v>
      </c>
      <c r="J145" s="1063">
        <v>0</v>
      </c>
      <c r="K145" s="1063">
        <v>0</v>
      </c>
      <c r="L145" s="1063">
        <v>0</v>
      </c>
      <c r="M145" s="1063">
        <v>0</v>
      </c>
      <c r="N145" s="1063">
        <v>0</v>
      </c>
      <c r="O145" s="1063">
        <v>0</v>
      </c>
      <c r="P145" s="1063">
        <v>0</v>
      </c>
      <c r="Q145" s="1063">
        <v>0</v>
      </c>
      <c r="R145" s="1063">
        <v>0</v>
      </c>
      <c r="S145" s="1063">
        <v>0</v>
      </c>
      <c r="T145" s="1063">
        <v>0</v>
      </c>
      <c r="U145" s="1063">
        <v>0</v>
      </c>
      <c r="V145" s="1063"/>
      <c r="W145" s="1049"/>
      <c r="X145" s="1049"/>
      <c r="Y145" s="1049"/>
      <c r="Z145" s="1049"/>
      <c r="AA145" s="1066"/>
      <c r="AT145" s="418">
        <v>11853</v>
      </c>
      <c r="AU145" s="418">
        <v>0</v>
      </c>
      <c r="AV145" s="418">
        <v>405071</v>
      </c>
      <c r="AW145" s="418">
        <v>20000</v>
      </c>
      <c r="AX145" s="418">
        <v>0</v>
      </c>
      <c r="AY145" s="418">
        <v>0</v>
      </c>
      <c r="AZ145" s="418">
        <v>60000</v>
      </c>
      <c r="BA145" s="418">
        <v>377370</v>
      </c>
      <c r="BB145" s="418">
        <v>0</v>
      </c>
      <c r="BC145" s="418">
        <v>0</v>
      </c>
      <c r="BD145" s="418">
        <v>0</v>
      </c>
      <c r="BE145" s="418">
        <v>0</v>
      </c>
      <c r="BF145" s="418">
        <v>788145</v>
      </c>
      <c r="BG145" s="418">
        <v>0</v>
      </c>
      <c r="BH145" s="418">
        <v>0</v>
      </c>
      <c r="BI145" s="418">
        <v>0</v>
      </c>
      <c r="BJ145" s="418">
        <v>0</v>
      </c>
      <c r="BK145" s="418">
        <v>0</v>
      </c>
      <c r="BL145" s="418">
        <v>0</v>
      </c>
      <c r="BM145" s="418">
        <v>0</v>
      </c>
      <c r="BN145" s="418">
        <v>0</v>
      </c>
      <c r="BO145" s="418">
        <v>173000</v>
      </c>
      <c r="BP145" s="418">
        <v>0</v>
      </c>
      <c r="BQ145" s="418">
        <v>0</v>
      </c>
      <c r="BR145" s="418">
        <v>1495868</v>
      </c>
      <c r="BS145" s="418">
        <v>0</v>
      </c>
      <c r="BT145" s="418">
        <v>0</v>
      </c>
      <c r="BU145" s="418">
        <v>0</v>
      </c>
      <c r="BV145" s="418">
        <v>0</v>
      </c>
      <c r="BW145" s="418">
        <v>0</v>
      </c>
      <c r="BX145" s="418">
        <v>0</v>
      </c>
      <c r="BY145" s="418">
        <v>0</v>
      </c>
      <c r="BZ145" s="418">
        <v>0</v>
      </c>
      <c r="CA145" s="418">
        <v>0</v>
      </c>
      <c r="CB145" s="418">
        <v>0</v>
      </c>
    </row>
    <row r="146" spans="1:80" s="418" customFormat="1" ht="15.6" x14ac:dyDescent="0.3">
      <c r="A146" s="1052">
        <v>387</v>
      </c>
      <c r="B146" s="1049"/>
      <c r="C146" s="1060" t="s">
        <v>2027</v>
      </c>
      <c r="D146" s="1061" t="s">
        <v>195</v>
      </c>
      <c r="E146" s="1062" t="s">
        <v>463</v>
      </c>
      <c r="F146" s="1063">
        <v>0</v>
      </c>
      <c r="G146" s="1063">
        <v>0</v>
      </c>
      <c r="H146" s="1063">
        <v>0</v>
      </c>
      <c r="I146" s="1063">
        <v>0</v>
      </c>
      <c r="J146" s="1063">
        <v>0</v>
      </c>
      <c r="K146" s="1063">
        <v>0</v>
      </c>
      <c r="L146" s="1063">
        <v>0</v>
      </c>
      <c r="M146" s="1063">
        <v>0</v>
      </c>
      <c r="N146" s="1063">
        <v>0</v>
      </c>
      <c r="O146" s="1063">
        <v>0</v>
      </c>
      <c r="P146" s="1063">
        <v>0</v>
      </c>
      <c r="Q146" s="1063">
        <v>0</v>
      </c>
      <c r="R146" s="1063">
        <v>0</v>
      </c>
      <c r="S146" s="1063">
        <v>0</v>
      </c>
      <c r="T146" s="1063">
        <v>0</v>
      </c>
      <c r="U146" s="1063">
        <v>0</v>
      </c>
      <c r="V146" s="1063"/>
      <c r="W146" s="1049"/>
      <c r="X146" s="1049"/>
      <c r="Y146" s="1049"/>
      <c r="Z146" s="1049"/>
      <c r="AA146" s="1066"/>
      <c r="AT146" s="418">
        <v>10765</v>
      </c>
      <c r="AU146" s="418">
        <v>0</v>
      </c>
      <c r="AV146" s="418">
        <v>0</v>
      </c>
      <c r="AW146" s="418">
        <v>0</v>
      </c>
      <c r="AX146" s="418">
        <v>0</v>
      </c>
      <c r="AY146" s="418">
        <v>0</v>
      </c>
      <c r="AZ146" s="418">
        <v>0</v>
      </c>
      <c r="BA146" s="418">
        <v>109142</v>
      </c>
      <c r="BB146" s="418">
        <v>0</v>
      </c>
      <c r="BC146" s="418">
        <v>0</v>
      </c>
      <c r="BD146" s="418">
        <v>0</v>
      </c>
      <c r="BE146" s="418">
        <v>0</v>
      </c>
      <c r="BF146" s="418">
        <v>25900</v>
      </c>
      <c r="BG146" s="418">
        <v>0</v>
      </c>
      <c r="BH146" s="418">
        <v>0</v>
      </c>
      <c r="BI146" s="418">
        <v>0</v>
      </c>
      <c r="BJ146" s="418">
        <v>0</v>
      </c>
      <c r="BK146" s="418">
        <v>0</v>
      </c>
      <c r="BL146" s="418">
        <v>0</v>
      </c>
      <c r="BM146" s="418">
        <v>0</v>
      </c>
      <c r="BN146" s="418">
        <v>0</v>
      </c>
      <c r="BO146" s="418">
        <v>0</v>
      </c>
      <c r="BP146" s="418">
        <v>0</v>
      </c>
      <c r="BQ146" s="418">
        <v>0</v>
      </c>
      <c r="BR146" s="418">
        <v>0</v>
      </c>
      <c r="BS146" s="418">
        <v>0</v>
      </c>
      <c r="BT146" s="418">
        <v>0</v>
      </c>
      <c r="BU146" s="418">
        <v>6211</v>
      </c>
      <c r="BV146" s="418">
        <v>21072</v>
      </c>
      <c r="BW146" s="418">
        <v>129596</v>
      </c>
      <c r="BX146" s="418">
        <v>0</v>
      </c>
      <c r="BY146" s="418">
        <v>0</v>
      </c>
      <c r="BZ146" s="418">
        <v>0</v>
      </c>
      <c r="CA146" s="418">
        <v>1395</v>
      </c>
      <c r="CB146" s="418">
        <v>0</v>
      </c>
    </row>
    <row r="147" spans="1:80" s="418" customFormat="1" ht="15.6" x14ac:dyDescent="0.3">
      <c r="A147" s="1052">
        <v>388</v>
      </c>
      <c r="B147" s="1049"/>
      <c r="C147" s="1060" t="s">
        <v>2028</v>
      </c>
      <c r="D147" s="1061" t="s">
        <v>189</v>
      </c>
      <c r="E147" s="1062" t="s">
        <v>464</v>
      </c>
      <c r="F147" s="1063">
        <v>0</v>
      </c>
      <c r="G147" s="1063">
        <v>0</v>
      </c>
      <c r="H147" s="1063">
        <v>0</v>
      </c>
      <c r="I147" s="1063">
        <v>0</v>
      </c>
      <c r="J147" s="1063">
        <v>0</v>
      </c>
      <c r="K147" s="1063">
        <v>0</v>
      </c>
      <c r="L147" s="1063">
        <v>0</v>
      </c>
      <c r="M147" s="1063">
        <v>0</v>
      </c>
      <c r="N147" s="1063">
        <v>0</v>
      </c>
      <c r="O147" s="1063">
        <v>0</v>
      </c>
      <c r="P147" s="1063">
        <v>0</v>
      </c>
      <c r="Q147" s="1063">
        <v>0</v>
      </c>
      <c r="R147" s="1063">
        <v>0</v>
      </c>
      <c r="S147" s="1063">
        <v>0</v>
      </c>
      <c r="T147" s="1063">
        <v>0</v>
      </c>
      <c r="U147" s="1063">
        <v>0</v>
      </c>
      <c r="V147" s="1063"/>
      <c r="W147" s="1049"/>
      <c r="X147" s="1049"/>
      <c r="Y147" s="1049"/>
      <c r="Z147" s="1049"/>
      <c r="AA147" s="1066"/>
      <c r="AT147" s="418">
        <v>558407</v>
      </c>
      <c r="AU147" s="418">
        <v>5011716</v>
      </c>
      <c r="AV147" s="418">
        <v>11030667</v>
      </c>
      <c r="AW147" s="418">
        <v>118753</v>
      </c>
      <c r="AX147" s="418">
        <v>754358</v>
      </c>
      <c r="AY147" s="418">
        <v>3300535</v>
      </c>
      <c r="AZ147" s="418">
        <v>4354571</v>
      </c>
      <c r="BA147" s="418">
        <v>3951762</v>
      </c>
      <c r="BB147" s="418">
        <v>68667</v>
      </c>
      <c r="BC147" s="418">
        <v>2593760</v>
      </c>
      <c r="BD147" s="418">
        <v>0</v>
      </c>
      <c r="BE147" s="418">
        <v>69217</v>
      </c>
      <c r="BF147" s="418">
        <v>31996497</v>
      </c>
      <c r="BG147" s="418">
        <v>0</v>
      </c>
      <c r="BH147" s="418">
        <v>54089</v>
      </c>
      <c r="BI147" s="418">
        <v>3829487</v>
      </c>
      <c r="BJ147" s="418">
        <v>2497138</v>
      </c>
      <c r="BK147" s="418">
        <v>0</v>
      </c>
      <c r="BL147" s="418">
        <v>9055035</v>
      </c>
      <c r="BM147" s="418">
        <v>4718111</v>
      </c>
      <c r="BN147" s="418">
        <v>44587</v>
      </c>
      <c r="BO147" s="418">
        <v>8753077</v>
      </c>
      <c r="BP147" s="418">
        <v>1843615</v>
      </c>
      <c r="BQ147" s="418">
        <v>1128251</v>
      </c>
      <c r="BR147" s="418">
        <v>2097243</v>
      </c>
      <c r="BS147" s="418">
        <v>1255505</v>
      </c>
      <c r="BT147" s="418">
        <v>26250443</v>
      </c>
      <c r="BU147" s="418">
        <v>2117639</v>
      </c>
      <c r="BV147" s="418">
        <v>2761065</v>
      </c>
      <c r="BW147" s="418">
        <v>1254934</v>
      </c>
      <c r="BX147" s="418">
        <v>920300</v>
      </c>
      <c r="BY147" s="418">
        <v>32146</v>
      </c>
      <c r="BZ147" s="418">
        <v>41461</v>
      </c>
      <c r="CA147" s="418">
        <v>19434064</v>
      </c>
      <c r="CB147" s="418">
        <v>76600</v>
      </c>
    </row>
    <row r="148" spans="1:80" s="418" customFormat="1" ht="15.6" x14ac:dyDescent="0.3">
      <c r="A148" s="1052">
        <v>389</v>
      </c>
      <c r="B148" s="1049"/>
      <c r="C148" s="1060" t="s">
        <v>2029</v>
      </c>
      <c r="D148" s="1061" t="s">
        <v>196</v>
      </c>
      <c r="E148" s="1062" t="s">
        <v>465</v>
      </c>
      <c r="F148" s="1063">
        <v>0</v>
      </c>
      <c r="G148" s="1063">
        <v>0</v>
      </c>
      <c r="H148" s="1063">
        <v>0</v>
      </c>
      <c r="I148" s="1063">
        <v>0</v>
      </c>
      <c r="J148" s="1063">
        <v>0</v>
      </c>
      <c r="K148" s="1063">
        <v>0</v>
      </c>
      <c r="L148" s="1063">
        <v>0</v>
      </c>
      <c r="M148" s="1063">
        <v>0</v>
      </c>
      <c r="N148" s="1063">
        <v>0</v>
      </c>
      <c r="O148" s="1063">
        <v>0</v>
      </c>
      <c r="P148" s="1063">
        <v>0</v>
      </c>
      <c r="Q148" s="1063">
        <v>0</v>
      </c>
      <c r="R148" s="1063">
        <v>0</v>
      </c>
      <c r="S148" s="1063">
        <v>0</v>
      </c>
      <c r="T148" s="1063">
        <v>0</v>
      </c>
      <c r="U148" s="1063">
        <v>0</v>
      </c>
      <c r="V148" s="1063"/>
      <c r="W148" s="1049"/>
      <c r="X148" s="1049"/>
      <c r="Y148" s="1049"/>
      <c r="Z148" s="1049"/>
      <c r="AA148" s="1066"/>
      <c r="AT148" s="418">
        <v>0</v>
      </c>
      <c r="AU148" s="418">
        <v>0</v>
      </c>
      <c r="AV148" s="418">
        <v>0</v>
      </c>
      <c r="AW148" s="418">
        <v>0</v>
      </c>
      <c r="AX148" s="418">
        <v>0</v>
      </c>
      <c r="AY148" s="418">
        <v>0</v>
      </c>
      <c r="AZ148" s="418">
        <v>0</v>
      </c>
      <c r="BA148" s="418">
        <v>0</v>
      </c>
      <c r="BB148" s="418">
        <v>0</v>
      </c>
      <c r="BC148" s="418">
        <v>0</v>
      </c>
      <c r="BD148" s="418">
        <v>0</v>
      </c>
      <c r="BE148" s="418">
        <v>0</v>
      </c>
      <c r="BF148" s="418">
        <v>0</v>
      </c>
      <c r="BG148" s="418">
        <v>0</v>
      </c>
      <c r="BH148" s="418">
        <v>0</v>
      </c>
      <c r="BI148" s="418">
        <v>0</v>
      </c>
      <c r="BJ148" s="418">
        <v>0</v>
      </c>
      <c r="BK148" s="418">
        <v>0</v>
      </c>
      <c r="BL148" s="418">
        <v>0</v>
      </c>
      <c r="BM148" s="418">
        <v>0</v>
      </c>
      <c r="BN148" s="418">
        <v>0</v>
      </c>
      <c r="BO148" s="418">
        <v>0</v>
      </c>
      <c r="BP148" s="418">
        <v>0</v>
      </c>
      <c r="BQ148" s="418">
        <v>0</v>
      </c>
      <c r="BR148" s="418">
        <v>0</v>
      </c>
      <c r="BS148" s="418">
        <v>0</v>
      </c>
      <c r="BT148" s="418">
        <v>0</v>
      </c>
      <c r="BU148" s="418">
        <v>0</v>
      </c>
      <c r="BV148" s="418">
        <v>0</v>
      </c>
      <c r="BW148" s="418">
        <v>0</v>
      </c>
      <c r="BX148" s="418">
        <v>0</v>
      </c>
      <c r="BY148" s="418">
        <v>0</v>
      </c>
      <c r="BZ148" s="418">
        <v>0</v>
      </c>
      <c r="CA148" s="418">
        <v>0</v>
      </c>
      <c r="CB148" s="418">
        <v>0</v>
      </c>
    </row>
    <row r="149" spans="1:80" s="418" customFormat="1" ht="15.6" x14ac:dyDescent="0.3">
      <c r="A149" s="1052">
        <v>391</v>
      </c>
      <c r="B149" s="1049"/>
      <c r="C149" s="1060" t="s">
        <v>2030</v>
      </c>
      <c r="D149" s="1061" t="s">
        <v>201</v>
      </c>
      <c r="E149" s="1062" t="s">
        <v>466</v>
      </c>
      <c r="F149" s="1063">
        <v>0</v>
      </c>
      <c r="G149" s="1063">
        <v>0</v>
      </c>
      <c r="H149" s="1063">
        <v>0</v>
      </c>
      <c r="I149" s="1063">
        <v>0</v>
      </c>
      <c r="J149" s="1063">
        <v>0</v>
      </c>
      <c r="K149" s="1063">
        <v>0</v>
      </c>
      <c r="L149" s="1063">
        <v>0</v>
      </c>
      <c r="M149" s="1063">
        <v>0</v>
      </c>
      <c r="N149" s="1063">
        <v>0</v>
      </c>
      <c r="O149" s="1063">
        <v>0</v>
      </c>
      <c r="P149" s="1063">
        <v>0</v>
      </c>
      <c r="Q149" s="1063">
        <v>0</v>
      </c>
      <c r="R149" s="1063">
        <v>0</v>
      </c>
      <c r="S149" s="1063">
        <v>0</v>
      </c>
      <c r="T149" s="1063">
        <v>0</v>
      </c>
      <c r="U149" s="1063">
        <v>0</v>
      </c>
      <c r="V149" s="1063"/>
      <c r="W149" s="1049"/>
      <c r="X149" s="1049"/>
      <c r="Y149" s="1049"/>
      <c r="Z149" s="1049"/>
      <c r="AA149" s="1066"/>
      <c r="AT149" s="418">
        <v>45541</v>
      </c>
      <c r="AU149" s="418">
        <v>784247</v>
      </c>
      <c r="AV149" s="418">
        <v>1758308</v>
      </c>
      <c r="AW149" s="418">
        <v>7645</v>
      </c>
      <c r="AX149" s="418">
        <v>30949</v>
      </c>
      <c r="AY149" s="418">
        <v>219006</v>
      </c>
      <c r="AZ149" s="418">
        <v>304729</v>
      </c>
      <c r="BA149" s="418">
        <v>1069297</v>
      </c>
      <c r="BB149" s="418">
        <v>22057</v>
      </c>
      <c r="BC149" s="418">
        <v>135873</v>
      </c>
      <c r="BD149" s="418">
        <v>0</v>
      </c>
      <c r="BE149" s="418">
        <v>7378</v>
      </c>
      <c r="BF149" s="418">
        <v>2644342</v>
      </c>
      <c r="BG149" s="418">
        <v>0</v>
      </c>
      <c r="BH149" s="418">
        <v>5911</v>
      </c>
      <c r="BI149" s="418">
        <v>256323</v>
      </c>
      <c r="BJ149" s="418">
        <v>329696</v>
      </c>
      <c r="BK149" s="418">
        <v>0</v>
      </c>
      <c r="BL149" s="418">
        <v>689755</v>
      </c>
      <c r="BM149" s="418">
        <v>364769</v>
      </c>
      <c r="BN149" s="418">
        <v>5800</v>
      </c>
      <c r="BO149" s="418">
        <v>928658</v>
      </c>
      <c r="BP149" s="418">
        <v>200207</v>
      </c>
      <c r="BQ149" s="418">
        <v>78564</v>
      </c>
      <c r="BR149" s="418">
        <v>326850</v>
      </c>
      <c r="BS149" s="418">
        <v>61635</v>
      </c>
      <c r="BT149" s="418">
        <v>1529483</v>
      </c>
      <c r="BU149" s="418">
        <v>305666</v>
      </c>
      <c r="BV149" s="418">
        <v>208288</v>
      </c>
      <c r="BW149" s="418">
        <v>104263</v>
      </c>
      <c r="BX149" s="418">
        <v>454037</v>
      </c>
      <c r="BY149" s="418">
        <v>966</v>
      </c>
      <c r="BZ149" s="418">
        <v>5323</v>
      </c>
      <c r="CA149" s="418">
        <v>2422768</v>
      </c>
      <c r="CB149" s="418">
        <v>3541</v>
      </c>
    </row>
    <row r="150" spans="1:80" s="418" customFormat="1" ht="15.6" x14ac:dyDescent="0.3">
      <c r="A150" s="1052">
        <v>500</v>
      </c>
      <c r="B150" s="1049"/>
      <c r="C150" s="1060" t="s">
        <v>2031</v>
      </c>
      <c r="D150" s="1071" t="s">
        <v>183</v>
      </c>
      <c r="E150" s="1062" t="s">
        <v>467</v>
      </c>
      <c r="F150" s="1063">
        <v>0</v>
      </c>
      <c r="G150" s="1063">
        <v>0</v>
      </c>
      <c r="H150" s="1063">
        <v>0</v>
      </c>
      <c r="I150" s="1063">
        <v>0</v>
      </c>
      <c r="J150" s="1063">
        <v>0</v>
      </c>
      <c r="K150" s="1063">
        <v>0</v>
      </c>
      <c r="L150" s="1063">
        <v>0</v>
      </c>
      <c r="M150" s="1063">
        <v>0</v>
      </c>
      <c r="N150" s="1063">
        <v>0</v>
      </c>
      <c r="O150" s="1063">
        <v>0</v>
      </c>
      <c r="P150" s="1063">
        <v>0</v>
      </c>
      <c r="Q150" s="1063">
        <v>0</v>
      </c>
      <c r="R150" s="1063">
        <v>0</v>
      </c>
      <c r="S150" s="1063">
        <v>0</v>
      </c>
      <c r="T150" s="1063">
        <v>0</v>
      </c>
      <c r="U150" s="1063">
        <v>0</v>
      </c>
      <c r="V150" s="1063"/>
      <c r="W150" s="1049"/>
      <c r="X150" s="1049"/>
      <c r="Y150" s="1049"/>
      <c r="Z150" s="1049"/>
      <c r="AA150" s="1066"/>
      <c r="AT150" s="418">
        <v>27462</v>
      </c>
      <c r="AU150" s="418">
        <v>142041</v>
      </c>
      <c r="AV150" s="418">
        <v>369291</v>
      </c>
      <c r="AW150" s="418">
        <v>3181</v>
      </c>
      <c r="AX150" s="418">
        <v>194412</v>
      </c>
      <c r="AY150" s="418">
        <v>321111</v>
      </c>
      <c r="AZ150" s="418">
        <v>617678</v>
      </c>
      <c r="BA150" s="418">
        <v>447910</v>
      </c>
      <c r="BB150" s="418">
        <v>27627</v>
      </c>
      <c r="BC150" s="418">
        <v>526464</v>
      </c>
      <c r="BD150" s="418">
        <v>0</v>
      </c>
      <c r="BE150" s="418">
        <v>8482</v>
      </c>
      <c r="BF150" s="418">
        <v>1193288</v>
      </c>
      <c r="BG150" s="418">
        <v>0</v>
      </c>
      <c r="BH150" s="418">
        <v>23601</v>
      </c>
      <c r="BI150" s="418">
        <v>7771</v>
      </c>
      <c r="BJ150" s="418">
        <v>145974</v>
      </c>
      <c r="BK150" s="418">
        <v>0</v>
      </c>
      <c r="BL150" s="418">
        <v>263304</v>
      </c>
      <c r="BM150" s="418">
        <v>67699</v>
      </c>
      <c r="BN150" s="418">
        <v>0</v>
      </c>
      <c r="BO150" s="418">
        <v>597559</v>
      </c>
      <c r="BP150" s="418">
        <v>141279</v>
      </c>
      <c r="BQ150" s="418">
        <v>147781</v>
      </c>
      <c r="BR150" s="418">
        <v>179396</v>
      </c>
      <c r="BS150" s="418">
        <v>51361</v>
      </c>
      <c r="BT150" s="418">
        <v>4808620</v>
      </c>
      <c r="BU150" s="418">
        <v>28016</v>
      </c>
      <c r="BV150" s="418">
        <v>248609</v>
      </c>
      <c r="BW150" s="418">
        <v>38075</v>
      </c>
      <c r="BX150" s="418">
        <v>99456</v>
      </c>
      <c r="BY150" s="418">
        <v>20509</v>
      </c>
      <c r="BZ150" s="418">
        <v>18656</v>
      </c>
      <c r="CA150" s="418">
        <v>1170936</v>
      </c>
      <c r="CB150" s="418">
        <v>5028</v>
      </c>
    </row>
    <row r="151" spans="1:80" s="418" customFormat="1" ht="15.6" x14ac:dyDescent="0.3">
      <c r="A151" s="1052">
        <v>501</v>
      </c>
      <c r="B151" s="1049"/>
      <c r="C151" s="1060" t="s">
        <v>2032</v>
      </c>
      <c r="D151" s="1061" t="s">
        <v>185</v>
      </c>
      <c r="E151" s="1062" t="s">
        <v>468</v>
      </c>
      <c r="F151" s="1063">
        <v>0</v>
      </c>
      <c r="G151" s="1063">
        <v>0</v>
      </c>
      <c r="H151" s="1063">
        <v>0</v>
      </c>
      <c r="I151" s="1063">
        <v>0</v>
      </c>
      <c r="J151" s="1063">
        <v>0</v>
      </c>
      <c r="K151" s="1063">
        <v>0</v>
      </c>
      <c r="L151" s="1063">
        <v>0</v>
      </c>
      <c r="M151" s="1063">
        <v>0</v>
      </c>
      <c r="N151" s="1063">
        <v>0</v>
      </c>
      <c r="O151" s="1063">
        <v>0</v>
      </c>
      <c r="P151" s="1063">
        <v>0</v>
      </c>
      <c r="Q151" s="1063">
        <v>0</v>
      </c>
      <c r="R151" s="1063">
        <v>0</v>
      </c>
      <c r="S151" s="1063">
        <v>0</v>
      </c>
      <c r="T151" s="1063">
        <v>0</v>
      </c>
      <c r="U151" s="1063">
        <v>0</v>
      </c>
      <c r="V151" s="1063"/>
      <c r="W151" s="1049"/>
      <c r="X151" s="1049"/>
      <c r="Y151" s="1049"/>
      <c r="Z151" s="1049"/>
      <c r="AA151" s="1066"/>
      <c r="AT151" s="418">
        <v>0</v>
      </c>
      <c r="AU151" s="418">
        <v>0</v>
      </c>
      <c r="AV151" s="418">
        <v>0</v>
      </c>
      <c r="AW151" s="418">
        <v>0</v>
      </c>
      <c r="AX151" s="418">
        <v>0</v>
      </c>
      <c r="AY151" s="418">
        <v>0</v>
      </c>
      <c r="AZ151" s="418">
        <v>0</v>
      </c>
      <c r="BA151" s="418">
        <v>0</v>
      </c>
      <c r="BB151" s="418">
        <v>0</v>
      </c>
      <c r="BC151" s="418">
        <v>0</v>
      </c>
      <c r="BD151" s="418">
        <v>0</v>
      </c>
      <c r="BE151" s="418">
        <v>0</v>
      </c>
      <c r="BF151" s="418">
        <v>0</v>
      </c>
      <c r="BG151" s="418">
        <v>0</v>
      </c>
      <c r="BH151" s="418">
        <v>0</v>
      </c>
      <c r="BI151" s="418">
        <v>0</v>
      </c>
      <c r="BJ151" s="418">
        <v>0</v>
      </c>
      <c r="BK151" s="418">
        <v>0</v>
      </c>
      <c r="BL151" s="418">
        <v>0</v>
      </c>
      <c r="BM151" s="418">
        <v>0</v>
      </c>
      <c r="BN151" s="418">
        <v>0</v>
      </c>
      <c r="BO151" s="418">
        <v>0</v>
      </c>
      <c r="BP151" s="418">
        <v>0</v>
      </c>
      <c r="BQ151" s="418">
        <v>0</v>
      </c>
      <c r="BR151" s="418">
        <v>0</v>
      </c>
      <c r="BS151" s="418">
        <v>0</v>
      </c>
      <c r="BT151" s="418">
        <v>0</v>
      </c>
      <c r="BU151" s="418">
        <v>0</v>
      </c>
      <c r="BV151" s="418">
        <v>0</v>
      </c>
      <c r="BW151" s="418">
        <v>0</v>
      </c>
      <c r="BX151" s="418">
        <v>0</v>
      </c>
      <c r="BY151" s="418">
        <v>0</v>
      </c>
      <c r="BZ151" s="418">
        <v>0</v>
      </c>
      <c r="CA151" s="418">
        <v>0</v>
      </c>
      <c r="CB151" s="418">
        <v>0</v>
      </c>
    </row>
    <row r="152" spans="1:80" s="418" customFormat="1" ht="27.6" x14ac:dyDescent="0.3">
      <c r="A152" s="1052">
        <v>502</v>
      </c>
      <c r="B152" s="1053">
        <v>502</v>
      </c>
      <c r="C152" s="1060" t="s">
        <v>2033</v>
      </c>
      <c r="D152" s="1061" t="s">
        <v>186</v>
      </c>
      <c r="E152" s="1062" t="s">
        <v>469</v>
      </c>
      <c r="F152" s="1063">
        <v>0</v>
      </c>
      <c r="G152" s="1063">
        <v>411408292</v>
      </c>
      <c r="H152" s="1063">
        <v>207574234</v>
      </c>
      <c r="I152" s="1063">
        <v>183711156</v>
      </c>
      <c r="J152" s="1063">
        <v>0</v>
      </c>
      <c r="K152" s="1063">
        <v>0</v>
      </c>
      <c r="L152" s="1063">
        <v>0</v>
      </c>
      <c r="M152" s="1063">
        <v>0</v>
      </c>
      <c r="N152" s="1063">
        <v>92102892</v>
      </c>
      <c r="O152" s="1063">
        <v>16072084</v>
      </c>
      <c r="P152" s="1063">
        <v>88582986</v>
      </c>
      <c r="Q152" s="1063">
        <v>0</v>
      </c>
      <c r="R152" s="1063">
        <v>6147576</v>
      </c>
      <c r="S152" s="1063">
        <v>18806733</v>
      </c>
      <c r="T152" s="1063">
        <v>9006782</v>
      </c>
      <c r="U152" s="1063">
        <v>131730053</v>
      </c>
      <c r="V152" s="1063"/>
      <c r="W152" s="1049"/>
      <c r="X152" s="1049"/>
      <c r="Y152" s="1064"/>
      <c r="Z152" s="1065"/>
      <c r="AA152" s="1066"/>
      <c r="AT152" s="418">
        <v>226559</v>
      </c>
      <c r="AU152" s="418">
        <v>1378755</v>
      </c>
      <c r="AV152" s="418">
        <v>10759649</v>
      </c>
      <c r="AW152" s="418">
        <v>1102695</v>
      </c>
      <c r="AX152" s="418">
        <v>705565</v>
      </c>
      <c r="AY152" s="418">
        <v>956683</v>
      </c>
      <c r="AZ152" s="418">
        <v>797331</v>
      </c>
      <c r="BA152" s="418">
        <v>2917155</v>
      </c>
      <c r="BB152" s="418">
        <v>1587</v>
      </c>
      <c r="BC152" s="418">
        <v>592119</v>
      </c>
      <c r="BD152" s="418">
        <v>0</v>
      </c>
      <c r="BE152" s="418">
        <v>0</v>
      </c>
      <c r="BF152" s="418">
        <v>6697683</v>
      </c>
      <c r="BG152" s="418">
        <v>0</v>
      </c>
      <c r="BH152" s="418">
        <v>0</v>
      </c>
      <c r="BI152" s="418">
        <v>629957</v>
      </c>
      <c r="BJ152" s="418">
        <v>1950576</v>
      </c>
      <c r="BK152" s="418">
        <v>0</v>
      </c>
      <c r="BL152" s="418">
        <v>7223410</v>
      </c>
      <c r="BM152" s="418">
        <v>2736585</v>
      </c>
      <c r="BN152" s="418">
        <v>0</v>
      </c>
      <c r="BO152" s="418">
        <v>1676370</v>
      </c>
      <c r="BP152" s="418">
        <v>3215759</v>
      </c>
      <c r="BQ152" s="418">
        <v>997878</v>
      </c>
      <c r="BR152" s="418">
        <v>1748084</v>
      </c>
      <c r="BS152" s="418">
        <v>0</v>
      </c>
      <c r="BT152" s="418">
        <v>0</v>
      </c>
      <c r="BU152" s="418">
        <v>1039729</v>
      </c>
      <c r="BV152" s="418">
        <v>1684666</v>
      </c>
      <c r="BW152" s="418">
        <v>170669</v>
      </c>
      <c r="BX152" s="418">
        <v>1208339</v>
      </c>
      <c r="BY152" s="418">
        <v>0</v>
      </c>
      <c r="BZ152" s="418">
        <v>0</v>
      </c>
      <c r="CA152" s="418">
        <v>7586901</v>
      </c>
      <c r="CB152" s="418">
        <v>0</v>
      </c>
    </row>
    <row r="153" spans="1:80" s="418" customFormat="1" ht="15.6" x14ac:dyDescent="0.3">
      <c r="A153" s="1052">
        <v>503</v>
      </c>
      <c r="B153" s="1053">
        <v>503</v>
      </c>
      <c r="C153" s="1060" t="s">
        <v>2034</v>
      </c>
      <c r="D153" s="1061" t="s">
        <v>187</v>
      </c>
      <c r="E153" s="1062" t="s">
        <v>470</v>
      </c>
      <c r="F153" s="1063">
        <v>0</v>
      </c>
      <c r="G153" s="1063">
        <v>0</v>
      </c>
      <c r="H153" s="1063">
        <v>8145782</v>
      </c>
      <c r="I153" s="1063">
        <v>22422326</v>
      </c>
      <c r="J153" s="1063">
        <v>0</v>
      </c>
      <c r="K153" s="1063">
        <v>0</v>
      </c>
      <c r="L153" s="1063">
        <v>0</v>
      </c>
      <c r="M153" s="1063">
        <v>0</v>
      </c>
      <c r="N153" s="1063">
        <v>0</v>
      </c>
      <c r="O153" s="1063">
        <v>13805368</v>
      </c>
      <c r="P153" s="1063">
        <v>115609950</v>
      </c>
      <c r="Q153" s="1063">
        <v>0</v>
      </c>
      <c r="R153" s="1063">
        <v>88278416</v>
      </c>
      <c r="S153" s="1063">
        <v>39733147</v>
      </c>
      <c r="T153" s="1063">
        <v>19358847</v>
      </c>
      <c r="U153" s="1063">
        <v>4807154</v>
      </c>
      <c r="V153" s="1063"/>
      <c r="W153" s="1049"/>
      <c r="X153" s="1049"/>
      <c r="Y153" s="1064"/>
      <c r="Z153" s="1065"/>
      <c r="AA153" s="1066"/>
      <c r="AT153" s="418">
        <v>24561</v>
      </c>
      <c r="AU153" s="418">
        <v>139220</v>
      </c>
      <c r="AV153" s="418">
        <v>408412</v>
      </c>
      <c r="AW153" s="418">
        <v>49900</v>
      </c>
      <c r="AX153" s="418">
        <v>24897</v>
      </c>
      <c r="AY153" s="418">
        <v>98840</v>
      </c>
      <c r="AZ153" s="418">
        <v>73103</v>
      </c>
      <c r="BA153" s="418">
        <v>475269</v>
      </c>
      <c r="BB153" s="418">
        <v>0</v>
      </c>
      <c r="BC153" s="418">
        <v>89518</v>
      </c>
      <c r="BD153" s="418">
        <v>0</v>
      </c>
      <c r="BE153" s="418">
        <v>0</v>
      </c>
      <c r="BF153" s="418">
        <v>1660930</v>
      </c>
      <c r="BG153" s="418">
        <v>0</v>
      </c>
      <c r="BH153" s="418">
        <v>0</v>
      </c>
      <c r="BI153" s="418">
        <v>41630</v>
      </c>
      <c r="BJ153" s="418">
        <v>0</v>
      </c>
      <c r="BK153" s="418">
        <v>0</v>
      </c>
      <c r="BL153" s="418">
        <v>165493</v>
      </c>
      <c r="BM153" s="418">
        <v>183172</v>
      </c>
      <c r="BN153" s="418">
        <v>0</v>
      </c>
      <c r="BO153" s="418">
        <v>248740</v>
      </c>
      <c r="BP153" s="418">
        <v>320529</v>
      </c>
      <c r="BQ153" s="418">
        <v>39450</v>
      </c>
      <c r="BR153" s="418">
        <v>64381</v>
      </c>
      <c r="BS153" s="418">
        <v>0</v>
      </c>
      <c r="BT153" s="418">
        <v>0</v>
      </c>
      <c r="BU153" s="418">
        <v>0</v>
      </c>
      <c r="BV153" s="418">
        <v>79520</v>
      </c>
      <c r="BW153" s="418">
        <v>42761</v>
      </c>
      <c r="BX153" s="418">
        <v>26655</v>
      </c>
      <c r="BY153" s="418">
        <v>0</v>
      </c>
      <c r="BZ153" s="418">
        <v>0</v>
      </c>
      <c r="CA153" s="418">
        <v>1573791</v>
      </c>
      <c r="CB153" s="418">
        <v>0</v>
      </c>
    </row>
    <row r="154" spans="1:80" s="418" customFormat="1" ht="27.6" x14ac:dyDescent="0.3">
      <c r="A154" s="1052">
        <v>504</v>
      </c>
      <c r="B154" s="1049"/>
      <c r="C154" s="1060" t="s">
        <v>2035</v>
      </c>
      <c r="D154" s="1061" t="s">
        <v>191</v>
      </c>
      <c r="E154" s="1062" t="s">
        <v>471</v>
      </c>
      <c r="F154" s="1063">
        <v>0</v>
      </c>
      <c r="G154" s="1063">
        <v>0</v>
      </c>
      <c r="H154" s="1063">
        <v>0</v>
      </c>
      <c r="I154" s="1063">
        <v>0</v>
      </c>
      <c r="J154" s="1063">
        <v>0</v>
      </c>
      <c r="K154" s="1063">
        <v>0</v>
      </c>
      <c r="L154" s="1063">
        <v>0</v>
      </c>
      <c r="M154" s="1063">
        <v>0</v>
      </c>
      <c r="N154" s="1063">
        <v>0</v>
      </c>
      <c r="O154" s="1063">
        <v>0</v>
      </c>
      <c r="P154" s="1063">
        <v>0</v>
      </c>
      <c r="Q154" s="1063">
        <v>0</v>
      </c>
      <c r="R154" s="1063">
        <v>0</v>
      </c>
      <c r="S154" s="1063">
        <v>0</v>
      </c>
      <c r="T154" s="1063">
        <v>0</v>
      </c>
      <c r="U154" s="1063">
        <v>0</v>
      </c>
      <c r="V154" s="1063"/>
      <c r="W154" s="1049"/>
      <c r="X154" s="1049"/>
      <c r="Y154" s="1049"/>
      <c r="Z154" s="1049"/>
      <c r="AA154" s="1066"/>
      <c r="AT154" s="418">
        <v>23681</v>
      </c>
      <c r="AU154" s="418">
        <v>303556</v>
      </c>
      <c r="AV154" s="418">
        <v>1458602</v>
      </c>
      <c r="AW154" s="418">
        <v>4932</v>
      </c>
      <c r="AX154" s="418">
        <v>22898</v>
      </c>
      <c r="AY154" s="418">
        <v>144634</v>
      </c>
      <c r="AZ154" s="418">
        <v>495383</v>
      </c>
      <c r="BA154" s="418">
        <v>599793</v>
      </c>
      <c r="BB154" s="418">
        <v>12409</v>
      </c>
      <c r="BC154" s="418">
        <v>180688</v>
      </c>
      <c r="BD154" s="418">
        <v>0</v>
      </c>
      <c r="BE154" s="418">
        <v>3889</v>
      </c>
      <c r="BF154" s="418">
        <v>1435006</v>
      </c>
      <c r="BG154" s="418">
        <v>0</v>
      </c>
      <c r="BH154" s="418">
        <v>4659</v>
      </c>
      <c r="BI154" s="418">
        <v>184214</v>
      </c>
      <c r="BJ154" s="418">
        <v>241030</v>
      </c>
      <c r="BK154" s="418">
        <v>0</v>
      </c>
      <c r="BL154" s="418">
        <v>529202</v>
      </c>
      <c r="BM154" s="418">
        <v>148850</v>
      </c>
      <c r="BN154" s="418">
        <v>0</v>
      </c>
      <c r="BO154" s="418">
        <v>985998</v>
      </c>
      <c r="BP154" s="418">
        <v>131344</v>
      </c>
      <c r="BQ154" s="418">
        <v>126074</v>
      </c>
      <c r="BR154" s="418">
        <v>68368</v>
      </c>
      <c r="BS154" s="418">
        <v>141345</v>
      </c>
      <c r="BT154" s="418">
        <v>1272607</v>
      </c>
      <c r="BU154" s="418">
        <v>137163</v>
      </c>
      <c r="BV154" s="418">
        <v>192159</v>
      </c>
      <c r="BW154" s="418">
        <v>702723</v>
      </c>
      <c r="BX154" s="418">
        <v>19153</v>
      </c>
      <c r="BY154" s="418">
        <v>3681</v>
      </c>
      <c r="BZ154" s="418">
        <v>4502</v>
      </c>
      <c r="CA154" s="418">
        <v>957002</v>
      </c>
      <c r="CB154" s="418">
        <v>6359</v>
      </c>
    </row>
    <row r="155" spans="1:80" s="418" customFormat="1" ht="15.6" x14ac:dyDescent="0.3">
      <c r="A155" s="1052">
        <v>505</v>
      </c>
      <c r="B155" s="1049"/>
      <c r="C155" s="1060" t="s">
        <v>2036</v>
      </c>
      <c r="D155" s="1061" t="s">
        <v>192</v>
      </c>
      <c r="E155" s="1062" t="s">
        <v>472</v>
      </c>
      <c r="F155" s="1063">
        <v>0</v>
      </c>
      <c r="G155" s="1063">
        <v>0</v>
      </c>
      <c r="H155" s="1063">
        <v>0</v>
      </c>
      <c r="I155" s="1063">
        <v>0</v>
      </c>
      <c r="J155" s="1063">
        <v>0</v>
      </c>
      <c r="K155" s="1063">
        <v>0</v>
      </c>
      <c r="L155" s="1063">
        <v>0</v>
      </c>
      <c r="M155" s="1063">
        <v>0</v>
      </c>
      <c r="N155" s="1063">
        <v>0</v>
      </c>
      <c r="O155" s="1063">
        <v>0</v>
      </c>
      <c r="P155" s="1063">
        <v>0</v>
      </c>
      <c r="Q155" s="1063">
        <v>0</v>
      </c>
      <c r="R155" s="1063">
        <v>0</v>
      </c>
      <c r="S155" s="1063">
        <v>0</v>
      </c>
      <c r="T155" s="1063">
        <v>0</v>
      </c>
      <c r="U155" s="1063">
        <v>0</v>
      </c>
      <c r="V155" s="1063"/>
      <c r="W155" s="1049"/>
      <c r="X155" s="1049"/>
      <c r="Y155" s="1049"/>
      <c r="Z155" s="1049"/>
      <c r="AA155" s="1066"/>
      <c r="AT155" s="418">
        <v>38838</v>
      </c>
      <c r="AU155" s="418">
        <v>191161</v>
      </c>
      <c r="AV155" s="418">
        <v>0</v>
      </c>
      <c r="AW155" s="418">
        <v>29257</v>
      </c>
      <c r="AX155" s="418">
        <v>161000</v>
      </c>
      <c r="AY155" s="418">
        <v>2551645</v>
      </c>
      <c r="AZ155" s="418">
        <v>0</v>
      </c>
      <c r="BA155" s="418">
        <v>185653</v>
      </c>
      <c r="BB155" s="418">
        <v>0</v>
      </c>
      <c r="BC155" s="418">
        <v>0</v>
      </c>
      <c r="BD155" s="418">
        <v>0</v>
      </c>
      <c r="BE155" s="418">
        <v>0</v>
      </c>
      <c r="BF155" s="418">
        <v>3510210</v>
      </c>
      <c r="BG155" s="418">
        <v>0</v>
      </c>
      <c r="BH155" s="418">
        <v>0</v>
      </c>
      <c r="BI155" s="418">
        <v>114250</v>
      </c>
      <c r="BJ155" s="418">
        <v>0</v>
      </c>
      <c r="BK155" s="418">
        <v>0</v>
      </c>
      <c r="BL155" s="418">
        <v>0</v>
      </c>
      <c r="BM155" s="418">
        <v>0</v>
      </c>
      <c r="BN155" s="418">
        <v>0</v>
      </c>
      <c r="BO155" s="418">
        <v>114590</v>
      </c>
      <c r="BP155" s="418">
        <v>0</v>
      </c>
      <c r="BQ155" s="418">
        <v>0</v>
      </c>
      <c r="BR155" s="418">
        <v>0</v>
      </c>
      <c r="BS155" s="418">
        <v>4877606</v>
      </c>
      <c r="BT155" s="418">
        <v>650820</v>
      </c>
      <c r="BU155" s="418">
        <v>0</v>
      </c>
      <c r="BV155" s="418">
        <v>88500</v>
      </c>
      <c r="BW155" s="418">
        <v>0</v>
      </c>
      <c r="BX155" s="418">
        <v>347530</v>
      </c>
      <c r="BY155" s="418">
        <v>0</v>
      </c>
      <c r="BZ155" s="418">
        <v>0</v>
      </c>
      <c r="CA155" s="418">
        <v>3927560</v>
      </c>
      <c r="CB155" s="418">
        <v>0</v>
      </c>
    </row>
    <row r="156" spans="1:80" s="418" customFormat="1" ht="27.6" x14ac:dyDescent="0.3">
      <c r="A156" s="1052">
        <v>506</v>
      </c>
      <c r="B156" s="1049"/>
      <c r="C156" s="1060" t="s">
        <v>2037</v>
      </c>
      <c r="D156" s="1071" t="s">
        <v>198</v>
      </c>
      <c r="E156" s="1062" t="s">
        <v>473</v>
      </c>
      <c r="F156" s="1063">
        <v>0</v>
      </c>
      <c r="G156" s="1063">
        <v>0</v>
      </c>
      <c r="H156" s="1063">
        <v>0</v>
      </c>
      <c r="I156" s="1063">
        <v>0</v>
      </c>
      <c r="J156" s="1063">
        <v>0</v>
      </c>
      <c r="K156" s="1063">
        <v>0</v>
      </c>
      <c r="L156" s="1063">
        <v>0</v>
      </c>
      <c r="M156" s="1063">
        <v>0</v>
      </c>
      <c r="N156" s="1063">
        <v>0</v>
      </c>
      <c r="O156" s="1063">
        <v>0</v>
      </c>
      <c r="P156" s="1063">
        <v>0</v>
      </c>
      <c r="Q156" s="1063">
        <v>0</v>
      </c>
      <c r="R156" s="1063">
        <v>0</v>
      </c>
      <c r="S156" s="1063">
        <v>0</v>
      </c>
      <c r="T156" s="1063">
        <v>0</v>
      </c>
      <c r="U156" s="1063">
        <v>0</v>
      </c>
      <c r="V156" s="1063"/>
      <c r="W156" s="1049"/>
      <c r="X156" s="1049"/>
      <c r="Y156" s="1049"/>
      <c r="Z156" s="1049"/>
      <c r="AA156" s="1066"/>
      <c r="AT156" s="418">
        <v>421010</v>
      </c>
      <c r="AU156" s="418">
        <v>2367539</v>
      </c>
      <c r="AV156" s="418">
        <v>5805328</v>
      </c>
      <c r="AW156" s="418">
        <v>194604</v>
      </c>
      <c r="AX156" s="418">
        <v>345508</v>
      </c>
      <c r="AY156" s="418">
        <v>3116042</v>
      </c>
      <c r="AZ156" s="418">
        <v>2182287</v>
      </c>
      <c r="BA156" s="418">
        <v>1495820</v>
      </c>
      <c r="BB156" s="418">
        <v>70512</v>
      </c>
      <c r="BC156" s="418">
        <v>1298800</v>
      </c>
      <c r="BD156" s="418">
        <v>0</v>
      </c>
      <c r="BE156" s="418">
        <v>383912</v>
      </c>
      <c r="BF156" s="418">
        <v>2964871</v>
      </c>
      <c r="BG156" s="418">
        <v>0</v>
      </c>
      <c r="BH156" s="418">
        <v>154205</v>
      </c>
      <c r="BI156" s="418">
        <v>2725801</v>
      </c>
      <c r="BJ156" s="418">
        <v>3433068</v>
      </c>
      <c r="BK156" s="418">
        <v>0</v>
      </c>
      <c r="BL156" s="418">
        <v>2696052</v>
      </c>
      <c r="BM156" s="418">
        <v>5760391</v>
      </c>
      <c r="BN156" s="418">
        <v>136189</v>
      </c>
      <c r="BO156" s="418">
        <v>3443225</v>
      </c>
      <c r="BP156" s="418">
        <v>3495951</v>
      </c>
      <c r="BQ156" s="418">
        <v>1469511</v>
      </c>
      <c r="BR156" s="418">
        <v>2534166</v>
      </c>
      <c r="BS156" s="418">
        <v>2046076</v>
      </c>
      <c r="BT156" s="418">
        <v>11231747</v>
      </c>
      <c r="BU156" s="418">
        <v>2184911</v>
      </c>
      <c r="BV156" s="418">
        <v>1570453</v>
      </c>
      <c r="BW156" s="418">
        <v>957606</v>
      </c>
      <c r="BX156" s="418">
        <v>1108232</v>
      </c>
      <c r="BY156" s="418">
        <v>165153</v>
      </c>
      <c r="BZ156" s="418">
        <v>192770</v>
      </c>
      <c r="CA156" s="418">
        <v>13311576</v>
      </c>
      <c r="CB156" s="418">
        <v>89620</v>
      </c>
    </row>
    <row r="157" spans="1:80" s="418" customFormat="1" ht="27.6" x14ac:dyDescent="0.3">
      <c r="A157" s="1052">
        <v>507</v>
      </c>
      <c r="B157" s="1049"/>
      <c r="C157" s="1060" t="s">
        <v>2038</v>
      </c>
      <c r="D157" s="1061" t="s">
        <v>216</v>
      </c>
      <c r="E157" s="1062" t="s">
        <v>474</v>
      </c>
      <c r="F157" s="1063">
        <v>0</v>
      </c>
      <c r="G157" s="1063">
        <v>0</v>
      </c>
      <c r="H157" s="1063">
        <v>0</v>
      </c>
      <c r="I157" s="1063">
        <v>0</v>
      </c>
      <c r="J157" s="1063">
        <v>0</v>
      </c>
      <c r="K157" s="1063">
        <v>0</v>
      </c>
      <c r="L157" s="1063">
        <v>0</v>
      </c>
      <c r="M157" s="1063">
        <v>0</v>
      </c>
      <c r="N157" s="1063">
        <v>0</v>
      </c>
      <c r="O157" s="1063">
        <v>0</v>
      </c>
      <c r="P157" s="1063">
        <v>0</v>
      </c>
      <c r="Q157" s="1063">
        <v>0</v>
      </c>
      <c r="R157" s="1063">
        <v>0</v>
      </c>
      <c r="S157" s="1063">
        <v>0</v>
      </c>
      <c r="T157" s="1063">
        <v>0</v>
      </c>
      <c r="U157" s="1063">
        <v>0</v>
      </c>
      <c r="V157" s="1063"/>
      <c r="W157" s="1049"/>
      <c r="X157" s="1049"/>
      <c r="Y157" s="1049"/>
      <c r="Z157" s="1049"/>
      <c r="AA157" s="1066"/>
      <c r="AT157" s="418">
        <v>0</v>
      </c>
      <c r="AU157" s="418">
        <v>0</v>
      </c>
      <c r="AV157" s="418">
        <v>0</v>
      </c>
      <c r="AW157" s="418">
        <v>4553</v>
      </c>
      <c r="AX157" s="418">
        <v>74221</v>
      </c>
      <c r="AY157" s="418">
        <v>0</v>
      </c>
      <c r="AZ157" s="418">
        <v>0</v>
      </c>
      <c r="BA157" s="418">
        <v>0</v>
      </c>
      <c r="BB157" s="418">
        <v>1</v>
      </c>
      <c r="BC157" s="418">
        <v>0</v>
      </c>
      <c r="BD157" s="418">
        <v>0</v>
      </c>
      <c r="BE157" s="418">
        <v>0</v>
      </c>
      <c r="BF157" s="418">
        <v>26222</v>
      </c>
      <c r="BG157" s="418">
        <v>0</v>
      </c>
      <c r="BH157" s="418">
        <v>0</v>
      </c>
      <c r="BI157" s="418">
        <v>0</v>
      </c>
      <c r="BJ157" s="418">
        <v>0</v>
      </c>
      <c r="BK157" s="418">
        <v>0</v>
      </c>
      <c r="BL157" s="418">
        <v>0</v>
      </c>
      <c r="BM157" s="418">
        <v>0</v>
      </c>
      <c r="BN157" s="418">
        <v>0</v>
      </c>
      <c r="BO157" s="418">
        <v>0</v>
      </c>
      <c r="BP157" s="418">
        <v>0</v>
      </c>
      <c r="BQ157" s="418">
        <v>0</v>
      </c>
      <c r="BR157" s="418">
        <v>1</v>
      </c>
      <c r="BS157" s="418">
        <v>0</v>
      </c>
      <c r="BT157" s="418">
        <v>0</v>
      </c>
      <c r="BU157" s="418">
        <v>0</v>
      </c>
      <c r="BV157" s="418">
        <v>0</v>
      </c>
      <c r="BW157" s="418">
        <v>-450000</v>
      </c>
      <c r="BX157" s="418">
        <v>0</v>
      </c>
      <c r="BY157" s="418">
        <v>0</v>
      </c>
      <c r="BZ157" s="418">
        <v>0</v>
      </c>
      <c r="CA157" s="418">
        <v>0</v>
      </c>
      <c r="CB157" s="418">
        <v>0</v>
      </c>
    </row>
    <row r="158" spans="1:80" s="418" customFormat="1" ht="15.6" x14ac:dyDescent="0.3">
      <c r="A158" s="1052">
        <v>508</v>
      </c>
      <c r="B158" s="1049"/>
      <c r="C158" s="1060" t="s">
        <v>2039</v>
      </c>
      <c r="D158" s="1061" t="s">
        <v>213</v>
      </c>
      <c r="E158" s="1062" t="s">
        <v>475</v>
      </c>
      <c r="F158" s="1063">
        <v>0</v>
      </c>
      <c r="G158" s="1063">
        <v>0</v>
      </c>
      <c r="H158" s="1063">
        <v>0</v>
      </c>
      <c r="I158" s="1063">
        <v>0</v>
      </c>
      <c r="J158" s="1063">
        <v>0</v>
      </c>
      <c r="K158" s="1063">
        <v>0</v>
      </c>
      <c r="L158" s="1063">
        <v>0</v>
      </c>
      <c r="M158" s="1063">
        <v>0</v>
      </c>
      <c r="N158" s="1063">
        <v>0</v>
      </c>
      <c r="O158" s="1063">
        <v>0</v>
      </c>
      <c r="P158" s="1063">
        <v>0</v>
      </c>
      <c r="Q158" s="1063">
        <v>0</v>
      </c>
      <c r="R158" s="1063">
        <v>0</v>
      </c>
      <c r="S158" s="1063">
        <v>0</v>
      </c>
      <c r="T158" s="1063">
        <v>0</v>
      </c>
      <c r="U158" s="1063">
        <v>0</v>
      </c>
      <c r="V158" s="1063"/>
      <c r="W158" s="1049"/>
      <c r="X158" s="1049"/>
      <c r="Y158" s="1049"/>
      <c r="Z158" s="1049"/>
      <c r="AA158" s="1066"/>
      <c r="AT158" s="418">
        <v>0</v>
      </c>
      <c r="AU158" s="418">
        <v>0</v>
      </c>
      <c r="AV158" s="418">
        <v>0</v>
      </c>
      <c r="AW158" s="418">
        <v>0</v>
      </c>
      <c r="AX158" s="418">
        <v>0</v>
      </c>
      <c r="AY158" s="418">
        <v>0</v>
      </c>
      <c r="AZ158" s="418">
        <v>0</v>
      </c>
      <c r="BA158" s="418">
        <v>0</v>
      </c>
      <c r="BB158" s="418">
        <v>0</v>
      </c>
      <c r="BC158" s="418">
        <v>0</v>
      </c>
      <c r="BD158" s="418">
        <v>0</v>
      </c>
      <c r="BE158" s="418">
        <v>0</v>
      </c>
      <c r="BF158" s="418">
        <v>0</v>
      </c>
      <c r="BG158" s="418">
        <v>0</v>
      </c>
      <c r="BH158" s="418">
        <v>0</v>
      </c>
      <c r="BI158" s="418">
        <v>0</v>
      </c>
      <c r="BJ158" s="418">
        <v>0</v>
      </c>
      <c r="BK158" s="418">
        <v>0</v>
      </c>
      <c r="BL158" s="418">
        <v>0</v>
      </c>
      <c r="BM158" s="418">
        <v>0</v>
      </c>
      <c r="BN158" s="418">
        <v>0</v>
      </c>
      <c r="BO158" s="418">
        <v>0</v>
      </c>
      <c r="BP158" s="418">
        <v>0</v>
      </c>
      <c r="BQ158" s="418">
        <v>0</v>
      </c>
      <c r="BR158" s="418">
        <v>0</v>
      </c>
      <c r="BS158" s="418">
        <v>0</v>
      </c>
      <c r="BT158" s="418">
        <v>0</v>
      </c>
      <c r="BU158" s="418">
        <v>0</v>
      </c>
      <c r="BV158" s="418">
        <v>0</v>
      </c>
      <c r="BW158" s="418">
        <v>0</v>
      </c>
      <c r="BX158" s="418">
        <v>0</v>
      </c>
      <c r="BY158" s="418">
        <v>0</v>
      </c>
      <c r="BZ158" s="418">
        <v>0</v>
      </c>
      <c r="CA158" s="418">
        <v>0</v>
      </c>
      <c r="CB158" s="418">
        <v>0</v>
      </c>
    </row>
    <row r="159" spans="1:80" s="418" customFormat="1" ht="15.6" x14ac:dyDescent="0.3">
      <c r="A159" s="1052">
        <v>509</v>
      </c>
      <c r="B159" s="1049"/>
      <c r="C159" s="1060" t="s">
        <v>2040</v>
      </c>
      <c r="D159" s="1061" t="s">
        <v>214</v>
      </c>
      <c r="E159" s="1062" t="s">
        <v>476</v>
      </c>
      <c r="F159" s="1063">
        <v>0</v>
      </c>
      <c r="G159" s="1063">
        <v>0</v>
      </c>
      <c r="H159" s="1063">
        <v>0</v>
      </c>
      <c r="I159" s="1063">
        <v>0</v>
      </c>
      <c r="J159" s="1063">
        <v>0</v>
      </c>
      <c r="K159" s="1063">
        <v>0</v>
      </c>
      <c r="L159" s="1063">
        <v>0</v>
      </c>
      <c r="M159" s="1063">
        <v>0</v>
      </c>
      <c r="N159" s="1063">
        <v>0</v>
      </c>
      <c r="O159" s="1063">
        <v>0</v>
      </c>
      <c r="P159" s="1063">
        <v>0</v>
      </c>
      <c r="Q159" s="1063">
        <v>0</v>
      </c>
      <c r="R159" s="1063">
        <v>0</v>
      </c>
      <c r="S159" s="1063">
        <v>0</v>
      </c>
      <c r="T159" s="1063">
        <v>0</v>
      </c>
      <c r="U159" s="1063">
        <v>0</v>
      </c>
      <c r="V159" s="1063"/>
      <c r="W159" s="1049"/>
      <c r="X159" s="1049"/>
      <c r="Y159" s="1049"/>
      <c r="Z159" s="1049"/>
      <c r="AA159" s="1066"/>
      <c r="AT159" s="418">
        <v>0</v>
      </c>
      <c r="AU159" s="418">
        <v>0</v>
      </c>
      <c r="AV159" s="418">
        <v>0</v>
      </c>
      <c r="AW159" s="418">
        <v>0</v>
      </c>
      <c r="AX159" s="418">
        <v>0</v>
      </c>
      <c r="AY159" s="418">
        <v>0</v>
      </c>
      <c r="AZ159" s="418">
        <v>0</v>
      </c>
      <c r="BA159" s="418">
        <v>0</v>
      </c>
      <c r="BB159" s="418">
        <v>0</v>
      </c>
      <c r="BC159" s="418">
        <v>0</v>
      </c>
      <c r="BD159" s="418">
        <v>0</v>
      </c>
      <c r="BE159" s="418">
        <v>0</v>
      </c>
      <c r="BF159" s="418">
        <v>0</v>
      </c>
      <c r="BG159" s="418">
        <v>0</v>
      </c>
      <c r="BH159" s="418">
        <v>0</v>
      </c>
      <c r="BI159" s="418">
        <v>0</v>
      </c>
      <c r="BJ159" s="418">
        <v>0</v>
      </c>
      <c r="BK159" s="418">
        <v>0</v>
      </c>
      <c r="BL159" s="418">
        <v>0</v>
      </c>
      <c r="BM159" s="418">
        <v>0</v>
      </c>
      <c r="BN159" s="418">
        <v>0</v>
      </c>
      <c r="BO159" s="418">
        <v>0</v>
      </c>
      <c r="BP159" s="418">
        <v>0</v>
      </c>
      <c r="BQ159" s="418">
        <v>0</v>
      </c>
      <c r="BR159" s="418">
        <v>0</v>
      </c>
      <c r="BS159" s="418">
        <v>0</v>
      </c>
      <c r="BT159" s="418">
        <v>0</v>
      </c>
      <c r="BU159" s="418">
        <v>0</v>
      </c>
      <c r="BV159" s="418">
        <v>0</v>
      </c>
      <c r="BW159" s="418">
        <v>0</v>
      </c>
      <c r="BX159" s="418">
        <v>0</v>
      </c>
      <c r="BY159" s="418">
        <v>0</v>
      </c>
      <c r="BZ159" s="418">
        <v>0</v>
      </c>
      <c r="CA159" s="418">
        <v>0</v>
      </c>
      <c r="CB159" s="418">
        <v>0</v>
      </c>
    </row>
    <row r="160" spans="1:80" s="418" customFormat="1" ht="27.6" x14ac:dyDescent="0.3">
      <c r="A160" s="1052">
        <v>510</v>
      </c>
      <c r="B160" s="1049"/>
      <c r="C160" s="1060" t="s">
        <v>2041</v>
      </c>
      <c r="D160" s="1061" t="s">
        <v>220</v>
      </c>
      <c r="E160" s="1062" t="s">
        <v>477</v>
      </c>
      <c r="F160" s="1063">
        <v>0</v>
      </c>
      <c r="G160" s="1063">
        <v>0</v>
      </c>
      <c r="H160" s="1063">
        <v>0</v>
      </c>
      <c r="I160" s="1063">
        <v>0</v>
      </c>
      <c r="J160" s="1063">
        <v>0</v>
      </c>
      <c r="K160" s="1063">
        <v>0</v>
      </c>
      <c r="L160" s="1063">
        <v>0</v>
      </c>
      <c r="M160" s="1063">
        <v>0</v>
      </c>
      <c r="N160" s="1063">
        <v>0</v>
      </c>
      <c r="O160" s="1063">
        <v>0</v>
      </c>
      <c r="P160" s="1063">
        <v>0</v>
      </c>
      <c r="Q160" s="1063">
        <v>0</v>
      </c>
      <c r="R160" s="1063">
        <v>0</v>
      </c>
      <c r="S160" s="1063">
        <v>0</v>
      </c>
      <c r="T160" s="1063">
        <v>0</v>
      </c>
      <c r="U160" s="1063">
        <v>0</v>
      </c>
      <c r="V160" s="1063"/>
      <c r="W160" s="1049"/>
      <c r="X160" s="1049"/>
      <c r="Y160" s="1049"/>
      <c r="Z160" s="1049"/>
      <c r="AA160" s="1066"/>
      <c r="AT160" s="418">
        <v>0</v>
      </c>
      <c r="AU160" s="418">
        <v>30826</v>
      </c>
      <c r="AV160" s="418">
        <v>75533</v>
      </c>
      <c r="AW160" s="418">
        <v>0</v>
      </c>
      <c r="AX160" s="418">
        <v>0</v>
      </c>
      <c r="AY160" s="418">
        <v>0</v>
      </c>
      <c r="AZ160" s="418">
        <v>87624</v>
      </c>
      <c r="BA160" s="418">
        <v>17183</v>
      </c>
      <c r="BB160" s="418">
        <v>0</v>
      </c>
      <c r="BC160" s="418">
        <v>28871</v>
      </c>
      <c r="BD160" s="418">
        <v>0</v>
      </c>
      <c r="BE160" s="418">
        <v>0</v>
      </c>
      <c r="BF160" s="418">
        <v>807856</v>
      </c>
      <c r="BG160" s="418">
        <v>0</v>
      </c>
      <c r="BH160" s="418">
        <v>0</v>
      </c>
      <c r="BI160" s="418">
        <v>127752</v>
      </c>
      <c r="BJ160" s="418">
        <v>1595</v>
      </c>
      <c r="BK160" s="418">
        <v>0</v>
      </c>
      <c r="BL160" s="418">
        <v>224738</v>
      </c>
      <c r="BM160" s="418">
        <v>0</v>
      </c>
      <c r="BN160" s="418">
        <v>0</v>
      </c>
      <c r="BO160" s="418">
        <v>68959</v>
      </c>
      <c r="BP160" s="418">
        <v>72653</v>
      </c>
      <c r="BQ160" s="418">
        <v>0</v>
      </c>
      <c r="BR160" s="418">
        <v>72805</v>
      </c>
      <c r="BS160" s="418">
        <v>0</v>
      </c>
      <c r="BT160" s="418">
        <v>0</v>
      </c>
      <c r="BU160" s="418">
        <v>49591</v>
      </c>
      <c r="BV160" s="418">
        <v>87736</v>
      </c>
      <c r="BW160" s="418">
        <v>3747</v>
      </c>
      <c r="BX160" s="418">
        <v>189</v>
      </c>
      <c r="BY160" s="418">
        <v>0</v>
      </c>
      <c r="BZ160" s="418">
        <v>0</v>
      </c>
      <c r="CA160" s="418">
        <v>0</v>
      </c>
      <c r="CB160" s="418">
        <v>0</v>
      </c>
    </row>
    <row r="161" spans="1:80" s="418" customFormat="1" ht="27.6" x14ac:dyDescent="0.3">
      <c r="A161" s="1052">
        <v>511</v>
      </c>
      <c r="B161" s="1049"/>
      <c r="C161" s="1060" t="s">
        <v>2042</v>
      </c>
      <c r="D161" s="1061" t="s">
        <v>225</v>
      </c>
      <c r="E161" s="1062" t="s">
        <v>478</v>
      </c>
      <c r="F161" s="1063">
        <v>0</v>
      </c>
      <c r="G161" s="1063">
        <v>0</v>
      </c>
      <c r="H161" s="1063">
        <v>0</v>
      </c>
      <c r="I161" s="1063">
        <v>0</v>
      </c>
      <c r="J161" s="1063">
        <v>0</v>
      </c>
      <c r="K161" s="1063">
        <v>0</v>
      </c>
      <c r="L161" s="1063">
        <v>0</v>
      </c>
      <c r="M161" s="1063">
        <v>0</v>
      </c>
      <c r="N161" s="1063">
        <v>0</v>
      </c>
      <c r="O161" s="1063">
        <v>0</v>
      </c>
      <c r="P161" s="1063">
        <v>0</v>
      </c>
      <c r="Q161" s="1063">
        <v>0</v>
      </c>
      <c r="R161" s="1063">
        <v>0</v>
      </c>
      <c r="S161" s="1063">
        <v>0</v>
      </c>
      <c r="T161" s="1063">
        <v>0</v>
      </c>
      <c r="U161" s="1063">
        <v>0</v>
      </c>
      <c r="V161" s="1063"/>
      <c r="W161" s="1049"/>
      <c r="X161" s="1049"/>
      <c r="Y161" s="1049"/>
      <c r="Z161" s="1049"/>
      <c r="AA161" s="1066"/>
      <c r="AT161" s="418">
        <v>0</v>
      </c>
      <c r="AU161" s="418">
        <v>0</v>
      </c>
      <c r="AV161" s="418">
        <v>83219</v>
      </c>
      <c r="AW161" s="418">
        <v>0</v>
      </c>
      <c r="AX161" s="418">
        <v>0</v>
      </c>
      <c r="AY161" s="418">
        <v>0</v>
      </c>
      <c r="AZ161" s="418">
        <v>0</v>
      </c>
      <c r="BA161" s="418">
        <v>0</v>
      </c>
      <c r="BB161" s="418">
        <v>0</v>
      </c>
      <c r="BC161" s="418">
        <v>0</v>
      </c>
      <c r="BD161" s="418">
        <v>0</v>
      </c>
      <c r="BE161" s="418">
        <v>0</v>
      </c>
      <c r="BF161" s="418">
        <v>560324</v>
      </c>
      <c r="BG161" s="418">
        <v>0</v>
      </c>
      <c r="BH161" s="418">
        <v>0</v>
      </c>
      <c r="BI161" s="418">
        <v>0</v>
      </c>
      <c r="BJ161" s="418">
        <v>0</v>
      </c>
      <c r="BK161" s="418">
        <v>0</v>
      </c>
      <c r="BL161" s="418">
        <v>441073</v>
      </c>
      <c r="BM161" s="418">
        <v>0</v>
      </c>
      <c r="BN161" s="418">
        <v>0</v>
      </c>
      <c r="BO161" s="418">
        <v>0</v>
      </c>
      <c r="BP161" s="418">
        <v>0</v>
      </c>
      <c r="BQ161" s="418">
        <v>0</v>
      </c>
      <c r="BR161" s="418">
        <v>0</v>
      </c>
      <c r="BS161" s="418">
        <v>0</v>
      </c>
      <c r="BT161" s="418">
        <v>0</v>
      </c>
      <c r="BU161" s="418">
        <v>0</v>
      </c>
      <c r="BV161" s="418">
        <v>0</v>
      </c>
      <c r="BW161" s="418">
        <v>0</v>
      </c>
      <c r="BX161" s="418">
        <v>0</v>
      </c>
      <c r="BY161" s="418">
        <v>0</v>
      </c>
      <c r="BZ161" s="418">
        <v>0</v>
      </c>
      <c r="CA161" s="418">
        <v>0</v>
      </c>
      <c r="CB161" s="418">
        <v>0</v>
      </c>
    </row>
    <row r="162" spans="1:80" s="418" customFormat="1" ht="15.6" x14ac:dyDescent="0.3">
      <c r="A162" s="1052">
        <v>512</v>
      </c>
      <c r="B162" s="1049"/>
      <c r="C162" s="1060" t="s">
        <v>2043</v>
      </c>
      <c r="D162" s="1061" t="s">
        <v>252</v>
      </c>
      <c r="E162" s="1062" t="s">
        <v>479</v>
      </c>
      <c r="F162" s="1063">
        <v>0</v>
      </c>
      <c r="G162" s="1063">
        <v>0</v>
      </c>
      <c r="H162" s="1063">
        <v>0</v>
      </c>
      <c r="I162" s="1063">
        <v>0</v>
      </c>
      <c r="J162" s="1063">
        <v>0</v>
      </c>
      <c r="K162" s="1063">
        <v>0</v>
      </c>
      <c r="L162" s="1063">
        <v>0</v>
      </c>
      <c r="M162" s="1063">
        <v>0</v>
      </c>
      <c r="N162" s="1063">
        <v>0</v>
      </c>
      <c r="O162" s="1063">
        <v>0</v>
      </c>
      <c r="P162" s="1063">
        <v>0</v>
      </c>
      <c r="Q162" s="1063">
        <v>0</v>
      </c>
      <c r="R162" s="1063">
        <v>0</v>
      </c>
      <c r="S162" s="1063">
        <v>0</v>
      </c>
      <c r="T162" s="1063">
        <v>0</v>
      </c>
      <c r="U162" s="1063">
        <v>0</v>
      </c>
      <c r="V162" s="1063"/>
      <c r="W162" s="1049"/>
      <c r="X162" s="1049"/>
      <c r="Y162" s="1049"/>
      <c r="Z162" s="1049"/>
      <c r="AA162" s="1066"/>
      <c r="AT162" s="418">
        <v>39519</v>
      </c>
      <c r="AU162" s="418">
        <v>0</v>
      </c>
      <c r="AV162" s="418">
        <v>0</v>
      </c>
      <c r="AW162" s="418">
        <v>0</v>
      </c>
      <c r="AX162" s="418">
        <v>0</v>
      </c>
      <c r="AY162" s="418">
        <v>0</v>
      </c>
      <c r="AZ162" s="418">
        <v>0</v>
      </c>
      <c r="BA162" s="418">
        <v>2205</v>
      </c>
      <c r="BB162" s="418">
        <v>0</v>
      </c>
      <c r="BC162" s="418">
        <v>0</v>
      </c>
      <c r="BD162" s="418">
        <v>0</v>
      </c>
      <c r="BE162" s="418">
        <v>0</v>
      </c>
      <c r="BF162" s="418">
        <v>0</v>
      </c>
      <c r="BG162" s="418">
        <v>0</v>
      </c>
      <c r="BH162" s="418">
        <v>0</v>
      </c>
      <c r="BI162" s="418">
        <v>122190</v>
      </c>
      <c r="BJ162" s="418">
        <v>0</v>
      </c>
      <c r="BK162" s="418">
        <v>0</v>
      </c>
      <c r="BL162" s="418">
        <v>0</v>
      </c>
      <c r="BM162" s="418">
        <v>0</v>
      </c>
      <c r="BN162" s="418">
        <v>0</v>
      </c>
      <c r="BO162" s="418">
        <v>0</v>
      </c>
      <c r="BP162" s="418">
        <v>0</v>
      </c>
      <c r="BQ162" s="418">
        <v>0</v>
      </c>
      <c r="BR162" s="418">
        <v>0</v>
      </c>
      <c r="BS162" s="418">
        <v>0</v>
      </c>
      <c r="BT162" s="418">
        <v>0</v>
      </c>
      <c r="BU162" s="418">
        <v>0</v>
      </c>
      <c r="BV162" s="418">
        <v>0</v>
      </c>
      <c r="BW162" s="418">
        <v>0</v>
      </c>
      <c r="BX162" s="418">
        <v>0</v>
      </c>
      <c r="BY162" s="418">
        <v>0</v>
      </c>
      <c r="BZ162" s="418">
        <v>0</v>
      </c>
      <c r="CA162" s="418">
        <v>0</v>
      </c>
      <c r="CB162" s="418">
        <v>0</v>
      </c>
    </row>
    <row r="163" spans="1:80" s="418" customFormat="1" ht="27.6" x14ac:dyDescent="0.3">
      <c r="A163" s="1052">
        <v>513</v>
      </c>
      <c r="B163" s="1049"/>
      <c r="C163" s="1060" t="s">
        <v>2044</v>
      </c>
      <c r="D163" s="1061" t="s">
        <v>263</v>
      </c>
      <c r="E163" s="1062" t="s">
        <v>480</v>
      </c>
      <c r="F163" s="1063">
        <v>0</v>
      </c>
      <c r="G163" s="1063">
        <v>0</v>
      </c>
      <c r="H163" s="1063">
        <v>0</v>
      </c>
      <c r="I163" s="1063">
        <v>0</v>
      </c>
      <c r="J163" s="1063">
        <v>0</v>
      </c>
      <c r="K163" s="1063">
        <v>0</v>
      </c>
      <c r="L163" s="1063">
        <v>0</v>
      </c>
      <c r="M163" s="1063">
        <v>0</v>
      </c>
      <c r="N163" s="1063">
        <v>0</v>
      </c>
      <c r="O163" s="1063">
        <v>0</v>
      </c>
      <c r="P163" s="1063">
        <v>0</v>
      </c>
      <c r="Q163" s="1063">
        <v>0</v>
      </c>
      <c r="R163" s="1063">
        <v>0</v>
      </c>
      <c r="S163" s="1063">
        <v>0</v>
      </c>
      <c r="T163" s="1063">
        <v>0</v>
      </c>
      <c r="U163" s="1063">
        <v>0</v>
      </c>
      <c r="V163" s="1063"/>
      <c r="W163" s="1049"/>
      <c r="X163" s="1049"/>
      <c r="Y163" s="1049"/>
      <c r="Z163" s="1049"/>
      <c r="AA163" s="1066"/>
      <c r="AT163" s="418">
        <v>0</v>
      </c>
      <c r="AU163" s="418">
        <v>0</v>
      </c>
      <c r="AV163" s="418">
        <v>0</v>
      </c>
      <c r="AW163" s="418">
        <v>0</v>
      </c>
      <c r="AX163" s="418">
        <v>0</v>
      </c>
      <c r="AY163" s="418">
        <v>0</v>
      </c>
      <c r="AZ163" s="418">
        <v>0</v>
      </c>
      <c r="BA163" s="418">
        <v>109142</v>
      </c>
      <c r="BB163" s="418">
        <v>0</v>
      </c>
      <c r="BC163" s="418">
        <v>0</v>
      </c>
      <c r="BD163" s="418">
        <v>0</v>
      </c>
      <c r="BE163" s="418">
        <v>0</v>
      </c>
      <c r="BF163" s="418">
        <v>0</v>
      </c>
      <c r="BG163" s="418">
        <v>0</v>
      </c>
      <c r="BH163" s="418">
        <v>0</v>
      </c>
      <c r="BI163" s="418">
        <v>0</v>
      </c>
      <c r="BJ163" s="418">
        <v>0</v>
      </c>
      <c r="BK163" s="418">
        <v>0</v>
      </c>
      <c r="BL163" s="418">
        <v>0</v>
      </c>
      <c r="BM163" s="418">
        <v>0</v>
      </c>
      <c r="BN163" s="418">
        <v>0</v>
      </c>
      <c r="BO163" s="418">
        <v>0</v>
      </c>
      <c r="BP163" s="418">
        <v>0</v>
      </c>
      <c r="BQ163" s="418">
        <v>0</v>
      </c>
      <c r="BR163" s="418">
        <v>0</v>
      </c>
      <c r="BS163" s="418">
        <v>0</v>
      </c>
      <c r="BT163" s="418">
        <v>0</v>
      </c>
      <c r="BU163" s="418">
        <v>0</v>
      </c>
      <c r="BV163" s="418">
        <v>0</v>
      </c>
      <c r="BW163" s="418">
        <v>0</v>
      </c>
      <c r="BX163" s="418">
        <v>0</v>
      </c>
      <c r="BY163" s="418">
        <v>0</v>
      </c>
      <c r="BZ163" s="418">
        <v>0</v>
      </c>
      <c r="CA163" s="418">
        <v>0</v>
      </c>
      <c r="CB163" s="418">
        <v>0</v>
      </c>
    </row>
    <row r="164" spans="1:80" s="418" customFormat="1" ht="27.6" x14ac:dyDescent="0.3">
      <c r="A164" s="1052">
        <v>514</v>
      </c>
      <c r="B164" s="1049"/>
      <c r="C164" s="1060" t="s">
        <v>2045</v>
      </c>
      <c r="D164" s="1061" t="s">
        <v>264</v>
      </c>
      <c r="E164" s="1062" t="s">
        <v>481</v>
      </c>
      <c r="F164" s="1063">
        <v>0</v>
      </c>
      <c r="G164" s="1063">
        <v>0</v>
      </c>
      <c r="H164" s="1063">
        <v>0</v>
      </c>
      <c r="I164" s="1063">
        <v>0</v>
      </c>
      <c r="J164" s="1063">
        <v>0</v>
      </c>
      <c r="K164" s="1063">
        <v>0</v>
      </c>
      <c r="L164" s="1063">
        <v>0</v>
      </c>
      <c r="M164" s="1063">
        <v>0</v>
      </c>
      <c r="N164" s="1063">
        <v>0</v>
      </c>
      <c r="O164" s="1063">
        <v>0</v>
      </c>
      <c r="P164" s="1063">
        <v>0</v>
      </c>
      <c r="Q164" s="1063">
        <v>0</v>
      </c>
      <c r="R164" s="1063">
        <v>0</v>
      </c>
      <c r="S164" s="1063">
        <v>0</v>
      </c>
      <c r="T164" s="1063">
        <v>0</v>
      </c>
      <c r="U164" s="1063">
        <v>0</v>
      </c>
      <c r="V164" s="1063"/>
      <c r="W164" s="1049"/>
      <c r="X164" s="1049"/>
      <c r="Y164" s="1049"/>
      <c r="Z164" s="1049"/>
      <c r="AA164" s="1066"/>
      <c r="AT164" s="418">
        <v>0</v>
      </c>
      <c r="AU164" s="418">
        <v>0</v>
      </c>
      <c r="AV164" s="418">
        <v>25975</v>
      </c>
      <c r="AW164" s="418">
        <v>0</v>
      </c>
      <c r="AX164" s="418">
        <v>0</v>
      </c>
      <c r="AY164" s="418">
        <v>0</v>
      </c>
      <c r="AZ164" s="418">
        <v>0</v>
      </c>
      <c r="BA164" s="418">
        <v>377370</v>
      </c>
      <c r="BB164" s="418">
        <v>0</v>
      </c>
      <c r="BC164" s="418">
        <v>0</v>
      </c>
      <c r="BD164" s="418">
        <v>0</v>
      </c>
      <c r="BE164" s="418">
        <v>0</v>
      </c>
      <c r="BF164" s="418">
        <v>662245</v>
      </c>
      <c r="BG164" s="418">
        <v>0</v>
      </c>
      <c r="BH164" s="418">
        <v>0</v>
      </c>
      <c r="BI164" s="418">
        <v>0</v>
      </c>
      <c r="BJ164" s="418">
        <v>0</v>
      </c>
      <c r="BK164" s="418">
        <v>0</v>
      </c>
      <c r="BL164" s="418">
        <v>0</v>
      </c>
      <c r="BM164" s="418">
        <v>0</v>
      </c>
      <c r="BN164" s="418">
        <v>0</v>
      </c>
      <c r="BO164" s="418">
        <v>0</v>
      </c>
      <c r="BP164" s="418">
        <v>0</v>
      </c>
      <c r="BQ164" s="418">
        <v>0</v>
      </c>
      <c r="BR164" s="418">
        <v>0</v>
      </c>
      <c r="BS164" s="418">
        <v>0</v>
      </c>
      <c r="BT164" s="418">
        <v>0</v>
      </c>
      <c r="BU164" s="418">
        <v>0</v>
      </c>
      <c r="BV164" s="418">
        <v>0</v>
      </c>
      <c r="BW164" s="418">
        <v>0</v>
      </c>
      <c r="BX164" s="418">
        <v>0</v>
      </c>
      <c r="BY164" s="418">
        <v>0</v>
      </c>
      <c r="BZ164" s="418">
        <v>0</v>
      </c>
      <c r="CA164" s="418">
        <v>0</v>
      </c>
      <c r="CB164" s="418">
        <v>0</v>
      </c>
    </row>
    <row r="165" spans="1:80" s="418" customFormat="1" ht="15.6" x14ac:dyDescent="0.3">
      <c r="A165" s="1052">
        <v>515</v>
      </c>
      <c r="B165" s="1049"/>
      <c r="C165" s="1060" t="s">
        <v>2046</v>
      </c>
      <c r="D165" s="1061" t="s">
        <v>277</v>
      </c>
      <c r="E165" s="1062" t="s">
        <v>482</v>
      </c>
      <c r="F165" s="1063">
        <v>0</v>
      </c>
      <c r="G165" s="1063">
        <v>0</v>
      </c>
      <c r="H165" s="1063">
        <v>0</v>
      </c>
      <c r="I165" s="1063">
        <v>0</v>
      </c>
      <c r="J165" s="1063">
        <v>0</v>
      </c>
      <c r="K165" s="1063">
        <v>0</v>
      </c>
      <c r="L165" s="1063">
        <v>0</v>
      </c>
      <c r="M165" s="1063">
        <v>0</v>
      </c>
      <c r="N165" s="1063">
        <v>0</v>
      </c>
      <c r="O165" s="1063">
        <v>0</v>
      </c>
      <c r="P165" s="1063">
        <v>0</v>
      </c>
      <c r="Q165" s="1063">
        <v>0</v>
      </c>
      <c r="R165" s="1063">
        <v>0</v>
      </c>
      <c r="S165" s="1063">
        <v>0</v>
      </c>
      <c r="T165" s="1063">
        <v>0</v>
      </c>
      <c r="U165" s="1063">
        <v>0</v>
      </c>
      <c r="V165" s="1063"/>
      <c r="W165" s="1049"/>
      <c r="X165" s="1049"/>
      <c r="Y165" s="1049"/>
      <c r="Z165" s="1049"/>
      <c r="AA165" s="1066"/>
      <c r="AT165" s="418">
        <v>33338</v>
      </c>
      <c r="AU165" s="418">
        <v>267595</v>
      </c>
      <c r="AV165" s="418">
        <v>14215117</v>
      </c>
      <c r="AW165" s="418">
        <v>108060</v>
      </c>
      <c r="AX165" s="418">
        <v>48825</v>
      </c>
      <c r="AY165" s="418">
        <v>0</v>
      </c>
      <c r="AZ165" s="418">
        <v>0</v>
      </c>
      <c r="BA165" s="418">
        <v>834343</v>
      </c>
      <c r="BB165" s="418">
        <v>0</v>
      </c>
      <c r="BC165" s="418">
        <v>16683</v>
      </c>
      <c r="BD165" s="418">
        <v>0</v>
      </c>
      <c r="BE165" s="418">
        <v>0</v>
      </c>
      <c r="BF165" s="418">
        <v>18580814</v>
      </c>
      <c r="BG165" s="418">
        <v>0</v>
      </c>
      <c r="BH165" s="418">
        <v>0</v>
      </c>
      <c r="BI165" s="418">
        <v>0</v>
      </c>
      <c r="BJ165" s="418">
        <v>0</v>
      </c>
      <c r="BK165" s="418">
        <v>0</v>
      </c>
      <c r="BL165" s="418">
        <v>124260</v>
      </c>
      <c r="BM165" s="418">
        <v>0</v>
      </c>
      <c r="BN165" s="418">
        <v>0</v>
      </c>
      <c r="BO165" s="418">
        <v>7521010</v>
      </c>
      <c r="BP165" s="418">
        <v>671860</v>
      </c>
      <c r="BQ165" s="418">
        <v>0</v>
      </c>
      <c r="BR165" s="418">
        <v>364151</v>
      </c>
      <c r="BS165" s="418">
        <v>0</v>
      </c>
      <c r="BT165" s="418">
        <v>0</v>
      </c>
      <c r="BU165" s="418">
        <v>2483050</v>
      </c>
      <c r="BV165" s="418">
        <v>0</v>
      </c>
      <c r="BW165" s="418">
        <v>0</v>
      </c>
      <c r="BX165" s="418">
        <v>0</v>
      </c>
      <c r="BY165" s="418">
        <v>0</v>
      </c>
      <c r="BZ165" s="418">
        <v>0</v>
      </c>
      <c r="CA165" s="418">
        <v>9136888</v>
      </c>
      <c r="CB165" s="418">
        <v>0</v>
      </c>
    </row>
    <row r="166" spans="1:80" s="418" customFormat="1" ht="27.6" x14ac:dyDescent="0.3">
      <c r="A166" s="1052">
        <v>516</v>
      </c>
      <c r="B166" s="1049"/>
      <c r="C166" s="1060" t="s">
        <v>2047</v>
      </c>
      <c r="D166" s="1061" t="s">
        <v>278</v>
      </c>
      <c r="E166" s="1062" t="s">
        <v>483</v>
      </c>
      <c r="F166" s="1063">
        <v>0</v>
      </c>
      <c r="G166" s="1063">
        <v>0</v>
      </c>
      <c r="H166" s="1063">
        <v>0</v>
      </c>
      <c r="I166" s="1063">
        <v>0</v>
      </c>
      <c r="J166" s="1063">
        <v>0</v>
      </c>
      <c r="K166" s="1063">
        <v>0</v>
      </c>
      <c r="L166" s="1063">
        <v>0</v>
      </c>
      <c r="M166" s="1063">
        <v>0</v>
      </c>
      <c r="N166" s="1063">
        <v>0</v>
      </c>
      <c r="O166" s="1063">
        <v>0</v>
      </c>
      <c r="P166" s="1063">
        <v>0</v>
      </c>
      <c r="Q166" s="1063">
        <v>0</v>
      </c>
      <c r="R166" s="1063">
        <v>0</v>
      </c>
      <c r="S166" s="1063">
        <v>0</v>
      </c>
      <c r="T166" s="1063">
        <v>0</v>
      </c>
      <c r="U166" s="1063">
        <v>0</v>
      </c>
      <c r="V166" s="1063"/>
      <c r="W166" s="1049"/>
      <c r="X166" s="1049"/>
      <c r="Y166" s="1049"/>
      <c r="Z166" s="1049"/>
      <c r="AA166" s="1066"/>
      <c r="AT166" s="418">
        <v>5958333</v>
      </c>
      <c r="AU166" s="418">
        <v>6665103</v>
      </c>
      <c r="AV166" s="418">
        <v>47076931</v>
      </c>
      <c r="AW166" s="418">
        <v>1742830</v>
      </c>
      <c r="AX166" s="418">
        <v>7227037</v>
      </c>
      <c r="AY166" s="418">
        <v>13628125</v>
      </c>
      <c r="AZ166" s="418">
        <v>17597375</v>
      </c>
      <c r="BA166" s="418">
        <v>27812080</v>
      </c>
      <c r="BB166" s="418">
        <v>20457</v>
      </c>
      <c r="BC166" s="418">
        <v>790666</v>
      </c>
      <c r="BD166" s="418">
        <v>0</v>
      </c>
      <c r="BE166" s="418">
        <v>0</v>
      </c>
      <c r="BF166" s="418">
        <v>68558904</v>
      </c>
      <c r="BG166" s="418">
        <v>0</v>
      </c>
      <c r="BH166" s="418">
        <v>0</v>
      </c>
      <c r="BI166" s="418">
        <v>11744116</v>
      </c>
      <c r="BJ166" s="418">
        <v>8234496</v>
      </c>
      <c r="BK166" s="418">
        <v>0</v>
      </c>
      <c r="BL166" s="418">
        <v>16829587</v>
      </c>
      <c r="BM166" s="418">
        <v>10888924</v>
      </c>
      <c r="BN166" s="418">
        <v>0</v>
      </c>
      <c r="BO166" s="418">
        <v>24577966</v>
      </c>
      <c r="BP166" s="418">
        <v>14235973</v>
      </c>
      <c r="BQ166" s="418">
        <v>15049071</v>
      </c>
      <c r="BR166" s="418">
        <v>6316273</v>
      </c>
      <c r="BS166" s="418">
        <v>0</v>
      </c>
      <c r="BT166" s="418">
        <v>0</v>
      </c>
      <c r="BU166" s="418">
        <v>4880718</v>
      </c>
      <c r="BV166" s="418">
        <v>23580566</v>
      </c>
      <c r="BW166" s="418">
        <v>5905822</v>
      </c>
      <c r="BX166" s="418">
        <v>2166959</v>
      </c>
      <c r="BY166" s="418">
        <v>0</v>
      </c>
      <c r="BZ166" s="418">
        <v>0</v>
      </c>
      <c r="CA166" s="418">
        <v>61464767</v>
      </c>
      <c r="CB166" s="418">
        <v>0</v>
      </c>
    </row>
    <row r="167" spans="1:80" s="418" customFormat="1" ht="15.6" x14ac:dyDescent="0.3">
      <c r="A167" s="1052">
        <v>517</v>
      </c>
      <c r="B167" s="1049"/>
      <c r="C167" s="1060" t="s">
        <v>2048</v>
      </c>
      <c r="D167" s="1061" t="s">
        <v>279</v>
      </c>
      <c r="E167" s="1062" t="s">
        <v>484</v>
      </c>
      <c r="F167" s="1063">
        <v>0</v>
      </c>
      <c r="G167" s="1063">
        <v>0</v>
      </c>
      <c r="H167" s="1063">
        <v>0</v>
      </c>
      <c r="I167" s="1063">
        <v>0</v>
      </c>
      <c r="J167" s="1063">
        <v>0</v>
      </c>
      <c r="K167" s="1063">
        <v>0</v>
      </c>
      <c r="L167" s="1063">
        <v>0</v>
      </c>
      <c r="M167" s="1063">
        <v>0</v>
      </c>
      <c r="N167" s="1063">
        <v>0</v>
      </c>
      <c r="O167" s="1063">
        <v>0</v>
      </c>
      <c r="P167" s="1063">
        <v>0</v>
      </c>
      <c r="Q167" s="1063">
        <v>0</v>
      </c>
      <c r="R167" s="1063">
        <v>0</v>
      </c>
      <c r="S167" s="1063">
        <v>0</v>
      </c>
      <c r="T167" s="1063">
        <v>0</v>
      </c>
      <c r="U167" s="1063">
        <v>0</v>
      </c>
      <c r="V167" s="1063"/>
      <c r="W167" s="1049"/>
      <c r="X167" s="1049"/>
      <c r="Y167" s="1049"/>
      <c r="Z167" s="1049"/>
      <c r="AA167" s="1066"/>
      <c r="AT167" s="418">
        <v>0</v>
      </c>
      <c r="AU167" s="418">
        <v>0</v>
      </c>
      <c r="AV167" s="418">
        <v>0</v>
      </c>
      <c r="AW167" s="418">
        <v>0</v>
      </c>
      <c r="AX167" s="418">
        <v>0</v>
      </c>
      <c r="AY167" s="418">
        <v>0</v>
      </c>
      <c r="AZ167" s="418">
        <v>0</v>
      </c>
      <c r="BA167" s="418">
        <v>0</v>
      </c>
      <c r="BB167" s="418">
        <v>0</v>
      </c>
      <c r="BC167" s="418">
        <v>6390019</v>
      </c>
      <c r="BD167" s="418">
        <v>0</v>
      </c>
      <c r="BE167" s="418">
        <v>0</v>
      </c>
      <c r="BF167" s="418">
        <v>0</v>
      </c>
      <c r="BG167" s="418">
        <v>0</v>
      </c>
      <c r="BH167" s="418">
        <v>0</v>
      </c>
      <c r="BI167" s="418">
        <v>0</v>
      </c>
      <c r="BJ167" s="418">
        <v>0</v>
      </c>
      <c r="BK167" s="418">
        <v>0</v>
      </c>
      <c r="BL167" s="418">
        <v>0</v>
      </c>
      <c r="BM167" s="418">
        <v>0</v>
      </c>
      <c r="BN167" s="418">
        <v>0</v>
      </c>
      <c r="BO167" s="418">
        <v>0</v>
      </c>
      <c r="BP167" s="418">
        <v>0</v>
      </c>
      <c r="BQ167" s="418">
        <v>0</v>
      </c>
      <c r="BR167" s="418">
        <v>0</v>
      </c>
      <c r="BS167" s="418">
        <v>0</v>
      </c>
      <c r="BT167" s="418">
        <v>0</v>
      </c>
      <c r="BU167" s="418">
        <v>0</v>
      </c>
      <c r="BV167" s="418">
        <v>0</v>
      </c>
      <c r="BW167" s="418">
        <v>0</v>
      </c>
      <c r="BX167" s="418">
        <v>0</v>
      </c>
      <c r="BY167" s="418">
        <v>0</v>
      </c>
      <c r="BZ167" s="418">
        <v>0</v>
      </c>
      <c r="CA167" s="418">
        <v>0</v>
      </c>
      <c r="CB167" s="418">
        <v>0</v>
      </c>
    </row>
    <row r="168" spans="1:80" s="418" customFormat="1" ht="27.6" x14ac:dyDescent="0.3">
      <c r="A168" s="1052">
        <v>518</v>
      </c>
      <c r="B168" s="1049"/>
      <c r="C168" s="1060" t="s">
        <v>2049</v>
      </c>
      <c r="D168" s="1061" t="s">
        <v>280</v>
      </c>
      <c r="E168" s="1062" t="s">
        <v>485</v>
      </c>
      <c r="F168" s="1063">
        <v>0</v>
      </c>
      <c r="G168" s="1063">
        <v>0</v>
      </c>
      <c r="H168" s="1063">
        <v>0</v>
      </c>
      <c r="I168" s="1063">
        <v>0</v>
      </c>
      <c r="J168" s="1063">
        <v>0</v>
      </c>
      <c r="K168" s="1063">
        <v>0</v>
      </c>
      <c r="L168" s="1063">
        <v>0</v>
      </c>
      <c r="M168" s="1063">
        <v>0</v>
      </c>
      <c r="N168" s="1063">
        <v>0</v>
      </c>
      <c r="O168" s="1063">
        <v>0</v>
      </c>
      <c r="P168" s="1063">
        <v>0</v>
      </c>
      <c r="Q168" s="1063">
        <v>0</v>
      </c>
      <c r="R168" s="1063">
        <v>0</v>
      </c>
      <c r="S168" s="1063">
        <v>0</v>
      </c>
      <c r="T168" s="1063">
        <v>0</v>
      </c>
      <c r="U168" s="1063">
        <v>0</v>
      </c>
      <c r="V168" s="1063"/>
      <c r="W168" s="1049"/>
      <c r="X168" s="1049"/>
      <c r="Y168" s="1049"/>
      <c r="Z168" s="1049"/>
      <c r="AA168" s="1066"/>
      <c r="AT168" s="418">
        <v>82313</v>
      </c>
      <c r="AU168" s="418">
        <v>862044</v>
      </c>
      <c r="AV168" s="418">
        <v>11138956</v>
      </c>
      <c r="AW168" s="418">
        <v>20574</v>
      </c>
      <c r="AX168" s="418">
        <v>819424</v>
      </c>
      <c r="AY168" s="418">
        <v>259012</v>
      </c>
      <c r="AZ168" s="418">
        <v>506942</v>
      </c>
      <c r="BA168" s="418">
        <v>0</v>
      </c>
      <c r="BB168" s="418">
        <v>0</v>
      </c>
      <c r="BC168" s="418">
        <v>561112</v>
      </c>
      <c r="BD168" s="418">
        <v>0</v>
      </c>
      <c r="BE168" s="418">
        <v>0</v>
      </c>
      <c r="BF168" s="418">
        <v>16054287</v>
      </c>
      <c r="BG168" s="418">
        <v>0</v>
      </c>
      <c r="BH168" s="418">
        <v>0</v>
      </c>
      <c r="BI168" s="418">
        <v>1048774</v>
      </c>
      <c r="BJ168" s="418">
        <v>460765</v>
      </c>
      <c r="BK168" s="418">
        <v>0</v>
      </c>
      <c r="BL168" s="418">
        <v>1972861</v>
      </c>
      <c r="BM168" s="418">
        <v>568233</v>
      </c>
      <c r="BN168" s="418">
        <v>0</v>
      </c>
      <c r="BO168" s="418">
        <v>4516818</v>
      </c>
      <c r="BP168" s="418">
        <v>491489</v>
      </c>
      <c r="BQ168" s="418">
        <v>183278</v>
      </c>
      <c r="BR168" s="418">
        <v>720898</v>
      </c>
      <c r="BS168" s="418">
        <v>0</v>
      </c>
      <c r="BT168" s="418">
        <v>0</v>
      </c>
      <c r="BU168" s="418">
        <v>1918580</v>
      </c>
      <c r="BV168" s="418">
        <v>1128535</v>
      </c>
      <c r="BW168" s="418">
        <v>414954</v>
      </c>
      <c r="BX168" s="418">
        <v>0</v>
      </c>
      <c r="BY168" s="418">
        <v>0</v>
      </c>
      <c r="BZ168" s="418">
        <v>0</v>
      </c>
      <c r="CA168" s="418">
        <v>2376306</v>
      </c>
      <c r="CB168" s="418">
        <v>0</v>
      </c>
    </row>
    <row r="169" spans="1:80" s="418" customFormat="1" ht="15.6" x14ac:dyDescent="0.3">
      <c r="A169" s="1052">
        <v>519</v>
      </c>
      <c r="B169" s="1049"/>
      <c r="C169" s="1060" t="s">
        <v>2050</v>
      </c>
      <c r="D169" s="1061" t="s">
        <v>281</v>
      </c>
      <c r="E169" s="1062" t="s">
        <v>486</v>
      </c>
      <c r="F169" s="1063">
        <v>0</v>
      </c>
      <c r="G169" s="1063">
        <v>0</v>
      </c>
      <c r="H169" s="1063">
        <v>0</v>
      </c>
      <c r="I169" s="1063">
        <v>0</v>
      </c>
      <c r="J169" s="1063">
        <v>0</v>
      </c>
      <c r="K169" s="1063">
        <v>0</v>
      </c>
      <c r="L169" s="1063">
        <v>0</v>
      </c>
      <c r="M169" s="1063">
        <v>0</v>
      </c>
      <c r="N169" s="1063">
        <v>0</v>
      </c>
      <c r="O169" s="1063">
        <v>0</v>
      </c>
      <c r="P169" s="1063">
        <v>0</v>
      </c>
      <c r="Q169" s="1063">
        <v>0</v>
      </c>
      <c r="R169" s="1063">
        <v>0</v>
      </c>
      <c r="S169" s="1063">
        <v>0</v>
      </c>
      <c r="T169" s="1063">
        <v>0</v>
      </c>
      <c r="U169" s="1063">
        <v>0</v>
      </c>
      <c r="V169" s="1063"/>
      <c r="W169" s="1049"/>
      <c r="X169" s="1049"/>
      <c r="Y169" s="1049"/>
      <c r="Z169" s="1049"/>
      <c r="AA169" s="1066"/>
      <c r="AT169" s="418">
        <v>667</v>
      </c>
      <c r="AU169" s="418">
        <v>8453</v>
      </c>
      <c r="AV169" s="418">
        <v>337788</v>
      </c>
      <c r="AW169" s="418">
        <v>2874</v>
      </c>
      <c r="AX169" s="418">
        <v>1628</v>
      </c>
      <c r="AY169" s="418">
        <v>0</v>
      </c>
      <c r="AZ169" s="418">
        <v>0</v>
      </c>
      <c r="BA169" s="418">
        <v>20859</v>
      </c>
      <c r="BB169" s="418">
        <v>0</v>
      </c>
      <c r="BC169" s="418">
        <v>0</v>
      </c>
      <c r="BD169" s="418">
        <v>0</v>
      </c>
      <c r="BE169" s="418">
        <v>0</v>
      </c>
      <c r="BF169" s="418">
        <v>263474</v>
      </c>
      <c r="BG169" s="418">
        <v>0</v>
      </c>
      <c r="BH169" s="418">
        <v>0</v>
      </c>
      <c r="BI169" s="418">
        <v>0</v>
      </c>
      <c r="BJ169" s="418">
        <v>0</v>
      </c>
      <c r="BK169" s="418">
        <v>0</v>
      </c>
      <c r="BL169" s="418">
        <v>2255</v>
      </c>
      <c r="BM169" s="418">
        <v>0</v>
      </c>
      <c r="BN169" s="418">
        <v>0</v>
      </c>
      <c r="BO169" s="418">
        <v>133423</v>
      </c>
      <c r="BP169" s="418">
        <v>16590</v>
      </c>
      <c r="BQ169" s="418">
        <v>0</v>
      </c>
      <c r="BR169" s="418">
        <v>9546</v>
      </c>
      <c r="BS169" s="418">
        <v>0</v>
      </c>
      <c r="BT169" s="418">
        <v>0</v>
      </c>
      <c r="BU169" s="418">
        <v>111269</v>
      </c>
      <c r="BV169" s="418">
        <v>0</v>
      </c>
      <c r="BW169" s="418">
        <v>0</v>
      </c>
      <c r="BX169" s="418">
        <v>0</v>
      </c>
      <c r="BY169" s="418">
        <v>0</v>
      </c>
      <c r="BZ169" s="418">
        <v>0</v>
      </c>
      <c r="CA169" s="418">
        <v>197886</v>
      </c>
      <c r="CB169" s="418">
        <v>0</v>
      </c>
    </row>
    <row r="170" spans="1:80" s="418" customFormat="1" ht="27.6" x14ac:dyDescent="0.3">
      <c r="A170" s="1052">
        <v>520</v>
      </c>
      <c r="B170" s="1049"/>
      <c r="C170" s="1060" t="s">
        <v>2051</v>
      </c>
      <c r="D170" s="1061" t="s">
        <v>282</v>
      </c>
      <c r="E170" s="1062" t="s">
        <v>487</v>
      </c>
      <c r="F170" s="1063">
        <v>0</v>
      </c>
      <c r="G170" s="1063">
        <v>0</v>
      </c>
      <c r="H170" s="1063">
        <v>0</v>
      </c>
      <c r="I170" s="1063">
        <v>0</v>
      </c>
      <c r="J170" s="1063">
        <v>0</v>
      </c>
      <c r="K170" s="1063">
        <v>0</v>
      </c>
      <c r="L170" s="1063">
        <v>0</v>
      </c>
      <c r="M170" s="1063">
        <v>0</v>
      </c>
      <c r="N170" s="1063">
        <v>0</v>
      </c>
      <c r="O170" s="1063">
        <v>0</v>
      </c>
      <c r="P170" s="1063">
        <v>0</v>
      </c>
      <c r="Q170" s="1063">
        <v>0</v>
      </c>
      <c r="R170" s="1063">
        <v>0</v>
      </c>
      <c r="S170" s="1063">
        <v>0</v>
      </c>
      <c r="T170" s="1063">
        <v>0</v>
      </c>
      <c r="U170" s="1063">
        <v>0</v>
      </c>
      <c r="V170" s="1063"/>
      <c r="W170" s="1049"/>
      <c r="X170" s="1049"/>
      <c r="Y170" s="1049"/>
      <c r="Z170" s="1049"/>
      <c r="AA170" s="1066"/>
      <c r="AT170" s="418">
        <v>119166</v>
      </c>
      <c r="AU170" s="418">
        <v>194360</v>
      </c>
      <c r="AV170" s="418">
        <v>1091134</v>
      </c>
      <c r="AW170" s="418">
        <v>58094</v>
      </c>
      <c r="AX170" s="418">
        <v>134212</v>
      </c>
      <c r="AY170" s="418">
        <v>273158</v>
      </c>
      <c r="AZ170" s="418">
        <v>374846</v>
      </c>
      <c r="BA170" s="418">
        <v>563464</v>
      </c>
      <c r="BB170" s="418">
        <v>0</v>
      </c>
      <c r="BC170" s="418">
        <v>41169</v>
      </c>
      <c r="BD170" s="418">
        <v>0</v>
      </c>
      <c r="BE170" s="418">
        <v>0</v>
      </c>
      <c r="BF170" s="418">
        <v>1171956</v>
      </c>
      <c r="BG170" s="418">
        <v>0</v>
      </c>
      <c r="BH170" s="418">
        <v>0</v>
      </c>
      <c r="BI170" s="418">
        <v>228834</v>
      </c>
      <c r="BJ170" s="418">
        <v>168715</v>
      </c>
      <c r="BK170" s="418">
        <v>0</v>
      </c>
      <c r="BL170" s="418">
        <v>316154</v>
      </c>
      <c r="BM170" s="418">
        <v>286842</v>
      </c>
      <c r="BN170" s="418">
        <v>0</v>
      </c>
      <c r="BO170" s="418">
        <v>565284</v>
      </c>
      <c r="BP170" s="418">
        <v>243838</v>
      </c>
      <c r="BQ170" s="418">
        <v>305096</v>
      </c>
      <c r="BR170" s="418">
        <v>104558</v>
      </c>
      <c r="BS170" s="418">
        <v>0</v>
      </c>
      <c r="BT170" s="418">
        <v>0</v>
      </c>
      <c r="BU170" s="418">
        <v>60509</v>
      </c>
      <c r="BV170" s="418">
        <v>109500</v>
      </c>
      <c r="BW170" s="418">
        <v>133785</v>
      </c>
      <c r="BX170" s="418">
        <v>42547</v>
      </c>
      <c r="BY170" s="418">
        <v>0</v>
      </c>
      <c r="BZ170" s="418">
        <v>0</v>
      </c>
      <c r="CA170" s="418">
        <v>1237946</v>
      </c>
      <c r="CB170" s="418">
        <v>0</v>
      </c>
    </row>
    <row r="171" spans="1:80" s="418" customFormat="1" ht="15.6" x14ac:dyDescent="0.3">
      <c r="A171" s="1052">
        <v>521</v>
      </c>
      <c r="B171" s="1049"/>
      <c r="C171" s="1060" t="s">
        <v>2052</v>
      </c>
      <c r="D171" s="1061" t="s">
        <v>283</v>
      </c>
      <c r="E171" s="1062" t="s">
        <v>488</v>
      </c>
      <c r="F171" s="1063">
        <v>0</v>
      </c>
      <c r="G171" s="1063">
        <v>0</v>
      </c>
      <c r="H171" s="1063">
        <v>0</v>
      </c>
      <c r="I171" s="1063">
        <v>0</v>
      </c>
      <c r="J171" s="1063">
        <v>0</v>
      </c>
      <c r="K171" s="1063">
        <v>0</v>
      </c>
      <c r="L171" s="1063">
        <v>0</v>
      </c>
      <c r="M171" s="1063">
        <v>0</v>
      </c>
      <c r="N171" s="1063">
        <v>0</v>
      </c>
      <c r="O171" s="1063">
        <v>0</v>
      </c>
      <c r="P171" s="1063">
        <v>0</v>
      </c>
      <c r="Q171" s="1063">
        <v>0</v>
      </c>
      <c r="R171" s="1063">
        <v>0</v>
      </c>
      <c r="S171" s="1063">
        <v>0</v>
      </c>
      <c r="T171" s="1063">
        <v>0</v>
      </c>
      <c r="U171" s="1063">
        <v>0</v>
      </c>
      <c r="V171" s="1063"/>
      <c r="W171" s="1049"/>
      <c r="X171" s="1049"/>
      <c r="Y171" s="1049"/>
      <c r="Z171" s="1049"/>
      <c r="AA171" s="1066"/>
      <c r="AT171" s="418">
        <v>0</v>
      </c>
      <c r="AU171" s="418">
        <v>0</v>
      </c>
      <c r="AV171" s="418">
        <v>0</v>
      </c>
      <c r="AW171" s="418">
        <v>0</v>
      </c>
      <c r="AX171" s="418">
        <v>0</v>
      </c>
      <c r="AY171" s="418">
        <v>0</v>
      </c>
      <c r="AZ171" s="418">
        <v>0</v>
      </c>
      <c r="BA171" s="418">
        <v>0</v>
      </c>
      <c r="BB171" s="418">
        <v>0</v>
      </c>
      <c r="BC171" s="418">
        <v>93755</v>
      </c>
      <c r="BD171" s="418">
        <v>0</v>
      </c>
      <c r="BE171" s="418">
        <v>0</v>
      </c>
      <c r="BF171" s="418">
        <v>0</v>
      </c>
      <c r="BG171" s="418">
        <v>0</v>
      </c>
      <c r="BH171" s="418">
        <v>0</v>
      </c>
      <c r="BI171" s="418">
        <v>0</v>
      </c>
      <c r="BJ171" s="418">
        <v>0</v>
      </c>
      <c r="BK171" s="418">
        <v>0</v>
      </c>
      <c r="BL171" s="418">
        <v>0</v>
      </c>
      <c r="BM171" s="418">
        <v>0</v>
      </c>
      <c r="BN171" s="418">
        <v>0</v>
      </c>
      <c r="BO171" s="418">
        <v>0</v>
      </c>
      <c r="BP171" s="418">
        <v>0</v>
      </c>
      <c r="BQ171" s="418">
        <v>0</v>
      </c>
      <c r="BR171" s="418">
        <v>0</v>
      </c>
      <c r="BS171" s="418">
        <v>0</v>
      </c>
      <c r="BT171" s="418">
        <v>0</v>
      </c>
      <c r="BU171" s="418">
        <v>0</v>
      </c>
      <c r="BV171" s="418">
        <v>0</v>
      </c>
      <c r="BW171" s="418">
        <v>0</v>
      </c>
      <c r="BX171" s="418">
        <v>0</v>
      </c>
      <c r="BY171" s="418">
        <v>0</v>
      </c>
      <c r="BZ171" s="418">
        <v>0</v>
      </c>
      <c r="CA171" s="418">
        <v>0</v>
      </c>
      <c r="CB171" s="418">
        <v>0</v>
      </c>
    </row>
    <row r="172" spans="1:80" s="418" customFormat="1" ht="27.6" x14ac:dyDescent="0.3">
      <c r="A172" s="1052">
        <v>522</v>
      </c>
      <c r="B172" s="1049"/>
      <c r="C172" s="1060" t="s">
        <v>2053</v>
      </c>
      <c r="D172" s="1061" t="s">
        <v>284</v>
      </c>
      <c r="E172" s="1062" t="s">
        <v>489</v>
      </c>
      <c r="F172" s="1063">
        <v>0</v>
      </c>
      <c r="G172" s="1063">
        <v>0</v>
      </c>
      <c r="H172" s="1063">
        <v>0</v>
      </c>
      <c r="I172" s="1063">
        <v>0</v>
      </c>
      <c r="J172" s="1063">
        <v>0</v>
      </c>
      <c r="K172" s="1063">
        <v>0</v>
      </c>
      <c r="L172" s="1063">
        <v>0</v>
      </c>
      <c r="M172" s="1063">
        <v>0</v>
      </c>
      <c r="N172" s="1063">
        <v>0</v>
      </c>
      <c r="O172" s="1063">
        <v>0</v>
      </c>
      <c r="P172" s="1063">
        <v>0</v>
      </c>
      <c r="Q172" s="1063">
        <v>0</v>
      </c>
      <c r="R172" s="1063">
        <v>0</v>
      </c>
      <c r="S172" s="1063">
        <v>0</v>
      </c>
      <c r="T172" s="1063">
        <v>0</v>
      </c>
      <c r="U172" s="1063">
        <v>0</v>
      </c>
      <c r="V172" s="1063"/>
      <c r="W172" s="1049"/>
      <c r="X172" s="1049"/>
      <c r="Y172" s="1049"/>
      <c r="Z172" s="1049"/>
      <c r="AA172" s="1066"/>
      <c r="AT172" s="418">
        <v>478</v>
      </c>
      <c r="AU172" s="418">
        <v>57826</v>
      </c>
      <c r="AV172" s="418">
        <v>265244</v>
      </c>
      <c r="AW172" s="418">
        <v>0</v>
      </c>
      <c r="AX172" s="418">
        <v>39803</v>
      </c>
      <c r="AY172" s="418">
        <v>21272</v>
      </c>
      <c r="AZ172" s="418">
        <v>9786</v>
      </c>
      <c r="BA172" s="418">
        <v>0</v>
      </c>
      <c r="BB172" s="418">
        <v>0</v>
      </c>
      <c r="BC172" s="418">
        <v>7650</v>
      </c>
      <c r="BD172" s="418">
        <v>0</v>
      </c>
      <c r="BE172" s="418">
        <v>0</v>
      </c>
      <c r="BF172" s="418">
        <v>537278</v>
      </c>
      <c r="BG172" s="418">
        <v>0</v>
      </c>
      <c r="BH172" s="418">
        <v>0</v>
      </c>
      <c r="BI172" s="418">
        <v>8312</v>
      </c>
      <c r="BJ172" s="418">
        <v>21155</v>
      </c>
      <c r="BK172" s="418">
        <v>0</v>
      </c>
      <c r="BL172" s="418">
        <v>47398</v>
      </c>
      <c r="BM172" s="418">
        <v>37328</v>
      </c>
      <c r="BN172" s="418">
        <v>0</v>
      </c>
      <c r="BO172" s="418">
        <v>210784</v>
      </c>
      <c r="BP172" s="418">
        <v>16211</v>
      </c>
      <c r="BQ172" s="418">
        <v>14539</v>
      </c>
      <c r="BR172" s="418">
        <v>62608</v>
      </c>
      <c r="BS172" s="418">
        <v>0</v>
      </c>
      <c r="BT172" s="418">
        <v>0</v>
      </c>
      <c r="BU172" s="418">
        <v>81296</v>
      </c>
      <c r="BV172" s="418">
        <v>56598</v>
      </c>
      <c r="BW172" s="418">
        <v>15381</v>
      </c>
      <c r="BX172" s="418">
        <v>0</v>
      </c>
      <c r="BY172" s="418">
        <v>0</v>
      </c>
      <c r="BZ172" s="418">
        <v>0</v>
      </c>
      <c r="CA172" s="418">
        <v>128484</v>
      </c>
      <c r="CB172" s="418">
        <v>0</v>
      </c>
    </row>
    <row r="173" spans="1:80" s="418" customFormat="1" ht="15.6" x14ac:dyDescent="0.3">
      <c r="A173" s="1052">
        <v>523</v>
      </c>
      <c r="B173" s="1049"/>
      <c r="C173" s="1060" t="s">
        <v>2054</v>
      </c>
      <c r="D173" s="1061" t="s">
        <v>285</v>
      </c>
      <c r="E173" s="1062" t="s">
        <v>490</v>
      </c>
      <c r="F173" s="1063">
        <v>0</v>
      </c>
      <c r="G173" s="1063">
        <v>0</v>
      </c>
      <c r="H173" s="1063">
        <v>0</v>
      </c>
      <c r="I173" s="1063">
        <v>0</v>
      </c>
      <c r="J173" s="1063">
        <v>0</v>
      </c>
      <c r="K173" s="1063">
        <v>0</v>
      </c>
      <c r="L173" s="1063">
        <v>0</v>
      </c>
      <c r="M173" s="1063">
        <v>0</v>
      </c>
      <c r="N173" s="1063">
        <v>0</v>
      </c>
      <c r="O173" s="1063">
        <v>0</v>
      </c>
      <c r="P173" s="1063">
        <v>0</v>
      </c>
      <c r="Q173" s="1063">
        <v>0</v>
      </c>
      <c r="R173" s="1063">
        <v>0</v>
      </c>
      <c r="S173" s="1063">
        <v>0</v>
      </c>
      <c r="T173" s="1063">
        <v>0</v>
      </c>
      <c r="U173" s="1063">
        <v>0</v>
      </c>
      <c r="V173" s="1063"/>
      <c r="W173" s="1049"/>
      <c r="X173" s="1049"/>
      <c r="Y173" s="1049"/>
      <c r="Z173" s="1049"/>
      <c r="AA173" s="1066"/>
      <c r="AT173" s="418">
        <v>10586</v>
      </c>
      <c r="AU173" s="418">
        <v>167451</v>
      </c>
      <c r="AV173" s="418">
        <v>7257200</v>
      </c>
      <c r="AW173" s="418">
        <v>71917</v>
      </c>
      <c r="AX173" s="418">
        <v>12827</v>
      </c>
      <c r="AY173" s="418">
        <v>0</v>
      </c>
      <c r="AZ173" s="418">
        <v>0</v>
      </c>
      <c r="BA173" s="418">
        <v>187727</v>
      </c>
      <c r="BB173" s="418">
        <v>0</v>
      </c>
      <c r="BC173" s="418">
        <v>16683</v>
      </c>
      <c r="BD173" s="418">
        <v>0</v>
      </c>
      <c r="BE173" s="418">
        <v>0</v>
      </c>
      <c r="BF173" s="418">
        <v>8792857</v>
      </c>
      <c r="BG173" s="418">
        <v>0</v>
      </c>
      <c r="BH173" s="418">
        <v>0</v>
      </c>
      <c r="BI173" s="418">
        <v>0</v>
      </c>
      <c r="BJ173" s="418">
        <v>0</v>
      </c>
      <c r="BK173" s="418">
        <v>0</v>
      </c>
      <c r="BL173" s="418">
        <v>2550</v>
      </c>
      <c r="BM173" s="418">
        <v>0</v>
      </c>
      <c r="BN173" s="418">
        <v>0</v>
      </c>
      <c r="BO173" s="418">
        <v>5233733</v>
      </c>
      <c r="BP173" s="418">
        <v>192327</v>
      </c>
      <c r="BQ173" s="418">
        <v>0</v>
      </c>
      <c r="BR173" s="418">
        <v>237354</v>
      </c>
      <c r="BS173" s="418">
        <v>0</v>
      </c>
      <c r="BT173" s="418">
        <v>0</v>
      </c>
      <c r="BU173" s="418">
        <v>250288</v>
      </c>
      <c r="BV173" s="418">
        <v>0</v>
      </c>
      <c r="BW173" s="418">
        <v>0</v>
      </c>
      <c r="BX173" s="418">
        <v>0</v>
      </c>
      <c r="BY173" s="418">
        <v>0</v>
      </c>
      <c r="BZ173" s="418">
        <v>0</v>
      </c>
      <c r="CA173" s="418">
        <v>3647356</v>
      </c>
      <c r="CB173" s="418">
        <v>0</v>
      </c>
    </row>
    <row r="174" spans="1:80" s="418" customFormat="1" ht="27.6" x14ac:dyDescent="0.3">
      <c r="A174" s="1052">
        <v>524</v>
      </c>
      <c r="B174" s="1049"/>
      <c r="C174" s="1060" t="s">
        <v>2055</v>
      </c>
      <c r="D174" s="1061" t="s">
        <v>286</v>
      </c>
      <c r="E174" s="1062" t="s">
        <v>491</v>
      </c>
      <c r="F174" s="1063">
        <v>0</v>
      </c>
      <c r="G174" s="1063">
        <v>0</v>
      </c>
      <c r="H174" s="1063">
        <v>0</v>
      </c>
      <c r="I174" s="1063">
        <v>0</v>
      </c>
      <c r="J174" s="1063">
        <v>0</v>
      </c>
      <c r="K174" s="1063">
        <v>0</v>
      </c>
      <c r="L174" s="1063">
        <v>0</v>
      </c>
      <c r="M174" s="1063">
        <v>0</v>
      </c>
      <c r="N174" s="1063">
        <v>0</v>
      </c>
      <c r="O174" s="1063">
        <v>0</v>
      </c>
      <c r="P174" s="1063">
        <v>0</v>
      </c>
      <c r="Q174" s="1063">
        <v>0</v>
      </c>
      <c r="R174" s="1063">
        <v>0</v>
      </c>
      <c r="S174" s="1063">
        <v>0</v>
      </c>
      <c r="T174" s="1063">
        <v>0</v>
      </c>
      <c r="U174" s="1063">
        <v>0</v>
      </c>
      <c r="V174" s="1063"/>
      <c r="W174" s="1049"/>
      <c r="X174" s="1049"/>
      <c r="Y174" s="1049"/>
      <c r="Z174" s="1049"/>
      <c r="AA174" s="1066"/>
      <c r="AT174" s="418">
        <v>1598033</v>
      </c>
      <c r="AU174" s="418">
        <v>3185922</v>
      </c>
      <c r="AV174" s="418">
        <v>29866936</v>
      </c>
      <c r="AW174" s="418">
        <v>1176064</v>
      </c>
      <c r="AX174" s="418">
        <v>3264682</v>
      </c>
      <c r="AY174" s="418">
        <v>4713373</v>
      </c>
      <c r="AZ174" s="418">
        <v>10046797</v>
      </c>
      <c r="BA174" s="418">
        <v>14305362</v>
      </c>
      <c r="BB174" s="418">
        <v>20457</v>
      </c>
      <c r="BC174" s="418">
        <v>477405</v>
      </c>
      <c r="BD174" s="418">
        <v>0</v>
      </c>
      <c r="BE174" s="418">
        <v>0</v>
      </c>
      <c r="BF174" s="418">
        <v>29876512</v>
      </c>
      <c r="BG174" s="418">
        <v>0</v>
      </c>
      <c r="BH174" s="418">
        <v>0</v>
      </c>
      <c r="BI174" s="418">
        <v>7203144</v>
      </c>
      <c r="BJ174" s="418">
        <v>3107743</v>
      </c>
      <c r="BK174" s="418">
        <v>0</v>
      </c>
      <c r="BL174" s="418">
        <v>10000991</v>
      </c>
      <c r="BM174" s="418">
        <v>6170262</v>
      </c>
      <c r="BN174" s="418">
        <v>0</v>
      </c>
      <c r="BO174" s="418">
        <v>9803220</v>
      </c>
      <c r="BP174" s="418">
        <v>7247171</v>
      </c>
      <c r="BQ174" s="418">
        <v>7394576</v>
      </c>
      <c r="BR174" s="418">
        <v>2117287</v>
      </c>
      <c r="BS174" s="418">
        <v>0</v>
      </c>
      <c r="BT174" s="418">
        <v>0</v>
      </c>
      <c r="BU174" s="418">
        <v>1482933</v>
      </c>
      <c r="BV174" s="418">
        <v>23580566</v>
      </c>
      <c r="BW174" s="418">
        <v>2221094</v>
      </c>
      <c r="BX174" s="418">
        <v>467650</v>
      </c>
      <c r="BY174" s="418">
        <v>0</v>
      </c>
      <c r="BZ174" s="418">
        <v>0</v>
      </c>
      <c r="CA174" s="418">
        <v>16203596</v>
      </c>
      <c r="CB174" s="418">
        <v>0</v>
      </c>
    </row>
    <row r="175" spans="1:80" s="418" customFormat="1" ht="15.6" x14ac:dyDescent="0.3">
      <c r="A175" s="1052">
        <v>525</v>
      </c>
      <c r="B175" s="1049"/>
      <c r="C175" s="1060" t="s">
        <v>2056</v>
      </c>
      <c r="D175" s="1061" t="s">
        <v>287</v>
      </c>
      <c r="E175" s="1062" t="s">
        <v>492</v>
      </c>
      <c r="F175" s="1063">
        <v>0</v>
      </c>
      <c r="G175" s="1063">
        <v>0</v>
      </c>
      <c r="H175" s="1063">
        <v>0</v>
      </c>
      <c r="I175" s="1063">
        <v>0</v>
      </c>
      <c r="J175" s="1063">
        <v>0</v>
      </c>
      <c r="K175" s="1063">
        <v>0</v>
      </c>
      <c r="L175" s="1063">
        <v>0</v>
      </c>
      <c r="M175" s="1063">
        <v>0</v>
      </c>
      <c r="N175" s="1063">
        <v>0</v>
      </c>
      <c r="O175" s="1063">
        <v>0</v>
      </c>
      <c r="P175" s="1063">
        <v>0</v>
      </c>
      <c r="Q175" s="1063">
        <v>0</v>
      </c>
      <c r="R175" s="1063">
        <v>0</v>
      </c>
      <c r="S175" s="1063">
        <v>0</v>
      </c>
      <c r="T175" s="1063">
        <v>0</v>
      </c>
      <c r="U175" s="1063">
        <v>0</v>
      </c>
      <c r="V175" s="1063"/>
      <c r="W175" s="1049"/>
      <c r="X175" s="1049"/>
      <c r="Y175" s="1049"/>
      <c r="Z175" s="1049"/>
      <c r="AA175" s="1066"/>
      <c r="AT175" s="418">
        <v>0</v>
      </c>
      <c r="AU175" s="418">
        <v>0</v>
      </c>
      <c r="AV175" s="418">
        <v>0</v>
      </c>
      <c r="AW175" s="418">
        <v>0</v>
      </c>
      <c r="AX175" s="418">
        <v>0</v>
      </c>
      <c r="AY175" s="418">
        <v>0</v>
      </c>
      <c r="AZ175" s="418">
        <v>0</v>
      </c>
      <c r="BA175" s="418">
        <v>0</v>
      </c>
      <c r="BB175" s="418">
        <v>0</v>
      </c>
      <c r="BC175" s="418">
        <v>4012633</v>
      </c>
      <c r="BD175" s="418">
        <v>0</v>
      </c>
      <c r="BE175" s="418">
        <v>0</v>
      </c>
      <c r="BF175" s="418">
        <v>0</v>
      </c>
      <c r="BG175" s="418">
        <v>0</v>
      </c>
      <c r="BH175" s="418">
        <v>0</v>
      </c>
      <c r="BI175" s="418">
        <v>0</v>
      </c>
      <c r="BJ175" s="418">
        <v>0</v>
      </c>
      <c r="BK175" s="418">
        <v>0</v>
      </c>
      <c r="BL175" s="418">
        <v>0</v>
      </c>
      <c r="BM175" s="418">
        <v>0</v>
      </c>
      <c r="BN175" s="418">
        <v>0</v>
      </c>
      <c r="BO175" s="418">
        <v>0</v>
      </c>
      <c r="BP175" s="418">
        <v>0</v>
      </c>
      <c r="BQ175" s="418">
        <v>0</v>
      </c>
      <c r="BR175" s="418">
        <v>0</v>
      </c>
      <c r="BS175" s="418">
        <v>0</v>
      </c>
      <c r="BT175" s="418">
        <v>0</v>
      </c>
      <c r="BU175" s="418">
        <v>0</v>
      </c>
      <c r="BV175" s="418">
        <v>0</v>
      </c>
      <c r="BW175" s="418">
        <v>0</v>
      </c>
      <c r="BX175" s="418">
        <v>0</v>
      </c>
      <c r="BY175" s="418">
        <v>0</v>
      </c>
      <c r="BZ175" s="418">
        <v>0</v>
      </c>
      <c r="CA175" s="418">
        <v>0</v>
      </c>
      <c r="CB175" s="418">
        <v>0</v>
      </c>
    </row>
    <row r="176" spans="1:80" s="418" customFormat="1" ht="27.6" x14ac:dyDescent="0.3">
      <c r="A176" s="1052">
        <v>526</v>
      </c>
      <c r="B176" s="1049"/>
      <c r="C176" s="1060" t="s">
        <v>2057</v>
      </c>
      <c r="D176" s="1061" t="s">
        <v>288</v>
      </c>
      <c r="E176" s="1062" t="s">
        <v>493</v>
      </c>
      <c r="F176" s="1063">
        <v>0</v>
      </c>
      <c r="G176" s="1063">
        <v>0</v>
      </c>
      <c r="H176" s="1063">
        <v>0</v>
      </c>
      <c r="I176" s="1063">
        <v>0</v>
      </c>
      <c r="J176" s="1063">
        <v>0</v>
      </c>
      <c r="K176" s="1063">
        <v>0</v>
      </c>
      <c r="L176" s="1063">
        <v>0</v>
      </c>
      <c r="M176" s="1063">
        <v>0</v>
      </c>
      <c r="N176" s="1063">
        <v>0</v>
      </c>
      <c r="O176" s="1063">
        <v>0</v>
      </c>
      <c r="P176" s="1063">
        <v>0</v>
      </c>
      <c r="Q176" s="1063">
        <v>0</v>
      </c>
      <c r="R176" s="1063">
        <v>0</v>
      </c>
      <c r="S176" s="1063">
        <v>0</v>
      </c>
      <c r="T176" s="1063">
        <v>0</v>
      </c>
      <c r="U176" s="1063">
        <v>0</v>
      </c>
      <c r="V176" s="1063"/>
      <c r="W176" s="1049"/>
      <c r="X176" s="1049"/>
      <c r="Y176" s="1049"/>
      <c r="Z176" s="1049"/>
      <c r="AA176" s="1066"/>
      <c r="AT176" s="418">
        <v>80666</v>
      </c>
      <c r="AU176" s="418">
        <v>633905</v>
      </c>
      <c r="AV176" s="418">
        <v>7858548</v>
      </c>
      <c r="AW176" s="418">
        <v>20572</v>
      </c>
      <c r="AX176" s="418">
        <v>224512</v>
      </c>
      <c r="AY176" s="418">
        <v>98896</v>
      </c>
      <c r="AZ176" s="418">
        <v>468606</v>
      </c>
      <c r="BA176" s="418">
        <v>0</v>
      </c>
      <c r="BB176" s="418">
        <v>0</v>
      </c>
      <c r="BC176" s="418">
        <v>501344</v>
      </c>
      <c r="BD176" s="418">
        <v>0</v>
      </c>
      <c r="BE176" s="418">
        <v>0</v>
      </c>
      <c r="BF176" s="418">
        <v>14346498</v>
      </c>
      <c r="BG176" s="418">
        <v>0</v>
      </c>
      <c r="BH176" s="418">
        <v>0</v>
      </c>
      <c r="BI176" s="418">
        <v>1013057</v>
      </c>
      <c r="BJ176" s="418">
        <v>209403</v>
      </c>
      <c r="BK176" s="418">
        <v>0</v>
      </c>
      <c r="BL176" s="418">
        <v>1663736</v>
      </c>
      <c r="BM176" s="418">
        <v>397690</v>
      </c>
      <c r="BN176" s="418">
        <v>0</v>
      </c>
      <c r="BO176" s="418">
        <v>3246377</v>
      </c>
      <c r="BP176" s="418">
        <v>402165</v>
      </c>
      <c r="BQ176" s="418">
        <v>101742</v>
      </c>
      <c r="BR176" s="418">
        <v>610640</v>
      </c>
      <c r="BS176" s="418">
        <v>0</v>
      </c>
      <c r="BT176" s="418">
        <v>0</v>
      </c>
      <c r="BU176" s="418">
        <v>2191496</v>
      </c>
      <c r="BV176" s="418">
        <v>1128575</v>
      </c>
      <c r="BW176" s="418">
        <v>318173</v>
      </c>
      <c r="BX176" s="418">
        <v>0</v>
      </c>
      <c r="BY176" s="418">
        <v>0</v>
      </c>
      <c r="BZ176" s="418">
        <v>0</v>
      </c>
      <c r="CA176" s="418">
        <v>1283656</v>
      </c>
      <c r="CB176" s="418">
        <v>0</v>
      </c>
    </row>
    <row r="177" spans="1:80" s="418" customFormat="1" ht="27.6" x14ac:dyDescent="0.3">
      <c r="A177" s="1052">
        <v>527</v>
      </c>
      <c r="B177" s="1049"/>
      <c r="C177" s="1060" t="s">
        <v>2058</v>
      </c>
      <c r="D177" s="1061" t="s">
        <v>289</v>
      </c>
      <c r="E177" s="1062" t="s">
        <v>494</v>
      </c>
      <c r="F177" s="1063">
        <v>0</v>
      </c>
      <c r="G177" s="1063">
        <v>0</v>
      </c>
      <c r="H177" s="1063">
        <v>0</v>
      </c>
      <c r="I177" s="1063">
        <v>0</v>
      </c>
      <c r="J177" s="1063">
        <v>0</v>
      </c>
      <c r="K177" s="1063">
        <v>0</v>
      </c>
      <c r="L177" s="1063">
        <v>0</v>
      </c>
      <c r="M177" s="1063">
        <v>0</v>
      </c>
      <c r="N177" s="1063">
        <v>0</v>
      </c>
      <c r="O177" s="1063">
        <v>0</v>
      </c>
      <c r="P177" s="1063">
        <v>0</v>
      </c>
      <c r="Q177" s="1063">
        <v>0</v>
      </c>
      <c r="R177" s="1063">
        <v>0</v>
      </c>
      <c r="S177" s="1063">
        <v>0</v>
      </c>
      <c r="T177" s="1063">
        <v>0</v>
      </c>
      <c r="U177" s="1063">
        <v>0</v>
      </c>
      <c r="V177" s="1063"/>
      <c r="W177" s="1049"/>
      <c r="X177" s="1049"/>
      <c r="Y177" s="1049"/>
      <c r="Z177" s="1049"/>
      <c r="AA177" s="1066"/>
      <c r="AT177" s="418">
        <v>0</v>
      </c>
      <c r="AU177" s="418">
        <v>0</v>
      </c>
      <c r="AV177" s="418">
        <v>1730605</v>
      </c>
      <c r="AW177" s="418">
        <v>0</v>
      </c>
      <c r="AX177" s="418">
        <v>0</v>
      </c>
      <c r="AY177" s="418">
        <v>0</v>
      </c>
      <c r="AZ177" s="418">
        <v>0</v>
      </c>
      <c r="BA177" s="418">
        <v>854042</v>
      </c>
      <c r="BB177" s="418">
        <v>0</v>
      </c>
      <c r="BC177" s="418">
        <v>0</v>
      </c>
      <c r="BD177" s="418">
        <v>0</v>
      </c>
      <c r="BE177" s="418">
        <v>0</v>
      </c>
      <c r="BF177" s="418">
        <v>830073</v>
      </c>
      <c r="BG177" s="418">
        <v>0</v>
      </c>
      <c r="BH177" s="418">
        <v>0</v>
      </c>
      <c r="BI177" s="418">
        <v>0</v>
      </c>
      <c r="BJ177" s="418">
        <v>0</v>
      </c>
      <c r="BK177" s="418">
        <v>0</v>
      </c>
      <c r="BL177" s="418">
        <v>19800</v>
      </c>
      <c r="BM177" s="418">
        <v>0</v>
      </c>
      <c r="BN177" s="418">
        <v>0</v>
      </c>
      <c r="BO177" s="418">
        <v>0</v>
      </c>
      <c r="BP177" s="418">
        <v>0</v>
      </c>
      <c r="BQ177" s="418">
        <v>0</v>
      </c>
      <c r="BR177" s="418">
        <v>0</v>
      </c>
      <c r="BS177" s="418">
        <v>0</v>
      </c>
      <c r="BT177" s="418">
        <v>0</v>
      </c>
      <c r="BU177" s="418">
        <v>0</v>
      </c>
      <c r="BV177" s="418">
        <v>0</v>
      </c>
      <c r="BW177" s="418">
        <v>0</v>
      </c>
      <c r="BX177" s="418">
        <v>0</v>
      </c>
      <c r="BY177" s="418">
        <v>0</v>
      </c>
      <c r="BZ177" s="418">
        <v>0</v>
      </c>
      <c r="CA177" s="418">
        <v>0</v>
      </c>
      <c r="CB177" s="418">
        <v>0</v>
      </c>
    </row>
    <row r="178" spans="1:80" s="418" customFormat="1" ht="27.6" x14ac:dyDescent="0.3">
      <c r="A178" s="1052">
        <v>528</v>
      </c>
      <c r="B178" s="1049"/>
      <c r="C178" s="1060" t="s">
        <v>2059</v>
      </c>
      <c r="D178" s="1074" t="s">
        <v>271</v>
      </c>
      <c r="E178" s="1062" t="s">
        <v>495</v>
      </c>
      <c r="F178" s="1063">
        <v>0</v>
      </c>
      <c r="G178" s="1063">
        <v>0</v>
      </c>
      <c r="H178" s="1063">
        <v>0</v>
      </c>
      <c r="I178" s="1063">
        <v>0</v>
      </c>
      <c r="J178" s="1063">
        <v>0</v>
      </c>
      <c r="K178" s="1063">
        <v>0</v>
      </c>
      <c r="L178" s="1063">
        <v>0</v>
      </c>
      <c r="M178" s="1063">
        <v>0</v>
      </c>
      <c r="N178" s="1063">
        <v>0</v>
      </c>
      <c r="O178" s="1063">
        <v>0</v>
      </c>
      <c r="P178" s="1063">
        <v>0</v>
      </c>
      <c r="Q178" s="1063">
        <v>0</v>
      </c>
      <c r="R178" s="1063">
        <v>0</v>
      </c>
      <c r="S178" s="1063">
        <v>0</v>
      </c>
      <c r="T178" s="1063">
        <v>0</v>
      </c>
      <c r="U178" s="1063">
        <v>0</v>
      </c>
      <c r="V178" s="1063"/>
      <c r="W178" s="1049"/>
      <c r="X178" s="1049"/>
      <c r="Y178" s="1049"/>
      <c r="Z178" s="1049"/>
      <c r="AA178" s="1066"/>
      <c r="AT178" s="418">
        <v>75260</v>
      </c>
      <c r="AU178" s="418">
        <v>1684333</v>
      </c>
      <c r="AV178" s="418">
        <v>5019459</v>
      </c>
      <c r="AW178" s="418">
        <v>26101</v>
      </c>
      <c r="AX178" s="418">
        <v>205920</v>
      </c>
      <c r="AY178" s="418">
        <v>1514381</v>
      </c>
      <c r="AZ178" s="418">
        <v>1580941</v>
      </c>
      <c r="BA178" s="418">
        <v>1223742</v>
      </c>
      <c r="BB178" s="418">
        <v>25052</v>
      </c>
      <c r="BC178" s="418">
        <v>1322320</v>
      </c>
      <c r="BD178" s="418">
        <v>0</v>
      </c>
      <c r="BE178" s="418">
        <v>30348</v>
      </c>
      <c r="BF178" s="418">
        <v>9530207</v>
      </c>
      <c r="BG178" s="418">
        <v>0</v>
      </c>
      <c r="BH178" s="418">
        <v>13390</v>
      </c>
      <c r="BI178" s="418">
        <v>1637937</v>
      </c>
      <c r="BJ178" s="418">
        <v>1678928</v>
      </c>
      <c r="BK178" s="418">
        <v>0</v>
      </c>
      <c r="BL178" s="418">
        <v>6390125</v>
      </c>
      <c r="BM178" s="418">
        <v>2109279</v>
      </c>
      <c r="BN178" s="418">
        <v>0</v>
      </c>
      <c r="BO178" s="418">
        <v>2624171</v>
      </c>
      <c r="BP178" s="418">
        <v>524932</v>
      </c>
      <c r="BQ178" s="418">
        <v>443148</v>
      </c>
      <c r="BR178" s="418">
        <v>923138</v>
      </c>
      <c r="BS178" s="418">
        <v>562689</v>
      </c>
      <c r="BT178" s="418">
        <v>13106529</v>
      </c>
      <c r="BU178" s="418">
        <v>684893</v>
      </c>
      <c r="BV178" s="418">
        <v>1440331</v>
      </c>
      <c r="BW178" s="418">
        <v>225204</v>
      </c>
      <c r="BX178" s="418">
        <v>463274</v>
      </c>
      <c r="BY178" s="418">
        <v>1812</v>
      </c>
      <c r="BZ178" s="418">
        <v>8252</v>
      </c>
      <c r="CA178" s="418">
        <v>10133364</v>
      </c>
      <c r="CB178" s="418">
        <v>26674</v>
      </c>
    </row>
    <row r="179" spans="1:80" s="418" customFormat="1" ht="27.6" x14ac:dyDescent="0.3">
      <c r="A179" s="1052">
        <v>529</v>
      </c>
      <c r="B179" s="1049"/>
      <c r="C179" s="1060" t="s">
        <v>2060</v>
      </c>
      <c r="D179" s="1074" t="s">
        <v>272</v>
      </c>
      <c r="E179" s="1062" t="s">
        <v>496</v>
      </c>
      <c r="F179" s="1063">
        <v>0</v>
      </c>
      <c r="G179" s="1063">
        <v>0</v>
      </c>
      <c r="H179" s="1063">
        <v>0</v>
      </c>
      <c r="I179" s="1063">
        <v>0</v>
      </c>
      <c r="J179" s="1063">
        <v>0</v>
      </c>
      <c r="K179" s="1063">
        <v>0</v>
      </c>
      <c r="L179" s="1063">
        <v>0</v>
      </c>
      <c r="M179" s="1063">
        <v>0</v>
      </c>
      <c r="N179" s="1063">
        <v>0</v>
      </c>
      <c r="O179" s="1063">
        <v>0</v>
      </c>
      <c r="P179" s="1063">
        <v>0</v>
      </c>
      <c r="Q179" s="1063">
        <v>0</v>
      </c>
      <c r="R179" s="1063">
        <v>0</v>
      </c>
      <c r="S179" s="1063">
        <v>0</v>
      </c>
      <c r="T179" s="1063">
        <v>0</v>
      </c>
      <c r="U179" s="1063">
        <v>0</v>
      </c>
      <c r="V179" s="1063"/>
      <c r="W179" s="1049"/>
      <c r="X179" s="1049"/>
      <c r="Y179" s="1049"/>
      <c r="Z179" s="1049"/>
      <c r="AA179" s="1066"/>
      <c r="AT179" s="418">
        <v>13814</v>
      </c>
      <c r="AU179" s="418">
        <v>253793</v>
      </c>
      <c r="AV179" s="418">
        <v>464197</v>
      </c>
      <c r="AW179" s="418">
        <v>4017</v>
      </c>
      <c r="AX179" s="418">
        <v>34260</v>
      </c>
      <c r="AY179" s="418">
        <v>152954</v>
      </c>
      <c r="AZ179" s="418">
        <v>177328</v>
      </c>
      <c r="BA179" s="418">
        <v>86546</v>
      </c>
      <c r="BB179" s="418">
        <v>3779</v>
      </c>
      <c r="BC179" s="418">
        <v>128903</v>
      </c>
      <c r="BD179" s="418">
        <v>0</v>
      </c>
      <c r="BE179" s="418">
        <v>3194</v>
      </c>
      <c r="BF179" s="418">
        <v>892457</v>
      </c>
      <c r="BG179" s="418">
        <v>0</v>
      </c>
      <c r="BH179" s="418">
        <v>1925</v>
      </c>
      <c r="BI179" s="418">
        <v>118829</v>
      </c>
      <c r="BJ179" s="418">
        <v>97882</v>
      </c>
      <c r="BK179" s="418">
        <v>0</v>
      </c>
      <c r="BL179" s="418">
        <v>114048</v>
      </c>
      <c r="BM179" s="418">
        <v>85031</v>
      </c>
      <c r="BN179" s="418">
        <v>0</v>
      </c>
      <c r="BO179" s="418">
        <v>209162</v>
      </c>
      <c r="BP179" s="418">
        <v>52930</v>
      </c>
      <c r="BQ179" s="418">
        <v>25608</v>
      </c>
      <c r="BR179" s="418">
        <v>95350</v>
      </c>
      <c r="BS179" s="418">
        <v>51314</v>
      </c>
      <c r="BT179" s="418">
        <v>1460724</v>
      </c>
      <c r="BU179" s="418">
        <v>107808</v>
      </c>
      <c r="BV179" s="418">
        <v>94810</v>
      </c>
      <c r="BW179" s="418">
        <v>36879</v>
      </c>
      <c r="BX179" s="418">
        <v>33616</v>
      </c>
      <c r="BY179" s="418">
        <v>185</v>
      </c>
      <c r="BZ179" s="418">
        <v>1490</v>
      </c>
      <c r="CA179" s="418">
        <v>721200</v>
      </c>
      <c r="CB179" s="418">
        <v>6200</v>
      </c>
    </row>
    <row r="180" spans="1:80" s="418" customFormat="1" ht="27.6" x14ac:dyDescent="0.3">
      <c r="A180" s="1052">
        <v>530</v>
      </c>
      <c r="B180" s="1049"/>
      <c r="C180" s="1060" t="s">
        <v>2061</v>
      </c>
      <c r="D180" s="1074" t="s">
        <v>273</v>
      </c>
      <c r="E180" s="1062" t="s">
        <v>497</v>
      </c>
      <c r="F180" s="1063">
        <v>0</v>
      </c>
      <c r="G180" s="1063">
        <v>0</v>
      </c>
      <c r="H180" s="1063">
        <v>0</v>
      </c>
      <c r="I180" s="1063">
        <v>0</v>
      </c>
      <c r="J180" s="1063">
        <v>0</v>
      </c>
      <c r="K180" s="1063">
        <v>0</v>
      </c>
      <c r="L180" s="1063">
        <v>0</v>
      </c>
      <c r="M180" s="1063">
        <v>0</v>
      </c>
      <c r="N180" s="1063">
        <v>0</v>
      </c>
      <c r="O180" s="1063">
        <v>0</v>
      </c>
      <c r="P180" s="1063">
        <v>0</v>
      </c>
      <c r="Q180" s="1063">
        <v>0</v>
      </c>
      <c r="R180" s="1063">
        <v>0</v>
      </c>
      <c r="S180" s="1063">
        <v>0</v>
      </c>
      <c r="T180" s="1063">
        <v>0</v>
      </c>
      <c r="U180" s="1063">
        <v>0</v>
      </c>
      <c r="V180" s="1063"/>
      <c r="W180" s="1049"/>
      <c r="X180" s="1049"/>
      <c r="Y180" s="1049"/>
      <c r="Z180" s="1049"/>
      <c r="AA180" s="1066"/>
      <c r="AT180" s="418">
        <v>3765</v>
      </c>
      <c r="AU180" s="418">
        <v>7484</v>
      </c>
      <c r="AV180" s="418">
        <v>88580</v>
      </c>
      <c r="AW180" s="418">
        <v>718</v>
      </c>
      <c r="AX180" s="418">
        <v>13563</v>
      </c>
      <c r="AY180" s="418">
        <v>23043</v>
      </c>
      <c r="AZ180" s="418">
        <v>54573</v>
      </c>
      <c r="BA180" s="418">
        <v>28896</v>
      </c>
      <c r="BB180" s="418">
        <v>2553</v>
      </c>
      <c r="BC180" s="418">
        <v>15494</v>
      </c>
      <c r="BD180" s="418">
        <v>0</v>
      </c>
      <c r="BE180" s="418">
        <v>1043</v>
      </c>
      <c r="BF180" s="418">
        <v>575623</v>
      </c>
      <c r="BG180" s="418">
        <v>0</v>
      </c>
      <c r="BH180" s="418">
        <v>1230</v>
      </c>
      <c r="BI180" s="418">
        <v>15570</v>
      </c>
      <c r="BJ180" s="418">
        <v>45384</v>
      </c>
      <c r="BK180" s="418">
        <v>0</v>
      </c>
      <c r="BL180" s="418">
        <v>15672</v>
      </c>
      <c r="BM180" s="418">
        <v>27591</v>
      </c>
      <c r="BN180" s="418">
        <v>0</v>
      </c>
      <c r="BO180" s="418">
        <v>30098</v>
      </c>
      <c r="BP180" s="418">
        <v>17132</v>
      </c>
      <c r="BQ180" s="418">
        <v>13808</v>
      </c>
      <c r="BR180" s="418">
        <v>13808</v>
      </c>
      <c r="BS180" s="418">
        <v>2464</v>
      </c>
      <c r="BT180" s="418">
        <v>125395</v>
      </c>
      <c r="BU180" s="418">
        <v>110786</v>
      </c>
      <c r="BV180" s="418">
        <v>11809</v>
      </c>
      <c r="BW180" s="418">
        <v>13347</v>
      </c>
      <c r="BX180" s="418">
        <v>2860</v>
      </c>
      <c r="BY180" s="418">
        <v>90</v>
      </c>
      <c r="BZ180" s="418">
        <v>211</v>
      </c>
      <c r="CA180" s="418">
        <v>33910</v>
      </c>
      <c r="CB180" s="418">
        <v>3002</v>
      </c>
    </row>
    <row r="181" spans="1:80" s="418" customFormat="1" ht="27.6" x14ac:dyDescent="0.3">
      <c r="A181" s="1052">
        <v>531</v>
      </c>
      <c r="B181" s="1049"/>
      <c r="C181" s="1060" t="s">
        <v>2062</v>
      </c>
      <c r="D181" s="1074" t="s">
        <v>274</v>
      </c>
      <c r="E181" s="1062" t="s">
        <v>498</v>
      </c>
      <c r="F181" s="1063">
        <v>0</v>
      </c>
      <c r="G181" s="1063">
        <v>0</v>
      </c>
      <c r="H181" s="1063">
        <v>0</v>
      </c>
      <c r="I181" s="1063">
        <v>0</v>
      </c>
      <c r="J181" s="1063">
        <v>0</v>
      </c>
      <c r="K181" s="1063">
        <v>0</v>
      </c>
      <c r="L181" s="1063">
        <v>0</v>
      </c>
      <c r="M181" s="1063">
        <v>0</v>
      </c>
      <c r="N181" s="1063">
        <v>0</v>
      </c>
      <c r="O181" s="1063">
        <v>0</v>
      </c>
      <c r="P181" s="1063">
        <v>0</v>
      </c>
      <c r="Q181" s="1063">
        <v>0</v>
      </c>
      <c r="R181" s="1063">
        <v>0</v>
      </c>
      <c r="S181" s="1063">
        <v>0</v>
      </c>
      <c r="T181" s="1063">
        <v>0</v>
      </c>
      <c r="U181" s="1063">
        <v>0</v>
      </c>
      <c r="V181" s="1063"/>
      <c r="W181" s="1049"/>
      <c r="X181" s="1049"/>
      <c r="Y181" s="1049"/>
      <c r="Z181" s="1049"/>
      <c r="AA181" s="1066"/>
      <c r="AT181" s="418">
        <v>0</v>
      </c>
      <c r="AU181" s="418">
        <v>0</v>
      </c>
      <c r="AV181" s="418">
        <v>0</v>
      </c>
      <c r="AW181" s="418">
        <v>5</v>
      </c>
      <c r="AX181" s="418">
        <v>0</v>
      </c>
      <c r="AY181" s="418">
        <v>0</v>
      </c>
      <c r="AZ181" s="418">
        <v>0</v>
      </c>
      <c r="BA181" s="418">
        <v>0</v>
      </c>
      <c r="BB181" s="418">
        <v>0</v>
      </c>
      <c r="BC181" s="418">
        <v>0</v>
      </c>
      <c r="BD181" s="418">
        <v>0</v>
      </c>
      <c r="BE181" s="418">
        <v>0</v>
      </c>
      <c r="BF181" s="418">
        <v>0</v>
      </c>
      <c r="BG181" s="418">
        <v>0</v>
      </c>
      <c r="BH181" s="418">
        <v>0</v>
      </c>
      <c r="BI181" s="418">
        <v>0</v>
      </c>
      <c r="BJ181" s="418">
        <v>1183</v>
      </c>
      <c r="BK181" s="418">
        <v>0</v>
      </c>
      <c r="BL181" s="418">
        <v>0</v>
      </c>
      <c r="BM181" s="418">
        <v>0</v>
      </c>
      <c r="BN181" s="418">
        <v>0</v>
      </c>
      <c r="BO181" s="418">
        <v>0</v>
      </c>
      <c r="BP181" s="418">
        <v>0</v>
      </c>
      <c r="BQ181" s="418">
        <v>0</v>
      </c>
      <c r="BR181" s="418">
        <v>0</v>
      </c>
      <c r="BS181" s="418">
        <v>0</v>
      </c>
      <c r="BT181" s="418">
        <v>0</v>
      </c>
      <c r="BU181" s="418">
        <v>894</v>
      </c>
      <c r="BV181" s="418">
        <v>0</v>
      </c>
      <c r="BW181" s="418">
        <v>0</v>
      </c>
      <c r="BX181" s="418">
        <v>0</v>
      </c>
      <c r="BY181" s="418">
        <v>0</v>
      </c>
      <c r="BZ181" s="418">
        <v>0</v>
      </c>
      <c r="CA181" s="418">
        <v>2810</v>
      </c>
      <c r="CB181" s="418">
        <v>0</v>
      </c>
    </row>
    <row r="182" spans="1:80" s="418" customFormat="1" ht="15.6" x14ac:dyDescent="0.3">
      <c r="A182" s="1052">
        <v>532</v>
      </c>
      <c r="B182" s="1049"/>
      <c r="C182" s="1060" t="s">
        <v>1810</v>
      </c>
      <c r="D182" s="1074" t="s">
        <v>208</v>
      </c>
      <c r="E182" s="1062" t="s">
        <v>499</v>
      </c>
      <c r="F182" s="1063">
        <v>0</v>
      </c>
      <c r="G182" s="1063">
        <v>0</v>
      </c>
      <c r="H182" s="1063">
        <v>0</v>
      </c>
      <c r="I182" s="1063">
        <v>0</v>
      </c>
      <c r="J182" s="1063">
        <v>0</v>
      </c>
      <c r="K182" s="1063">
        <v>0</v>
      </c>
      <c r="L182" s="1063">
        <v>0</v>
      </c>
      <c r="M182" s="1063">
        <v>0</v>
      </c>
      <c r="N182" s="1063">
        <v>0</v>
      </c>
      <c r="O182" s="1063">
        <v>0</v>
      </c>
      <c r="P182" s="1063">
        <v>0</v>
      </c>
      <c r="Q182" s="1063">
        <v>0</v>
      </c>
      <c r="R182" s="1063">
        <v>0</v>
      </c>
      <c r="S182" s="1063">
        <v>0</v>
      </c>
      <c r="T182" s="1063">
        <v>0</v>
      </c>
      <c r="U182" s="1063">
        <v>0</v>
      </c>
      <c r="V182" s="1063"/>
      <c r="W182" s="1049"/>
      <c r="X182" s="1049"/>
      <c r="Y182" s="1049"/>
      <c r="Z182" s="1049"/>
      <c r="AA182" s="1066"/>
      <c r="AT182" s="418">
        <v>1244841</v>
      </c>
      <c r="AU182" s="418">
        <v>4881660</v>
      </c>
      <c r="AV182" s="418">
        <v>11423000</v>
      </c>
      <c r="AW182" s="418">
        <v>115739</v>
      </c>
      <c r="AX182" s="418">
        <v>840880</v>
      </c>
      <c r="AY182" s="418">
        <v>2915717</v>
      </c>
      <c r="AZ182" s="418">
        <v>4225456</v>
      </c>
      <c r="BA182" s="418">
        <v>4407949</v>
      </c>
      <c r="BB182" s="418">
        <v>52028</v>
      </c>
      <c r="BC182" s="418">
        <v>2494601</v>
      </c>
      <c r="BD182" s="418">
        <v>0</v>
      </c>
      <c r="BE182" s="418">
        <v>67554</v>
      </c>
      <c r="BF182" s="418">
        <v>28872002</v>
      </c>
      <c r="BG182" s="418">
        <v>0</v>
      </c>
      <c r="BH182" s="418">
        <v>47685</v>
      </c>
      <c r="BI182" s="418">
        <v>3009729</v>
      </c>
      <c r="BJ182" s="418">
        <v>2485704</v>
      </c>
      <c r="BK182" s="418">
        <v>0</v>
      </c>
      <c r="BL182" s="418">
        <v>9454369</v>
      </c>
      <c r="BM182" s="418">
        <v>3969664</v>
      </c>
      <c r="BN182" s="418">
        <v>40551</v>
      </c>
      <c r="BO182" s="418">
        <v>6810370</v>
      </c>
      <c r="BP182" s="418">
        <v>1565361</v>
      </c>
      <c r="BQ182" s="418">
        <v>1043552</v>
      </c>
      <c r="BR182" s="418">
        <v>1983298</v>
      </c>
      <c r="BS182" s="418">
        <v>1093978</v>
      </c>
      <c r="BT182" s="418">
        <v>24836255</v>
      </c>
      <c r="BU182" s="418">
        <v>2013876</v>
      </c>
      <c r="BV182" s="418">
        <v>2720361</v>
      </c>
      <c r="BW182" s="418">
        <v>1305887</v>
      </c>
      <c r="BX182" s="418">
        <v>782442</v>
      </c>
      <c r="BY182" s="418">
        <v>31281</v>
      </c>
      <c r="BZ182" s="418">
        <v>40519</v>
      </c>
      <c r="CA182" s="418">
        <v>17009885</v>
      </c>
      <c r="CB182" s="418">
        <v>157054</v>
      </c>
    </row>
    <row r="183" spans="1:80" s="418" customFormat="1" ht="15.6" x14ac:dyDescent="0.3">
      <c r="A183" s="1052">
        <v>533</v>
      </c>
      <c r="B183" s="1049"/>
      <c r="C183" s="1060" t="s">
        <v>1811</v>
      </c>
      <c r="D183" s="1074" t="s">
        <v>211</v>
      </c>
      <c r="E183" s="1062" t="s">
        <v>500</v>
      </c>
      <c r="F183" s="1063">
        <v>0</v>
      </c>
      <c r="G183" s="1063">
        <v>0</v>
      </c>
      <c r="H183" s="1063">
        <v>0</v>
      </c>
      <c r="I183" s="1063">
        <v>0</v>
      </c>
      <c r="J183" s="1063">
        <v>0</v>
      </c>
      <c r="K183" s="1063">
        <v>0</v>
      </c>
      <c r="L183" s="1063">
        <v>0</v>
      </c>
      <c r="M183" s="1063">
        <v>0</v>
      </c>
      <c r="N183" s="1063">
        <v>0</v>
      </c>
      <c r="O183" s="1063">
        <v>0</v>
      </c>
      <c r="P183" s="1063">
        <v>0</v>
      </c>
      <c r="Q183" s="1063">
        <v>0</v>
      </c>
      <c r="R183" s="1063">
        <v>0</v>
      </c>
      <c r="S183" s="1063">
        <v>0</v>
      </c>
      <c r="T183" s="1063">
        <v>0</v>
      </c>
      <c r="U183" s="1063">
        <v>0</v>
      </c>
      <c r="V183" s="1063"/>
      <c r="W183" s="1049"/>
      <c r="X183" s="1049"/>
      <c r="Y183" s="1049"/>
      <c r="Z183" s="1049"/>
      <c r="AA183" s="1066"/>
      <c r="AT183" s="418">
        <v>590000</v>
      </c>
      <c r="AU183" s="418">
        <v>100000</v>
      </c>
      <c r="AV183" s="418">
        <v>559000</v>
      </c>
      <c r="AW183" s="418">
        <v>0</v>
      </c>
      <c r="AX183" s="418">
        <v>0</v>
      </c>
      <c r="AY183" s="418">
        <v>0</v>
      </c>
      <c r="AZ183" s="418">
        <v>152377</v>
      </c>
      <c r="BA183" s="418">
        <v>500000</v>
      </c>
      <c r="BB183" s="418">
        <v>0</v>
      </c>
      <c r="BC183" s="418">
        <v>0</v>
      </c>
      <c r="BD183" s="418">
        <v>0</v>
      </c>
      <c r="BE183" s="418">
        <v>0</v>
      </c>
      <c r="BF183" s="418">
        <v>1163660</v>
      </c>
      <c r="BG183" s="418">
        <v>0</v>
      </c>
      <c r="BH183" s="418">
        <v>0</v>
      </c>
      <c r="BI183" s="418">
        <v>0</v>
      </c>
      <c r="BJ183" s="418">
        <v>0</v>
      </c>
      <c r="BK183" s="418">
        <v>0</v>
      </c>
      <c r="BL183" s="418">
        <v>0</v>
      </c>
      <c r="BM183" s="418">
        <v>0</v>
      </c>
      <c r="BN183" s="418">
        <v>0</v>
      </c>
      <c r="BO183" s="418">
        <v>0</v>
      </c>
      <c r="BP183" s="418">
        <v>0</v>
      </c>
      <c r="BQ183" s="418">
        <v>0</v>
      </c>
      <c r="BR183" s="418">
        <v>0</v>
      </c>
      <c r="BS183" s="418">
        <v>0</v>
      </c>
      <c r="BT183" s="418">
        <v>370723</v>
      </c>
      <c r="BU183" s="418">
        <v>0</v>
      </c>
      <c r="BV183" s="418">
        <v>0</v>
      </c>
      <c r="BW183" s="418">
        <v>0</v>
      </c>
      <c r="BX183" s="418">
        <v>0</v>
      </c>
      <c r="BY183" s="418">
        <v>0</v>
      </c>
      <c r="BZ183" s="418">
        <v>0</v>
      </c>
      <c r="CA183" s="418">
        <v>0</v>
      </c>
      <c r="CB183" s="418">
        <v>0</v>
      </c>
    </row>
    <row r="184" spans="1:80" s="418" customFormat="1" ht="27.6" x14ac:dyDescent="0.3">
      <c r="A184" s="1052">
        <v>534</v>
      </c>
      <c r="B184" s="1053">
        <v>534</v>
      </c>
      <c r="C184" s="1060" t="s">
        <v>1812</v>
      </c>
      <c r="D184" s="1061" t="s">
        <v>275</v>
      </c>
      <c r="E184" s="1062" t="s">
        <v>501</v>
      </c>
      <c r="F184" s="1063">
        <v>0</v>
      </c>
      <c r="G184" s="1063">
        <v>21983930</v>
      </c>
      <c r="H184" s="1063">
        <v>7466701</v>
      </c>
      <c r="I184" s="1063">
        <v>6262123</v>
      </c>
      <c r="J184" s="1063">
        <v>0</v>
      </c>
      <c r="K184" s="1063">
        <v>0</v>
      </c>
      <c r="L184" s="1063">
        <v>0</v>
      </c>
      <c r="M184" s="1063">
        <v>0</v>
      </c>
      <c r="N184" s="1063">
        <v>9914268</v>
      </c>
      <c r="O184" s="1063">
        <v>1582691</v>
      </c>
      <c r="P184" s="1063">
        <v>9169071</v>
      </c>
      <c r="Q184" s="1063">
        <v>0</v>
      </c>
      <c r="R184" s="1063">
        <v>3943667</v>
      </c>
      <c r="S184" s="1063">
        <v>6148556</v>
      </c>
      <c r="T184" s="1063">
        <v>2554816</v>
      </c>
      <c r="U184" s="1063">
        <v>7842688</v>
      </c>
      <c r="V184" s="1063"/>
      <c r="W184" s="1049"/>
      <c r="X184" s="1049"/>
      <c r="Y184" s="1064"/>
      <c r="Z184" s="1065"/>
      <c r="AA184" s="1066"/>
    </row>
    <row r="185" spans="1:80" s="418" customFormat="1" ht="27" x14ac:dyDescent="0.3">
      <c r="A185" s="1052">
        <v>535</v>
      </c>
      <c r="B185" s="1049"/>
      <c r="C185" s="1060" t="s">
        <v>1813</v>
      </c>
      <c r="D185" s="1075" t="s">
        <v>253</v>
      </c>
      <c r="E185" s="1062" t="s">
        <v>502</v>
      </c>
      <c r="F185" s="1063">
        <v>0</v>
      </c>
      <c r="G185" s="1063">
        <v>0</v>
      </c>
      <c r="H185" s="1063">
        <v>0</v>
      </c>
      <c r="I185" s="1063">
        <v>0</v>
      </c>
      <c r="J185" s="1063">
        <v>0</v>
      </c>
      <c r="K185" s="1063">
        <v>0</v>
      </c>
      <c r="L185" s="1063">
        <v>0</v>
      </c>
      <c r="M185" s="1063">
        <v>0</v>
      </c>
      <c r="N185" s="1063">
        <v>0</v>
      </c>
      <c r="O185" s="1063">
        <v>0</v>
      </c>
      <c r="P185" s="1063">
        <v>0</v>
      </c>
      <c r="Q185" s="1063">
        <v>0</v>
      </c>
      <c r="R185" s="1063">
        <v>0</v>
      </c>
      <c r="S185" s="1063">
        <v>0</v>
      </c>
      <c r="T185" s="1063">
        <v>0</v>
      </c>
      <c r="U185" s="1063">
        <v>0</v>
      </c>
      <c r="V185" s="1063"/>
      <c r="W185" s="1049"/>
      <c r="X185" s="1049"/>
      <c r="Y185" s="1049"/>
      <c r="Z185" s="1049"/>
      <c r="AA185" s="1066"/>
      <c r="AT185" s="418">
        <v>0</v>
      </c>
      <c r="AU185" s="418">
        <v>0</v>
      </c>
      <c r="AV185" s="418">
        <v>0</v>
      </c>
      <c r="AW185" s="418">
        <v>0</v>
      </c>
      <c r="AX185" s="418">
        <v>0</v>
      </c>
      <c r="AY185" s="418">
        <v>0</v>
      </c>
      <c r="AZ185" s="418">
        <v>0</v>
      </c>
      <c r="BA185" s="418">
        <v>0</v>
      </c>
      <c r="BB185" s="418">
        <v>0</v>
      </c>
      <c r="BC185" s="418">
        <v>0</v>
      </c>
      <c r="BD185" s="418">
        <v>0</v>
      </c>
      <c r="BE185" s="418">
        <v>0</v>
      </c>
      <c r="BF185" s="418">
        <v>1240992</v>
      </c>
      <c r="BG185" s="418">
        <v>0</v>
      </c>
      <c r="BH185" s="418">
        <v>0</v>
      </c>
      <c r="BI185" s="418">
        <v>0</v>
      </c>
      <c r="BJ185" s="418">
        <v>0</v>
      </c>
      <c r="BK185" s="418">
        <v>0</v>
      </c>
      <c r="BL185" s="418">
        <v>0</v>
      </c>
      <c r="BM185" s="418">
        <v>0</v>
      </c>
      <c r="BN185" s="418">
        <v>0</v>
      </c>
      <c r="BO185" s="418">
        <v>0</v>
      </c>
      <c r="BP185" s="418">
        <v>0</v>
      </c>
      <c r="BQ185" s="418">
        <v>0</v>
      </c>
      <c r="BR185" s="418">
        <v>0</v>
      </c>
      <c r="BS185" s="418">
        <v>0</v>
      </c>
      <c r="BT185" s="418">
        <v>0</v>
      </c>
      <c r="BU185" s="418">
        <v>1</v>
      </c>
      <c r="BV185" s="418">
        <v>0</v>
      </c>
      <c r="BW185" s="418">
        <v>0</v>
      </c>
      <c r="BX185" s="418">
        <v>0</v>
      </c>
      <c r="BY185" s="418">
        <v>1</v>
      </c>
      <c r="BZ185" s="418">
        <v>0</v>
      </c>
      <c r="CA185" s="418">
        <v>0</v>
      </c>
      <c r="CB185" s="418">
        <v>0</v>
      </c>
    </row>
    <row r="186" spans="1:80" s="418" customFormat="1" ht="27.6" x14ac:dyDescent="0.3">
      <c r="A186" s="1052">
        <v>536</v>
      </c>
      <c r="B186" s="1049"/>
      <c r="C186" s="1060" t="s">
        <v>1814</v>
      </c>
      <c r="D186" s="1071" t="s">
        <v>199</v>
      </c>
      <c r="E186" s="1062" t="s">
        <v>503</v>
      </c>
      <c r="F186" s="1063">
        <v>0</v>
      </c>
      <c r="G186" s="1063">
        <v>0</v>
      </c>
      <c r="H186" s="1063">
        <v>0</v>
      </c>
      <c r="I186" s="1063">
        <v>0</v>
      </c>
      <c r="J186" s="1063">
        <v>0</v>
      </c>
      <c r="K186" s="1063">
        <v>0</v>
      </c>
      <c r="L186" s="1063">
        <v>0</v>
      </c>
      <c r="M186" s="1063">
        <v>0</v>
      </c>
      <c r="N186" s="1063">
        <v>0</v>
      </c>
      <c r="O186" s="1063">
        <v>0</v>
      </c>
      <c r="P186" s="1063">
        <v>0</v>
      </c>
      <c r="Q186" s="1063">
        <v>0</v>
      </c>
      <c r="R186" s="1063">
        <v>0</v>
      </c>
      <c r="S186" s="1063">
        <v>0</v>
      </c>
      <c r="T186" s="1063">
        <v>0</v>
      </c>
      <c r="U186" s="1063">
        <v>0</v>
      </c>
      <c r="V186" s="1063"/>
      <c r="W186" s="1049"/>
      <c r="X186" s="1049"/>
      <c r="Y186" s="1049"/>
      <c r="Z186" s="1049"/>
      <c r="AA186" s="1066"/>
      <c r="AT186" s="418">
        <v>27462</v>
      </c>
      <c r="AU186" s="418">
        <v>142041</v>
      </c>
      <c r="AV186" s="418">
        <v>369291</v>
      </c>
      <c r="AW186" s="418">
        <v>3181</v>
      </c>
      <c r="AX186" s="418">
        <v>194412</v>
      </c>
      <c r="AY186" s="418">
        <v>321111</v>
      </c>
      <c r="AZ186" s="418">
        <v>617678</v>
      </c>
      <c r="BA186" s="418">
        <v>67700</v>
      </c>
      <c r="BB186" s="418">
        <v>27627</v>
      </c>
      <c r="BC186" s="418">
        <v>476510</v>
      </c>
      <c r="BD186" s="418">
        <v>0</v>
      </c>
      <c r="BE186" s="418">
        <v>8482</v>
      </c>
      <c r="BF186" s="418">
        <v>1193288</v>
      </c>
      <c r="BG186" s="418">
        <v>0</v>
      </c>
      <c r="BH186" s="418">
        <v>23601</v>
      </c>
      <c r="BI186" s="418">
        <v>7771</v>
      </c>
      <c r="BJ186" s="418">
        <v>145974</v>
      </c>
      <c r="BK186" s="418">
        <v>0</v>
      </c>
      <c r="BL186" s="418">
        <v>199376</v>
      </c>
      <c r="BM186" s="418">
        <v>67699</v>
      </c>
      <c r="BN186" s="418">
        <v>0</v>
      </c>
      <c r="BO186" s="418">
        <v>304084</v>
      </c>
      <c r="BP186" s="418">
        <v>141279</v>
      </c>
      <c r="BQ186" s="418">
        <v>147781</v>
      </c>
      <c r="BR186" s="418">
        <v>179396</v>
      </c>
      <c r="BS186" s="418">
        <v>51361</v>
      </c>
      <c r="BT186" s="418">
        <v>569220</v>
      </c>
      <c r="BU186" s="418">
        <v>28016</v>
      </c>
      <c r="BV186" s="418">
        <v>248609</v>
      </c>
      <c r="BW186" s="418">
        <v>38075</v>
      </c>
      <c r="BX186" s="418">
        <v>99456</v>
      </c>
      <c r="BY186" s="418">
        <v>20509</v>
      </c>
      <c r="BZ186" s="418">
        <v>18656</v>
      </c>
      <c r="CA186" s="418">
        <v>1057778</v>
      </c>
      <c r="CB186" s="418">
        <v>9721</v>
      </c>
    </row>
    <row r="187" spans="1:80" s="418" customFormat="1" ht="27.6" x14ac:dyDescent="0.3">
      <c r="A187" s="1052">
        <v>537</v>
      </c>
      <c r="B187" s="1049"/>
      <c r="C187" s="1060" t="s">
        <v>1815</v>
      </c>
      <c r="D187" s="1071" t="s">
        <v>295</v>
      </c>
      <c r="E187" s="1062" t="s">
        <v>504</v>
      </c>
      <c r="F187" s="1063">
        <v>0</v>
      </c>
      <c r="G187" s="1063">
        <v>0</v>
      </c>
      <c r="H187" s="1063">
        <v>0</v>
      </c>
      <c r="I187" s="1063">
        <v>0</v>
      </c>
      <c r="J187" s="1063">
        <v>0</v>
      </c>
      <c r="K187" s="1063">
        <v>0</v>
      </c>
      <c r="L187" s="1063">
        <v>0</v>
      </c>
      <c r="M187" s="1063">
        <v>0</v>
      </c>
      <c r="N187" s="1063">
        <v>0</v>
      </c>
      <c r="O187" s="1063">
        <v>0</v>
      </c>
      <c r="P187" s="1063">
        <v>0</v>
      </c>
      <c r="Q187" s="1063">
        <v>0</v>
      </c>
      <c r="R187" s="1063">
        <v>0</v>
      </c>
      <c r="S187" s="1063">
        <v>0</v>
      </c>
      <c r="T187" s="1063">
        <v>0</v>
      </c>
      <c r="U187" s="1063">
        <v>0</v>
      </c>
      <c r="V187" s="1063"/>
      <c r="W187" s="1049"/>
      <c r="X187" s="1049"/>
      <c r="Y187" s="1049"/>
      <c r="Z187" s="1049"/>
      <c r="AA187" s="1066"/>
      <c r="AT187" s="418">
        <v>1</v>
      </c>
      <c r="AU187" s="418">
        <v>2</v>
      </c>
      <c r="AV187" s="418">
        <v>2</v>
      </c>
      <c r="AW187" s="418">
        <v>2</v>
      </c>
      <c r="AX187" s="418">
        <v>2</v>
      </c>
      <c r="AY187" s="418">
        <v>2</v>
      </c>
      <c r="AZ187" s="418">
        <v>1</v>
      </c>
      <c r="BA187" s="418">
        <v>2</v>
      </c>
      <c r="BB187" s="418">
        <v>1</v>
      </c>
      <c r="BC187" s="418">
        <v>1</v>
      </c>
      <c r="BD187" s="418">
        <v>0</v>
      </c>
      <c r="BE187" s="418">
        <v>2</v>
      </c>
      <c r="BF187" s="418">
        <v>1</v>
      </c>
      <c r="BG187" s="418">
        <v>0</v>
      </c>
      <c r="BH187" s="418">
        <v>2</v>
      </c>
      <c r="BI187" s="418">
        <v>2</v>
      </c>
      <c r="BJ187" s="418">
        <v>2</v>
      </c>
      <c r="BK187" s="418">
        <v>0</v>
      </c>
      <c r="BL187" s="418">
        <v>1</v>
      </c>
      <c r="BM187" s="418">
        <v>2</v>
      </c>
      <c r="BN187" s="418">
        <v>2</v>
      </c>
      <c r="BO187" s="418">
        <v>1</v>
      </c>
      <c r="BP187" s="418">
        <v>1</v>
      </c>
      <c r="BQ187" s="418">
        <v>1</v>
      </c>
      <c r="BR187" s="418">
        <v>2</v>
      </c>
      <c r="BS187" s="418">
        <v>2</v>
      </c>
      <c r="BT187" s="418">
        <v>2</v>
      </c>
      <c r="BU187" s="418">
        <v>2</v>
      </c>
      <c r="BV187" s="418">
        <v>1</v>
      </c>
      <c r="BW187" s="418">
        <v>2</v>
      </c>
      <c r="BX187" s="418">
        <v>2</v>
      </c>
      <c r="BY187" s="418">
        <v>2</v>
      </c>
      <c r="BZ187" s="418">
        <v>2</v>
      </c>
      <c r="CA187" s="418">
        <v>2</v>
      </c>
      <c r="CB187" s="418">
        <v>2</v>
      </c>
    </row>
    <row r="188" spans="1:80" s="418" customFormat="1" ht="27.6" x14ac:dyDescent="0.3">
      <c r="A188" s="1052">
        <v>538</v>
      </c>
      <c r="B188" s="1049"/>
      <c r="C188" s="1060" t="s">
        <v>1816</v>
      </c>
      <c r="D188" s="1071" t="s">
        <v>294</v>
      </c>
      <c r="E188" s="1062" t="s">
        <v>505</v>
      </c>
      <c r="F188" s="1063">
        <v>0</v>
      </c>
      <c r="G188" s="1063">
        <v>0</v>
      </c>
      <c r="H188" s="1063">
        <v>0</v>
      </c>
      <c r="I188" s="1063">
        <v>0</v>
      </c>
      <c r="J188" s="1063">
        <v>0</v>
      </c>
      <c r="K188" s="1063">
        <v>0</v>
      </c>
      <c r="L188" s="1063">
        <v>0</v>
      </c>
      <c r="M188" s="1063">
        <v>0</v>
      </c>
      <c r="N188" s="1063">
        <v>0</v>
      </c>
      <c r="O188" s="1063">
        <v>0</v>
      </c>
      <c r="P188" s="1063">
        <v>0</v>
      </c>
      <c r="Q188" s="1063">
        <v>0</v>
      </c>
      <c r="R188" s="1063">
        <v>0</v>
      </c>
      <c r="S188" s="1063">
        <v>0</v>
      </c>
      <c r="T188" s="1063">
        <v>0</v>
      </c>
      <c r="U188" s="1063">
        <v>0</v>
      </c>
      <c r="V188" s="1063"/>
      <c r="W188" s="1049"/>
      <c r="X188" s="1049"/>
      <c r="Y188" s="1049"/>
      <c r="Z188" s="1049"/>
      <c r="AA188" s="1066"/>
      <c r="AT188" s="418">
        <v>1</v>
      </c>
      <c r="AU188" s="418">
        <v>1</v>
      </c>
      <c r="AV188" s="418">
        <v>2</v>
      </c>
      <c r="AW188" s="418">
        <v>2</v>
      </c>
      <c r="AX188" s="418">
        <v>2</v>
      </c>
      <c r="AY188" s="418">
        <v>2</v>
      </c>
      <c r="AZ188" s="418">
        <v>1</v>
      </c>
      <c r="BA188" s="418">
        <v>2</v>
      </c>
      <c r="BB188" s="418">
        <v>1</v>
      </c>
      <c r="BC188" s="418">
        <v>1</v>
      </c>
      <c r="BD188" s="418">
        <v>0</v>
      </c>
      <c r="BE188" s="418">
        <v>2</v>
      </c>
      <c r="BF188" s="418">
        <v>2</v>
      </c>
      <c r="BG188" s="418">
        <v>0</v>
      </c>
      <c r="BH188" s="418">
        <v>2</v>
      </c>
      <c r="BI188" s="418">
        <v>2</v>
      </c>
      <c r="BJ188" s="418">
        <v>2</v>
      </c>
      <c r="BK188" s="418">
        <v>0</v>
      </c>
      <c r="BL188" s="418">
        <v>2</v>
      </c>
      <c r="BM188" s="418">
        <v>2</v>
      </c>
      <c r="BN188" s="418">
        <v>2</v>
      </c>
      <c r="BO188" s="418">
        <v>1</v>
      </c>
      <c r="BP188" s="418">
        <v>1</v>
      </c>
      <c r="BQ188" s="418">
        <v>1</v>
      </c>
      <c r="BR188" s="418">
        <v>2</v>
      </c>
      <c r="BS188" s="418">
        <v>2</v>
      </c>
      <c r="BT188" s="418">
        <v>2</v>
      </c>
      <c r="BU188" s="418">
        <v>2</v>
      </c>
      <c r="BV188" s="418">
        <v>1</v>
      </c>
      <c r="BW188" s="418">
        <v>2</v>
      </c>
      <c r="BX188" s="418">
        <v>2</v>
      </c>
      <c r="BY188" s="418">
        <v>2</v>
      </c>
      <c r="BZ188" s="418">
        <v>2</v>
      </c>
      <c r="CA188" s="418">
        <v>2</v>
      </c>
      <c r="CB188" s="418">
        <v>2</v>
      </c>
    </row>
    <row r="189" spans="1:80" s="418" customFormat="1" ht="15.6" x14ac:dyDescent="0.3">
      <c r="A189" s="1052">
        <v>539</v>
      </c>
      <c r="B189" s="1049"/>
      <c r="C189" s="1060" t="s">
        <v>1817</v>
      </c>
      <c r="D189" s="1076" t="s">
        <v>1818</v>
      </c>
      <c r="E189" s="1062" t="s">
        <v>506</v>
      </c>
      <c r="F189" s="1063">
        <v>0</v>
      </c>
      <c r="G189" s="1063">
        <v>0</v>
      </c>
      <c r="H189" s="1063">
        <v>0</v>
      </c>
      <c r="I189" s="1063">
        <v>0</v>
      </c>
      <c r="J189" s="1063">
        <v>0</v>
      </c>
      <c r="K189" s="1063">
        <v>0</v>
      </c>
      <c r="L189" s="1063">
        <v>0</v>
      </c>
      <c r="M189" s="1063">
        <v>0</v>
      </c>
      <c r="N189" s="1063">
        <v>0</v>
      </c>
      <c r="O189" s="1063">
        <v>0</v>
      </c>
      <c r="P189" s="1063">
        <v>0</v>
      </c>
      <c r="Q189" s="1063">
        <v>0</v>
      </c>
      <c r="R189" s="1063">
        <v>0</v>
      </c>
      <c r="S189" s="1063">
        <v>0</v>
      </c>
      <c r="T189" s="1063">
        <v>0</v>
      </c>
      <c r="U189" s="1063">
        <v>0</v>
      </c>
      <c r="V189" s="1063"/>
      <c r="W189" s="1049"/>
      <c r="X189" s="1049"/>
      <c r="Y189" s="1049"/>
      <c r="Z189" s="1049"/>
      <c r="AA189" s="1066"/>
    </row>
    <row r="190" spans="1:80" s="418" customFormat="1" ht="27.6" x14ac:dyDescent="0.3">
      <c r="A190" s="1052">
        <v>540</v>
      </c>
      <c r="B190" s="1049"/>
      <c r="C190" s="1060" t="s">
        <v>1819</v>
      </c>
      <c r="D190" s="1071" t="s">
        <v>267</v>
      </c>
      <c r="E190" s="1062" t="s">
        <v>507</v>
      </c>
      <c r="F190" s="1063">
        <v>0</v>
      </c>
      <c r="G190" s="1063">
        <v>0</v>
      </c>
      <c r="H190" s="1063">
        <v>0</v>
      </c>
      <c r="I190" s="1063">
        <v>0</v>
      </c>
      <c r="J190" s="1063">
        <v>0</v>
      </c>
      <c r="K190" s="1063">
        <v>0</v>
      </c>
      <c r="L190" s="1063">
        <v>0</v>
      </c>
      <c r="M190" s="1063">
        <v>0</v>
      </c>
      <c r="N190" s="1063">
        <v>0</v>
      </c>
      <c r="O190" s="1063">
        <v>0</v>
      </c>
      <c r="P190" s="1063">
        <v>0</v>
      </c>
      <c r="Q190" s="1063">
        <v>0</v>
      </c>
      <c r="R190" s="1063">
        <v>0</v>
      </c>
      <c r="S190" s="1063">
        <v>0</v>
      </c>
      <c r="T190" s="1063">
        <v>0</v>
      </c>
      <c r="U190" s="1063">
        <v>0</v>
      </c>
      <c r="V190" s="1063"/>
      <c r="W190" s="1049"/>
      <c r="X190" s="1049"/>
      <c r="Y190" s="1049"/>
      <c r="Z190" s="1049"/>
      <c r="AA190" s="1066"/>
      <c r="AT190" s="418">
        <v>0</v>
      </c>
      <c r="AU190" s="418">
        <v>0</v>
      </c>
      <c r="AV190" s="418">
        <v>405000</v>
      </c>
      <c r="AW190" s="418">
        <v>0</v>
      </c>
      <c r="AX190" s="418">
        <v>0</v>
      </c>
      <c r="AY190" s="418">
        <v>0</v>
      </c>
      <c r="AZ190" s="418">
        <v>0</v>
      </c>
      <c r="BA190" s="418">
        <v>0</v>
      </c>
      <c r="BB190" s="418">
        <v>0</v>
      </c>
      <c r="BC190" s="418">
        <v>0</v>
      </c>
      <c r="BD190" s="418">
        <v>0</v>
      </c>
      <c r="BE190" s="418">
        <v>41335</v>
      </c>
      <c r="BF190" s="418">
        <v>2046175</v>
      </c>
      <c r="BG190" s="418">
        <v>0</v>
      </c>
      <c r="BH190" s="418">
        <v>0</v>
      </c>
      <c r="BI190" s="418">
        <v>38000</v>
      </c>
      <c r="BJ190" s="418">
        <v>72552</v>
      </c>
      <c r="BK190" s="418">
        <v>0</v>
      </c>
      <c r="BL190" s="418">
        <v>212392</v>
      </c>
      <c r="BM190" s="418">
        <v>1050907</v>
      </c>
      <c r="BN190" s="418">
        <v>0</v>
      </c>
      <c r="BO190" s="418">
        <v>12534</v>
      </c>
      <c r="BP190" s="418">
        <v>125000</v>
      </c>
      <c r="BQ190" s="418">
        <v>510362</v>
      </c>
      <c r="BR190" s="418">
        <v>297313</v>
      </c>
      <c r="BS190" s="418">
        <v>0</v>
      </c>
      <c r="BT190" s="418">
        <v>0</v>
      </c>
      <c r="BU190" s="418">
        <v>424000</v>
      </c>
      <c r="BV190" s="418">
        <v>0</v>
      </c>
      <c r="BW190" s="418">
        <v>0</v>
      </c>
      <c r="BX190" s="418">
        <v>0</v>
      </c>
      <c r="BY190" s="418">
        <v>0</v>
      </c>
      <c r="BZ190" s="418">
        <v>20000</v>
      </c>
      <c r="CA190" s="418">
        <v>1823718</v>
      </c>
      <c r="CB190" s="418">
        <v>0</v>
      </c>
    </row>
    <row r="191" spans="1:80" s="418" customFormat="1" ht="41.4" x14ac:dyDescent="0.3">
      <c r="A191" s="1052">
        <v>541</v>
      </c>
      <c r="B191" s="1049"/>
      <c r="C191" s="1060" t="s">
        <v>1820</v>
      </c>
      <c r="D191" s="1071" t="s">
        <v>555</v>
      </c>
      <c r="E191" s="1062" t="s">
        <v>508</v>
      </c>
      <c r="F191" s="1063">
        <v>0</v>
      </c>
      <c r="G191" s="1063">
        <v>0</v>
      </c>
      <c r="H191" s="1063">
        <v>0</v>
      </c>
      <c r="I191" s="1063">
        <v>0</v>
      </c>
      <c r="J191" s="1063">
        <v>0</v>
      </c>
      <c r="K191" s="1063">
        <v>0</v>
      </c>
      <c r="L191" s="1063">
        <v>0</v>
      </c>
      <c r="M191" s="1063">
        <v>0</v>
      </c>
      <c r="N191" s="1063">
        <v>0</v>
      </c>
      <c r="O191" s="1063">
        <v>0</v>
      </c>
      <c r="P191" s="1063">
        <v>0</v>
      </c>
      <c r="Q191" s="1063">
        <v>0</v>
      </c>
      <c r="R191" s="1063">
        <v>0</v>
      </c>
      <c r="S191" s="1063">
        <v>0</v>
      </c>
      <c r="T191" s="1063">
        <v>0</v>
      </c>
      <c r="U191" s="1063">
        <v>0</v>
      </c>
      <c r="V191" s="1063"/>
      <c r="W191" s="1049"/>
      <c r="X191" s="1049"/>
      <c r="Y191" s="1049"/>
      <c r="Z191" s="1049"/>
      <c r="AA191" s="1066"/>
      <c r="AT191" s="418">
        <v>22524</v>
      </c>
      <c r="AU191" s="418">
        <v>583869</v>
      </c>
      <c r="AV191" s="418">
        <v>-1928907</v>
      </c>
      <c r="AW191" s="418">
        <v>96762</v>
      </c>
      <c r="AX191" s="418">
        <v>506185</v>
      </c>
      <c r="AY191" s="418">
        <v>135469</v>
      </c>
      <c r="AZ191" s="418">
        <v>282648</v>
      </c>
      <c r="BA191" s="418">
        <v>-138085</v>
      </c>
      <c r="BB191" s="418">
        <v>0</v>
      </c>
      <c r="BC191" s="418">
        <v>87623</v>
      </c>
      <c r="BD191" s="418">
        <v>0</v>
      </c>
      <c r="BE191" s="418">
        <v>0</v>
      </c>
      <c r="BF191" s="418">
        <v>94485</v>
      </c>
      <c r="BG191" s="418">
        <v>0</v>
      </c>
      <c r="BH191" s="418">
        <v>0</v>
      </c>
      <c r="BI191" s="418">
        <v>-90360</v>
      </c>
      <c r="BJ191" s="418">
        <v>117866</v>
      </c>
      <c r="BK191" s="418">
        <v>0</v>
      </c>
      <c r="BL191" s="418">
        <v>119318</v>
      </c>
      <c r="BM191" s="418">
        <v>514211</v>
      </c>
      <c r="BN191" s="418">
        <v>0</v>
      </c>
      <c r="BO191" s="418">
        <v>164909</v>
      </c>
      <c r="BP191" s="418">
        <v>236783</v>
      </c>
      <c r="BQ191" s="418">
        <v>175989</v>
      </c>
      <c r="BR191" s="418">
        <v>40510</v>
      </c>
      <c r="BS191" s="418">
        <v>0</v>
      </c>
      <c r="BT191" s="418">
        <v>0</v>
      </c>
      <c r="BU191" s="418">
        <v>-10142</v>
      </c>
      <c r="BV191" s="418">
        <v>58538</v>
      </c>
      <c r="BW191" s="418">
        <v>73860</v>
      </c>
      <c r="BX191" s="418">
        <v>259060</v>
      </c>
      <c r="BY191" s="418">
        <v>0</v>
      </c>
      <c r="BZ191" s="418">
        <v>0</v>
      </c>
      <c r="CA191" s="418">
        <v>146315</v>
      </c>
      <c r="CB191" s="418">
        <v>0</v>
      </c>
    </row>
    <row r="192" spans="1:80" s="418" customFormat="1" ht="41.4" x14ac:dyDescent="0.3">
      <c r="A192" s="1052">
        <v>542</v>
      </c>
      <c r="B192" s="1049"/>
      <c r="C192" s="1060" t="s">
        <v>1821</v>
      </c>
      <c r="D192" s="1070" t="s">
        <v>845</v>
      </c>
      <c r="E192" s="1062" t="s">
        <v>509</v>
      </c>
      <c r="F192" s="1063">
        <v>0</v>
      </c>
      <c r="G192" s="1063">
        <v>0</v>
      </c>
      <c r="H192" s="1063">
        <v>0</v>
      </c>
      <c r="I192" s="1063">
        <v>0</v>
      </c>
      <c r="J192" s="1063">
        <v>0</v>
      </c>
      <c r="K192" s="1063">
        <v>0</v>
      </c>
      <c r="L192" s="1063">
        <v>0</v>
      </c>
      <c r="M192" s="1063">
        <v>0</v>
      </c>
      <c r="N192" s="1063">
        <v>0</v>
      </c>
      <c r="O192" s="1063">
        <v>0</v>
      </c>
      <c r="P192" s="1063">
        <v>0</v>
      </c>
      <c r="Q192" s="1063">
        <v>0</v>
      </c>
      <c r="R192" s="1063">
        <v>0</v>
      </c>
      <c r="S192" s="1063">
        <v>0</v>
      </c>
      <c r="T192" s="1063">
        <v>0</v>
      </c>
      <c r="U192" s="1063">
        <v>0</v>
      </c>
      <c r="V192" s="1063"/>
      <c r="W192" s="1049"/>
      <c r="X192" s="1049"/>
      <c r="Y192" s="1049"/>
      <c r="Z192" s="1049"/>
      <c r="AA192" s="1066"/>
      <c r="AT192" s="418">
        <v>0</v>
      </c>
      <c r="AU192" s="418">
        <v>0</v>
      </c>
      <c r="AV192" s="418">
        <v>0</v>
      </c>
      <c r="AW192" s="418">
        <v>0</v>
      </c>
      <c r="AX192" s="418">
        <v>0</v>
      </c>
      <c r="AY192" s="418">
        <v>0</v>
      </c>
      <c r="AZ192" s="418">
        <v>0</v>
      </c>
      <c r="BA192" s="418">
        <v>0</v>
      </c>
      <c r="BB192" s="418">
        <v>0</v>
      </c>
      <c r="BC192" s="418">
        <v>0</v>
      </c>
      <c r="BD192" s="418">
        <v>0</v>
      </c>
      <c r="BE192" s="418">
        <v>0</v>
      </c>
      <c r="BF192" s="418">
        <v>463330</v>
      </c>
      <c r="BG192" s="418">
        <v>0</v>
      </c>
      <c r="BH192" s="418">
        <v>0</v>
      </c>
      <c r="BI192" s="418">
        <v>0</v>
      </c>
      <c r="BJ192" s="418">
        <v>148454</v>
      </c>
      <c r="BK192" s="418">
        <v>0</v>
      </c>
      <c r="BL192" s="418">
        <v>179724</v>
      </c>
      <c r="BM192" s="418">
        <v>299901</v>
      </c>
      <c r="BN192" s="418">
        <v>0</v>
      </c>
      <c r="BO192" s="418">
        <v>196995</v>
      </c>
      <c r="BP192" s="418">
        <v>25000</v>
      </c>
      <c r="BQ192" s="418">
        <v>0</v>
      </c>
      <c r="BR192" s="418">
        <v>0</v>
      </c>
      <c r="BS192" s="418">
        <v>0</v>
      </c>
      <c r="BT192" s="418">
        <v>0</v>
      </c>
      <c r="BU192" s="418">
        <v>0</v>
      </c>
      <c r="BV192" s="418">
        <v>0</v>
      </c>
      <c r="BW192" s="418">
        <v>0</v>
      </c>
      <c r="BX192" s="418">
        <v>0</v>
      </c>
      <c r="BY192" s="418">
        <v>0</v>
      </c>
      <c r="BZ192" s="418">
        <v>0</v>
      </c>
      <c r="CA192" s="418">
        <v>1900315</v>
      </c>
      <c r="CB192" s="418">
        <v>0</v>
      </c>
    </row>
    <row r="193" spans="1:80" s="418" customFormat="1" ht="28.2" x14ac:dyDescent="0.3">
      <c r="A193" s="1052">
        <v>543</v>
      </c>
      <c r="B193" s="1049"/>
      <c r="C193" s="1060" t="s">
        <v>1822</v>
      </c>
      <c r="D193" s="1076" t="s">
        <v>1823</v>
      </c>
      <c r="E193" s="1062" t="s">
        <v>510</v>
      </c>
      <c r="F193" s="1063">
        <v>0</v>
      </c>
      <c r="G193" s="1063">
        <v>0</v>
      </c>
      <c r="H193" s="1063">
        <v>0</v>
      </c>
      <c r="I193" s="1063">
        <v>0</v>
      </c>
      <c r="J193" s="1063">
        <v>0</v>
      </c>
      <c r="K193" s="1063">
        <v>0</v>
      </c>
      <c r="L193" s="1063">
        <v>0</v>
      </c>
      <c r="M193" s="1063">
        <v>0</v>
      </c>
      <c r="N193" s="1063">
        <v>0</v>
      </c>
      <c r="O193" s="1063">
        <v>0</v>
      </c>
      <c r="P193" s="1063">
        <v>0</v>
      </c>
      <c r="Q193" s="1063">
        <v>0</v>
      </c>
      <c r="R193" s="1063">
        <v>0</v>
      </c>
      <c r="S193" s="1063">
        <v>0</v>
      </c>
      <c r="T193" s="1063">
        <v>0</v>
      </c>
      <c r="U193" s="1063">
        <v>0</v>
      </c>
      <c r="V193" s="1063"/>
      <c r="W193" s="1049"/>
      <c r="X193" s="1049"/>
      <c r="Y193" s="1049"/>
      <c r="Z193" s="1049"/>
      <c r="AA193" s="1066"/>
      <c r="AT193" s="418">
        <v>0</v>
      </c>
      <c r="AU193" s="418">
        <v>0</v>
      </c>
      <c r="AV193" s="418">
        <v>0</v>
      </c>
      <c r="AW193" s="418">
        <v>0</v>
      </c>
      <c r="AX193" s="418">
        <v>0</v>
      </c>
      <c r="AY193" s="418">
        <v>0</v>
      </c>
      <c r="AZ193" s="418">
        <v>0</v>
      </c>
      <c r="BA193" s="418">
        <v>0</v>
      </c>
      <c r="BB193" s="418">
        <v>0</v>
      </c>
      <c r="BC193" s="418">
        <v>0</v>
      </c>
      <c r="BD193" s="418">
        <v>0</v>
      </c>
      <c r="BE193" s="418">
        <v>0</v>
      </c>
      <c r="BF193" s="418">
        <v>0</v>
      </c>
      <c r="BG193" s="418">
        <v>0</v>
      </c>
      <c r="BH193" s="418">
        <v>0</v>
      </c>
      <c r="BI193" s="418">
        <v>0</v>
      </c>
      <c r="BJ193" s="418">
        <v>0</v>
      </c>
      <c r="BK193" s="418">
        <v>0</v>
      </c>
      <c r="BL193" s="418">
        <v>0</v>
      </c>
      <c r="BM193" s="418">
        <v>0</v>
      </c>
      <c r="BN193" s="418">
        <v>0</v>
      </c>
      <c r="BO193" s="418">
        <v>0</v>
      </c>
      <c r="BP193" s="418">
        <v>0</v>
      </c>
      <c r="BQ193" s="418">
        <v>0</v>
      </c>
      <c r="BR193" s="418">
        <v>0</v>
      </c>
      <c r="BS193" s="418">
        <v>0</v>
      </c>
      <c r="BT193" s="418">
        <v>0</v>
      </c>
      <c r="BU193" s="418">
        <v>0</v>
      </c>
      <c r="BV193" s="418">
        <v>0</v>
      </c>
      <c r="BW193" s="418">
        <v>0</v>
      </c>
      <c r="BX193" s="418">
        <v>0</v>
      </c>
      <c r="BY193" s="418">
        <v>0</v>
      </c>
      <c r="BZ193" s="418">
        <v>0</v>
      </c>
      <c r="CA193" s="418">
        <v>0</v>
      </c>
      <c r="CB193" s="418">
        <v>0</v>
      </c>
    </row>
    <row r="194" spans="1:80" s="418" customFormat="1" ht="28.2" x14ac:dyDescent="0.3">
      <c r="A194" s="1052">
        <v>544</v>
      </c>
      <c r="B194" s="1049"/>
      <c r="C194" s="1060" t="s">
        <v>1824</v>
      </c>
      <c r="D194" s="1076" t="s">
        <v>53</v>
      </c>
      <c r="E194" s="1062" t="s">
        <v>511</v>
      </c>
      <c r="F194" s="1063">
        <v>0</v>
      </c>
      <c r="G194" s="1063">
        <v>0</v>
      </c>
      <c r="H194" s="1063">
        <v>0</v>
      </c>
      <c r="I194" s="1063">
        <v>0</v>
      </c>
      <c r="J194" s="1063">
        <v>0</v>
      </c>
      <c r="K194" s="1063">
        <v>0</v>
      </c>
      <c r="L194" s="1063">
        <v>0</v>
      </c>
      <c r="M194" s="1063">
        <v>0</v>
      </c>
      <c r="N194" s="1063">
        <v>0</v>
      </c>
      <c r="O194" s="1063">
        <v>0</v>
      </c>
      <c r="P194" s="1063">
        <v>0</v>
      </c>
      <c r="Q194" s="1063">
        <v>0</v>
      </c>
      <c r="R194" s="1063">
        <v>0</v>
      </c>
      <c r="S194" s="1063">
        <v>0</v>
      </c>
      <c r="T194" s="1063">
        <v>0</v>
      </c>
      <c r="U194" s="1063">
        <v>0</v>
      </c>
      <c r="V194" s="1063"/>
      <c r="W194" s="1049"/>
      <c r="X194" s="1049"/>
      <c r="Y194" s="1049"/>
      <c r="Z194" s="1049"/>
      <c r="AA194" s="1066"/>
      <c r="AT194" s="418">
        <v>0</v>
      </c>
      <c r="AU194" s="418">
        <v>0</v>
      </c>
      <c r="AV194" s="418">
        <v>0</v>
      </c>
      <c r="AW194" s="418">
        <v>0</v>
      </c>
      <c r="AX194" s="418">
        <v>0</v>
      </c>
      <c r="AY194" s="418">
        <v>0</v>
      </c>
      <c r="AZ194" s="418">
        <v>0</v>
      </c>
      <c r="BA194" s="418">
        <v>0</v>
      </c>
      <c r="BB194" s="418">
        <v>0</v>
      </c>
      <c r="BC194" s="418">
        <v>0</v>
      </c>
      <c r="BD194" s="418">
        <v>0</v>
      </c>
      <c r="BE194" s="418">
        <v>0</v>
      </c>
      <c r="BF194" s="418">
        <v>0</v>
      </c>
      <c r="BG194" s="418">
        <v>0</v>
      </c>
      <c r="BH194" s="418">
        <v>0</v>
      </c>
      <c r="BI194" s="418">
        <v>0</v>
      </c>
      <c r="BJ194" s="418">
        <v>0</v>
      </c>
      <c r="BK194" s="418">
        <v>0</v>
      </c>
      <c r="BL194" s="418">
        <v>0</v>
      </c>
      <c r="BM194" s="418">
        <v>0</v>
      </c>
      <c r="BN194" s="418">
        <v>0</v>
      </c>
      <c r="BO194" s="418">
        <v>0</v>
      </c>
      <c r="BP194" s="418">
        <v>0</v>
      </c>
      <c r="BQ194" s="418">
        <v>0</v>
      </c>
      <c r="BR194" s="418">
        <v>0</v>
      </c>
      <c r="BS194" s="418">
        <v>0</v>
      </c>
      <c r="BT194" s="418">
        <v>0.28000000000000003</v>
      </c>
      <c r="BU194" s="418">
        <v>0</v>
      </c>
      <c r="BV194" s="418">
        <v>0</v>
      </c>
      <c r="BW194" s="418">
        <v>0</v>
      </c>
      <c r="BX194" s="418">
        <v>0</v>
      </c>
      <c r="BY194" s="418">
        <v>0</v>
      </c>
      <c r="BZ194" s="418">
        <v>0</v>
      </c>
      <c r="CA194" s="418">
        <v>0</v>
      </c>
      <c r="CB194" s="418">
        <v>0</v>
      </c>
    </row>
    <row r="195" spans="1:80" s="418" customFormat="1" ht="28.2" x14ac:dyDescent="0.3">
      <c r="A195" s="1052">
        <v>545</v>
      </c>
      <c r="B195" s="1049"/>
      <c r="C195" s="1060" t="s">
        <v>1825</v>
      </c>
      <c r="D195" s="1076" t="s">
        <v>54</v>
      </c>
      <c r="E195" s="1062" t="s">
        <v>512</v>
      </c>
      <c r="F195" s="1063">
        <v>0</v>
      </c>
      <c r="G195" s="1063">
        <v>0</v>
      </c>
      <c r="H195" s="1063">
        <v>0</v>
      </c>
      <c r="I195" s="1063">
        <v>0</v>
      </c>
      <c r="J195" s="1063">
        <v>0</v>
      </c>
      <c r="K195" s="1063">
        <v>0</v>
      </c>
      <c r="L195" s="1063">
        <v>0</v>
      </c>
      <c r="M195" s="1063">
        <v>0</v>
      </c>
      <c r="N195" s="1063">
        <v>0</v>
      </c>
      <c r="O195" s="1063">
        <v>0</v>
      </c>
      <c r="P195" s="1063">
        <v>0</v>
      </c>
      <c r="Q195" s="1063">
        <v>0</v>
      </c>
      <c r="R195" s="1063">
        <v>0</v>
      </c>
      <c r="S195" s="1063">
        <v>0</v>
      </c>
      <c r="T195" s="1063">
        <v>0</v>
      </c>
      <c r="U195" s="1063">
        <v>0</v>
      </c>
      <c r="V195" s="1063"/>
      <c r="W195" s="1049"/>
      <c r="X195" s="1049"/>
      <c r="Y195" s="1049"/>
      <c r="Z195" s="1049"/>
      <c r="AA195" s="1066"/>
      <c r="AT195" s="418">
        <v>0</v>
      </c>
      <c r="AU195" s="418">
        <v>0</v>
      </c>
      <c r="AV195" s="418">
        <v>0</v>
      </c>
      <c r="AW195" s="418">
        <v>0</v>
      </c>
      <c r="AX195" s="418">
        <v>0</v>
      </c>
      <c r="AY195" s="418">
        <v>0</v>
      </c>
      <c r="AZ195" s="418">
        <v>0</v>
      </c>
      <c r="BA195" s="418">
        <v>0</v>
      </c>
      <c r="BB195" s="418">
        <v>0</v>
      </c>
      <c r="BC195" s="418">
        <v>0</v>
      </c>
      <c r="BD195" s="418">
        <v>0</v>
      </c>
      <c r="BE195" s="418">
        <v>0</v>
      </c>
      <c r="BF195" s="418">
        <v>0</v>
      </c>
      <c r="BG195" s="418">
        <v>0</v>
      </c>
      <c r="BH195" s="418">
        <v>0</v>
      </c>
      <c r="BI195" s="418">
        <v>0</v>
      </c>
      <c r="BJ195" s="418">
        <v>0</v>
      </c>
      <c r="BK195" s="418">
        <v>0</v>
      </c>
      <c r="BL195" s="418">
        <v>0</v>
      </c>
      <c r="BM195" s="418">
        <v>0</v>
      </c>
      <c r="BN195" s="418">
        <v>0</v>
      </c>
      <c r="BO195" s="418">
        <v>0</v>
      </c>
      <c r="BP195" s="418">
        <v>0</v>
      </c>
      <c r="BQ195" s="418">
        <v>0</v>
      </c>
      <c r="BR195" s="418">
        <v>0</v>
      </c>
      <c r="BS195" s="418">
        <v>0</v>
      </c>
      <c r="BT195" s="418">
        <v>0</v>
      </c>
      <c r="BU195" s="418">
        <v>0</v>
      </c>
      <c r="BV195" s="418">
        <v>0</v>
      </c>
      <c r="BW195" s="418">
        <v>0</v>
      </c>
      <c r="BX195" s="418">
        <v>0</v>
      </c>
      <c r="BY195" s="418">
        <v>0</v>
      </c>
      <c r="BZ195" s="418">
        <v>0</v>
      </c>
      <c r="CA195" s="418">
        <v>0</v>
      </c>
      <c r="CB195" s="418">
        <v>0</v>
      </c>
    </row>
    <row r="196" spans="1:80" s="418" customFormat="1" ht="15.6" x14ac:dyDescent="0.3">
      <c r="A196" s="1052">
        <v>546</v>
      </c>
      <c r="B196" s="1049"/>
      <c r="C196" s="1060" t="s">
        <v>1826</v>
      </c>
      <c r="D196" s="1076" t="s">
        <v>846</v>
      </c>
      <c r="E196" s="1062" t="s">
        <v>513</v>
      </c>
      <c r="F196" s="1063">
        <v>0</v>
      </c>
      <c r="G196" s="1063">
        <v>0</v>
      </c>
      <c r="H196" s="1063">
        <v>0</v>
      </c>
      <c r="I196" s="1063">
        <v>0</v>
      </c>
      <c r="J196" s="1063">
        <v>0</v>
      </c>
      <c r="K196" s="1063">
        <v>0</v>
      </c>
      <c r="L196" s="1063">
        <v>0</v>
      </c>
      <c r="M196" s="1063">
        <v>0</v>
      </c>
      <c r="N196" s="1063">
        <v>0</v>
      </c>
      <c r="O196" s="1063">
        <v>0</v>
      </c>
      <c r="P196" s="1063">
        <v>0</v>
      </c>
      <c r="Q196" s="1063">
        <v>0</v>
      </c>
      <c r="R196" s="1063">
        <v>0</v>
      </c>
      <c r="S196" s="1063">
        <v>0</v>
      </c>
      <c r="T196" s="1063">
        <v>0</v>
      </c>
      <c r="U196" s="1063">
        <v>0</v>
      </c>
      <c r="V196" s="1063"/>
      <c r="W196" s="1049"/>
      <c r="X196" s="1049"/>
      <c r="Y196" s="1049"/>
      <c r="Z196" s="1049"/>
      <c r="AA196" s="1066"/>
    </row>
    <row r="197" spans="1:80" s="418" customFormat="1" ht="28.2" x14ac:dyDescent="0.3">
      <c r="A197" s="1052">
        <v>547</v>
      </c>
      <c r="B197" s="1053">
        <v>547</v>
      </c>
      <c r="C197" s="1060" t="s">
        <v>1827</v>
      </c>
      <c r="D197" s="1076" t="s">
        <v>1828</v>
      </c>
      <c r="E197" s="1062" t="s">
        <v>514</v>
      </c>
      <c r="F197" s="1063">
        <v>2</v>
      </c>
      <c r="G197" s="1063">
        <v>3</v>
      </c>
      <c r="H197" s="1063">
        <v>2</v>
      </c>
      <c r="I197" s="1063">
        <v>2</v>
      </c>
      <c r="J197" s="1063">
        <v>0</v>
      </c>
      <c r="K197" s="1063">
        <v>0</v>
      </c>
      <c r="L197" s="1063">
        <v>0</v>
      </c>
      <c r="M197" s="1063">
        <v>0</v>
      </c>
      <c r="N197" s="1063">
        <v>2</v>
      </c>
      <c r="O197" s="1063">
        <v>2</v>
      </c>
      <c r="P197" s="1063">
        <v>3</v>
      </c>
      <c r="Q197" s="1063">
        <v>0</v>
      </c>
      <c r="R197" s="1063">
        <v>2</v>
      </c>
      <c r="S197" s="1063">
        <v>1</v>
      </c>
      <c r="T197" s="1063">
        <v>2</v>
      </c>
      <c r="U197" s="1063">
        <v>2</v>
      </c>
      <c r="V197" s="1063"/>
      <c r="W197" s="1049"/>
      <c r="X197" s="1049"/>
      <c r="Y197" s="1049"/>
      <c r="Z197" s="1049"/>
      <c r="AA197" s="1066"/>
      <c r="AT197" s="418">
        <v>3</v>
      </c>
      <c r="AU197" s="418">
        <v>3</v>
      </c>
      <c r="AV197" s="418">
        <v>3</v>
      </c>
      <c r="AW197" s="418">
        <v>2</v>
      </c>
      <c r="AX197" s="418">
        <v>2</v>
      </c>
      <c r="AY197" s="418">
        <v>2</v>
      </c>
      <c r="AZ197" s="418">
        <v>1</v>
      </c>
      <c r="BA197" s="418">
        <v>3</v>
      </c>
      <c r="BB197" s="418">
        <v>2</v>
      </c>
      <c r="BC197" s="418">
        <v>3</v>
      </c>
      <c r="BD197" s="418">
        <v>0</v>
      </c>
      <c r="BE197" s="418">
        <v>2</v>
      </c>
      <c r="BF197" s="418">
        <v>3</v>
      </c>
      <c r="BG197" s="418">
        <v>0</v>
      </c>
      <c r="BH197" s="418">
        <v>2</v>
      </c>
      <c r="BI197" s="418">
        <v>3</v>
      </c>
      <c r="BJ197" s="418">
        <v>3</v>
      </c>
      <c r="BK197" s="418">
        <v>0</v>
      </c>
      <c r="BL197" s="418">
        <v>3</v>
      </c>
      <c r="BM197" s="418">
        <v>3</v>
      </c>
      <c r="BN197" s="418">
        <v>2</v>
      </c>
      <c r="BO197" s="418">
        <v>3</v>
      </c>
      <c r="BP197" s="418">
        <v>2</v>
      </c>
      <c r="BQ197" s="418">
        <v>2</v>
      </c>
      <c r="BR197" s="418">
        <v>2</v>
      </c>
      <c r="BS197" s="418">
        <v>2</v>
      </c>
      <c r="BT197" s="418">
        <v>2</v>
      </c>
      <c r="BU197" s="418">
        <v>2</v>
      </c>
      <c r="BV197" s="418">
        <v>3</v>
      </c>
      <c r="BW197" s="418">
        <v>2</v>
      </c>
      <c r="BX197" s="418">
        <v>2</v>
      </c>
      <c r="BY197" s="418">
        <v>2</v>
      </c>
      <c r="BZ197" s="418">
        <v>2</v>
      </c>
      <c r="CA197" s="418">
        <v>3</v>
      </c>
      <c r="CB197" s="418">
        <v>2</v>
      </c>
    </row>
    <row r="198" spans="1:80" s="418" customFormat="1" ht="15.6" x14ac:dyDescent="0.3">
      <c r="A198" s="1052">
        <v>548</v>
      </c>
      <c r="B198" s="1049"/>
      <c r="C198" s="1060" t="s">
        <v>1829</v>
      </c>
      <c r="D198" s="1071" t="s">
        <v>540</v>
      </c>
      <c r="E198" s="1062" t="s">
        <v>569</v>
      </c>
      <c r="F198" s="1063">
        <v>0</v>
      </c>
      <c r="G198" s="1063">
        <v>0</v>
      </c>
      <c r="H198" s="1063">
        <v>0</v>
      </c>
      <c r="I198" s="1063">
        <v>0</v>
      </c>
      <c r="J198" s="1063">
        <v>0</v>
      </c>
      <c r="K198" s="1063">
        <v>0</v>
      </c>
      <c r="L198" s="1063">
        <v>0</v>
      </c>
      <c r="M198" s="1063">
        <v>0</v>
      </c>
      <c r="N198" s="1063">
        <v>0</v>
      </c>
      <c r="O198" s="1063">
        <v>0</v>
      </c>
      <c r="P198" s="1063">
        <v>0</v>
      </c>
      <c r="Q198" s="1063">
        <v>0</v>
      </c>
      <c r="R198" s="1063">
        <v>0</v>
      </c>
      <c r="S198" s="1063">
        <v>0</v>
      </c>
      <c r="T198" s="1063">
        <v>0</v>
      </c>
      <c r="U198" s="1063">
        <v>0</v>
      </c>
      <c r="V198" s="1063"/>
      <c r="W198" s="1049"/>
      <c r="X198" s="1049"/>
      <c r="Y198" s="1049"/>
      <c r="Z198" s="1049"/>
      <c r="AA198" s="1066"/>
      <c r="AT198" s="418">
        <v>0</v>
      </c>
      <c r="AU198" s="418">
        <v>0</v>
      </c>
      <c r="AV198" s="418">
        <v>0</v>
      </c>
      <c r="AW198" s="418">
        <v>0</v>
      </c>
      <c r="AX198" s="418">
        <v>0</v>
      </c>
      <c r="AY198" s="418">
        <v>0</v>
      </c>
      <c r="AZ198" s="418">
        <v>0</v>
      </c>
      <c r="BA198" s="418">
        <v>0</v>
      </c>
      <c r="BB198" s="418">
        <v>0</v>
      </c>
      <c r="BC198" s="418">
        <v>0</v>
      </c>
      <c r="BD198" s="418">
        <v>0</v>
      </c>
      <c r="BE198" s="418">
        <v>0</v>
      </c>
      <c r="BF198" s="418">
        <v>0</v>
      </c>
      <c r="BG198" s="418">
        <v>0</v>
      </c>
      <c r="BH198" s="418">
        <v>0</v>
      </c>
      <c r="BI198" s="418">
        <v>0</v>
      </c>
      <c r="BJ198" s="418">
        <v>0</v>
      </c>
      <c r="BK198" s="418">
        <v>0</v>
      </c>
      <c r="BL198" s="418">
        <v>0</v>
      </c>
      <c r="BM198" s="418">
        <v>0</v>
      </c>
      <c r="BN198" s="418">
        <v>0</v>
      </c>
      <c r="BO198" s="418">
        <v>0</v>
      </c>
      <c r="BP198" s="418">
        <v>0</v>
      </c>
      <c r="BQ198" s="418">
        <v>0</v>
      </c>
      <c r="BR198" s="418">
        <v>0</v>
      </c>
      <c r="BS198" s="418">
        <v>0</v>
      </c>
      <c r="BT198" s="418">
        <v>0</v>
      </c>
      <c r="BU198" s="418">
        <v>0</v>
      </c>
      <c r="BV198" s="418">
        <v>0</v>
      </c>
      <c r="BW198" s="418">
        <v>0</v>
      </c>
      <c r="BX198" s="418">
        <v>0</v>
      </c>
      <c r="BY198" s="418">
        <v>0</v>
      </c>
      <c r="BZ198" s="418">
        <v>0</v>
      </c>
      <c r="CA198" s="418">
        <v>0</v>
      </c>
      <c r="CB198" s="418">
        <v>0</v>
      </c>
    </row>
    <row r="199" spans="1:80" s="418" customFormat="1" ht="27.6" x14ac:dyDescent="0.3">
      <c r="A199" s="1052">
        <v>549</v>
      </c>
      <c r="B199" s="1049"/>
      <c r="C199" s="1060" t="s">
        <v>1830</v>
      </c>
      <c r="D199" s="1077" t="s">
        <v>1831</v>
      </c>
      <c r="E199" s="1062" t="s">
        <v>570</v>
      </c>
      <c r="F199" s="1063">
        <v>0</v>
      </c>
      <c r="G199" s="1063">
        <v>0</v>
      </c>
      <c r="H199" s="1063">
        <v>0</v>
      </c>
      <c r="I199" s="1063">
        <v>0</v>
      </c>
      <c r="J199" s="1063">
        <v>0</v>
      </c>
      <c r="K199" s="1063">
        <v>0</v>
      </c>
      <c r="L199" s="1063">
        <v>0</v>
      </c>
      <c r="M199" s="1063">
        <v>0</v>
      </c>
      <c r="N199" s="1063">
        <v>0</v>
      </c>
      <c r="O199" s="1063">
        <v>0</v>
      </c>
      <c r="P199" s="1063">
        <v>0</v>
      </c>
      <c r="Q199" s="1063">
        <v>0</v>
      </c>
      <c r="R199" s="1063">
        <v>0</v>
      </c>
      <c r="S199" s="1063">
        <v>0</v>
      </c>
      <c r="T199" s="1063">
        <v>0</v>
      </c>
      <c r="U199" s="1063">
        <v>0</v>
      </c>
      <c r="V199" s="1063"/>
      <c r="W199" s="1049"/>
      <c r="X199" s="1049"/>
      <c r="Y199" s="1049"/>
      <c r="Z199" s="1049"/>
      <c r="AA199" s="1066"/>
      <c r="AT199" s="418">
        <v>0</v>
      </c>
      <c r="AU199" s="418">
        <v>0</v>
      </c>
      <c r="AV199" s="418">
        <v>0</v>
      </c>
      <c r="AW199" s="418">
        <v>0</v>
      </c>
      <c r="AX199" s="418">
        <v>0</v>
      </c>
      <c r="AY199" s="418">
        <v>0</v>
      </c>
      <c r="AZ199" s="418">
        <v>0</v>
      </c>
      <c r="BA199" s="418">
        <v>0</v>
      </c>
      <c r="BB199" s="418">
        <v>0</v>
      </c>
      <c r="BC199" s="418">
        <v>0</v>
      </c>
      <c r="BD199" s="418">
        <v>0</v>
      </c>
      <c r="BE199" s="418">
        <v>0</v>
      </c>
      <c r="BF199" s="418">
        <v>0</v>
      </c>
      <c r="BG199" s="418">
        <v>0</v>
      </c>
      <c r="BH199" s="418">
        <v>0</v>
      </c>
      <c r="BI199" s="418">
        <v>0</v>
      </c>
      <c r="BJ199" s="418">
        <v>0</v>
      </c>
      <c r="BK199" s="418">
        <v>0</v>
      </c>
      <c r="BL199" s="418">
        <v>0</v>
      </c>
      <c r="BM199" s="418">
        <v>0</v>
      </c>
      <c r="BN199" s="418">
        <v>0</v>
      </c>
      <c r="BO199" s="418">
        <v>0</v>
      </c>
      <c r="BP199" s="418">
        <v>0</v>
      </c>
      <c r="BQ199" s="418">
        <v>0</v>
      </c>
      <c r="BR199" s="418">
        <v>0</v>
      </c>
      <c r="BS199" s="418">
        <v>0</v>
      </c>
      <c r="BT199" s="418">
        <v>0</v>
      </c>
      <c r="BU199" s="418">
        <v>0</v>
      </c>
      <c r="BV199" s="418">
        <v>0</v>
      </c>
      <c r="BW199" s="418">
        <v>0</v>
      </c>
      <c r="BX199" s="418">
        <v>0</v>
      </c>
      <c r="BY199" s="418">
        <v>0</v>
      </c>
      <c r="BZ199" s="418">
        <v>0</v>
      </c>
      <c r="CA199" s="418">
        <v>0</v>
      </c>
      <c r="CB199" s="418">
        <v>0</v>
      </c>
    </row>
    <row r="200" spans="1:80" s="418" customFormat="1" ht="27.6" x14ac:dyDescent="0.3">
      <c r="A200" s="1052">
        <v>550</v>
      </c>
      <c r="B200" s="1049"/>
      <c r="C200" s="1060" t="s">
        <v>1832</v>
      </c>
      <c r="D200" s="1071" t="s">
        <v>571</v>
      </c>
      <c r="E200" s="1062" t="s">
        <v>572</v>
      </c>
      <c r="F200" s="1063">
        <v>0</v>
      </c>
      <c r="G200" s="1063">
        <v>0</v>
      </c>
      <c r="H200" s="1063">
        <v>0</v>
      </c>
      <c r="I200" s="1063">
        <v>0</v>
      </c>
      <c r="J200" s="1063">
        <v>0</v>
      </c>
      <c r="K200" s="1063">
        <v>0</v>
      </c>
      <c r="L200" s="1063">
        <v>0</v>
      </c>
      <c r="M200" s="1063">
        <v>0</v>
      </c>
      <c r="N200" s="1063">
        <v>0</v>
      </c>
      <c r="O200" s="1063">
        <v>0</v>
      </c>
      <c r="P200" s="1063">
        <v>0</v>
      </c>
      <c r="Q200" s="1063">
        <v>0</v>
      </c>
      <c r="R200" s="1063">
        <v>0</v>
      </c>
      <c r="S200" s="1063">
        <v>0</v>
      </c>
      <c r="T200" s="1063">
        <v>0</v>
      </c>
      <c r="U200" s="1063">
        <v>0</v>
      </c>
      <c r="V200" s="1063"/>
      <c r="W200" s="1049"/>
      <c r="X200" s="1049"/>
      <c r="Y200" s="1049"/>
      <c r="Z200" s="1049"/>
      <c r="AA200" s="1066"/>
      <c r="AT200" s="418">
        <v>0</v>
      </c>
      <c r="AU200" s="418">
        <v>0</v>
      </c>
      <c r="AV200" s="418">
        <v>0</v>
      </c>
      <c r="AW200" s="418">
        <v>0</v>
      </c>
      <c r="AX200" s="418">
        <v>0</v>
      </c>
      <c r="AY200" s="418">
        <v>0</v>
      </c>
      <c r="AZ200" s="418">
        <v>0</v>
      </c>
      <c r="BA200" s="418">
        <v>0</v>
      </c>
      <c r="BB200" s="418">
        <v>0</v>
      </c>
      <c r="BC200" s="418">
        <v>0</v>
      </c>
      <c r="BD200" s="418">
        <v>0</v>
      </c>
      <c r="BE200" s="418">
        <v>0</v>
      </c>
      <c r="BF200" s="418">
        <v>0</v>
      </c>
      <c r="BG200" s="418">
        <v>0</v>
      </c>
      <c r="BH200" s="418">
        <v>0</v>
      </c>
      <c r="BI200" s="418">
        <v>0</v>
      </c>
      <c r="BJ200" s="418">
        <v>0</v>
      </c>
      <c r="BK200" s="418">
        <v>0</v>
      </c>
      <c r="BL200" s="418">
        <v>0</v>
      </c>
      <c r="BM200" s="418">
        <v>0</v>
      </c>
      <c r="BN200" s="418">
        <v>0</v>
      </c>
      <c r="BO200" s="418">
        <v>0</v>
      </c>
      <c r="BP200" s="418">
        <v>0</v>
      </c>
      <c r="BQ200" s="418">
        <v>0</v>
      </c>
      <c r="BR200" s="418">
        <v>0</v>
      </c>
      <c r="BS200" s="418">
        <v>0</v>
      </c>
      <c r="BT200" s="418">
        <v>0</v>
      </c>
      <c r="BU200" s="418">
        <v>0</v>
      </c>
      <c r="BV200" s="418">
        <v>0</v>
      </c>
      <c r="BW200" s="418">
        <v>0</v>
      </c>
      <c r="BX200" s="418">
        <v>0</v>
      </c>
      <c r="BY200" s="418">
        <v>0</v>
      </c>
      <c r="BZ200" s="418">
        <v>0</v>
      </c>
      <c r="CA200" s="418">
        <v>0</v>
      </c>
      <c r="CB200" s="418">
        <v>0</v>
      </c>
    </row>
    <row r="201" spans="1:80" s="418" customFormat="1" ht="41.4" x14ac:dyDescent="0.3">
      <c r="A201" s="1052">
        <v>551</v>
      </c>
      <c r="B201" s="1049"/>
      <c r="C201" s="1060" t="s">
        <v>1833</v>
      </c>
      <c r="D201" s="1071" t="s">
        <v>1834</v>
      </c>
      <c r="E201" s="1062" t="s">
        <v>573</v>
      </c>
      <c r="F201" s="1063">
        <v>0</v>
      </c>
      <c r="G201" s="1063">
        <v>0</v>
      </c>
      <c r="H201" s="1063">
        <v>0</v>
      </c>
      <c r="I201" s="1063">
        <v>0</v>
      </c>
      <c r="J201" s="1063">
        <v>0</v>
      </c>
      <c r="K201" s="1063">
        <v>0</v>
      </c>
      <c r="L201" s="1063">
        <v>0</v>
      </c>
      <c r="M201" s="1063">
        <v>0</v>
      </c>
      <c r="N201" s="1063">
        <v>0</v>
      </c>
      <c r="O201" s="1063">
        <v>0</v>
      </c>
      <c r="P201" s="1063">
        <v>0</v>
      </c>
      <c r="Q201" s="1063">
        <v>0</v>
      </c>
      <c r="R201" s="1063">
        <v>0</v>
      </c>
      <c r="S201" s="1063">
        <v>0</v>
      </c>
      <c r="T201" s="1063">
        <v>0</v>
      </c>
      <c r="U201" s="1063">
        <v>0</v>
      </c>
      <c r="V201" s="1063"/>
      <c r="W201" s="1049"/>
      <c r="X201" s="1049"/>
      <c r="Y201" s="1049"/>
      <c r="Z201" s="1049"/>
      <c r="AA201" s="1066"/>
      <c r="AT201" s="418">
        <v>0</v>
      </c>
      <c r="AU201" s="418">
        <v>0</v>
      </c>
      <c r="AV201" s="418">
        <v>0</v>
      </c>
      <c r="AW201" s="418">
        <v>0</v>
      </c>
      <c r="AX201" s="418">
        <v>0</v>
      </c>
      <c r="AY201" s="418">
        <v>0</v>
      </c>
      <c r="AZ201" s="418">
        <v>0</v>
      </c>
      <c r="BA201" s="418">
        <v>0</v>
      </c>
      <c r="BB201" s="418">
        <v>0</v>
      </c>
      <c r="BC201" s="418">
        <v>0</v>
      </c>
      <c r="BD201" s="418">
        <v>0</v>
      </c>
      <c r="BE201" s="418">
        <v>0</v>
      </c>
      <c r="BF201" s="418">
        <v>0</v>
      </c>
      <c r="BG201" s="418">
        <v>0</v>
      </c>
      <c r="BH201" s="418">
        <v>0</v>
      </c>
      <c r="BI201" s="418">
        <v>0</v>
      </c>
      <c r="BJ201" s="418">
        <v>0</v>
      </c>
      <c r="BK201" s="418">
        <v>0</v>
      </c>
      <c r="BL201" s="418">
        <v>0</v>
      </c>
      <c r="BM201" s="418">
        <v>0</v>
      </c>
      <c r="BN201" s="418">
        <v>0</v>
      </c>
      <c r="BO201" s="418">
        <v>0</v>
      </c>
      <c r="BP201" s="418">
        <v>0</v>
      </c>
      <c r="BQ201" s="418">
        <v>0</v>
      </c>
      <c r="BR201" s="418">
        <v>0</v>
      </c>
      <c r="BS201" s="418">
        <v>0</v>
      </c>
      <c r="BT201" s="418">
        <v>0</v>
      </c>
      <c r="BU201" s="418">
        <v>0</v>
      </c>
      <c r="BV201" s="418">
        <v>0</v>
      </c>
      <c r="BW201" s="418">
        <v>0</v>
      </c>
      <c r="BX201" s="418">
        <v>0</v>
      </c>
      <c r="BY201" s="418">
        <v>0</v>
      </c>
      <c r="BZ201" s="418">
        <v>0</v>
      </c>
      <c r="CA201" s="418">
        <v>0</v>
      </c>
      <c r="CB201" s="418">
        <v>0</v>
      </c>
    </row>
    <row r="202" spans="1:80" s="418" customFormat="1" ht="27.6" x14ac:dyDescent="0.3">
      <c r="A202" s="1052">
        <v>552</v>
      </c>
      <c r="B202" s="1049"/>
      <c r="C202" s="1060" t="s">
        <v>1835</v>
      </c>
      <c r="D202" s="1078" t="s">
        <v>542</v>
      </c>
      <c r="E202" s="1062" t="s">
        <v>574</v>
      </c>
      <c r="F202" s="1063">
        <v>0</v>
      </c>
      <c r="G202" s="1063">
        <v>0</v>
      </c>
      <c r="H202" s="1063">
        <v>0</v>
      </c>
      <c r="I202" s="1063">
        <v>0</v>
      </c>
      <c r="J202" s="1063">
        <v>0</v>
      </c>
      <c r="K202" s="1063">
        <v>0</v>
      </c>
      <c r="L202" s="1063">
        <v>0</v>
      </c>
      <c r="M202" s="1063">
        <v>0</v>
      </c>
      <c r="N202" s="1063">
        <v>0</v>
      </c>
      <c r="O202" s="1063">
        <v>0</v>
      </c>
      <c r="P202" s="1063">
        <v>0</v>
      </c>
      <c r="Q202" s="1063">
        <v>0</v>
      </c>
      <c r="R202" s="1063">
        <v>0</v>
      </c>
      <c r="S202" s="1063">
        <v>0</v>
      </c>
      <c r="T202" s="1063">
        <v>0</v>
      </c>
      <c r="U202" s="1063">
        <v>0</v>
      </c>
      <c r="V202" s="1063"/>
      <c r="W202" s="1049"/>
      <c r="X202" s="1049"/>
      <c r="Y202" s="1049"/>
      <c r="Z202" s="1049"/>
      <c r="AA202" s="1066"/>
      <c r="AT202" s="418">
        <v>0</v>
      </c>
      <c r="AU202" s="418">
        <v>0</v>
      </c>
      <c r="AV202" s="418">
        <v>0</v>
      </c>
      <c r="AW202" s="418">
        <v>0</v>
      </c>
      <c r="AX202" s="418">
        <v>0</v>
      </c>
      <c r="AY202" s="418">
        <v>0</v>
      </c>
      <c r="AZ202" s="418">
        <v>0</v>
      </c>
      <c r="BA202" s="418">
        <v>0</v>
      </c>
      <c r="BB202" s="418">
        <v>0</v>
      </c>
      <c r="BC202" s="418">
        <v>0</v>
      </c>
      <c r="BD202" s="418">
        <v>0</v>
      </c>
      <c r="BE202" s="418">
        <v>0</v>
      </c>
      <c r="BF202" s="418">
        <v>0</v>
      </c>
      <c r="BG202" s="418">
        <v>0</v>
      </c>
      <c r="BH202" s="418">
        <v>0</v>
      </c>
      <c r="BI202" s="418">
        <v>0</v>
      </c>
      <c r="BJ202" s="418">
        <v>0</v>
      </c>
      <c r="BK202" s="418">
        <v>0</v>
      </c>
      <c r="BL202" s="418">
        <v>0</v>
      </c>
      <c r="BM202" s="418">
        <v>0</v>
      </c>
      <c r="BN202" s="418">
        <v>0</v>
      </c>
      <c r="BO202" s="418">
        <v>0</v>
      </c>
      <c r="BP202" s="418">
        <v>0</v>
      </c>
      <c r="BQ202" s="418">
        <v>0</v>
      </c>
      <c r="BR202" s="418">
        <v>0</v>
      </c>
      <c r="BS202" s="418">
        <v>0</v>
      </c>
      <c r="BT202" s="418">
        <v>0</v>
      </c>
      <c r="BU202" s="418">
        <v>0</v>
      </c>
      <c r="BV202" s="418">
        <v>0</v>
      </c>
      <c r="BW202" s="418">
        <v>0</v>
      </c>
      <c r="BX202" s="418">
        <v>0</v>
      </c>
      <c r="BY202" s="418">
        <v>0</v>
      </c>
      <c r="BZ202" s="418">
        <v>0</v>
      </c>
      <c r="CA202" s="418">
        <v>0</v>
      </c>
      <c r="CB202" s="418">
        <v>0</v>
      </c>
    </row>
    <row r="203" spans="1:80" s="418" customFormat="1" ht="15.6" x14ac:dyDescent="0.3">
      <c r="A203" s="1052">
        <v>553</v>
      </c>
      <c r="B203" s="1049"/>
      <c r="C203" s="1060" t="s">
        <v>1836</v>
      </c>
      <c r="D203" s="1079" t="s">
        <v>575</v>
      </c>
      <c r="E203" s="1062" t="s">
        <v>576</v>
      </c>
      <c r="F203" s="1063">
        <v>0</v>
      </c>
      <c r="G203" s="1063">
        <v>0</v>
      </c>
      <c r="H203" s="1063">
        <v>0</v>
      </c>
      <c r="I203" s="1063">
        <v>0</v>
      </c>
      <c r="J203" s="1063">
        <v>0</v>
      </c>
      <c r="K203" s="1063">
        <v>0</v>
      </c>
      <c r="L203" s="1063">
        <v>0</v>
      </c>
      <c r="M203" s="1063">
        <v>0</v>
      </c>
      <c r="N203" s="1063">
        <v>0</v>
      </c>
      <c r="O203" s="1063">
        <v>0</v>
      </c>
      <c r="P203" s="1063">
        <v>0</v>
      </c>
      <c r="Q203" s="1063">
        <v>0</v>
      </c>
      <c r="R203" s="1063">
        <v>0</v>
      </c>
      <c r="S203" s="1063">
        <v>0</v>
      </c>
      <c r="T203" s="1063">
        <v>0</v>
      </c>
      <c r="U203" s="1063">
        <v>0</v>
      </c>
      <c r="V203" s="1063"/>
      <c r="W203" s="1049"/>
      <c r="X203" s="1049"/>
      <c r="Y203" s="1049"/>
      <c r="Z203" s="1049"/>
      <c r="AA203" s="1066"/>
    </row>
    <row r="204" spans="1:80" s="418" customFormat="1" ht="41.4" x14ac:dyDescent="0.3">
      <c r="A204" s="1052">
        <v>554</v>
      </c>
      <c r="B204" s="1053">
        <v>554</v>
      </c>
      <c r="C204" s="1060" t="s">
        <v>1837</v>
      </c>
      <c r="D204" s="1080" t="s">
        <v>577</v>
      </c>
      <c r="E204" s="1062" t="s">
        <v>578</v>
      </c>
      <c r="F204" s="1063">
        <v>0</v>
      </c>
      <c r="G204" s="1063">
        <v>0</v>
      </c>
      <c r="H204" s="1063">
        <v>0</v>
      </c>
      <c r="I204" s="1063">
        <v>1143425</v>
      </c>
      <c r="J204" s="1063">
        <v>0</v>
      </c>
      <c r="K204" s="1063">
        <v>0</v>
      </c>
      <c r="L204" s="1063">
        <v>0</v>
      </c>
      <c r="M204" s="1063">
        <v>0</v>
      </c>
      <c r="N204" s="1063">
        <v>0</v>
      </c>
      <c r="O204" s="1063">
        <v>0</v>
      </c>
      <c r="P204" s="1063">
        <v>0</v>
      </c>
      <c r="Q204" s="1063">
        <v>0</v>
      </c>
      <c r="R204" s="1063">
        <v>0</v>
      </c>
      <c r="S204" s="1063">
        <v>0</v>
      </c>
      <c r="T204" s="1063">
        <v>0</v>
      </c>
      <c r="U204" s="1063">
        <v>0</v>
      </c>
      <c r="V204" s="1063"/>
      <c r="W204" s="1049"/>
      <c r="X204" s="1049"/>
      <c r="Y204" s="1064"/>
      <c r="Z204" s="1065"/>
      <c r="AA204" s="1066"/>
      <c r="AT204" s="418">
        <v>0</v>
      </c>
      <c r="AU204" s="418">
        <v>0</v>
      </c>
      <c r="AV204" s="418">
        <v>940284</v>
      </c>
      <c r="AW204" s="418">
        <v>0</v>
      </c>
      <c r="AX204" s="418">
        <v>0</v>
      </c>
      <c r="AY204" s="418">
        <v>0</v>
      </c>
      <c r="AZ204" s="418">
        <v>0</v>
      </c>
      <c r="BA204" s="418">
        <v>0</v>
      </c>
      <c r="BB204" s="418">
        <v>0</v>
      </c>
      <c r="BC204" s="418">
        <v>0</v>
      </c>
      <c r="BD204" s="418">
        <v>0</v>
      </c>
      <c r="BE204" s="418">
        <v>0</v>
      </c>
      <c r="BF204" s="418">
        <v>0</v>
      </c>
      <c r="BG204" s="418">
        <v>0</v>
      </c>
      <c r="BH204" s="418">
        <v>0</v>
      </c>
      <c r="BI204" s="418">
        <v>0</v>
      </c>
      <c r="BJ204" s="418">
        <v>0</v>
      </c>
      <c r="BK204" s="418">
        <v>0</v>
      </c>
      <c r="BL204" s="418">
        <v>0</v>
      </c>
      <c r="BM204" s="418">
        <v>0</v>
      </c>
      <c r="BN204" s="418">
        <v>0</v>
      </c>
      <c r="BO204" s="418">
        <v>781525</v>
      </c>
      <c r="BP204" s="418">
        <v>0</v>
      </c>
      <c r="BQ204" s="418">
        <v>0</v>
      </c>
      <c r="BR204" s="418">
        <v>0</v>
      </c>
      <c r="BS204" s="418">
        <v>0</v>
      </c>
      <c r="BT204" s="418">
        <v>641260</v>
      </c>
      <c r="BU204" s="418">
        <v>0</v>
      </c>
      <c r="BV204" s="418">
        <v>0</v>
      </c>
      <c r="BW204" s="418">
        <v>1438678</v>
      </c>
      <c r="BX204" s="418">
        <v>0</v>
      </c>
      <c r="BY204" s="418">
        <v>0</v>
      </c>
      <c r="BZ204" s="418">
        <v>0</v>
      </c>
      <c r="CA204" s="418">
        <v>152518</v>
      </c>
      <c r="CB204" s="418">
        <v>0</v>
      </c>
    </row>
    <row r="205" spans="1:80" s="418" customFormat="1" ht="41.4" x14ac:dyDescent="0.3">
      <c r="A205" s="1052">
        <v>555</v>
      </c>
      <c r="B205" s="1053">
        <v>555</v>
      </c>
      <c r="C205" s="1060" t="s">
        <v>1838</v>
      </c>
      <c r="D205" s="1080" t="s">
        <v>579</v>
      </c>
      <c r="E205" s="1062" t="s">
        <v>580</v>
      </c>
      <c r="F205" s="1063">
        <v>0</v>
      </c>
      <c r="G205" s="1063">
        <v>0</v>
      </c>
      <c r="H205" s="1063">
        <v>0</v>
      </c>
      <c r="I205" s="1063">
        <v>718830</v>
      </c>
      <c r="J205" s="1063">
        <v>0</v>
      </c>
      <c r="K205" s="1063">
        <v>0</v>
      </c>
      <c r="L205" s="1063">
        <v>0</v>
      </c>
      <c r="M205" s="1063">
        <v>0</v>
      </c>
      <c r="N205" s="1063">
        <v>0</v>
      </c>
      <c r="O205" s="1063">
        <v>0</v>
      </c>
      <c r="P205" s="1063">
        <v>0</v>
      </c>
      <c r="Q205" s="1063">
        <v>0</v>
      </c>
      <c r="R205" s="1063">
        <v>0</v>
      </c>
      <c r="S205" s="1063">
        <v>0</v>
      </c>
      <c r="T205" s="1063">
        <v>0</v>
      </c>
      <c r="U205" s="1063">
        <v>0</v>
      </c>
      <c r="V205" s="1063"/>
      <c r="W205" s="1049"/>
      <c r="X205" s="1049"/>
      <c r="Y205" s="1064"/>
      <c r="Z205" s="1065"/>
      <c r="AA205" s="1066"/>
      <c r="AT205" s="418">
        <v>0</v>
      </c>
      <c r="AU205" s="418">
        <v>0</v>
      </c>
      <c r="AV205" s="418">
        <v>830367</v>
      </c>
      <c r="AW205" s="418">
        <v>0</v>
      </c>
      <c r="AX205" s="418">
        <v>0</v>
      </c>
      <c r="AY205" s="418">
        <v>0</v>
      </c>
      <c r="AZ205" s="418">
        <v>0</v>
      </c>
      <c r="BA205" s="418">
        <v>0</v>
      </c>
      <c r="BB205" s="418">
        <v>0</v>
      </c>
      <c r="BC205" s="418">
        <v>0</v>
      </c>
      <c r="BD205" s="418">
        <v>0</v>
      </c>
      <c r="BE205" s="418">
        <v>0</v>
      </c>
      <c r="BF205" s="418">
        <v>0</v>
      </c>
      <c r="BG205" s="418">
        <v>0</v>
      </c>
      <c r="BH205" s="418">
        <v>0</v>
      </c>
      <c r="BI205" s="418">
        <v>0</v>
      </c>
      <c r="BJ205" s="418">
        <v>0</v>
      </c>
      <c r="BK205" s="418">
        <v>0</v>
      </c>
      <c r="BL205" s="418">
        <v>0</v>
      </c>
      <c r="BM205" s="418">
        <v>0</v>
      </c>
      <c r="BN205" s="418">
        <v>0</v>
      </c>
      <c r="BO205" s="418">
        <v>499643</v>
      </c>
      <c r="BP205" s="418">
        <v>0</v>
      </c>
      <c r="BQ205" s="418">
        <v>0</v>
      </c>
      <c r="BR205" s="418">
        <v>0</v>
      </c>
      <c r="BS205" s="418">
        <v>0</v>
      </c>
      <c r="BT205" s="418">
        <v>0</v>
      </c>
      <c r="BU205" s="418">
        <v>0</v>
      </c>
      <c r="BV205" s="418">
        <v>0</v>
      </c>
      <c r="BW205" s="418">
        <v>1371002</v>
      </c>
      <c r="BX205" s="418">
        <v>0</v>
      </c>
      <c r="BY205" s="418">
        <v>0</v>
      </c>
      <c r="BZ205" s="418">
        <v>0</v>
      </c>
      <c r="CA205" s="418">
        <v>0</v>
      </c>
      <c r="CB205" s="418">
        <v>0</v>
      </c>
    </row>
    <row r="206" spans="1:80" s="418" customFormat="1" ht="41.4" x14ac:dyDescent="0.3">
      <c r="A206" s="1052">
        <v>556</v>
      </c>
      <c r="B206" s="1053">
        <v>556</v>
      </c>
      <c r="C206" s="1060" t="s">
        <v>1839</v>
      </c>
      <c r="D206" s="1080" t="s">
        <v>581</v>
      </c>
      <c r="E206" s="1062" t="s">
        <v>582</v>
      </c>
      <c r="F206" s="1063">
        <v>0</v>
      </c>
      <c r="G206" s="1063">
        <v>0</v>
      </c>
      <c r="H206" s="1063">
        <v>0</v>
      </c>
      <c r="I206" s="1063">
        <v>0</v>
      </c>
      <c r="J206" s="1063">
        <v>0</v>
      </c>
      <c r="K206" s="1063">
        <v>0</v>
      </c>
      <c r="L206" s="1063">
        <v>0</v>
      </c>
      <c r="M206" s="1063">
        <v>0</v>
      </c>
      <c r="N206" s="1063">
        <v>0</v>
      </c>
      <c r="O206" s="1063">
        <v>0</v>
      </c>
      <c r="P206" s="1063">
        <v>0</v>
      </c>
      <c r="Q206" s="1063">
        <v>0</v>
      </c>
      <c r="R206" s="1063">
        <v>0</v>
      </c>
      <c r="S206" s="1063">
        <v>0</v>
      </c>
      <c r="T206" s="1063">
        <v>0</v>
      </c>
      <c r="U206" s="1063">
        <v>0</v>
      </c>
      <c r="V206" s="1063"/>
      <c r="W206" s="1049"/>
      <c r="X206" s="1049"/>
      <c r="Y206" s="1064"/>
      <c r="Z206" s="1065"/>
      <c r="AA206" s="1066"/>
      <c r="AT206" s="418">
        <v>0</v>
      </c>
      <c r="AU206" s="418">
        <v>0</v>
      </c>
      <c r="AV206" s="418">
        <v>385183</v>
      </c>
      <c r="AW206" s="418">
        <v>0</v>
      </c>
      <c r="AX206" s="418">
        <v>0</v>
      </c>
      <c r="AY206" s="418">
        <v>0</v>
      </c>
      <c r="AZ206" s="418">
        <v>563425</v>
      </c>
      <c r="BA206" s="418">
        <v>0</v>
      </c>
      <c r="BB206" s="418">
        <v>0</v>
      </c>
      <c r="BC206" s="418">
        <v>0</v>
      </c>
      <c r="BD206" s="418">
        <v>0</v>
      </c>
      <c r="BE206" s="418">
        <v>0</v>
      </c>
      <c r="BF206" s="418">
        <v>0</v>
      </c>
      <c r="BG206" s="418">
        <v>0</v>
      </c>
      <c r="BH206" s="418">
        <v>0</v>
      </c>
      <c r="BI206" s="418">
        <v>0</v>
      </c>
      <c r="BJ206" s="418">
        <v>0</v>
      </c>
      <c r="BK206" s="418">
        <v>0</v>
      </c>
      <c r="BL206" s="418">
        <v>0</v>
      </c>
      <c r="BM206" s="418">
        <v>0</v>
      </c>
      <c r="BN206" s="418">
        <v>0</v>
      </c>
      <c r="BO206" s="418">
        <v>274270</v>
      </c>
      <c r="BP206" s="418">
        <v>0</v>
      </c>
      <c r="BQ206" s="418">
        <v>0</v>
      </c>
      <c r="BR206" s="418">
        <v>0</v>
      </c>
      <c r="BS206" s="418">
        <v>0</v>
      </c>
      <c r="BT206" s="418">
        <v>939281</v>
      </c>
      <c r="BU206" s="418">
        <v>0</v>
      </c>
      <c r="BV206" s="418">
        <v>0</v>
      </c>
      <c r="BW206" s="418">
        <v>561499</v>
      </c>
      <c r="BX206" s="418">
        <v>0</v>
      </c>
      <c r="BY206" s="418">
        <v>0</v>
      </c>
      <c r="BZ206" s="418">
        <v>0</v>
      </c>
      <c r="CA206" s="418">
        <v>540334</v>
      </c>
      <c r="CB206" s="418">
        <v>0</v>
      </c>
    </row>
    <row r="207" spans="1:80" s="418" customFormat="1" ht="41.4" x14ac:dyDescent="0.3">
      <c r="A207" s="1052">
        <v>557</v>
      </c>
      <c r="B207" s="1053">
        <v>557</v>
      </c>
      <c r="C207" s="1060" t="s">
        <v>1840</v>
      </c>
      <c r="D207" s="1080" t="s">
        <v>583</v>
      </c>
      <c r="E207" s="1062" t="s">
        <v>584</v>
      </c>
      <c r="F207" s="1063">
        <v>0</v>
      </c>
      <c r="G207" s="1063">
        <v>0</v>
      </c>
      <c r="H207" s="1063">
        <v>0</v>
      </c>
      <c r="I207" s="1063">
        <v>0</v>
      </c>
      <c r="J207" s="1063">
        <v>0</v>
      </c>
      <c r="K207" s="1063">
        <v>0</v>
      </c>
      <c r="L207" s="1063">
        <v>0</v>
      </c>
      <c r="M207" s="1063">
        <v>0</v>
      </c>
      <c r="N207" s="1063">
        <v>0</v>
      </c>
      <c r="O207" s="1063">
        <v>0</v>
      </c>
      <c r="P207" s="1063">
        <v>0</v>
      </c>
      <c r="Q207" s="1063">
        <v>0</v>
      </c>
      <c r="R207" s="1063">
        <v>0</v>
      </c>
      <c r="S207" s="1063">
        <v>0</v>
      </c>
      <c r="T207" s="1063">
        <v>0</v>
      </c>
      <c r="U207" s="1063">
        <v>0</v>
      </c>
      <c r="V207" s="1063"/>
      <c r="W207" s="1049"/>
      <c r="X207" s="1049"/>
      <c r="Y207" s="1064"/>
      <c r="Z207" s="1065"/>
      <c r="AA207" s="1066"/>
      <c r="AT207" s="418">
        <v>0</v>
      </c>
      <c r="AU207" s="418">
        <v>0</v>
      </c>
      <c r="AV207" s="418">
        <v>380189</v>
      </c>
      <c r="AW207" s="418">
        <v>0</v>
      </c>
      <c r="AX207" s="418">
        <v>0</v>
      </c>
      <c r="AY207" s="418">
        <v>0</v>
      </c>
      <c r="AZ207" s="418">
        <v>244111</v>
      </c>
      <c r="BA207" s="418">
        <v>0</v>
      </c>
      <c r="BB207" s="418">
        <v>0</v>
      </c>
      <c r="BC207" s="418">
        <v>0</v>
      </c>
      <c r="BD207" s="418">
        <v>0</v>
      </c>
      <c r="BE207" s="418">
        <v>0</v>
      </c>
      <c r="BF207" s="418">
        <v>0</v>
      </c>
      <c r="BG207" s="418">
        <v>0</v>
      </c>
      <c r="BH207" s="418">
        <v>0</v>
      </c>
      <c r="BI207" s="418">
        <v>0</v>
      </c>
      <c r="BJ207" s="418">
        <v>0</v>
      </c>
      <c r="BK207" s="418">
        <v>0</v>
      </c>
      <c r="BL207" s="418">
        <v>0</v>
      </c>
      <c r="BM207" s="418">
        <v>0</v>
      </c>
      <c r="BN207" s="418">
        <v>0</v>
      </c>
      <c r="BO207" s="418">
        <v>0</v>
      </c>
      <c r="BP207" s="418">
        <v>0</v>
      </c>
      <c r="BQ207" s="418">
        <v>0</v>
      </c>
      <c r="BR207" s="418">
        <v>0</v>
      </c>
      <c r="BS207" s="418">
        <v>0</v>
      </c>
      <c r="BT207" s="418">
        <v>890616</v>
      </c>
      <c r="BU207" s="418">
        <v>0</v>
      </c>
      <c r="BV207" s="418">
        <v>0</v>
      </c>
      <c r="BW207" s="418">
        <v>450000</v>
      </c>
      <c r="BX207" s="418">
        <v>0</v>
      </c>
      <c r="BY207" s="418">
        <v>0</v>
      </c>
      <c r="BZ207" s="418">
        <v>0</v>
      </c>
      <c r="CA207" s="418">
        <v>360334</v>
      </c>
      <c r="CB207" s="418">
        <v>0</v>
      </c>
    </row>
    <row r="208" spans="1:80" s="418" customFormat="1" ht="27.6" x14ac:dyDescent="0.3">
      <c r="A208" s="1052">
        <v>558</v>
      </c>
      <c r="B208" s="1049"/>
      <c r="C208" s="1060" t="s">
        <v>1841</v>
      </c>
      <c r="D208" s="1071" t="s">
        <v>1433</v>
      </c>
      <c r="E208" s="1062" t="s">
        <v>585</v>
      </c>
      <c r="F208" s="1063">
        <v>0</v>
      </c>
      <c r="G208" s="1063">
        <v>0</v>
      </c>
      <c r="H208" s="1063">
        <v>0</v>
      </c>
      <c r="I208" s="1063">
        <v>0</v>
      </c>
      <c r="J208" s="1063">
        <v>0</v>
      </c>
      <c r="K208" s="1063">
        <v>0</v>
      </c>
      <c r="L208" s="1063">
        <v>0</v>
      </c>
      <c r="M208" s="1063">
        <v>0</v>
      </c>
      <c r="N208" s="1063">
        <v>0</v>
      </c>
      <c r="O208" s="1063">
        <v>0</v>
      </c>
      <c r="P208" s="1063">
        <v>0</v>
      </c>
      <c r="Q208" s="1063">
        <v>0</v>
      </c>
      <c r="R208" s="1063">
        <v>0</v>
      </c>
      <c r="S208" s="1063">
        <v>0</v>
      </c>
      <c r="T208" s="1063">
        <v>0</v>
      </c>
      <c r="U208" s="1063">
        <v>0</v>
      </c>
      <c r="V208" s="1063"/>
      <c r="W208" s="1049"/>
      <c r="X208" s="1049"/>
      <c r="Y208" s="1049"/>
      <c r="Z208" s="1049"/>
      <c r="AA208" s="1066"/>
    </row>
    <row r="209" spans="1:27" s="418" customFormat="1" ht="27.6" x14ac:dyDescent="0.3">
      <c r="A209" s="1052">
        <v>559</v>
      </c>
      <c r="B209" s="1049"/>
      <c r="C209" s="1060" t="s">
        <v>1842</v>
      </c>
      <c r="D209" s="1071" t="s">
        <v>1434</v>
      </c>
      <c r="E209" s="1062" t="s">
        <v>586</v>
      </c>
      <c r="F209" s="1063">
        <v>0</v>
      </c>
      <c r="G209" s="1063">
        <v>0</v>
      </c>
      <c r="H209" s="1063">
        <v>0</v>
      </c>
      <c r="I209" s="1063">
        <v>0</v>
      </c>
      <c r="J209" s="1063">
        <v>0</v>
      </c>
      <c r="K209" s="1063">
        <v>0</v>
      </c>
      <c r="L209" s="1063">
        <v>0</v>
      </c>
      <c r="M209" s="1063">
        <v>0</v>
      </c>
      <c r="N209" s="1063">
        <v>0</v>
      </c>
      <c r="O209" s="1063">
        <v>0</v>
      </c>
      <c r="P209" s="1063">
        <v>0</v>
      </c>
      <c r="Q209" s="1063">
        <v>0</v>
      </c>
      <c r="R209" s="1063">
        <v>0</v>
      </c>
      <c r="S209" s="1063">
        <v>0</v>
      </c>
      <c r="T209" s="1063">
        <v>0</v>
      </c>
      <c r="U209" s="1063">
        <v>0</v>
      </c>
      <c r="V209" s="1063"/>
      <c r="W209" s="1049"/>
      <c r="X209" s="1049"/>
      <c r="Y209" s="1049"/>
      <c r="Z209" s="1049"/>
      <c r="AA209" s="1066"/>
    </row>
    <row r="210" spans="1:27" s="418" customFormat="1" ht="27.6" x14ac:dyDescent="0.3">
      <c r="A210" s="1052">
        <v>560</v>
      </c>
      <c r="B210" s="1049"/>
      <c r="C210" s="1060" t="s">
        <v>1843</v>
      </c>
      <c r="D210" s="1061" t="s">
        <v>1435</v>
      </c>
      <c r="E210" s="1062" t="s">
        <v>587</v>
      </c>
      <c r="F210" s="1063">
        <v>0</v>
      </c>
      <c r="G210" s="1063">
        <v>0</v>
      </c>
      <c r="H210" s="1063">
        <v>0</v>
      </c>
      <c r="I210" s="1063">
        <v>0</v>
      </c>
      <c r="J210" s="1063">
        <v>0</v>
      </c>
      <c r="K210" s="1063">
        <v>0</v>
      </c>
      <c r="L210" s="1063">
        <v>0</v>
      </c>
      <c r="M210" s="1063">
        <v>0</v>
      </c>
      <c r="N210" s="1063">
        <v>0</v>
      </c>
      <c r="O210" s="1063">
        <v>0</v>
      </c>
      <c r="P210" s="1063">
        <v>0</v>
      </c>
      <c r="Q210" s="1063">
        <v>0</v>
      </c>
      <c r="R210" s="1063">
        <v>0</v>
      </c>
      <c r="S210" s="1063">
        <v>0</v>
      </c>
      <c r="T210" s="1063">
        <v>0</v>
      </c>
      <c r="U210" s="1063">
        <v>0</v>
      </c>
      <c r="V210" s="1063"/>
      <c r="W210" s="1049"/>
      <c r="X210" s="1049"/>
      <c r="Y210" s="1049"/>
      <c r="Z210" s="1049"/>
      <c r="AA210" s="1066"/>
    </row>
    <row r="211" spans="1:27" s="418" customFormat="1" ht="41.4" x14ac:dyDescent="0.3">
      <c r="A211" s="1052">
        <v>561</v>
      </c>
      <c r="B211" s="1049"/>
      <c r="C211" s="1060" t="s">
        <v>1844</v>
      </c>
      <c r="D211" s="1071" t="s">
        <v>1436</v>
      </c>
      <c r="E211" s="1062" t="s">
        <v>588</v>
      </c>
      <c r="F211" s="1063">
        <v>0</v>
      </c>
      <c r="G211" s="1063">
        <v>0</v>
      </c>
      <c r="H211" s="1063">
        <v>0</v>
      </c>
      <c r="I211" s="1063">
        <v>0</v>
      </c>
      <c r="J211" s="1063">
        <v>0</v>
      </c>
      <c r="K211" s="1063">
        <v>0</v>
      </c>
      <c r="L211" s="1063">
        <v>0</v>
      </c>
      <c r="M211" s="1063">
        <v>0</v>
      </c>
      <c r="N211" s="1063">
        <v>0</v>
      </c>
      <c r="O211" s="1063">
        <v>0</v>
      </c>
      <c r="P211" s="1063">
        <v>0</v>
      </c>
      <c r="Q211" s="1063">
        <v>0</v>
      </c>
      <c r="R211" s="1063">
        <v>0</v>
      </c>
      <c r="S211" s="1063">
        <v>0</v>
      </c>
      <c r="T211" s="1063">
        <v>0</v>
      </c>
      <c r="U211" s="1063">
        <v>0</v>
      </c>
      <c r="V211" s="1063"/>
      <c r="W211" s="1049"/>
      <c r="X211" s="1049"/>
      <c r="Y211" s="1049"/>
      <c r="Z211" s="1049"/>
      <c r="AA211" s="1066"/>
    </row>
    <row r="212" spans="1:27" s="418" customFormat="1" ht="27.6" x14ac:dyDescent="0.3">
      <c r="A212" s="1052">
        <v>562</v>
      </c>
      <c r="B212" s="1049"/>
      <c r="C212" s="1060" t="s">
        <v>1845</v>
      </c>
      <c r="D212" s="1071" t="s">
        <v>1442</v>
      </c>
      <c r="E212" s="1062" t="s">
        <v>589</v>
      </c>
      <c r="F212" s="1063">
        <v>0</v>
      </c>
      <c r="G212" s="1063">
        <v>0</v>
      </c>
      <c r="H212" s="1063">
        <v>0</v>
      </c>
      <c r="I212" s="1063">
        <v>0</v>
      </c>
      <c r="J212" s="1063">
        <v>0</v>
      </c>
      <c r="K212" s="1063">
        <v>0</v>
      </c>
      <c r="L212" s="1063">
        <v>0</v>
      </c>
      <c r="M212" s="1063">
        <v>0</v>
      </c>
      <c r="N212" s="1063">
        <v>0</v>
      </c>
      <c r="O212" s="1063">
        <v>0</v>
      </c>
      <c r="P212" s="1063">
        <v>0</v>
      </c>
      <c r="Q212" s="1063">
        <v>0</v>
      </c>
      <c r="R212" s="1063">
        <v>0</v>
      </c>
      <c r="S212" s="1063">
        <v>0</v>
      </c>
      <c r="T212" s="1063">
        <v>0</v>
      </c>
      <c r="U212" s="1063">
        <v>0</v>
      </c>
      <c r="V212" s="1063"/>
      <c r="W212" s="1049"/>
      <c r="X212" s="1049"/>
      <c r="Y212" s="1049"/>
      <c r="Z212" s="1049"/>
      <c r="AA212" s="1066"/>
    </row>
    <row r="213" spans="1:27" s="418" customFormat="1" ht="27.6" x14ac:dyDescent="0.3">
      <c r="A213" s="1052">
        <v>563</v>
      </c>
      <c r="B213" s="1049"/>
      <c r="C213" s="1060" t="s">
        <v>1846</v>
      </c>
      <c r="D213" s="1071" t="s">
        <v>1437</v>
      </c>
      <c r="E213" s="1062" t="s">
        <v>590</v>
      </c>
      <c r="F213" s="1063">
        <v>0</v>
      </c>
      <c r="G213" s="1063">
        <v>0</v>
      </c>
      <c r="H213" s="1063">
        <v>0</v>
      </c>
      <c r="I213" s="1063">
        <v>0</v>
      </c>
      <c r="J213" s="1063">
        <v>0</v>
      </c>
      <c r="K213" s="1063">
        <v>0</v>
      </c>
      <c r="L213" s="1063">
        <v>0</v>
      </c>
      <c r="M213" s="1063">
        <v>0</v>
      </c>
      <c r="N213" s="1063">
        <v>0</v>
      </c>
      <c r="O213" s="1063">
        <v>0</v>
      </c>
      <c r="P213" s="1063">
        <v>0</v>
      </c>
      <c r="Q213" s="1063">
        <v>0</v>
      </c>
      <c r="R213" s="1063">
        <v>0</v>
      </c>
      <c r="S213" s="1063">
        <v>0</v>
      </c>
      <c r="T213" s="1063">
        <v>0</v>
      </c>
      <c r="U213" s="1063">
        <v>0</v>
      </c>
      <c r="V213" s="1063"/>
      <c r="W213" s="1049"/>
      <c r="X213" s="1049"/>
      <c r="Y213" s="1049"/>
      <c r="Z213" s="1049"/>
      <c r="AA213" s="1066"/>
    </row>
    <row r="214" spans="1:27" s="418" customFormat="1" ht="27.6" x14ac:dyDescent="0.3">
      <c r="A214" s="1052">
        <v>564</v>
      </c>
      <c r="B214" s="1049"/>
      <c r="C214" s="1060" t="s">
        <v>1847</v>
      </c>
      <c r="D214" s="1071" t="s">
        <v>1438</v>
      </c>
      <c r="E214" s="1062" t="s">
        <v>591</v>
      </c>
      <c r="F214" s="1063">
        <v>0</v>
      </c>
      <c r="G214" s="1063">
        <v>0</v>
      </c>
      <c r="H214" s="1063">
        <v>0</v>
      </c>
      <c r="I214" s="1063">
        <v>0</v>
      </c>
      <c r="J214" s="1063">
        <v>0</v>
      </c>
      <c r="K214" s="1063">
        <v>0</v>
      </c>
      <c r="L214" s="1063">
        <v>0</v>
      </c>
      <c r="M214" s="1063">
        <v>0</v>
      </c>
      <c r="N214" s="1063">
        <v>0</v>
      </c>
      <c r="O214" s="1063">
        <v>0</v>
      </c>
      <c r="P214" s="1063">
        <v>0</v>
      </c>
      <c r="Q214" s="1063">
        <v>0</v>
      </c>
      <c r="R214" s="1063">
        <v>0</v>
      </c>
      <c r="S214" s="1063">
        <v>0</v>
      </c>
      <c r="T214" s="1063">
        <v>0</v>
      </c>
      <c r="U214" s="1063">
        <v>0</v>
      </c>
      <c r="V214" s="1063"/>
      <c r="W214" s="1049"/>
      <c r="X214" s="1049"/>
      <c r="Y214" s="1049"/>
      <c r="Z214" s="1049"/>
      <c r="AA214" s="1066"/>
    </row>
    <row r="215" spans="1:27" s="418" customFormat="1" ht="27.6" x14ac:dyDescent="0.3">
      <c r="A215" s="1052">
        <v>565</v>
      </c>
      <c r="B215" s="1049"/>
      <c r="C215" s="1060" t="s">
        <v>1848</v>
      </c>
      <c r="D215" s="1071" t="s">
        <v>1573</v>
      </c>
      <c r="E215" s="1062" t="s">
        <v>592</v>
      </c>
      <c r="F215" s="1063">
        <v>0</v>
      </c>
      <c r="G215" s="1063">
        <v>0</v>
      </c>
      <c r="H215" s="1063">
        <v>0</v>
      </c>
      <c r="I215" s="1063">
        <v>0</v>
      </c>
      <c r="J215" s="1063">
        <v>0</v>
      </c>
      <c r="K215" s="1063">
        <v>0</v>
      </c>
      <c r="L215" s="1063">
        <v>0</v>
      </c>
      <c r="M215" s="1063">
        <v>0</v>
      </c>
      <c r="N215" s="1063">
        <v>0</v>
      </c>
      <c r="O215" s="1063">
        <v>0</v>
      </c>
      <c r="P215" s="1063">
        <v>0</v>
      </c>
      <c r="Q215" s="1063">
        <v>0</v>
      </c>
      <c r="R215" s="1063">
        <v>0</v>
      </c>
      <c r="S215" s="1063">
        <v>0</v>
      </c>
      <c r="T215" s="1063">
        <v>0</v>
      </c>
      <c r="U215" s="1063">
        <v>0</v>
      </c>
      <c r="V215" s="1063"/>
      <c r="W215" s="1049"/>
      <c r="X215" s="1049"/>
      <c r="Y215" s="1049"/>
      <c r="Z215" s="1049"/>
      <c r="AA215" s="1066"/>
    </row>
    <row r="216" spans="1:27" s="418" customFormat="1" ht="27.6" x14ac:dyDescent="0.3">
      <c r="A216" s="1052">
        <v>566</v>
      </c>
      <c r="B216" s="1049"/>
      <c r="C216" s="1060" t="s">
        <v>1849</v>
      </c>
      <c r="D216" s="1071" t="s">
        <v>1440</v>
      </c>
      <c r="E216" s="1062" t="s">
        <v>593</v>
      </c>
      <c r="F216" s="1063">
        <v>0</v>
      </c>
      <c r="G216" s="1063">
        <v>0</v>
      </c>
      <c r="H216" s="1063">
        <v>0</v>
      </c>
      <c r="I216" s="1063">
        <v>0</v>
      </c>
      <c r="J216" s="1063">
        <v>0</v>
      </c>
      <c r="K216" s="1063">
        <v>0</v>
      </c>
      <c r="L216" s="1063">
        <v>0</v>
      </c>
      <c r="M216" s="1063">
        <v>0</v>
      </c>
      <c r="N216" s="1063">
        <v>0</v>
      </c>
      <c r="O216" s="1063">
        <v>0</v>
      </c>
      <c r="P216" s="1063">
        <v>0</v>
      </c>
      <c r="Q216" s="1063">
        <v>0</v>
      </c>
      <c r="R216" s="1063">
        <v>0</v>
      </c>
      <c r="S216" s="1063">
        <v>0</v>
      </c>
      <c r="T216" s="1063">
        <v>0</v>
      </c>
      <c r="U216" s="1063">
        <v>0</v>
      </c>
      <c r="V216" s="1063"/>
      <c r="W216" s="1049"/>
      <c r="X216" s="1049"/>
      <c r="Y216" s="1049"/>
      <c r="Z216" s="1049"/>
      <c r="AA216" s="1066"/>
    </row>
    <row r="217" spans="1:27" s="418" customFormat="1" ht="27.6" x14ac:dyDescent="0.3">
      <c r="A217" s="1052">
        <v>567</v>
      </c>
      <c r="B217" s="1049"/>
      <c r="C217" s="1060" t="s">
        <v>1850</v>
      </c>
      <c r="D217" s="1071" t="s">
        <v>1441</v>
      </c>
      <c r="E217" s="1062" t="s">
        <v>594</v>
      </c>
      <c r="F217" s="1063">
        <v>0</v>
      </c>
      <c r="G217" s="1063">
        <v>0</v>
      </c>
      <c r="H217" s="1063">
        <v>0</v>
      </c>
      <c r="I217" s="1063">
        <v>0</v>
      </c>
      <c r="J217" s="1063">
        <v>0</v>
      </c>
      <c r="K217" s="1063">
        <v>0</v>
      </c>
      <c r="L217" s="1063">
        <v>0</v>
      </c>
      <c r="M217" s="1063">
        <v>0</v>
      </c>
      <c r="N217" s="1063">
        <v>0</v>
      </c>
      <c r="O217" s="1063">
        <v>0</v>
      </c>
      <c r="P217" s="1063">
        <v>0</v>
      </c>
      <c r="Q217" s="1063">
        <v>0</v>
      </c>
      <c r="R217" s="1063">
        <v>0</v>
      </c>
      <c r="S217" s="1063">
        <v>0</v>
      </c>
      <c r="T217" s="1063">
        <v>0</v>
      </c>
      <c r="U217" s="1063">
        <v>0</v>
      </c>
      <c r="V217" s="1063"/>
      <c r="W217" s="1049"/>
      <c r="X217" s="1049"/>
      <c r="Y217" s="1049"/>
      <c r="Z217" s="1049"/>
      <c r="AA217" s="1066"/>
    </row>
    <row r="218" spans="1:27" s="418" customFormat="1" ht="15.6" x14ac:dyDescent="0.3">
      <c r="A218" s="1052">
        <v>568</v>
      </c>
      <c r="B218" s="1049"/>
      <c r="C218" s="1060" t="s">
        <v>1851</v>
      </c>
      <c r="D218" s="1071" t="s">
        <v>1439</v>
      </c>
      <c r="E218" s="1062" t="s">
        <v>595</v>
      </c>
      <c r="F218" s="1063">
        <v>0</v>
      </c>
      <c r="G218" s="1063">
        <v>0</v>
      </c>
      <c r="H218" s="1063">
        <v>0</v>
      </c>
      <c r="I218" s="1063">
        <v>0</v>
      </c>
      <c r="J218" s="1063">
        <v>0</v>
      </c>
      <c r="K218" s="1063">
        <v>0</v>
      </c>
      <c r="L218" s="1063">
        <v>0</v>
      </c>
      <c r="M218" s="1063">
        <v>0</v>
      </c>
      <c r="N218" s="1063">
        <v>0</v>
      </c>
      <c r="O218" s="1063">
        <v>0</v>
      </c>
      <c r="P218" s="1063">
        <v>0</v>
      </c>
      <c r="Q218" s="1063">
        <v>0</v>
      </c>
      <c r="R218" s="1063">
        <v>0</v>
      </c>
      <c r="S218" s="1063">
        <v>0</v>
      </c>
      <c r="T218" s="1063">
        <v>0</v>
      </c>
      <c r="U218" s="1063">
        <v>0</v>
      </c>
      <c r="V218" s="1063"/>
      <c r="W218" s="1049"/>
      <c r="X218" s="1049"/>
      <c r="Y218" s="1049"/>
      <c r="Z218" s="1049"/>
      <c r="AA218" s="1066"/>
    </row>
    <row r="219" spans="1:27" s="418" customFormat="1" ht="27.6" x14ac:dyDescent="0.3">
      <c r="A219" s="1052">
        <v>569</v>
      </c>
      <c r="B219" s="1049"/>
      <c r="C219" s="1060" t="s">
        <v>1852</v>
      </c>
      <c r="D219" s="1071" t="s">
        <v>1443</v>
      </c>
      <c r="E219" s="1062" t="s">
        <v>596</v>
      </c>
      <c r="F219" s="1063">
        <v>0</v>
      </c>
      <c r="G219" s="1063">
        <v>0</v>
      </c>
      <c r="H219" s="1063">
        <v>0</v>
      </c>
      <c r="I219" s="1063">
        <v>0</v>
      </c>
      <c r="J219" s="1063">
        <v>0</v>
      </c>
      <c r="K219" s="1063">
        <v>0</v>
      </c>
      <c r="L219" s="1063">
        <v>0</v>
      </c>
      <c r="M219" s="1063">
        <v>0</v>
      </c>
      <c r="N219" s="1063">
        <v>0</v>
      </c>
      <c r="O219" s="1063">
        <v>0</v>
      </c>
      <c r="P219" s="1063">
        <v>0</v>
      </c>
      <c r="Q219" s="1063">
        <v>0</v>
      </c>
      <c r="R219" s="1063">
        <v>0</v>
      </c>
      <c r="S219" s="1063">
        <v>0</v>
      </c>
      <c r="T219" s="1063">
        <v>0</v>
      </c>
      <c r="U219" s="1063">
        <v>0</v>
      </c>
      <c r="V219" s="1063"/>
      <c r="W219" s="1049"/>
      <c r="X219" s="1049"/>
      <c r="Y219" s="1049"/>
      <c r="Z219" s="1049"/>
      <c r="AA219" s="1066"/>
    </row>
    <row r="220" spans="1:27" s="418" customFormat="1" ht="27.6" x14ac:dyDescent="0.3">
      <c r="A220" s="1052">
        <v>570</v>
      </c>
      <c r="B220" s="1049"/>
      <c r="C220" s="1060" t="s">
        <v>1853</v>
      </c>
      <c r="D220" s="1071" t="s">
        <v>1854</v>
      </c>
      <c r="E220" s="1062" t="s">
        <v>597</v>
      </c>
      <c r="F220" s="1063">
        <v>0</v>
      </c>
      <c r="G220" s="1063">
        <v>0</v>
      </c>
      <c r="H220" s="1063">
        <v>0</v>
      </c>
      <c r="I220" s="1063">
        <v>0</v>
      </c>
      <c r="J220" s="1063">
        <v>0</v>
      </c>
      <c r="K220" s="1063">
        <v>0</v>
      </c>
      <c r="L220" s="1063">
        <v>0</v>
      </c>
      <c r="M220" s="1063">
        <v>0</v>
      </c>
      <c r="N220" s="1063">
        <v>0</v>
      </c>
      <c r="O220" s="1063">
        <v>0</v>
      </c>
      <c r="P220" s="1063">
        <v>0</v>
      </c>
      <c r="Q220" s="1063">
        <v>0</v>
      </c>
      <c r="R220" s="1063">
        <v>0</v>
      </c>
      <c r="S220" s="1063">
        <v>0</v>
      </c>
      <c r="T220" s="1063">
        <v>0</v>
      </c>
      <c r="U220" s="1063">
        <v>0</v>
      </c>
      <c r="V220" s="1063"/>
      <c r="W220" s="1049"/>
      <c r="X220" s="1049"/>
      <c r="Y220" s="1049"/>
      <c r="Z220" s="1049"/>
      <c r="AA220" s="1066"/>
    </row>
    <row r="221" spans="1:27" s="418" customFormat="1" ht="27.6" x14ac:dyDescent="0.3">
      <c r="A221" s="1052">
        <v>571</v>
      </c>
      <c r="B221" s="1049"/>
      <c r="C221" s="1060" t="s">
        <v>1855</v>
      </c>
      <c r="D221" s="1071" t="s">
        <v>1415</v>
      </c>
      <c r="E221" s="1062" t="s">
        <v>598</v>
      </c>
      <c r="F221" s="1063">
        <v>0</v>
      </c>
      <c r="G221" s="1063">
        <v>0</v>
      </c>
      <c r="H221" s="1063">
        <v>0</v>
      </c>
      <c r="I221" s="1063">
        <v>0</v>
      </c>
      <c r="J221" s="1063">
        <v>0</v>
      </c>
      <c r="K221" s="1063">
        <v>0</v>
      </c>
      <c r="L221" s="1063">
        <v>0</v>
      </c>
      <c r="M221" s="1063">
        <v>0</v>
      </c>
      <c r="N221" s="1063">
        <v>0</v>
      </c>
      <c r="O221" s="1063">
        <v>0</v>
      </c>
      <c r="P221" s="1063">
        <v>0</v>
      </c>
      <c r="Q221" s="1063">
        <v>0</v>
      </c>
      <c r="R221" s="1063">
        <v>0</v>
      </c>
      <c r="S221" s="1063">
        <v>0</v>
      </c>
      <c r="T221" s="1063">
        <v>0</v>
      </c>
      <c r="U221" s="1063">
        <v>0</v>
      </c>
      <c r="V221" s="1063"/>
      <c r="W221" s="1049"/>
      <c r="X221" s="1049"/>
      <c r="Y221" s="1049"/>
      <c r="Z221" s="1049"/>
      <c r="AA221" s="1066"/>
    </row>
    <row r="222" spans="1:27" s="418" customFormat="1" ht="27.6" x14ac:dyDescent="0.3">
      <c r="A222" s="1052">
        <v>572</v>
      </c>
      <c r="B222" s="1049"/>
      <c r="C222" s="1060" t="s">
        <v>1856</v>
      </c>
      <c r="D222" s="1071" t="s">
        <v>1416</v>
      </c>
      <c r="E222" s="1062" t="s">
        <v>599</v>
      </c>
      <c r="F222" s="1063">
        <v>0</v>
      </c>
      <c r="G222" s="1063">
        <v>0</v>
      </c>
      <c r="H222" s="1063">
        <v>0</v>
      </c>
      <c r="I222" s="1063">
        <v>0</v>
      </c>
      <c r="J222" s="1063">
        <v>0</v>
      </c>
      <c r="K222" s="1063">
        <v>0</v>
      </c>
      <c r="L222" s="1063">
        <v>0</v>
      </c>
      <c r="M222" s="1063">
        <v>0</v>
      </c>
      <c r="N222" s="1063">
        <v>0</v>
      </c>
      <c r="O222" s="1063">
        <v>0</v>
      </c>
      <c r="P222" s="1063">
        <v>0</v>
      </c>
      <c r="Q222" s="1063">
        <v>0</v>
      </c>
      <c r="R222" s="1063">
        <v>0</v>
      </c>
      <c r="S222" s="1063">
        <v>0</v>
      </c>
      <c r="T222" s="1063">
        <v>0</v>
      </c>
      <c r="U222" s="1063">
        <v>0</v>
      </c>
      <c r="V222" s="1063"/>
      <c r="W222" s="1049"/>
      <c r="X222" s="1049"/>
      <c r="Y222" s="1049"/>
      <c r="Z222" s="1049"/>
      <c r="AA222" s="1066"/>
    </row>
    <row r="223" spans="1:27" s="418" customFormat="1" ht="27.6" x14ac:dyDescent="0.3">
      <c r="A223" s="1052">
        <v>573</v>
      </c>
      <c r="B223" s="1049"/>
      <c r="C223" s="1060" t="s">
        <v>1857</v>
      </c>
      <c r="D223" s="1071" t="s">
        <v>1574</v>
      </c>
      <c r="E223" s="1062" t="s">
        <v>600</v>
      </c>
      <c r="F223" s="1063">
        <v>0</v>
      </c>
      <c r="G223" s="1063">
        <v>0</v>
      </c>
      <c r="H223" s="1063">
        <v>0</v>
      </c>
      <c r="I223" s="1063">
        <v>0</v>
      </c>
      <c r="J223" s="1063">
        <v>0</v>
      </c>
      <c r="K223" s="1063">
        <v>0</v>
      </c>
      <c r="L223" s="1063">
        <v>0</v>
      </c>
      <c r="M223" s="1063">
        <v>0</v>
      </c>
      <c r="N223" s="1063">
        <v>0</v>
      </c>
      <c r="O223" s="1063">
        <v>0</v>
      </c>
      <c r="P223" s="1063">
        <v>0</v>
      </c>
      <c r="Q223" s="1063">
        <v>0</v>
      </c>
      <c r="R223" s="1063">
        <v>0</v>
      </c>
      <c r="S223" s="1063">
        <v>0</v>
      </c>
      <c r="T223" s="1063">
        <v>0</v>
      </c>
      <c r="U223" s="1063">
        <v>0</v>
      </c>
      <c r="V223" s="1063"/>
      <c r="W223" s="1049"/>
      <c r="X223" s="1049"/>
      <c r="Y223" s="1049"/>
      <c r="Z223" s="1049"/>
      <c r="AA223" s="1066"/>
    </row>
    <row r="224" spans="1:27" s="418" customFormat="1" ht="15.6" x14ac:dyDescent="0.3">
      <c r="A224" s="1052">
        <v>574</v>
      </c>
      <c r="B224" s="1049"/>
      <c r="C224" s="1060" t="s">
        <v>1858</v>
      </c>
      <c r="D224" s="1071" t="s">
        <v>1859</v>
      </c>
      <c r="E224" s="1062" t="s">
        <v>601</v>
      </c>
      <c r="F224" s="1063">
        <v>0</v>
      </c>
      <c r="G224" s="1063">
        <v>0</v>
      </c>
      <c r="H224" s="1063">
        <v>0</v>
      </c>
      <c r="I224" s="1063">
        <v>0</v>
      </c>
      <c r="J224" s="1063">
        <v>0</v>
      </c>
      <c r="K224" s="1063">
        <v>0</v>
      </c>
      <c r="L224" s="1063">
        <v>0</v>
      </c>
      <c r="M224" s="1063">
        <v>0</v>
      </c>
      <c r="N224" s="1063">
        <v>0</v>
      </c>
      <c r="O224" s="1063">
        <v>0</v>
      </c>
      <c r="P224" s="1063">
        <v>0</v>
      </c>
      <c r="Q224" s="1063">
        <v>0</v>
      </c>
      <c r="R224" s="1063">
        <v>0</v>
      </c>
      <c r="S224" s="1063">
        <v>0</v>
      </c>
      <c r="T224" s="1063">
        <v>0</v>
      </c>
      <c r="U224" s="1063">
        <v>0</v>
      </c>
      <c r="V224" s="1063"/>
      <c r="W224" s="1049"/>
      <c r="X224" s="1049"/>
      <c r="Y224" s="1049"/>
      <c r="Z224" s="1049"/>
      <c r="AA224" s="1066"/>
    </row>
    <row r="225" spans="1:80" s="418" customFormat="1" x14ac:dyDescent="0.3">
      <c r="A225" s="1052">
        <v>575</v>
      </c>
      <c r="B225" s="1049"/>
      <c r="C225" s="1056">
        <v>575</v>
      </c>
      <c r="D225" s="1052" t="s">
        <v>547</v>
      </c>
      <c r="E225" s="1052" t="s">
        <v>622</v>
      </c>
      <c r="F225" s="1063">
        <v>0</v>
      </c>
      <c r="G225" s="1063">
        <v>0</v>
      </c>
      <c r="H225" s="1063">
        <v>0</v>
      </c>
      <c r="I225" s="1063">
        <v>0</v>
      </c>
      <c r="J225" s="1063">
        <v>0</v>
      </c>
      <c r="K225" s="1063">
        <v>0</v>
      </c>
      <c r="L225" s="1063">
        <v>0</v>
      </c>
      <c r="M225" s="1063">
        <v>0</v>
      </c>
      <c r="N225" s="1063">
        <v>0</v>
      </c>
      <c r="O225" s="1063">
        <v>0</v>
      </c>
      <c r="P225" s="1063">
        <v>0</v>
      </c>
      <c r="Q225" s="1063">
        <v>0</v>
      </c>
      <c r="R225" s="1063">
        <v>0</v>
      </c>
      <c r="S225" s="1063">
        <v>0</v>
      </c>
      <c r="T225" s="1063">
        <v>0</v>
      </c>
      <c r="U225" s="1063">
        <v>0</v>
      </c>
      <c r="V225" s="1063"/>
      <c r="W225" s="1049"/>
      <c r="X225" s="1049"/>
      <c r="Y225" s="1049"/>
      <c r="Z225" s="1049"/>
      <c r="AA225" s="1066"/>
      <c r="AT225" s="418">
        <v>0</v>
      </c>
      <c r="AU225" s="418">
        <v>0</v>
      </c>
      <c r="AV225" s="418">
        <v>0</v>
      </c>
      <c r="AW225" s="418">
        <v>0</v>
      </c>
      <c r="AX225" s="418">
        <v>0</v>
      </c>
      <c r="AY225" s="418">
        <v>0</v>
      </c>
      <c r="AZ225" s="418">
        <v>8</v>
      </c>
      <c r="BA225" s="418">
        <v>50000</v>
      </c>
      <c r="BB225" s="418">
        <v>16123</v>
      </c>
      <c r="BC225" s="418">
        <v>0</v>
      </c>
      <c r="BD225" s="418">
        <v>0</v>
      </c>
      <c r="BE225" s="418">
        <v>0</v>
      </c>
      <c r="BF225" s="418">
        <v>0</v>
      </c>
      <c r="BG225" s="418">
        <v>0</v>
      </c>
      <c r="BH225" s="418">
        <v>0</v>
      </c>
      <c r="BI225" s="418">
        <v>0</v>
      </c>
      <c r="BJ225" s="418">
        <v>0</v>
      </c>
      <c r="BK225" s="418">
        <v>0</v>
      </c>
      <c r="BL225" s="418">
        <v>0</v>
      </c>
      <c r="BM225" s="418">
        <v>0</v>
      </c>
      <c r="BN225" s="418">
        <v>0</v>
      </c>
      <c r="BO225" s="418">
        <v>96223</v>
      </c>
      <c r="BP225" s="418">
        <v>0</v>
      </c>
      <c r="BQ225" s="418">
        <v>0</v>
      </c>
      <c r="BR225" s="418">
        <v>0</v>
      </c>
      <c r="BS225" s="418">
        <v>0</v>
      </c>
      <c r="BT225" s="418">
        <v>0</v>
      </c>
      <c r="BU225" s="418">
        <v>0</v>
      </c>
      <c r="BV225" s="418">
        <v>0</v>
      </c>
      <c r="BW225" s="418">
        <v>9257</v>
      </c>
      <c r="BX225" s="418">
        <v>21797</v>
      </c>
      <c r="BY225" s="418">
        <v>0</v>
      </c>
      <c r="BZ225" s="418">
        <v>0</v>
      </c>
      <c r="CA225" s="418">
        <v>0</v>
      </c>
      <c r="CB225" s="418">
        <v>0</v>
      </c>
    </row>
    <row r="226" spans="1:80" s="418" customFormat="1" x14ac:dyDescent="0.3">
      <c r="A226" s="1052">
        <v>576</v>
      </c>
      <c r="B226" s="1049"/>
      <c r="C226" s="1056">
        <v>576</v>
      </c>
      <c r="D226" s="1052" t="s">
        <v>548</v>
      </c>
      <c r="E226" s="1052" t="s">
        <v>623</v>
      </c>
      <c r="F226" s="1063">
        <v>0</v>
      </c>
      <c r="G226" s="1063">
        <v>0</v>
      </c>
      <c r="H226" s="1063">
        <v>0</v>
      </c>
      <c r="I226" s="1063">
        <v>0</v>
      </c>
      <c r="J226" s="1063">
        <v>0</v>
      </c>
      <c r="K226" s="1063">
        <v>0</v>
      </c>
      <c r="L226" s="1063">
        <v>0</v>
      </c>
      <c r="M226" s="1063">
        <v>0</v>
      </c>
      <c r="N226" s="1063">
        <v>0</v>
      </c>
      <c r="O226" s="1063">
        <v>0</v>
      </c>
      <c r="P226" s="1063">
        <v>0</v>
      </c>
      <c r="Q226" s="1063">
        <v>0</v>
      </c>
      <c r="R226" s="1063">
        <v>0</v>
      </c>
      <c r="S226" s="1063">
        <v>0</v>
      </c>
      <c r="T226" s="1063">
        <v>0</v>
      </c>
      <c r="U226" s="1063">
        <v>0</v>
      </c>
      <c r="V226" s="1063"/>
      <c r="W226" s="1049"/>
      <c r="X226" s="1049"/>
      <c r="Y226" s="1049"/>
      <c r="Z226" s="1049"/>
      <c r="AA226" s="1066"/>
      <c r="AT226" s="418">
        <v>0</v>
      </c>
      <c r="AU226" s="418">
        <v>0</v>
      </c>
      <c r="AV226" s="418">
        <v>954156</v>
      </c>
      <c r="AW226" s="418">
        <v>44217</v>
      </c>
      <c r="AX226" s="418">
        <v>0</v>
      </c>
      <c r="AY226" s="418">
        <v>0</v>
      </c>
      <c r="AZ226" s="418">
        <v>0</v>
      </c>
      <c r="BA226" s="418">
        <v>0</v>
      </c>
      <c r="BB226" s="418">
        <v>0</v>
      </c>
      <c r="BC226" s="418">
        <v>0</v>
      </c>
      <c r="BD226" s="418">
        <v>0</v>
      </c>
      <c r="BE226" s="418">
        <v>0</v>
      </c>
      <c r="BF226" s="418">
        <v>1627000</v>
      </c>
      <c r="BG226" s="418">
        <v>0</v>
      </c>
      <c r="BH226" s="418">
        <v>0</v>
      </c>
      <c r="BI226" s="418">
        <v>0</v>
      </c>
      <c r="BJ226" s="418">
        <v>0</v>
      </c>
      <c r="BK226" s="418">
        <v>0</v>
      </c>
      <c r="BL226" s="418">
        <v>0</v>
      </c>
      <c r="BM226" s="418">
        <v>0</v>
      </c>
      <c r="BN226" s="418">
        <v>0</v>
      </c>
      <c r="BO226" s="418">
        <v>0</v>
      </c>
      <c r="BP226" s="418">
        <v>348103</v>
      </c>
      <c r="BQ226" s="418">
        <v>0</v>
      </c>
      <c r="BR226" s="418">
        <v>0</v>
      </c>
      <c r="BS226" s="418">
        <v>0</v>
      </c>
      <c r="BT226" s="418">
        <v>0</v>
      </c>
      <c r="BU226" s="418">
        <v>40000</v>
      </c>
      <c r="BV226" s="418">
        <v>16959</v>
      </c>
      <c r="BW226" s="418">
        <v>0</v>
      </c>
      <c r="BX226" s="418">
        <v>0</v>
      </c>
      <c r="BY226" s="418">
        <v>0</v>
      </c>
      <c r="BZ226" s="418">
        <v>0</v>
      </c>
      <c r="CA226" s="418">
        <v>0</v>
      </c>
      <c r="CB226" s="418">
        <v>0</v>
      </c>
    </row>
    <row r="227" spans="1:80" s="418" customFormat="1" x14ac:dyDescent="0.3">
      <c r="A227" s="1052">
        <v>577</v>
      </c>
      <c r="B227" s="1053">
        <v>577</v>
      </c>
      <c r="C227" s="1056">
        <v>577</v>
      </c>
      <c r="D227" s="1052" t="s">
        <v>624</v>
      </c>
      <c r="E227" s="1052" t="s">
        <v>625</v>
      </c>
      <c r="F227" s="1063">
        <v>0</v>
      </c>
      <c r="G227" s="1063">
        <v>1</v>
      </c>
      <c r="H227" s="1063">
        <v>0</v>
      </c>
      <c r="I227" s="1063">
        <v>1</v>
      </c>
      <c r="J227" s="1063">
        <v>0</v>
      </c>
      <c r="K227" s="1063">
        <v>0</v>
      </c>
      <c r="L227" s="1063">
        <v>0</v>
      </c>
      <c r="M227" s="1063">
        <v>0</v>
      </c>
      <c r="N227" s="1063">
        <v>0</v>
      </c>
      <c r="O227" s="1063">
        <v>0</v>
      </c>
      <c r="P227" s="1063">
        <v>0</v>
      </c>
      <c r="Q227" s="1063">
        <v>0</v>
      </c>
      <c r="R227" s="1063">
        <v>1</v>
      </c>
      <c r="S227" s="1063">
        <v>0</v>
      </c>
      <c r="T227" s="1063">
        <v>0</v>
      </c>
      <c r="U227" s="1063">
        <v>0</v>
      </c>
      <c r="V227" s="1063"/>
      <c r="W227" s="1049"/>
      <c r="X227" s="1049"/>
      <c r="Y227" s="1064"/>
      <c r="Z227" s="1065"/>
      <c r="AA227" s="1066"/>
      <c r="AT227" s="418">
        <v>2</v>
      </c>
      <c r="AU227" s="418">
        <v>2</v>
      </c>
      <c r="AV227" s="418">
        <v>2</v>
      </c>
      <c r="AW227" s="418">
        <v>2</v>
      </c>
      <c r="AX227" s="418">
        <v>2</v>
      </c>
      <c r="AY227" s="418">
        <v>2</v>
      </c>
      <c r="AZ227" s="418">
        <v>2</v>
      </c>
      <c r="BA227" s="418">
        <v>0</v>
      </c>
      <c r="BB227" s="418">
        <v>2</v>
      </c>
      <c r="BC227" s="418">
        <v>2</v>
      </c>
      <c r="BD227" s="418">
        <v>0</v>
      </c>
      <c r="BE227" s="418">
        <v>0</v>
      </c>
      <c r="BF227" s="418">
        <v>2</v>
      </c>
      <c r="BG227" s="418">
        <v>0</v>
      </c>
      <c r="BH227" s="418">
        <v>0</v>
      </c>
      <c r="BI227" s="418">
        <v>2</v>
      </c>
      <c r="BJ227" s="418">
        <v>2</v>
      </c>
      <c r="BK227" s="418">
        <v>0</v>
      </c>
      <c r="BL227" s="418">
        <v>2</v>
      </c>
      <c r="BM227" s="418">
        <v>2</v>
      </c>
      <c r="BN227" s="418">
        <v>0</v>
      </c>
      <c r="BO227" s="418">
        <v>2</v>
      </c>
      <c r="BP227" s="418">
        <v>2</v>
      </c>
      <c r="BQ227" s="418">
        <v>2</v>
      </c>
      <c r="BR227" s="418">
        <v>2</v>
      </c>
      <c r="BS227" s="418">
        <v>2</v>
      </c>
      <c r="BT227" s="418">
        <v>2</v>
      </c>
      <c r="BU227" s="418">
        <v>2</v>
      </c>
      <c r="BV227" s="418">
        <v>2</v>
      </c>
      <c r="BW227" s="418">
        <v>2</v>
      </c>
      <c r="BX227" s="418">
        <v>2</v>
      </c>
      <c r="BY227" s="418">
        <v>0</v>
      </c>
      <c r="BZ227" s="418">
        <v>2</v>
      </c>
      <c r="CA227" s="418">
        <v>2</v>
      </c>
      <c r="CB227" s="418">
        <v>0</v>
      </c>
    </row>
    <row r="228" spans="1:80" s="418" customFormat="1" x14ac:dyDescent="0.3">
      <c r="A228" s="1052">
        <v>578</v>
      </c>
      <c r="B228" s="1049"/>
      <c r="C228" s="1056">
        <v>578</v>
      </c>
      <c r="D228" s="1052" t="s">
        <v>626</v>
      </c>
      <c r="E228" s="1052" t="s">
        <v>627</v>
      </c>
      <c r="F228" s="1063">
        <v>0</v>
      </c>
      <c r="G228" s="1063">
        <v>0</v>
      </c>
      <c r="H228" s="1063">
        <v>0</v>
      </c>
      <c r="I228" s="1063">
        <v>0</v>
      </c>
      <c r="J228" s="1063">
        <v>0</v>
      </c>
      <c r="K228" s="1063">
        <v>0</v>
      </c>
      <c r="L228" s="1063">
        <v>0</v>
      </c>
      <c r="M228" s="1063">
        <v>0</v>
      </c>
      <c r="N228" s="1063">
        <v>0</v>
      </c>
      <c r="O228" s="1063">
        <v>0</v>
      </c>
      <c r="P228" s="1063">
        <v>0</v>
      </c>
      <c r="Q228" s="1063">
        <v>0</v>
      </c>
      <c r="R228" s="1063">
        <v>0</v>
      </c>
      <c r="S228" s="1063">
        <v>0</v>
      </c>
      <c r="T228" s="1063">
        <v>0</v>
      </c>
      <c r="U228" s="1063">
        <v>0</v>
      </c>
      <c r="V228" s="1063"/>
      <c r="W228" s="1049"/>
      <c r="X228" s="1049"/>
      <c r="Y228" s="1049"/>
      <c r="Z228" s="1049"/>
      <c r="AA228" s="1066"/>
      <c r="AT228" s="418">
        <v>0</v>
      </c>
      <c r="AU228" s="418">
        <v>0</v>
      </c>
      <c r="AV228" s="418">
        <v>0</v>
      </c>
      <c r="AW228" s="418">
        <v>0</v>
      </c>
      <c r="AX228" s="418">
        <v>0</v>
      </c>
      <c r="AY228" s="418">
        <v>0</v>
      </c>
      <c r="AZ228" s="418">
        <v>0</v>
      </c>
      <c r="BA228" s="418">
        <v>0</v>
      </c>
      <c r="BB228" s="418">
        <v>0</v>
      </c>
      <c r="BC228" s="418">
        <v>0</v>
      </c>
      <c r="BD228" s="418">
        <v>0</v>
      </c>
      <c r="BE228" s="418">
        <v>0</v>
      </c>
      <c r="BF228" s="418">
        <v>0</v>
      </c>
      <c r="BG228" s="418">
        <v>0</v>
      </c>
      <c r="BH228" s="418">
        <v>0</v>
      </c>
      <c r="BI228" s="418">
        <v>0</v>
      </c>
      <c r="BJ228" s="418">
        <v>0</v>
      </c>
      <c r="BK228" s="418">
        <v>0</v>
      </c>
      <c r="BL228" s="418">
        <v>0</v>
      </c>
      <c r="BM228" s="418">
        <v>0</v>
      </c>
      <c r="BN228" s="418">
        <v>0</v>
      </c>
      <c r="BO228" s="418">
        <v>0</v>
      </c>
      <c r="BP228" s="418">
        <v>0</v>
      </c>
      <c r="BQ228" s="418">
        <v>0</v>
      </c>
      <c r="BR228" s="418">
        <v>0</v>
      </c>
      <c r="BS228" s="418">
        <v>0</v>
      </c>
      <c r="BT228" s="418">
        <v>0</v>
      </c>
      <c r="BU228" s="418">
        <v>0</v>
      </c>
      <c r="BV228" s="418">
        <v>0</v>
      </c>
      <c r="BW228" s="418">
        <v>0</v>
      </c>
      <c r="BX228" s="418">
        <v>0</v>
      </c>
      <c r="BY228" s="418">
        <v>0</v>
      </c>
      <c r="BZ228" s="418">
        <v>0</v>
      </c>
      <c r="CA228" s="418">
        <v>0</v>
      </c>
      <c r="CB228" s="418">
        <v>0</v>
      </c>
    </row>
    <row r="229" spans="1:80" s="418" customFormat="1" x14ac:dyDescent="0.3">
      <c r="A229" s="1052">
        <v>579</v>
      </c>
      <c r="B229" s="1049"/>
      <c r="C229" s="1056">
        <v>579</v>
      </c>
      <c r="D229" s="1052" t="s">
        <v>628</v>
      </c>
      <c r="E229" s="1052" t="s">
        <v>629</v>
      </c>
      <c r="F229" s="1063">
        <v>0</v>
      </c>
      <c r="G229" s="1063">
        <v>0</v>
      </c>
      <c r="H229" s="1063">
        <v>0</v>
      </c>
      <c r="I229" s="1063">
        <v>0</v>
      </c>
      <c r="J229" s="1063">
        <v>0</v>
      </c>
      <c r="K229" s="1063">
        <v>0</v>
      </c>
      <c r="L229" s="1063">
        <v>0</v>
      </c>
      <c r="M229" s="1063">
        <v>0</v>
      </c>
      <c r="N229" s="1063">
        <v>0</v>
      </c>
      <c r="O229" s="1063">
        <v>0</v>
      </c>
      <c r="P229" s="1063">
        <v>0</v>
      </c>
      <c r="Q229" s="1063">
        <v>0</v>
      </c>
      <c r="R229" s="1063">
        <v>0</v>
      </c>
      <c r="S229" s="1063">
        <v>0</v>
      </c>
      <c r="T229" s="1063">
        <v>0</v>
      </c>
      <c r="U229" s="1063">
        <v>0</v>
      </c>
      <c r="V229" s="1063"/>
      <c r="W229" s="1049"/>
      <c r="X229" s="1049"/>
      <c r="Y229" s="1049"/>
      <c r="Z229" s="1049"/>
      <c r="AA229" s="1066"/>
      <c r="AT229" s="418">
        <v>0</v>
      </c>
      <c r="AU229" s="418">
        <v>0</v>
      </c>
      <c r="AV229" s="418">
        <v>0</v>
      </c>
      <c r="AW229" s="418">
        <v>0</v>
      </c>
      <c r="AX229" s="418">
        <v>0</v>
      </c>
      <c r="AY229" s="418">
        <v>0</v>
      </c>
      <c r="AZ229" s="418">
        <v>0</v>
      </c>
      <c r="BA229" s="418">
        <v>0</v>
      </c>
      <c r="BB229" s="418">
        <v>0</v>
      </c>
      <c r="BC229" s="418">
        <v>0</v>
      </c>
      <c r="BD229" s="418">
        <v>0</v>
      </c>
      <c r="BE229" s="418">
        <v>0</v>
      </c>
      <c r="BF229" s="418">
        <v>0</v>
      </c>
      <c r="BG229" s="418">
        <v>0</v>
      </c>
      <c r="BH229" s="418">
        <v>0</v>
      </c>
      <c r="BI229" s="418">
        <v>0</v>
      </c>
      <c r="BJ229" s="418">
        <v>0</v>
      </c>
      <c r="BK229" s="418">
        <v>0</v>
      </c>
      <c r="BL229" s="418">
        <v>0</v>
      </c>
      <c r="BM229" s="418">
        <v>0</v>
      </c>
      <c r="BN229" s="418">
        <v>0</v>
      </c>
      <c r="BO229" s="418">
        <v>0</v>
      </c>
      <c r="BP229" s="418">
        <v>0</v>
      </c>
      <c r="BQ229" s="418">
        <v>0</v>
      </c>
      <c r="BR229" s="418">
        <v>0</v>
      </c>
      <c r="BS229" s="418">
        <v>0</v>
      </c>
      <c r="BT229" s="418">
        <v>0</v>
      </c>
      <c r="BU229" s="418">
        <v>0</v>
      </c>
      <c r="BV229" s="418">
        <v>0</v>
      </c>
      <c r="BW229" s="418">
        <v>0</v>
      </c>
      <c r="BX229" s="418">
        <v>0</v>
      </c>
      <c r="BY229" s="418">
        <v>0</v>
      </c>
      <c r="BZ229" s="418">
        <v>0</v>
      </c>
      <c r="CA229" s="418">
        <v>0</v>
      </c>
      <c r="CB229" s="418">
        <v>0</v>
      </c>
    </row>
    <row r="230" spans="1:80" s="418" customFormat="1" x14ac:dyDescent="0.3">
      <c r="A230" s="1052">
        <v>580</v>
      </c>
      <c r="B230" s="1049"/>
      <c r="C230" s="1056">
        <v>580</v>
      </c>
      <c r="D230" s="1052" t="s">
        <v>630</v>
      </c>
      <c r="E230" s="1052" t="s">
        <v>631</v>
      </c>
      <c r="F230" s="1063">
        <v>0</v>
      </c>
      <c r="G230" s="1063">
        <v>0</v>
      </c>
      <c r="H230" s="1063">
        <v>0</v>
      </c>
      <c r="I230" s="1063">
        <v>0</v>
      </c>
      <c r="J230" s="1063">
        <v>0</v>
      </c>
      <c r="K230" s="1063">
        <v>0</v>
      </c>
      <c r="L230" s="1063">
        <v>0</v>
      </c>
      <c r="M230" s="1063">
        <v>0</v>
      </c>
      <c r="N230" s="1063">
        <v>0</v>
      </c>
      <c r="O230" s="1063">
        <v>0</v>
      </c>
      <c r="P230" s="1063">
        <v>0</v>
      </c>
      <c r="Q230" s="1063">
        <v>0</v>
      </c>
      <c r="R230" s="1063">
        <v>0</v>
      </c>
      <c r="S230" s="1063">
        <v>0</v>
      </c>
      <c r="T230" s="1063">
        <v>0</v>
      </c>
      <c r="U230" s="1063">
        <v>0</v>
      </c>
      <c r="V230" s="1063"/>
      <c r="W230" s="1049"/>
      <c r="X230" s="1049"/>
      <c r="Y230" s="1049"/>
      <c r="Z230" s="1049"/>
      <c r="AA230" s="1066"/>
      <c r="AT230" s="418">
        <v>0</v>
      </c>
      <c r="AU230" s="418">
        <v>0</v>
      </c>
      <c r="AV230" s="418">
        <v>0</v>
      </c>
      <c r="AW230" s="418">
        <v>0</v>
      </c>
      <c r="AX230" s="418">
        <v>0</v>
      </c>
      <c r="AY230" s="418">
        <v>0</v>
      </c>
      <c r="AZ230" s="418">
        <v>0</v>
      </c>
      <c r="BA230" s="418">
        <v>0</v>
      </c>
      <c r="BB230" s="418">
        <v>0</v>
      </c>
      <c r="BC230" s="418">
        <v>0</v>
      </c>
      <c r="BD230" s="418">
        <v>0</v>
      </c>
      <c r="BE230" s="418">
        <v>0</v>
      </c>
      <c r="BF230" s="418">
        <v>0</v>
      </c>
      <c r="BG230" s="418">
        <v>0</v>
      </c>
      <c r="BH230" s="418">
        <v>0</v>
      </c>
      <c r="BI230" s="418">
        <v>0</v>
      </c>
      <c r="BJ230" s="418">
        <v>0</v>
      </c>
      <c r="BK230" s="418">
        <v>0</v>
      </c>
      <c r="BL230" s="418">
        <v>0</v>
      </c>
      <c r="BM230" s="418">
        <v>0</v>
      </c>
      <c r="BN230" s="418">
        <v>0</v>
      </c>
      <c r="BO230" s="418">
        <v>0</v>
      </c>
      <c r="BP230" s="418">
        <v>0</v>
      </c>
      <c r="BQ230" s="418">
        <v>0</v>
      </c>
      <c r="BR230" s="418">
        <v>0</v>
      </c>
      <c r="BS230" s="418">
        <v>0</v>
      </c>
      <c r="BT230" s="418">
        <v>0</v>
      </c>
      <c r="BU230" s="418">
        <v>0</v>
      </c>
      <c r="BV230" s="418">
        <v>0</v>
      </c>
      <c r="BW230" s="418">
        <v>0</v>
      </c>
      <c r="BX230" s="418">
        <v>0</v>
      </c>
      <c r="BY230" s="418">
        <v>0</v>
      </c>
      <c r="BZ230" s="418">
        <v>0</v>
      </c>
      <c r="CA230" s="418">
        <v>0</v>
      </c>
      <c r="CB230" s="418">
        <v>0</v>
      </c>
    </row>
    <row r="231" spans="1:80" s="418" customFormat="1" x14ac:dyDescent="0.3">
      <c r="A231" s="1052">
        <v>581</v>
      </c>
      <c r="B231" s="1049"/>
      <c r="C231" s="1056">
        <v>581</v>
      </c>
      <c r="D231" s="1052" t="s">
        <v>632</v>
      </c>
      <c r="E231" s="1052" t="s">
        <v>633</v>
      </c>
      <c r="F231" s="1063">
        <v>0</v>
      </c>
      <c r="G231" s="1063">
        <v>0</v>
      </c>
      <c r="H231" s="1063">
        <v>0</v>
      </c>
      <c r="I231" s="1063">
        <v>0</v>
      </c>
      <c r="J231" s="1063">
        <v>0</v>
      </c>
      <c r="K231" s="1063">
        <v>0</v>
      </c>
      <c r="L231" s="1063">
        <v>0</v>
      </c>
      <c r="M231" s="1063">
        <v>0</v>
      </c>
      <c r="N231" s="1063">
        <v>0</v>
      </c>
      <c r="O231" s="1063">
        <v>0</v>
      </c>
      <c r="P231" s="1063">
        <v>0</v>
      </c>
      <c r="Q231" s="1063">
        <v>0</v>
      </c>
      <c r="R231" s="1063">
        <v>0</v>
      </c>
      <c r="S231" s="1063">
        <v>0</v>
      </c>
      <c r="T231" s="1063">
        <v>0</v>
      </c>
      <c r="U231" s="1063">
        <v>0</v>
      </c>
      <c r="V231" s="1063"/>
      <c r="W231" s="1049"/>
      <c r="X231" s="1049"/>
      <c r="Y231" s="1049"/>
      <c r="Z231" s="1049"/>
      <c r="AA231" s="1066"/>
      <c r="AT231" s="418">
        <v>0</v>
      </c>
      <c r="AU231" s="418">
        <v>0</v>
      </c>
      <c r="AV231" s="418">
        <v>893312</v>
      </c>
      <c r="AW231" s="418">
        <v>0</v>
      </c>
      <c r="AX231" s="418">
        <v>0</v>
      </c>
      <c r="AY231" s="418">
        <v>0</v>
      </c>
      <c r="AZ231" s="418">
        <v>0</v>
      </c>
      <c r="BA231" s="418">
        <v>0</v>
      </c>
      <c r="BB231" s="418">
        <v>0</v>
      </c>
      <c r="BC231" s="418">
        <v>0</v>
      </c>
      <c r="BD231" s="418">
        <v>0</v>
      </c>
      <c r="BE231" s="418">
        <v>0</v>
      </c>
      <c r="BF231" s="418">
        <v>0</v>
      </c>
      <c r="BG231" s="418">
        <v>0</v>
      </c>
      <c r="BH231" s="418">
        <v>0</v>
      </c>
      <c r="BI231" s="418">
        <v>0</v>
      </c>
      <c r="BJ231" s="418">
        <v>0</v>
      </c>
      <c r="BK231" s="418">
        <v>0</v>
      </c>
      <c r="BL231" s="418">
        <v>0</v>
      </c>
      <c r="BM231" s="418">
        <v>0</v>
      </c>
      <c r="BN231" s="418">
        <v>0</v>
      </c>
      <c r="BO231" s="418">
        <v>0</v>
      </c>
      <c r="BP231" s="418">
        <v>0</v>
      </c>
      <c r="BQ231" s="418">
        <v>0</v>
      </c>
      <c r="BR231" s="418">
        <v>0</v>
      </c>
      <c r="BS231" s="418">
        <v>0</v>
      </c>
      <c r="BT231" s="418">
        <v>0</v>
      </c>
      <c r="BU231" s="418">
        <v>0</v>
      </c>
      <c r="BV231" s="418">
        <v>0</v>
      </c>
      <c r="BW231" s="418">
        <v>0</v>
      </c>
      <c r="BX231" s="418">
        <v>0</v>
      </c>
      <c r="BY231" s="418">
        <v>0</v>
      </c>
      <c r="BZ231" s="418">
        <v>0</v>
      </c>
      <c r="CA231" s="418">
        <v>0</v>
      </c>
      <c r="CB231" s="418">
        <v>0</v>
      </c>
    </row>
    <row r="232" spans="1:80" s="418" customFormat="1" x14ac:dyDescent="0.3">
      <c r="A232" s="1052">
        <v>582</v>
      </c>
      <c r="B232" s="1049"/>
      <c r="C232" s="1056">
        <v>582</v>
      </c>
      <c r="D232" s="1052" t="s">
        <v>634</v>
      </c>
      <c r="E232" s="1052" t="s">
        <v>635</v>
      </c>
      <c r="F232" s="1063">
        <v>0</v>
      </c>
      <c r="G232" s="1063">
        <v>0</v>
      </c>
      <c r="H232" s="1063">
        <v>0</v>
      </c>
      <c r="I232" s="1063">
        <v>0</v>
      </c>
      <c r="J232" s="1063">
        <v>0</v>
      </c>
      <c r="K232" s="1063">
        <v>0</v>
      </c>
      <c r="L232" s="1063">
        <v>0</v>
      </c>
      <c r="M232" s="1063">
        <v>0</v>
      </c>
      <c r="N232" s="1063">
        <v>0</v>
      </c>
      <c r="O232" s="1063">
        <v>0</v>
      </c>
      <c r="P232" s="1063">
        <v>0</v>
      </c>
      <c r="Q232" s="1063">
        <v>0</v>
      </c>
      <c r="R232" s="1063">
        <v>0</v>
      </c>
      <c r="S232" s="1063">
        <v>0</v>
      </c>
      <c r="T232" s="1063">
        <v>0</v>
      </c>
      <c r="U232" s="1063">
        <v>0</v>
      </c>
      <c r="V232" s="1063"/>
      <c r="W232" s="1049"/>
      <c r="X232" s="1049"/>
      <c r="Y232" s="1049"/>
      <c r="Z232" s="1049"/>
      <c r="AA232" s="1066"/>
    </row>
    <row r="233" spans="1:80" s="418" customFormat="1" x14ac:dyDescent="0.3">
      <c r="A233" s="1052">
        <v>583</v>
      </c>
      <c r="B233" s="1049"/>
      <c r="C233" s="1056">
        <v>583</v>
      </c>
      <c r="D233" s="1052" t="s">
        <v>636</v>
      </c>
      <c r="E233" s="1052" t="s">
        <v>637</v>
      </c>
      <c r="F233" s="1063">
        <v>0</v>
      </c>
      <c r="G233" s="1063">
        <v>0</v>
      </c>
      <c r="H233" s="1063">
        <v>0</v>
      </c>
      <c r="I233" s="1063">
        <v>0</v>
      </c>
      <c r="J233" s="1063">
        <v>0</v>
      </c>
      <c r="K233" s="1063">
        <v>0</v>
      </c>
      <c r="L233" s="1063">
        <v>0</v>
      </c>
      <c r="M233" s="1063">
        <v>0</v>
      </c>
      <c r="N233" s="1063">
        <v>0</v>
      </c>
      <c r="O233" s="1063">
        <v>0</v>
      </c>
      <c r="P233" s="1063">
        <v>0</v>
      </c>
      <c r="Q233" s="1063">
        <v>0</v>
      </c>
      <c r="R233" s="1063">
        <v>0</v>
      </c>
      <c r="S233" s="1063">
        <v>0</v>
      </c>
      <c r="T233" s="1063">
        <v>0</v>
      </c>
      <c r="U233" s="1063">
        <v>0</v>
      </c>
      <c r="V233" s="1063"/>
      <c r="W233" s="1049"/>
      <c r="X233" s="1049"/>
      <c r="Y233" s="1049"/>
      <c r="Z233" s="1049"/>
      <c r="AA233" s="1066"/>
    </row>
    <row r="234" spans="1:80" s="418" customFormat="1" x14ac:dyDescent="0.3">
      <c r="A234" s="1052">
        <v>584</v>
      </c>
      <c r="B234" s="1049"/>
      <c r="C234" s="1056">
        <v>584</v>
      </c>
      <c r="D234" s="1052" t="s">
        <v>638</v>
      </c>
      <c r="E234" s="1052" t="s">
        <v>639</v>
      </c>
      <c r="F234" s="1063">
        <v>0</v>
      </c>
      <c r="G234" s="1063">
        <v>0</v>
      </c>
      <c r="H234" s="1063">
        <v>0</v>
      </c>
      <c r="I234" s="1063">
        <v>0</v>
      </c>
      <c r="J234" s="1063">
        <v>0</v>
      </c>
      <c r="K234" s="1063">
        <v>0</v>
      </c>
      <c r="L234" s="1063">
        <v>0</v>
      </c>
      <c r="M234" s="1063">
        <v>0</v>
      </c>
      <c r="N234" s="1063">
        <v>0</v>
      </c>
      <c r="O234" s="1063">
        <v>0</v>
      </c>
      <c r="P234" s="1063">
        <v>0</v>
      </c>
      <c r="Q234" s="1063">
        <v>0</v>
      </c>
      <c r="R234" s="1063">
        <v>0</v>
      </c>
      <c r="S234" s="1063">
        <v>0</v>
      </c>
      <c r="T234" s="1063">
        <v>0</v>
      </c>
      <c r="U234" s="1063">
        <v>0</v>
      </c>
      <c r="V234" s="1063"/>
      <c r="W234" s="1049"/>
      <c r="X234" s="1049"/>
      <c r="Y234" s="1049"/>
      <c r="Z234" s="1049"/>
      <c r="AA234" s="1066"/>
    </row>
    <row r="235" spans="1:80" s="418" customFormat="1" x14ac:dyDescent="0.3">
      <c r="A235" s="1052">
        <v>585</v>
      </c>
      <c r="B235" s="1049"/>
      <c r="C235" s="1056">
        <v>585</v>
      </c>
      <c r="D235" s="1052" t="s">
        <v>640</v>
      </c>
      <c r="E235" s="1052" t="s">
        <v>641</v>
      </c>
      <c r="F235" s="1063">
        <v>0</v>
      </c>
      <c r="G235" s="1063">
        <v>0</v>
      </c>
      <c r="H235" s="1063">
        <v>0</v>
      </c>
      <c r="I235" s="1063">
        <v>0</v>
      </c>
      <c r="J235" s="1063">
        <v>0</v>
      </c>
      <c r="K235" s="1063">
        <v>0</v>
      </c>
      <c r="L235" s="1063">
        <v>0</v>
      </c>
      <c r="M235" s="1063">
        <v>0</v>
      </c>
      <c r="N235" s="1063">
        <v>0</v>
      </c>
      <c r="O235" s="1063">
        <v>0</v>
      </c>
      <c r="P235" s="1063">
        <v>0</v>
      </c>
      <c r="Q235" s="1063">
        <v>0</v>
      </c>
      <c r="R235" s="1063">
        <v>0</v>
      </c>
      <c r="S235" s="1063">
        <v>0</v>
      </c>
      <c r="T235" s="1063">
        <v>0</v>
      </c>
      <c r="U235" s="1063">
        <v>0</v>
      </c>
      <c r="V235" s="1063"/>
      <c r="W235" s="1049"/>
      <c r="X235" s="1049"/>
      <c r="Y235" s="1049"/>
      <c r="Z235" s="1049"/>
      <c r="AA235" s="1066"/>
    </row>
    <row r="236" spans="1:80" s="418" customFormat="1" x14ac:dyDescent="0.3">
      <c r="A236" s="1052">
        <v>586</v>
      </c>
      <c r="B236" s="1049"/>
      <c r="C236" s="1056">
        <v>586</v>
      </c>
      <c r="D236" s="1052" t="s">
        <v>642</v>
      </c>
      <c r="E236" s="1052" t="s">
        <v>643</v>
      </c>
      <c r="F236" s="1063">
        <v>0</v>
      </c>
      <c r="G236" s="1063">
        <v>0</v>
      </c>
      <c r="H236" s="1063">
        <v>0</v>
      </c>
      <c r="I236" s="1063">
        <v>0</v>
      </c>
      <c r="J236" s="1063">
        <v>0</v>
      </c>
      <c r="K236" s="1063">
        <v>0</v>
      </c>
      <c r="L236" s="1063">
        <v>0</v>
      </c>
      <c r="M236" s="1063">
        <v>0</v>
      </c>
      <c r="N236" s="1063">
        <v>0</v>
      </c>
      <c r="O236" s="1063">
        <v>0</v>
      </c>
      <c r="P236" s="1063">
        <v>0</v>
      </c>
      <c r="Q236" s="1063">
        <v>0</v>
      </c>
      <c r="R236" s="1063">
        <v>0</v>
      </c>
      <c r="S236" s="1063">
        <v>0</v>
      </c>
      <c r="T236" s="1063">
        <v>0</v>
      </c>
      <c r="U236" s="1063">
        <v>0</v>
      </c>
      <c r="V236" s="1063"/>
      <c r="W236" s="1049"/>
      <c r="X236" s="1049"/>
      <c r="Y236" s="1049"/>
      <c r="Z236" s="1049"/>
      <c r="AA236" s="1066"/>
      <c r="AT236" s="418">
        <v>0</v>
      </c>
      <c r="AU236" s="418">
        <v>0</v>
      </c>
      <c r="AV236" s="418">
        <v>0</v>
      </c>
      <c r="AW236" s="418">
        <v>0</v>
      </c>
      <c r="AX236" s="418">
        <v>0</v>
      </c>
      <c r="AY236" s="418">
        <v>0</v>
      </c>
      <c r="AZ236" s="418">
        <v>0</v>
      </c>
      <c r="BA236" s="418">
        <v>0</v>
      </c>
      <c r="BB236" s="418">
        <v>0</v>
      </c>
      <c r="BC236" s="418">
        <v>0</v>
      </c>
      <c r="BD236" s="418">
        <v>0</v>
      </c>
      <c r="BE236" s="418">
        <v>0</v>
      </c>
      <c r="BF236" s="418">
        <v>0</v>
      </c>
      <c r="BG236" s="418">
        <v>0</v>
      </c>
      <c r="BH236" s="418">
        <v>0</v>
      </c>
      <c r="BI236" s="418">
        <v>0</v>
      </c>
      <c r="BJ236" s="418">
        <v>0</v>
      </c>
      <c r="BK236" s="418">
        <v>0</v>
      </c>
      <c r="BL236" s="418">
        <v>0</v>
      </c>
      <c r="BM236" s="418">
        <v>0</v>
      </c>
      <c r="BN236" s="418">
        <v>0</v>
      </c>
      <c r="BO236" s="418">
        <v>0</v>
      </c>
      <c r="BP236" s="418">
        <v>0</v>
      </c>
      <c r="BQ236" s="418">
        <v>0</v>
      </c>
      <c r="BR236" s="418">
        <v>0</v>
      </c>
      <c r="BS236" s="418">
        <v>0</v>
      </c>
      <c r="BT236" s="418">
        <v>0</v>
      </c>
      <c r="BU236" s="418">
        <v>0</v>
      </c>
      <c r="BV236" s="418">
        <v>0</v>
      </c>
      <c r="BW236" s="418">
        <v>0</v>
      </c>
      <c r="BX236" s="418">
        <v>0</v>
      </c>
      <c r="BY236" s="418">
        <v>0</v>
      </c>
      <c r="BZ236" s="418">
        <v>0</v>
      </c>
      <c r="CA236" s="418">
        <v>0</v>
      </c>
      <c r="CB236" s="418">
        <v>0</v>
      </c>
    </row>
    <row r="237" spans="1:80" s="418" customFormat="1" x14ac:dyDescent="0.3">
      <c r="A237" s="1052">
        <v>587</v>
      </c>
      <c r="B237" s="1049"/>
      <c r="C237" s="1056">
        <v>587</v>
      </c>
      <c r="D237" s="1052" t="s">
        <v>644</v>
      </c>
      <c r="E237" s="1052" t="s">
        <v>645</v>
      </c>
      <c r="F237" s="1063">
        <v>0</v>
      </c>
      <c r="G237" s="1063">
        <v>0</v>
      </c>
      <c r="H237" s="1063">
        <v>0</v>
      </c>
      <c r="I237" s="1063">
        <v>0</v>
      </c>
      <c r="J237" s="1063">
        <v>0</v>
      </c>
      <c r="K237" s="1063">
        <v>0</v>
      </c>
      <c r="L237" s="1063">
        <v>0</v>
      </c>
      <c r="M237" s="1063">
        <v>0</v>
      </c>
      <c r="N237" s="1063">
        <v>0</v>
      </c>
      <c r="O237" s="1063">
        <v>0</v>
      </c>
      <c r="P237" s="1063">
        <v>0</v>
      </c>
      <c r="Q237" s="1063">
        <v>0</v>
      </c>
      <c r="R237" s="1063">
        <v>0</v>
      </c>
      <c r="S237" s="1063">
        <v>0</v>
      </c>
      <c r="T237" s="1063">
        <v>0</v>
      </c>
      <c r="U237" s="1063">
        <v>0</v>
      </c>
      <c r="V237" s="1063"/>
      <c r="W237" s="1049"/>
      <c r="X237" s="1049"/>
      <c r="Y237" s="1049"/>
      <c r="Z237" s="1049"/>
      <c r="AA237" s="1066"/>
    </row>
    <row r="238" spans="1:80" s="418" customFormat="1" x14ac:dyDescent="0.3">
      <c r="A238" s="1052">
        <v>588</v>
      </c>
      <c r="B238" s="1049"/>
      <c r="C238" s="1056">
        <v>588</v>
      </c>
      <c r="D238" s="1052" t="s">
        <v>646</v>
      </c>
      <c r="E238" s="1052" t="s">
        <v>647</v>
      </c>
      <c r="F238" s="1063">
        <v>0</v>
      </c>
      <c r="G238" s="1063">
        <v>0</v>
      </c>
      <c r="H238" s="1063">
        <v>0</v>
      </c>
      <c r="I238" s="1063">
        <v>0</v>
      </c>
      <c r="J238" s="1063">
        <v>0</v>
      </c>
      <c r="K238" s="1063">
        <v>0</v>
      </c>
      <c r="L238" s="1063">
        <v>0</v>
      </c>
      <c r="M238" s="1063">
        <v>0</v>
      </c>
      <c r="N238" s="1063">
        <v>0</v>
      </c>
      <c r="O238" s="1063">
        <v>0</v>
      </c>
      <c r="P238" s="1063">
        <v>0</v>
      </c>
      <c r="Q238" s="1063">
        <v>0</v>
      </c>
      <c r="R238" s="1063">
        <v>0</v>
      </c>
      <c r="S238" s="1063">
        <v>0</v>
      </c>
      <c r="T238" s="1063">
        <v>0</v>
      </c>
      <c r="U238" s="1063">
        <v>0</v>
      </c>
      <c r="V238" s="1063"/>
      <c r="W238" s="1049"/>
      <c r="X238" s="1049"/>
      <c r="Y238" s="1049"/>
      <c r="Z238" s="1049"/>
      <c r="AA238" s="1066"/>
    </row>
    <row r="239" spans="1:80" s="418" customFormat="1" x14ac:dyDescent="0.3">
      <c r="A239" s="1052">
        <v>589</v>
      </c>
      <c r="B239" s="1049"/>
      <c r="C239" s="1056">
        <v>589</v>
      </c>
      <c r="D239" s="1052" t="s">
        <v>648</v>
      </c>
      <c r="E239" s="1052" t="s">
        <v>649</v>
      </c>
      <c r="F239" s="1063">
        <v>0</v>
      </c>
      <c r="G239" s="1063">
        <v>0</v>
      </c>
      <c r="H239" s="1063">
        <v>0</v>
      </c>
      <c r="I239" s="1063">
        <v>0</v>
      </c>
      <c r="J239" s="1063">
        <v>0</v>
      </c>
      <c r="K239" s="1063">
        <v>0</v>
      </c>
      <c r="L239" s="1063">
        <v>0</v>
      </c>
      <c r="M239" s="1063">
        <v>0</v>
      </c>
      <c r="N239" s="1063">
        <v>0</v>
      </c>
      <c r="O239" s="1063">
        <v>0</v>
      </c>
      <c r="P239" s="1063">
        <v>0</v>
      </c>
      <c r="Q239" s="1063">
        <v>0</v>
      </c>
      <c r="R239" s="1063">
        <v>0</v>
      </c>
      <c r="S239" s="1063">
        <v>0</v>
      </c>
      <c r="T239" s="1063">
        <v>0</v>
      </c>
      <c r="U239" s="1063">
        <v>0</v>
      </c>
      <c r="V239" s="1063"/>
      <c r="W239" s="1049"/>
      <c r="X239" s="1049"/>
      <c r="Y239" s="1049"/>
      <c r="Z239" s="1049"/>
      <c r="AA239" s="1066"/>
    </row>
    <row r="240" spans="1:80" s="418" customFormat="1" ht="57.6" x14ac:dyDescent="0.3">
      <c r="A240" s="1052">
        <v>590</v>
      </c>
      <c r="B240" s="1049"/>
      <c r="C240" s="1056">
        <v>590</v>
      </c>
      <c r="D240" s="1081" t="s">
        <v>650</v>
      </c>
      <c r="E240" s="1052" t="s">
        <v>651</v>
      </c>
      <c r="F240" s="1063">
        <v>0</v>
      </c>
      <c r="G240" s="1063">
        <v>0</v>
      </c>
      <c r="H240" s="1063">
        <v>0</v>
      </c>
      <c r="I240" s="1063">
        <v>0</v>
      </c>
      <c r="J240" s="1063">
        <v>0</v>
      </c>
      <c r="K240" s="1063">
        <v>0</v>
      </c>
      <c r="L240" s="1063">
        <v>0</v>
      </c>
      <c r="M240" s="1063">
        <v>0</v>
      </c>
      <c r="N240" s="1063">
        <v>0</v>
      </c>
      <c r="O240" s="1063">
        <v>0</v>
      </c>
      <c r="P240" s="1063">
        <v>0</v>
      </c>
      <c r="Q240" s="1063">
        <v>0</v>
      </c>
      <c r="R240" s="1063">
        <v>0</v>
      </c>
      <c r="S240" s="1063">
        <v>0</v>
      </c>
      <c r="T240" s="1063">
        <v>0</v>
      </c>
      <c r="U240" s="1063">
        <v>0</v>
      </c>
      <c r="V240" s="1063"/>
      <c r="W240" s="1049"/>
      <c r="X240" s="1049"/>
      <c r="Y240" s="1049"/>
      <c r="Z240" s="1049"/>
      <c r="AA240" s="1066"/>
    </row>
    <row r="241" spans="1:80" s="418" customFormat="1" ht="27" x14ac:dyDescent="0.3">
      <c r="A241" s="1052">
        <v>992</v>
      </c>
      <c r="B241" s="1053">
        <v>992</v>
      </c>
      <c r="C241" s="1060" t="s">
        <v>1860</v>
      </c>
      <c r="D241" s="1082" t="s">
        <v>1750</v>
      </c>
      <c r="E241" s="1062" t="s">
        <v>602</v>
      </c>
      <c r="F241" s="1063">
        <v>0</v>
      </c>
      <c r="G241" s="1063">
        <v>2</v>
      </c>
      <c r="H241" s="1063">
        <v>0</v>
      </c>
      <c r="I241" s="1063">
        <v>1</v>
      </c>
      <c r="J241" s="1063">
        <v>0</v>
      </c>
      <c r="K241" s="1063">
        <v>0</v>
      </c>
      <c r="L241" s="1063">
        <v>0</v>
      </c>
      <c r="M241" s="1063">
        <v>0</v>
      </c>
      <c r="N241" s="1063">
        <v>1</v>
      </c>
      <c r="O241" s="1063">
        <v>3</v>
      </c>
      <c r="P241" s="1063">
        <v>2</v>
      </c>
      <c r="Q241" s="1063">
        <v>0</v>
      </c>
      <c r="R241" s="1063">
        <v>3</v>
      </c>
      <c r="S241" s="1063">
        <v>2</v>
      </c>
      <c r="T241" s="1063">
        <v>1</v>
      </c>
      <c r="U241" s="1063">
        <v>1</v>
      </c>
      <c r="V241" s="1063"/>
      <c r="W241" s="1049"/>
      <c r="X241" s="1049"/>
      <c r="Y241" s="1049"/>
      <c r="Z241" s="1049"/>
      <c r="AA241" s="1066"/>
    </row>
    <row r="242" spans="1:80" s="421" customFormat="1" ht="15.6" x14ac:dyDescent="0.3">
      <c r="A242" s="1052">
        <v>993</v>
      </c>
      <c r="B242" s="1053">
        <v>993</v>
      </c>
      <c r="C242" s="1083">
        <v>993</v>
      </c>
      <c r="D242" s="1084" t="s">
        <v>515</v>
      </c>
      <c r="E242" s="1085" t="s">
        <v>516</v>
      </c>
      <c r="F242" s="1086">
        <v>0</v>
      </c>
      <c r="G242" s="1066">
        <v>0</v>
      </c>
      <c r="H242" s="1086">
        <v>0</v>
      </c>
      <c r="I242" s="1086">
        <v>0</v>
      </c>
      <c r="J242" s="1086">
        <v>0</v>
      </c>
      <c r="K242" s="1086">
        <v>0</v>
      </c>
      <c r="L242" s="1086">
        <v>0</v>
      </c>
      <c r="M242" s="1086">
        <v>0</v>
      </c>
      <c r="N242" s="1086">
        <v>0</v>
      </c>
      <c r="O242" s="1086">
        <v>0</v>
      </c>
      <c r="P242" s="1086">
        <v>0</v>
      </c>
      <c r="Q242" s="1086">
        <v>0</v>
      </c>
      <c r="R242" s="1086">
        <v>0</v>
      </c>
      <c r="S242" s="1086">
        <v>0</v>
      </c>
      <c r="T242" s="1086">
        <v>0</v>
      </c>
      <c r="U242" s="1086">
        <v>0</v>
      </c>
      <c r="V242" s="1086"/>
      <c r="W242" s="1049"/>
      <c r="X242" s="1049"/>
      <c r="Y242" s="1049"/>
      <c r="Z242" s="1049"/>
      <c r="AA242" s="1066"/>
    </row>
    <row r="243" spans="1:80" s="421" customFormat="1" ht="15.6" x14ac:dyDescent="0.3">
      <c r="A243" s="1052">
        <v>994</v>
      </c>
      <c r="B243" s="1053">
        <v>994</v>
      </c>
      <c r="C243" s="1083">
        <v>994</v>
      </c>
      <c r="D243" s="1084" t="s">
        <v>517</v>
      </c>
      <c r="E243" s="1085" t="s">
        <v>518</v>
      </c>
      <c r="F243" s="1086">
        <v>0</v>
      </c>
      <c r="G243" s="1066">
        <v>0</v>
      </c>
      <c r="H243" s="1086">
        <v>0</v>
      </c>
      <c r="I243" s="1086">
        <v>0</v>
      </c>
      <c r="J243" s="1086">
        <v>0</v>
      </c>
      <c r="K243" s="1086">
        <v>0</v>
      </c>
      <c r="L243" s="1086">
        <v>0</v>
      </c>
      <c r="M243" s="1086">
        <v>0</v>
      </c>
      <c r="N243" s="1086">
        <v>0</v>
      </c>
      <c r="O243" s="1086">
        <v>0</v>
      </c>
      <c r="P243" s="1086">
        <v>0</v>
      </c>
      <c r="Q243" s="1086">
        <v>0</v>
      </c>
      <c r="R243" s="1086">
        <v>0</v>
      </c>
      <c r="S243" s="1086">
        <v>0</v>
      </c>
      <c r="T243" s="1086">
        <v>0</v>
      </c>
      <c r="U243" s="1086">
        <v>0</v>
      </c>
      <c r="V243" s="1086"/>
      <c r="W243" s="1049"/>
      <c r="X243" s="1049"/>
      <c r="Y243" s="1049"/>
      <c r="Z243" s="1049"/>
      <c r="AA243" s="1066"/>
    </row>
    <row r="244" spans="1:80" s="421" customFormat="1" ht="27.6" x14ac:dyDescent="0.3">
      <c r="A244" s="1052">
        <v>995</v>
      </c>
      <c r="B244" s="1049"/>
      <c r="C244" s="1087">
        <v>995</v>
      </c>
      <c r="D244" s="1084" t="s">
        <v>519</v>
      </c>
      <c r="E244" s="1085" t="s">
        <v>520</v>
      </c>
      <c r="F244" s="1063">
        <v>0</v>
      </c>
      <c r="G244" s="1063">
        <v>0</v>
      </c>
      <c r="H244" s="1063">
        <v>0</v>
      </c>
      <c r="I244" s="1063">
        <v>0</v>
      </c>
      <c r="J244" s="1063">
        <v>0</v>
      </c>
      <c r="K244" s="1063">
        <v>0</v>
      </c>
      <c r="L244" s="1063">
        <v>0</v>
      </c>
      <c r="M244" s="1063">
        <v>0</v>
      </c>
      <c r="N244" s="1063">
        <v>0</v>
      </c>
      <c r="O244" s="1063">
        <v>0</v>
      </c>
      <c r="P244" s="1063">
        <v>0</v>
      </c>
      <c r="Q244" s="1063">
        <v>0</v>
      </c>
      <c r="R244" s="1063">
        <v>0</v>
      </c>
      <c r="S244" s="1063">
        <v>0</v>
      </c>
      <c r="T244" s="1063">
        <v>0</v>
      </c>
      <c r="U244" s="1063">
        <v>0</v>
      </c>
      <c r="V244" s="1063"/>
      <c r="W244" s="1049"/>
      <c r="X244" s="1049"/>
      <c r="Y244" s="1049"/>
      <c r="Z244" s="1049"/>
      <c r="AA244" s="1066"/>
      <c r="AT244" s="421">
        <v>0</v>
      </c>
      <c r="AU244" s="421">
        <v>0</v>
      </c>
      <c r="AV244" s="421">
        <v>7.0000000000000007E-2</v>
      </c>
      <c r="AW244" s="421">
        <v>0</v>
      </c>
      <c r="AX244" s="421">
        <v>0</v>
      </c>
      <c r="AY244" s="421">
        <v>0</v>
      </c>
      <c r="AZ244" s="421">
        <v>0</v>
      </c>
      <c r="BA244" s="421">
        <v>0.08</v>
      </c>
      <c r="BB244" s="421">
        <v>0</v>
      </c>
      <c r="BC244" s="421">
        <v>0</v>
      </c>
      <c r="BD244" s="421">
        <v>0.09</v>
      </c>
      <c r="BE244" s="421">
        <v>0</v>
      </c>
      <c r="BF244" s="421">
        <v>0.08</v>
      </c>
      <c r="BG244" s="421">
        <v>0.09</v>
      </c>
      <c r="BH244" s="421">
        <v>0</v>
      </c>
      <c r="BI244" s="421">
        <v>0</v>
      </c>
      <c r="BJ244" s="421">
        <v>0</v>
      </c>
      <c r="BK244" s="421">
        <v>0</v>
      </c>
      <c r="BL244" s="421">
        <v>7.0000000000000007E-2</v>
      </c>
      <c r="BM244" s="421">
        <v>0</v>
      </c>
      <c r="BN244" s="421">
        <v>0</v>
      </c>
      <c r="BO244" s="421">
        <v>0</v>
      </c>
      <c r="BP244" s="421">
        <v>0</v>
      </c>
      <c r="BQ244" s="421">
        <v>0</v>
      </c>
      <c r="BR244" s="421">
        <v>0</v>
      </c>
      <c r="BS244" s="421">
        <v>0</v>
      </c>
      <c r="BT244" s="421">
        <v>0</v>
      </c>
      <c r="BU244" s="421">
        <v>0</v>
      </c>
      <c r="BV244" s="421">
        <v>0</v>
      </c>
      <c r="BW244" s="421">
        <v>0</v>
      </c>
      <c r="BX244" s="421">
        <v>0</v>
      </c>
      <c r="BY244" s="421">
        <v>0</v>
      </c>
      <c r="BZ244" s="421">
        <v>0</v>
      </c>
      <c r="CA244" s="421">
        <v>0</v>
      </c>
      <c r="CB244" s="421">
        <v>0</v>
      </c>
    </row>
    <row r="245" spans="1:80" s="421" customFormat="1" ht="27.6" x14ac:dyDescent="0.3">
      <c r="A245" s="1052">
        <v>996</v>
      </c>
      <c r="B245" s="1049"/>
      <c r="C245" s="1088">
        <v>996</v>
      </c>
      <c r="D245" s="1084" t="s">
        <v>521</v>
      </c>
      <c r="E245" s="1085" t="s">
        <v>522</v>
      </c>
      <c r="F245" s="1063">
        <v>0</v>
      </c>
      <c r="G245" s="1063">
        <v>0</v>
      </c>
      <c r="H245" s="1063">
        <v>0</v>
      </c>
      <c r="I245" s="1063">
        <v>0</v>
      </c>
      <c r="J245" s="1063">
        <v>0</v>
      </c>
      <c r="K245" s="1063">
        <v>0</v>
      </c>
      <c r="L245" s="1063">
        <v>0</v>
      </c>
      <c r="M245" s="1063">
        <v>0</v>
      </c>
      <c r="N245" s="1063">
        <v>0</v>
      </c>
      <c r="O245" s="1063">
        <v>0</v>
      </c>
      <c r="P245" s="1063">
        <v>0</v>
      </c>
      <c r="Q245" s="1063">
        <v>0</v>
      </c>
      <c r="R245" s="1063">
        <v>0</v>
      </c>
      <c r="S245" s="1063">
        <v>0</v>
      </c>
      <c r="T245" s="1063">
        <v>0</v>
      </c>
      <c r="U245" s="1063">
        <v>0</v>
      </c>
      <c r="V245" s="1063"/>
      <c r="W245" s="1049"/>
      <c r="X245" s="1049"/>
      <c r="Y245" s="1049"/>
      <c r="Z245" s="1049"/>
      <c r="AA245" s="1066"/>
      <c r="AT245" s="421">
        <v>0.01</v>
      </c>
      <c r="AU245" s="421">
        <v>0.01</v>
      </c>
      <c r="AV245" s="421">
        <v>0.01</v>
      </c>
      <c r="AW245" s="421">
        <v>0.01</v>
      </c>
      <c r="AX245" s="421">
        <v>0.01</v>
      </c>
      <c r="AY245" s="421">
        <v>0.01</v>
      </c>
      <c r="AZ245" s="421">
        <v>0.01</v>
      </c>
      <c r="BA245" s="421">
        <v>0.01</v>
      </c>
      <c r="BB245" s="421">
        <v>0.01</v>
      </c>
      <c r="BC245" s="421">
        <v>0.01</v>
      </c>
      <c r="BD245" s="421">
        <v>0.01</v>
      </c>
      <c r="BE245" s="421">
        <v>0</v>
      </c>
      <c r="BF245" s="421">
        <v>0.01</v>
      </c>
      <c r="BG245" s="421">
        <v>0.01</v>
      </c>
      <c r="BH245" s="421">
        <v>0</v>
      </c>
      <c r="BI245" s="421">
        <v>0.01</v>
      </c>
      <c r="BJ245" s="421">
        <v>0.01</v>
      </c>
      <c r="BK245" s="421">
        <v>0.01</v>
      </c>
      <c r="BL245" s="421">
        <v>0.01</v>
      </c>
      <c r="BM245" s="421">
        <v>0.01</v>
      </c>
      <c r="BN245" s="421">
        <v>0</v>
      </c>
      <c r="BO245" s="421">
        <v>0.01</v>
      </c>
      <c r="BP245" s="421">
        <v>0.01</v>
      </c>
      <c r="BQ245" s="421">
        <v>0.01</v>
      </c>
      <c r="BR245" s="421">
        <v>0.01</v>
      </c>
      <c r="BS245" s="421">
        <v>0</v>
      </c>
      <c r="BT245" s="421">
        <v>0</v>
      </c>
      <c r="BU245" s="421">
        <v>0.01</v>
      </c>
      <c r="BV245" s="421">
        <v>0.01</v>
      </c>
      <c r="BW245" s="421">
        <v>0.01</v>
      </c>
      <c r="BX245" s="421">
        <v>0.01</v>
      </c>
      <c r="BY245" s="421">
        <v>0</v>
      </c>
      <c r="BZ245" s="421">
        <v>0</v>
      </c>
      <c r="CA245" s="421">
        <v>0.01</v>
      </c>
      <c r="CB245" s="421">
        <v>0</v>
      </c>
    </row>
    <row r="246" spans="1:80" s="418" customFormat="1" ht="27.6" x14ac:dyDescent="0.3">
      <c r="A246" s="1052">
        <v>997</v>
      </c>
      <c r="B246" s="1049"/>
      <c r="C246" s="1073" t="s">
        <v>1861</v>
      </c>
      <c r="D246" s="1071" t="s">
        <v>1862</v>
      </c>
      <c r="E246" s="1085" t="s">
        <v>1863</v>
      </c>
      <c r="F246" s="1063">
        <v>0</v>
      </c>
      <c r="G246" s="1063">
        <v>0</v>
      </c>
      <c r="H246" s="1063">
        <v>0</v>
      </c>
      <c r="I246" s="1063">
        <v>0</v>
      </c>
      <c r="J246" s="1063">
        <v>0</v>
      </c>
      <c r="K246" s="1063">
        <v>0</v>
      </c>
      <c r="L246" s="1063">
        <v>0</v>
      </c>
      <c r="M246" s="1063">
        <v>0</v>
      </c>
      <c r="N246" s="1063">
        <v>0</v>
      </c>
      <c r="O246" s="1063">
        <v>0</v>
      </c>
      <c r="P246" s="1063">
        <v>0</v>
      </c>
      <c r="Q246" s="1063">
        <v>0</v>
      </c>
      <c r="R246" s="1063">
        <v>0</v>
      </c>
      <c r="S246" s="1063">
        <v>0</v>
      </c>
      <c r="T246" s="1063">
        <v>0</v>
      </c>
      <c r="U246" s="1063">
        <v>0</v>
      </c>
      <c r="V246" s="1063"/>
      <c r="W246" s="1049"/>
      <c r="X246" s="1049"/>
      <c r="Y246" s="1049"/>
      <c r="Z246" s="1049"/>
      <c r="AA246" s="1066"/>
    </row>
    <row r="247" spans="1:80" s="418" customFormat="1" ht="15.6" x14ac:dyDescent="0.3">
      <c r="A247" s="1052">
        <v>998</v>
      </c>
      <c r="B247" s="1053">
        <v>998</v>
      </c>
      <c r="C247" s="1088">
        <v>998</v>
      </c>
      <c r="D247" s="1084" t="s">
        <v>292</v>
      </c>
      <c r="E247" s="1085" t="s">
        <v>523</v>
      </c>
      <c r="F247" s="1063">
        <v>53</v>
      </c>
      <c r="G247" s="1063">
        <v>53</v>
      </c>
      <c r="H247" s="1063">
        <v>0</v>
      </c>
      <c r="I247" s="1063">
        <v>53</v>
      </c>
      <c r="J247" s="1063">
        <v>53</v>
      </c>
      <c r="K247" s="1063">
        <v>53</v>
      </c>
      <c r="L247" s="1063">
        <v>53</v>
      </c>
      <c r="M247" s="1063">
        <v>53</v>
      </c>
      <c r="N247" s="1063">
        <v>53</v>
      </c>
      <c r="O247" s="1063">
        <v>53</v>
      </c>
      <c r="P247" s="1063">
        <v>53</v>
      </c>
      <c r="Q247" s="1063">
        <v>53</v>
      </c>
      <c r="R247" s="1063">
        <v>53</v>
      </c>
      <c r="S247" s="1063">
        <v>53</v>
      </c>
      <c r="T247" s="1063">
        <v>53</v>
      </c>
      <c r="U247" s="1063">
        <v>53</v>
      </c>
      <c r="V247" s="1063"/>
      <c r="W247" s="1049"/>
      <c r="X247" s="1049"/>
      <c r="Y247" s="1049"/>
      <c r="Z247" s="1049"/>
      <c r="AA247" s="1066"/>
      <c r="AT247" s="418">
        <v>50</v>
      </c>
      <c r="AU247" s="418">
        <v>50</v>
      </c>
      <c r="AV247" s="418">
        <v>50</v>
      </c>
      <c r="AW247" s="418">
        <v>50</v>
      </c>
      <c r="AX247" s="418">
        <v>50</v>
      </c>
      <c r="AY247" s="418">
        <v>50</v>
      </c>
      <c r="AZ247" s="418">
        <v>50</v>
      </c>
      <c r="BA247" s="418">
        <v>50</v>
      </c>
      <c r="BB247" s="418">
        <v>50</v>
      </c>
      <c r="BC247" s="418">
        <v>50</v>
      </c>
      <c r="BD247" s="418">
        <v>0</v>
      </c>
      <c r="BE247" s="418">
        <v>50</v>
      </c>
      <c r="BF247" s="418">
        <v>50</v>
      </c>
      <c r="BG247" s="418">
        <v>0</v>
      </c>
      <c r="BH247" s="418">
        <v>50</v>
      </c>
      <c r="BI247" s="418">
        <v>50</v>
      </c>
      <c r="BJ247" s="418">
        <v>50</v>
      </c>
      <c r="BK247" s="418">
        <v>0</v>
      </c>
      <c r="BL247" s="418">
        <v>50</v>
      </c>
      <c r="BM247" s="418">
        <v>50</v>
      </c>
      <c r="BN247" s="418">
        <v>50</v>
      </c>
      <c r="BO247" s="418">
        <v>50</v>
      </c>
      <c r="BP247" s="418">
        <v>50</v>
      </c>
      <c r="BQ247" s="418">
        <v>50</v>
      </c>
      <c r="BR247" s="418">
        <v>50</v>
      </c>
      <c r="BS247" s="418">
        <v>50</v>
      </c>
      <c r="BT247" s="418">
        <v>50</v>
      </c>
      <c r="BU247" s="418">
        <v>0</v>
      </c>
      <c r="BV247" s="418">
        <v>50</v>
      </c>
      <c r="BW247" s="418">
        <v>50</v>
      </c>
      <c r="BX247" s="418">
        <v>50</v>
      </c>
      <c r="BY247" s="418">
        <v>50</v>
      </c>
      <c r="BZ247" s="418">
        <v>50</v>
      </c>
      <c r="CA247" s="418">
        <v>50</v>
      </c>
      <c r="CB247" s="418">
        <v>50</v>
      </c>
    </row>
    <row r="248" spans="1:80" s="418" customFormat="1" ht="15.6" x14ac:dyDescent="0.3">
      <c r="A248" s="1052">
        <v>999</v>
      </c>
      <c r="B248" s="1053">
        <v>999</v>
      </c>
      <c r="C248" s="1088">
        <v>999</v>
      </c>
      <c r="D248" s="1084" t="s">
        <v>293</v>
      </c>
      <c r="E248" s="1085" t="s">
        <v>524</v>
      </c>
      <c r="F248" s="1089">
        <v>53876</v>
      </c>
      <c r="G248" s="1089">
        <v>53926</v>
      </c>
      <c r="H248" s="1089">
        <v>53880</v>
      </c>
      <c r="I248" s="1089">
        <v>53881</v>
      </c>
      <c r="J248" s="1089">
        <v>53938</v>
      </c>
      <c r="K248" s="1089">
        <v>53884</v>
      </c>
      <c r="L248" s="1089">
        <v>53889</v>
      </c>
      <c r="M248" s="1089">
        <v>53890</v>
      </c>
      <c r="N248" s="1089">
        <v>53897</v>
      </c>
      <c r="O248" s="1089">
        <v>53970</v>
      </c>
      <c r="P248" s="1089">
        <v>53950</v>
      </c>
      <c r="Q248" s="1089">
        <v>53901</v>
      </c>
      <c r="R248" s="1089">
        <v>53902</v>
      </c>
      <c r="S248" s="1089">
        <v>53923</v>
      </c>
      <c r="T248" s="1089">
        <v>53908</v>
      </c>
      <c r="U248" s="1089">
        <v>53913</v>
      </c>
      <c r="V248" s="1089"/>
      <c r="W248" s="1049"/>
      <c r="X248" s="1049"/>
      <c r="Y248" s="1049"/>
      <c r="Z248" s="1049"/>
      <c r="AA248" s="1066"/>
      <c r="AT248" s="418">
        <v>50223</v>
      </c>
      <c r="AU248" s="418">
        <v>50224</v>
      </c>
      <c r="AV248" s="418">
        <v>50225</v>
      </c>
      <c r="AW248" s="418">
        <v>50226</v>
      </c>
      <c r="AX248" s="418">
        <v>50227</v>
      </c>
      <c r="AY248" s="418">
        <v>50455</v>
      </c>
      <c r="AZ248" s="418">
        <v>50229</v>
      </c>
      <c r="BA248" s="418">
        <v>50230</v>
      </c>
      <c r="BB248" s="418">
        <v>50231</v>
      </c>
      <c r="BC248" s="418">
        <v>50232</v>
      </c>
      <c r="BD248" s="418">
        <v>0</v>
      </c>
      <c r="BE248" s="418">
        <v>50234</v>
      </c>
      <c r="BF248" s="418">
        <v>50235</v>
      </c>
      <c r="BG248" s="418">
        <v>0</v>
      </c>
      <c r="BH248" s="418">
        <v>50237</v>
      </c>
      <c r="BI248" s="418">
        <v>50238</v>
      </c>
      <c r="BJ248" s="418">
        <v>50444</v>
      </c>
      <c r="BK248" s="418">
        <v>0</v>
      </c>
      <c r="BL248" s="418">
        <v>50240</v>
      </c>
      <c r="BM248" s="418">
        <v>50241</v>
      </c>
      <c r="BN248" s="418">
        <v>50521</v>
      </c>
      <c r="BO248" s="418">
        <v>50242</v>
      </c>
      <c r="BP248" s="418">
        <v>50244</v>
      </c>
      <c r="BQ248" s="418">
        <v>50243</v>
      </c>
      <c r="BR248" s="418">
        <v>50245</v>
      </c>
      <c r="BS248" s="418">
        <v>50522</v>
      </c>
      <c r="BT248" s="418">
        <v>50246</v>
      </c>
      <c r="BU248" s="418">
        <v>0</v>
      </c>
      <c r="BV248" s="418">
        <v>50248</v>
      </c>
      <c r="BW248" s="418">
        <v>50249</v>
      </c>
      <c r="BX248" s="418">
        <v>50250</v>
      </c>
      <c r="BY248" s="418">
        <v>50251</v>
      </c>
      <c r="BZ248" s="418">
        <v>50252</v>
      </c>
      <c r="CA248" s="418">
        <v>50253</v>
      </c>
      <c r="CB248" s="418">
        <v>50454</v>
      </c>
    </row>
    <row r="249" spans="1:80" ht="15.6" x14ac:dyDescent="0.3">
      <c r="A249" s="1052">
        <v>1000</v>
      </c>
      <c r="B249" s="1049"/>
      <c r="C249" s="1088">
        <v>1000</v>
      </c>
      <c r="D249" s="1084"/>
      <c r="E249" s="1085"/>
      <c r="F249" s="1063">
        <v>0</v>
      </c>
      <c r="G249" s="1063">
        <v>0</v>
      </c>
      <c r="H249" s="1063">
        <v>0</v>
      </c>
      <c r="I249" s="1063">
        <v>0</v>
      </c>
      <c r="J249" s="1063">
        <v>0</v>
      </c>
      <c r="K249" s="1063">
        <v>0</v>
      </c>
      <c r="L249" s="1063">
        <v>0</v>
      </c>
      <c r="M249" s="1063">
        <v>0</v>
      </c>
      <c r="N249" s="1063">
        <v>0</v>
      </c>
      <c r="O249" s="1063">
        <v>0</v>
      </c>
      <c r="P249" s="1063">
        <v>0</v>
      </c>
      <c r="Q249" s="1063">
        <v>0</v>
      </c>
      <c r="R249" s="1063">
        <v>0</v>
      </c>
      <c r="S249" s="1063">
        <v>0</v>
      </c>
      <c r="T249" s="1063">
        <v>0</v>
      </c>
      <c r="U249" s="1063">
        <v>0</v>
      </c>
      <c r="V249" s="1063"/>
      <c r="W249" s="1049"/>
      <c r="X249" s="1049"/>
      <c r="Y249" s="1049"/>
      <c r="Z249" s="1049"/>
      <c r="AA249" s="1066"/>
      <c r="AT249" s="99" t="s">
        <v>847</v>
      </c>
      <c r="AU249" s="99" t="s">
        <v>847</v>
      </c>
      <c r="AV249" s="99" t="s">
        <v>847</v>
      </c>
      <c r="AW249" s="99" t="s">
        <v>847</v>
      </c>
      <c r="AX249" s="99" t="s">
        <v>847</v>
      </c>
      <c r="AY249" s="99" t="s">
        <v>847</v>
      </c>
      <c r="AZ249" s="99" t="s">
        <v>847</v>
      </c>
      <c r="BA249" s="99" t="s">
        <v>847</v>
      </c>
      <c r="BB249" s="99" t="s">
        <v>847</v>
      </c>
      <c r="BC249" s="99" t="s">
        <v>847</v>
      </c>
      <c r="BD249" s="99" t="s">
        <v>847</v>
      </c>
      <c r="BE249" s="99" t="s">
        <v>31</v>
      </c>
      <c r="BF249" s="99" t="s">
        <v>847</v>
      </c>
      <c r="BG249" s="99" t="s">
        <v>847</v>
      </c>
      <c r="BH249" s="99" t="s">
        <v>31</v>
      </c>
      <c r="BI249" s="99" t="s">
        <v>847</v>
      </c>
      <c r="BJ249" s="99" t="s">
        <v>847</v>
      </c>
      <c r="BK249" s="99" t="s">
        <v>847</v>
      </c>
      <c r="BL249" s="99" t="s">
        <v>847</v>
      </c>
      <c r="BM249" s="99" t="s">
        <v>847</v>
      </c>
      <c r="BN249" s="99" t="s">
        <v>31</v>
      </c>
      <c r="BO249" s="99" t="s">
        <v>847</v>
      </c>
      <c r="BP249" s="99" t="s">
        <v>847</v>
      </c>
      <c r="BQ249" s="99" t="s">
        <v>847</v>
      </c>
      <c r="BR249" s="99" t="s">
        <v>847</v>
      </c>
      <c r="BS249" s="99" t="s">
        <v>31</v>
      </c>
      <c r="BT249" s="99" t="s">
        <v>31</v>
      </c>
      <c r="BU249" s="99" t="s">
        <v>847</v>
      </c>
      <c r="BV249" s="99" t="s">
        <v>847</v>
      </c>
      <c r="BW249" s="99" t="s">
        <v>847</v>
      </c>
      <c r="BX249" s="99" t="s">
        <v>847</v>
      </c>
      <c r="BY249" s="99" t="s">
        <v>31</v>
      </c>
      <c r="BZ249" s="99" t="s">
        <v>31</v>
      </c>
      <c r="CA249" s="99" t="s">
        <v>847</v>
      </c>
      <c r="CB249" s="99" t="s">
        <v>31</v>
      </c>
    </row>
    <row r="250" spans="1:80" x14ac:dyDescent="0.3">
      <c r="A250" s="1052">
        <v>537</v>
      </c>
      <c r="B250" s="1049"/>
      <c r="C250" s="1090">
        <v>537</v>
      </c>
      <c r="D250" s="1084"/>
      <c r="E250" s="1085"/>
      <c r="F250" s="1063">
        <v>0</v>
      </c>
      <c r="G250" s="1063">
        <v>0</v>
      </c>
      <c r="H250" s="1063">
        <v>0</v>
      </c>
      <c r="I250" s="1063">
        <v>0</v>
      </c>
      <c r="J250" s="1063">
        <v>0</v>
      </c>
      <c r="K250" s="1063">
        <v>0</v>
      </c>
      <c r="L250" s="1063">
        <v>0</v>
      </c>
      <c r="M250" s="1063">
        <v>0</v>
      </c>
      <c r="N250" s="1063">
        <v>0</v>
      </c>
      <c r="O250" s="1063">
        <v>0</v>
      </c>
      <c r="P250" s="1063">
        <v>0</v>
      </c>
      <c r="Q250" s="1063">
        <v>0</v>
      </c>
      <c r="R250" s="1063">
        <v>0</v>
      </c>
      <c r="S250" s="1063">
        <v>0</v>
      </c>
      <c r="T250" s="1063">
        <v>0</v>
      </c>
      <c r="U250" s="1063">
        <v>0</v>
      </c>
      <c r="V250" s="1063"/>
      <c r="W250" s="1049"/>
      <c r="X250" s="1049"/>
      <c r="Y250" s="1049"/>
      <c r="Z250" s="1049"/>
      <c r="AA250" s="1066"/>
      <c r="AT250" s="99" t="s">
        <v>51</v>
      </c>
      <c r="AU250" s="99" t="s">
        <v>52</v>
      </c>
      <c r="AV250" s="99" t="s">
        <v>52</v>
      </c>
      <c r="AW250" s="99" t="s">
        <v>52</v>
      </c>
      <c r="AX250" s="99" t="s">
        <v>52</v>
      </c>
      <c r="AY250" s="99" t="s">
        <v>52</v>
      </c>
      <c r="AZ250" s="99" t="s">
        <v>51</v>
      </c>
      <c r="BA250" s="99" t="s">
        <v>52</v>
      </c>
      <c r="BB250" s="99" t="s">
        <v>51</v>
      </c>
      <c r="BC250" s="99" t="s">
        <v>51</v>
      </c>
      <c r="BD250" s="99" t="s">
        <v>681</v>
      </c>
      <c r="BE250" s="99" t="s">
        <v>52</v>
      </c>
      <c r="BF250" s="99" t="s">
        <v>51</v>
      </c>
      <c r="BG250" s="99" t="s">
        <v>681</v>
      </c>
      <c r="BH250" s="99" t="s">
        <v>52</v>
      </c>
      <c r="BI250" s="99" t="s">
        <v>52</v>
      </c>
      <c r="BJ250" s="99" t="s">
        <v>52</v>
      </c>
      <c r="BK250" s="99" t="s">
        <v>681</v>
      </c>
      <c r="BL250" s="99" t="s">
        <v>51</v>
      </c>
      <c r="BM250" s="99" t="s">
        <v>52</v>
      </c>
      <c r="BN250" s="99" t="s">
        <v>52</v>
      </c>
      <c r="BO250" s="99" t="s">
        <v>51</v>
      </c>
      <c r="BP250" s="99" t="s">
        <v>51</v>
      </c>
      <c r="BQ250" s="99" t="s">
        <v>51</v>
      </c>
      <c r="BR250" s="99" t="s">
        <v>52</v>
      </c>
      <c r="BS250" s="99" t="s">
        <v>52</v>
      </c>
      <c r="BT250" s="99" t="s">
        <v>52</v>
      </c>
      <c r="BU250" s="99" t="s">
        <v>52</v>
      </c>
      <c r="BV250" s="99" t="s">
        <v>51</v>
      </c>
      <c r="BW250" s="99" t="s">
        <v>52</v>
      </c>
      <c r="BX250" s="99" t="s">
        <v>52</v>
      </c>
      <c r="BY250" s="99" t="s">
        <v>52</v>
      </c>
      <c r="BZ250" s="99" t="s">
        <v>52</v>
      </c>
      <c r="CA250" s="99" t="s">
        <v>52</v>
      </c>
      <c r="CB250" s="99" t="s">
        <v>52</v>
      </c>
    </row>
    <row r="251" spans="1:80" x14ac:dyDescent="0.3">
      <c r="A251" s="1052">
        <v>538</v>
      </c>
      <c r="B251" s="1049"/>
      <c r="C251" s="1090">
        <v>538</v>
      </c>
      <c r="D251" s="1084"/>
      <c r="E251" s="1085"/>
      <c r="F251" s="1063">
        <v>0</v>
      </c>
      <c r="G251" s="1063">
        <v>0</v>
      </c>
      <c r="H251" s="1063">
        <v>0</v>
      </c>
      <c r="I251" s="1063">
        <v>0</v>
      </c>
      <c r="J251" s="1063">
        <v>0</v>
      </c>
      <c r="K251" s="1063">
        <v>0</v>
      </c>
      <c r="L251" s="1063">
        <v>0</v>
      </c>
      <c r="M251" s="1063">
        <v>0</v>
      </c>
      <c r="N251" s="1063">
        <v>0</v>
      </c>
      <c r="O251" s="1063">
        <v>0</v>
      </c>
      <c r="P251" s="1063">
        <v>0</v>
      </c>
      <c r="Q251" s="1063">
        <v>0</v>
      </c>
      <c r="R251" s="1063">
        <v>0</v>
      </c>
      <c r="S251" s="1063">
        <v>0</v>
      </c>
      <c r="T251" s="1063">
        <v>0</v>
      </c>
      <c r="U251" s="1063">
        <v>0</v>
      </c>
      <c r="V251" s="1063"/>
      <c r="W251" s="1049"/>
      <c r="X251" s="1049"/>
      <c r="Y251" s="1049"/>
      <c r="Z251" s="1049"/>
      <c r="AA251" s="1066"/>
      <c r="AT251" s="99" t="s">
        <v>51</v>
      </c>
      <c r="AU251" s="99" t="s">
        <v>51</v>
      </c>
      <c r="AV251" s="99" t="s">
        <v>52</v>
      </c>
      <c r="AW251" s="99" t="s">
        <v>52</v>
      </c>
      <c r="AX251" s="99" t="s">
        <v>52</v>
      </c>
      <c r="AY251" s="99" t="s">
        <v>52</v>
      </c>
      <c r="AZ251" s="99" t="s">
        <v>51</v>
      </c>
      <c r="BA251" s="99" t="s">
        <v>52</v>
      </c>
      <c r="BB251" s="99" t="s">
        <v>51</v>
      </c>
      <c r="BC251" s="99" t="s">
        <v>51</v>
      </c>
      <c r="BD251" s="99" t="s">
        <v>681</v>
      </c>
      <c r="BE251" s="99" t="s">
        <v>52</v>
      </c>
      <c r="BF251" s="99" t="s">
        <v>52</v>
      </c>
      <c r="BG251" s="99" t="s">
        <v>681</v>
      </c>
      <c r="BH251" s="99" t="s">
        <v>52</v>
      </c>
      <c r="BI251" s="99" t="s">
        <v>52</v>
      </c>
      <c r="BJ251" s="99" t="s">
        <v>52</v>
      </c>
      <c r="BK251" s="99" t="s">
        <v>681</v>
      </c>
      <c r="BL251" s="99" t="s">
        <v>52</v>
      </c>
      <c r="BM251" s="99" t="s">
        <v>52</v>
      </c>
      <c r="BN251" s="99" t="s">
        <v>52</v>
      </c>
      <c r="BO251" s="99" t="s">
        <v>51</v>
      </c>
      <c r="BP251" s="99" t="s">
        <v>51</v>
      </c>
      <c r="BQ251" s="99" t="s">
        <v>51</v>
      </c>
      <c r="BR251" s="99" t="s">
        <v>52</v>
      </c>
      <c r="BS251" s="99" t="s">
        <v>52</v>
      </c>
      <c r="BT251" s="99" t="s">
        <v>52</v>
      </c>
      <c r="BU251" s="99" t="s">
        <v>52</v>
      </c>
      <c r="BV251" s="99" t="s">
        <v>51</v>
      </c>
      <c r="BW251" s="99" t="s">
        <v>52</v>
      </c>
      <c r="BX251" s="99" t="s">
        <v>52</v>
      </c>
      <c r="BY251" s="99" t="s">
        <v>52</v>
      </c>
      <c r="BZ251" s="99" t="s">
        <v>52</v>
      </c>
      <c r="CA251" s="99" t="s">
        <v>52</v>
      </c>
      <c r="CB251" s="99" t="s">
        <v>52</v>
      </c>
    </row>
    <row r="252" spans="1:80" s="418" customFormat="1" x14ac:dyDescent="0.3">
      <c r="A252" s="1052">
        <v>591</v>
      </c>
      <c r="B252" s="1053">
        <v>591</v>
      </c>
      <c r="C252" s="1090">
        <v>591</v>
      </c>
      <c r="D252" s="1091" t="s">
        <v>609</v>
      </c>
      <c r="E252" s="1049"/>
      <c r="F252" s="1063">
        <v>636377</v>
      </c>
      <c r="G252" s="1063">
        <v>431677457</v>
      </c>
      <c r="H252" s="1063">
        <v>153865519</v>
      </c>
      <c r="I252" s="1063">
        <v>303013710</v>
      </c>
      <c r="J252" s="1063">
        <v>0</v>
      </c>
      <c r="K252" s="1063">
        <v>0</v>
      </c>
      <c r="L252" s="1063">
        <v>0</v>
      </c>
      <c r="M252" s="1063">
        <v>0</v>
      </c>
      <c r="N252" s="1063">
        <v>257347944</v>
      </c>
      <c r="O252" s="1063">
        <v>44212094</v>
      </c>
      <c r="P252" s="1063">
        <v>246200216</v>
      </c>
      <c r="Q252" s="1063">
        <v>0</v>
      </c>
      <c r="R252" s="1063">
        <v>103869405</v>
      </c>
      <c r="S252" s="1063">
        <v>141902425</v>
      </c>
      <c r="T252" s="1063">
        <v>64480890</v>
      </c>
      <c r="U252" s="1063">
        <v>199380472</v>
      </c>
      <c r="V252" s="1063"/>
      <c r="W252" s="1049"/>
      <c r="X252" s="1049"/>
      <c r="Y252" s="1049"/>
      <c r="Z252" s="1049"/>
      <c r="AA252" s="1066"/>
      <c r="AT252" s="418">
        <v>405809</v>
      </c>
      <c r="AU252" s="418">
        <v>2380042</v>
      </c>
      <c r="AV252" s="418">
        <v>13472148</v>
      </c>
      <c r="AW252" s="418">
        <v>350372</v>
      </c>
      <c r="AX252" s="418">
        <v>598345</v>
      </c>
      <c r="AY252" s="418">
        <v>1181011</v>
      </c>
      <c r="AZ252" s="418">
        <v>2077526</v>
      </c>
      <c r="BA252" s="418">
        <v>9650203</v>
      </c>
      <c r="BB252" s="418">
        <v>102357</v>
      </c>
      <c r="BC252" s="418">
        <v>1313775</v>
      </c>
      <c r="BD252" s="418">
        <v>0</v>
      </c>
      <c r="BE252" s="418">
        <v>0</v>
      </c>
      <c r="BF252" s="418">
        <v>42333670</v>
      </c>
      <c r="BG252" s="418">
        <v>0</v>
      </c>
      <c r="BH252" s="418">
        <v>0</v>
      </c>
      <c r="BI252" s="418">
        <v>1435080</v>
      </c>
      <c r="BJ252" s="418">
        <v>893146</v>
      </c>
      <c r="BK252" s="418">
        <v>0</v>
      </c>
      <c r="BL252" s="418">
        <v>9491340</v>
      </c>
      <c r="BM252" s="418">
        <v>1817940</v>
      </c>
      <c r="BN252" s="418">
        <v>0</v>
      </c>
      <c r="BO252" s="418">
        <v>3978631</v>
      </c>
      <c r="BP252" s="418">
        <v>971216</v>
      </c>
      <c r="BQ252" s="418">
        <v>840373</v>
      </c>
      <c r="BR252" s="418">
        <v>1326355</v>
      </c>
      <c r="BS252" s="418">
        <v>0</v>
      </c>
      <c r="BT252" s="418">
        <v>0</v>
      </c>
      <c r="BU252" s="418">
        <v>975277</v>
      </c>
      <c r="BV252" s="418">
        <v>2655874</v>
      </c>
      <c r="BW252" s="418">
        <v>590683</v>
      </c>
      <c r="BX252" s="418">
        <v>1359151</v>
      </c>
      <c r="BY252" s="418">
        <v>0</v>
      </c>
      <c r="BZ252" s="418">
        <v>0</v>
      </c>
      <c r="CA252" s="418">
        <v>7298336</v>
      </c>
      <c r="CB252" s="418">
        <v>0</v>
      </c>
    </row>
    <row r="253" spans="1:80" s="418" customFormat="1" ht="27.6" x14ac:dyDescent="0.3">
      <c r="A253" s="1052">
        <v>592</v>
      </c>
      <c r="B253" s="1053">
        <v>592</v>
      </c>
      <c r="C253" s="1090">
        <v>592</v>
      </c>
      <c r="D253" s="1092" t="s">
        <v>610</v>
      </c>
      <c r="E253" s="1049"/>
      <c r="F253" s="1063">
        <v>-509166</v>
      </c>
      <c r="G253" s="1063">
        <v>45487764</v>
      </c>
      <c r="H253" s="1063">
        <v>22151466</v>
      </c>
      <c r="I253" s="1063">
        <v>14248712</v>
      </c>
      <c r="J253" s="1063">
        <v>0</v>
      </c>
      <c r="K253" s="1063">
        <v>0</v>
      </c>
      <c r="L253" s="1063">
        <v>0</v>
      </c>
      <c r="M253" s="1063">
        <v>0</v>
      </c>
      <c r="N253" s="1063">
        <v>6150782</v>
      </c>
      <c r="O253" s="1063">
        <v>-1261008</v>
      </c>
      <c r="P253" s="1063">
        <v>-1322033</v>
      </c>
      <c r="Q253" s="1063">
        <v>0</v>
      </c>
      <c r="R253" s="1063">
        <v>4800310</v>
      </c>
      <c r="S253" s="1063">
        <v>6880864</v>
      </c>
      <c r="T253" s="1063">
        <v>1196385</v>
      </c>
      <c r="U253" s="1063">
        <v>4807542</v>
      </c>
      <c r="V253" s="1063"/>
      <c r="W253" s="1049"/>
      <c r="X253" s="1049"/>
      <c r="Y253" s="1049"/>
      <c r="Z253" s="1049"/>
      <c r="AA253" s="1049"/>
      <c r="AT253" s="418">
        <v>-94826</v>
      </c>
      <c r="AU253" s="418">
        <v>379073</v>
      </c>
      <c r="AV253" s="418">
        <v>1775351</v>
      </c>
      <c r="AW253" s="418">
        <v>50432</v>
      </c>
      <c r="AX253" s="418">
        <v>338783</v>
      </c>
      <c r="AY253" s="418">
        <v>609194</v>
      </c>
      <c r="AZ253" s="418">
        <v>-88837</v>
      </c>
      <c r="BA253" s="418">
        <v>-199473</v>
      </c>
      <c r="BB253" s="418">
        <v>-14536</v>
      </c>
      <c r="BC253" s="418">
        <v>3398</v>
      </c>
      <c r="BD253" s="418">
        <v>0</v>
      </c>
      <c r="BE253" s="418">
        <v>0</v>
      </c>
      <c r="BF253" s="418">
        <v>2151881</v>
      </c>
      <c r="BG253" s="418">
        <v>0</v>
      </c>
      <c r="BH253" s="418">
        <v>0</v>
      </c>
      <c r="BI253" s="418">
        <v>217225</v>
      </c>
      <c r="BJ253" s="418">
        <v>131142</v>
      </c>
      <c r="BK253" s="418">
        <v>0</v>
      </c>
      <c r="BL253" s="418">
        <v>927449</v>
      </c>
      <c r="BM253" s="418">
        <v>223201</v>
      </c>
      <c r="BN253" s="418">
        <v>0</v>
      </c>
      <c r="BO253" s="418">
        <v>-364243</v>
      </c>
      <c r="BP253" s="418">
        <v>247720</v>
      </c>
      <c r="BQ253" s="418">
        <v>-136759</v>
      </c>
      <c r="BR253" s="418">
        <v>-1475913</v>
      </c>
      <c r="BS253" s="418">
        <v>0</v>
      </c>
      <c r="BT253" s="418">
        <v>0</v>
      </c>
      <c r="BU253" s="418">
        <v>-164984</v>
      </c>
      <c r="BV253" s="418">
        <v>-21398</v>
      </c>
      <c r="BW253" s="418">
        <v>866377</v>
      </c>
      <c r="BX253" s="418">
        <v>-856853</v>
      </c>
      <c r="BY253" s="418">
        <v>0</v>
      </c>
      <c r="BZ253" s="418">
        <v>0</v>
      </c>
      <c r="CA253" s="418">
        <v>5854413</v>
      </c>
      <c r="CB253" s="418">
        <v>0</v>
      </c>
    </row>
    <row r="254" spans="1:80" s="418" customFormat="1" x14ac:dyDescent="0.3">
      <c r="A254" s="1052">
        <v>595</v>
      </c>
      <c r="B254" s="1049"/>
      <c r="C254" s="1090">
        <v>595</v>
      </c>
      <c r="D254" s="1092" t="s">
        <v>1864</v>
      </c>
      <c r="E254" s="1052" t="s">
        <v>1865</v>
      </c>
      <c r="F254" s="1063">
        <v>0</v>
      </c>
      <c r="G254" s="1063">
        <v>0</v>
      </c>
      <c r="H254" s="1063">
        <v>0</v>
      </c>
      <c r="I254" s="1063">
        <v>0</v>
      </c>
      <c r="J254" s="1063">
        <v>0</v>
      </c>
      <c r="K254" s="1063">
        <v>0</v>
      </c>
      <c r="L254" s="1063">
        <v>0</v>
      </c>
      <c r="M254" s="1063">
        <v>0</v>
      </c>
      <c r="N254" s="1063">
        <v>0</v>
      </c>
      <c r="O254" s="1063">
        <v>0</v>
      </c>
      <c r="P254" s="1063">
        <v>0</v>
      </c>
      <c r="Q254" s="1063">
        <v>0</v>
      </c>
      <c r="R254" s="1063">
        <v>0</v>
      </c>
      <c r="S254" s="1063">
        <v>0</v>
      </c>
      <c r="T254" s="1063">
        <v>0</v>
      </c>
      <c r="U254" s="1063">
        <v>0</v>
      </c>
      <c r="V254" s="1063"/>
      <c r="W254" s="1049"/>
      <c r="X254" s="1049"/>
      <c r="Y254" s="1049"/>
      <c r="Z254" s="1049"/>
      <c r="AA254" s="1049"/>
    </row>
    <row r="255" spans="1:80" s="418" customFormat="1" x14ac:dyDescent="0.3">
      <c r="A255" s="1052">
        <v>596</v>
      </c>
      <c r="B255" s="1049"/>
      <c r="C255" s="1090">
        <v>596</v>
      </c>
      <c r="D255" s="1092"/>
      <c r="E255" s="1049"/>
      <c r="F255" s="1063">
        <v>0</v>
      </c>
      <c r="G255" s="1063">
        <v>0</v>
      </c>
      <c r="H255" s="1063">
        <v>0</v>
      </c>
      <c r="I255" s="1063">
        <v>0</v>
      </c>
      <c r="J255" s="1063">
        <v>0</v>
      </c>
      <c r="K255" s="1063">
        <v>0</v>
      </c>
      <c r="L255" s="1063">
        <v>0</v>
      </c>
      <c r="M255" s="1063">
        <v>0</v>
      </c>
      <c r="N255" s="1063">
        <v>0</v>
      </c>
      <c r="O255" s="1063">
        <v>0</v>
      </c>
      <c r="P255" s="1063">
        <v>0</v>
      </c>
      <c r="Q255" s="1063">
        <v>0</v>
      </c>
      <c r="R255" s="1063">
        <v>0</v>
      </c>
      <c r="S255" s="1063">
        <v>0</v>
      </c>
      <c r="T255" s="1063">
        <v>0</v>
      </c>
      <c r="U255" s="1063">
        <v>0</v>
      </c>
      <c r="V255" s="1063"/>
      <c r="W255" s="1049"/>
      <c r="X255" s="1049"/>
      <c r="Y255" s="1049"/>
      <c r="Z255" s="1049"/>
      <c r="AA255" s="1049"/>
      <c r="AT255" s="418">
        <v>52</v>
      </c>
      <c r="AU255" s="418">
        <v>52</v>
      </c>
      <c r="AV255" s="418">
        <v>52</v>
      </c>
      <c r="AW255" s="418">
        <v>52</v>
      </c>
      <c r="AX255" s="418">
        <v>52</v>
      </c>
      <c r="AY255" s="418">
        <v>52</v>
      </c>
      <c r="AZ255" s="418">
        <v>52</v>
      </c>
      <c r="BA255" s="418">
        <v>52</v>
      </c>
      <c r="BB255" s="418">
        <v>50</v>
      </c>
      <c r="BC255" s="418">
        <v>52</v>
      </c>
      <c r="BD255" s="418">
        <v>0</v>
      </c>
      <c r="BE255" s="418">
        <v>52</v>
      </c>
      <c r="BF255" s="418">
        <v>52</v>
      </c>
      <c r="BG255" s="418">
        <v>0</v>
      </c>
      <c r="BH255" s="418">
        <v>52</v>
      </c>
      <c r="BI255" s="418">
        <v>52</v>
      </c>
      <c r="BJ255" s="418">
        <v>52</v>
      </c>
      <c r="BK255" s="418">
        <v>0</v>
      </c>
      <c r="BL255" s="418">
        <v>52</v>
      </c>
      <c r="BM255" s="418">
        <v>52</v>
      </c>
      <c r="BN255" s="418">
        <v>52</v>
      </c>
      <c r="BO255" s="418">
        <v>52</v>
      </c>
      <c r="BP255" s="418">
        <v>52</v>
      </c>
      <c r="BQ255" s="418">
        <v>52</v>
      </c>
      <c r="BR255" s="418">
        <v>52</v>
      </c>
      <c r="BS255" s="418">
        <v>52</v>
      </c>
      <c r="BT255" s="418">
        <v>52</v>
      </c>
      <c r="BU255" s="418">
        <v>52</v>
      </c>
      <c r="BV255" s="418">
        <v>52</v>
      </c>
      <c r="BW255" s="418">
        <v>52</v>
      </c>
      <c r="BX255" s="418">
        <v>52</v>
      </c>
      <c r="BY255" s="418">
        <v>52</v>
      </c>
      <c r="BZ255" s="418">
        <v>0</v>
      </c>
      <c r="CA255" s="418">
        <v>52</v>
      </c>
      <c r="CB255" s="418">
        <v>52</v>
      </c>
    </row>
    <row r="256" spans="1:80" s="418" customFormat="1" x14ac:dyDescent="0.3">
      <c r="A256" s="1052">
        <v>597</v>
      </c>
      <c r="B256" s="1049"/>
      <c r="C256" s="1090">
        <v>597</v>
      </c>
      <c r="D256" s="1092"/>
      <c r="E256" s="1049"/>
      <c r="F256" s="1063">
        <v>0</v>
      </c>
      <c r="G256" s="1063">
        <v>0</v>
      </c>
      <c r="H256" s="1063">
        <v>0</v>
      </c>
      <c r="I256" s="1063">
        <v>0</v>
      </c>
      <c r="J256" s="1063">
        <v>0</v>
      </c>
      <c r="K256" s="1063">
        <v>0</v>
      </c>
      <c r="L256" s="1063">
        <v>0</v>
      </c>
      <c r="M256" s="1063">
        <v>0</v>
      </c>
      <c r="N256" s="1063">
        <v>0</v>
      </c>
      <c r="O256" s="1063">
        <v>0</v>
      </c>
      <c r="P256" s="1063">
        <v>0</v>
      </c>
      <c r="Q256" s="1063">
        <v>0</v>
      </c>
      <c r="R256" s="1063">
        <v>0</v>
      </c>
      <c r="S256" s="1063">
        <v>0</v>
      </c>
      <c r="T256" s="1063">
        <v>0</v>
      </c>
      <c r="U256" s="1063">
        <v>0</v>
      </c>
      <c r="V256" s="1063"/>
      <c r="W256" s="1049"/>
      <c r="X256" s="1049"/>
      <c r="Y256" s="1049"/>
      <c r="Z256" s="1049"/>
      <c r="AA256" s="1049"/>
      <c r="AT256" s="418">
        <v>5021</v>
      </c>
      <c r="AU256" s="418">
        <v>43239</v>
      </c>
      <c r="AV256" s="418">
        <v>305978</v>
      </c>
      <c r="AW256" s="418">
        <v>3682</v>
      </c>
      <c r="AX256" s="418">
        <v>5571</v>
      </c>
      <c r="AY256" s="418">
        <v>26534</v>
      </c>
      <c r="AZ256" s="418">
        <v>33976</v>
      </c>
      <c r="BA256" s="418">
        <v>90937</v>
      </c>
      <c r="BB256" s="418">
        <v>155</v>
      </c>
      <c r="BC256" s="418">
        <v>15938</v>
      </c>
      <c r="BD256" s="418">
        <v>0</v>
      </c>
      <c r="BE256" s="418">
        <v>4899</v>
      </c>
      <c r="BF256" s="418">
        <v>144092</v>
      </c>
      <c r="BG256" s="418">
        <v>0</v>
      </c>
      <c r="BH256" s="418">
        <v>465</v>
      </c>
      <c r="BI256" s="418">
        <v>35397</v>
      </c>
      <c r="BJ256" s="418">
        <v>82734</v>
      </c>
      <c r="BK256" s="418">
        <v>0</v>
      </c>
      <c r="BL256" s="418">
        <v>0</v>
      </c>
      <c r="BM256" s="418">
        <v>127606</v>
      </c>
      <c r="BN256" s="418">
        <v>1105</v>
      </c>
      <c r="BO256" s="418">
        <v>24388</v>
      </c>
      <c r="BP256" s="418">
        <v>80237</v>
      </c>
      <c r="BQ256" s="418">
        <v>5176</v>
      </c>
      <c r="BR256" s="418">
        <v>23757</v>
      </c>
      <c r="BS256" s="418">
        <v>11060</v>
      </c>
      <c r="BT256" s="418">
        <v>234247</v>
      </c>
      <c r="BU256" s="418">
        <v>0</v>
      </c>
      <c r="BV256" s="418">
        <v>59179</v>
      </c>
      <c r="BW256" s="418">
        <v>0</v>
      </c>
      <c r="BX256" s="418">
        <v>13202</v>
      </c>
      <c r="BY256" s="418">
        <v>1730</v>
      </c>
      <c r="BZ256" s="418">
        <v>1418</v>
      </c>
      <c r="CA256" s="418">
        <v>242315</v>
      </c>
      <c r="CB256" s="418">
        <v>506</v>
      </c>
    </row>
    <row r="257" spans="1:80" s="418" customFormat="1" x14ac:dyDescent="0.3">
      <c r="A257" s="1049"/>
      <c r="B257" s="1049"/>
      <c r="C257" s="1049"/>
      <c r="D257" s="1092"/>
      <c r="E257" s="1049"/>
      <c r="F257" s="1063">
        <v>0</v>
      </c>
      <c r="G257" s="1063">
        <v>0</v>
      </c>
      <c r="H257" s="1063">
        <v>0</v>
      </c>
      <c r="I257" s="1063">
        <v>0</v>
      </c>
      <c r="J257" s="1063">
        <v>0</v>
      </c>
      <c r="K257" s="1063">
        <v>0</v>
      </c>
      <c r="L257" s="1063">
        <v>0</v>
      </c>
      <c r="M257" s="1063">
        <v>0</v>
      </c>
      <c r="N257" s="1063">
        <v>0</v>
      </c>
      <c r="O257" s="1063">
        <v>0</v>
      </c>
      <c r="P257" s="1063">
        <v>0</v>
      </c>
      <c r="Q257" s="1063">
        <v>0</v>
      </c>
      <c r="R257" s="1063">
        <v>0</v>
      </c>
      <c r="S257" s="1063">
        <v>0</v>
      </c>
      <c r="T257" s="1063">
        <v>0</v>
      </c>
      <c r="U257" s="1063">
        <v>0</v>
      </c>
      <c r="V257" s="1063"/>
    </row>
    <row r="258" spans="1:80" s="418" customFormat="1" x14ac:dyDescent="0.3">
      <c r="A258" s="1052">
        <v>598</v>
      </c>
      <c r="B258" s="1049"/>
      <c r="C258" s="1090">
        <v>598</v>
      </c>
      <c r="D258" s="1092"/>
      <c r="E258" s="1049"/>
      <c r="F258" s="1063">
        <v>0</v>
      </c>
      <c r="G258" s="1063">
        <v>0</v>
      </c>
      <c r="H258" s="1063">
        <v>0</v>
      </c>
      <c r="I258" s="1063">
        <v>0</v>
      </c>
      <c r="J258" s="1063">
        <v>0</v>
      </c>
      <c r="K258" s="1063">
        <v>0</v>
      </c>
      <c r="L258" s="1063">
        <v>0</v>
      </c>
      <c r="M258" s="1063">
        <v>0</v>
      </c>
      <c r="N258" s="1063">
        <v>0</v>
      </c>
      <c r="O258" s="1063">
        <v>0</v>
      </c>
      <c r="P258" s="1063">
        <v>0</v>
      </c>
      <c r="Q258" s="1063">
        <v>0</v>
      </c>
      <c r="R258" s="1063">
        <v>0</v>
      </c>
      <c r="S258" s="1063">
        <v>0</v>
      </c>
      <c r="T258" s="1063">
        <v>0</v>
      </c>
      <c r="U258" s="1063">
        <v>0</v>
      </c>
      <c r="V258" s="1063"/>
      <c r="AT258" s="418">
        <v>0</v>
      </c>
      <c r="AU258" s="418">
        <v>0</v>
      </c>
      <c r="AV258" s="418">
        <v>82013</v>
      </c>
      <c r="AW258" s="418">
        <v>0</v>
      </c>
      <c r="AX258" s="418">
        <v>4095</v>
      </c>
      <c r="AY258" s="418">
        <v>0</v>
      </c>
      <c r="AZ258" s="418">
        <v>16935</v>
      </c>
      <c r="BA258" s="418">
        <v>16250</v>
      </c>
      <c r="BB258" s="418">
        <v>0</v>
      </c>
      <c r="BC258" s="418">
        <v>22644</v>
      </c>
      <c r="BD258" s="418">
        <v>0</v>
      </c>
      <c r="BE258" s="418">
        <v>0</v>
      </c>
      <c r="BF258" s="418">
        <v>222811</v>
      </c>
      <c r="BG258" s="418">
        <v>0</v>
      </c>
      <c r="BH258" s="418">
        <v>0</v>
      </c>
      <c r="BI258" s="418">
        <v>21458</v>
      </c>
      <c r="BJ258" s="418">
        <v>30429</v>
      </c>
      <c r="BK258" s="418">
        <v>0</v>
      </c>
      <c r="BL258" s="418">
        <v>9228</v>
      </c>
      <c r="BM258" s="418">
        <v>15779</v>
      </c>
      <c r="BN258" s="418">
        <v>0</v>
      </c>
      <c r="BO258" s="418">
        <v>53234</v>
      </c>
      <c r="BP258" s="418">
        <v>0</v>
      </c>
      <c r="BQ258" s="418">
        <v>0</v>
      </c>
      <c r="BR258" s="418">
        <v>0</v>
      </c>
      <c r="BS258" s="418">
        <v>0</v>
      </c>
      <c r="BT258" s="418">
        <v>97803</v>
      </c>
      <c r="BU258" s="418">
        <v>12379</v>
      </c>
      <c r="BV258" s="418">
        <v>13197</v>
      </c>
      <c r="BW258" s="418">
        <v>0</v>
      </c>
      <c r="BX258" s="418">
        <v>0</v>
      </c>
      <c r="BY258" s="418">
        <v>0</v>
      </c>
      <c r="BZ258" s="418">
        <v>0</v>
      </c>
      <c r="CA258" s="418">
        <v>0</v>
      </c>
      <c r="CB258" s="418">
        <v>0</v>
      </c>
    </row>
    <row r="259" spans="1:80" s="418" customFormat="1" x14ac:dyDescent="0.3">
      <c r="A259" s="1052">
        <v>599</v>
      </c>
      <c r="B259" s="1049"/>
      <c r="C259" s="1090">
        <v>599</v>
      </c>
      <c r="D259" s="1092"/>
      <c r="E259" s="1049"/>
      <c r="F259" s="1063">
        <v>0</v>
      </c>
      <c r="G259" s="1063">
        <v>0</v>
      </c>
      <c r="H259" s="1063">
        <v>0</v>
      </c>
      <c r="I259" s="1063">
        <v>0</v>
      </c>
      <c r="J259" s="1063">
        <v>0</v>
      </c>
      <c r="K259" s="1063">
        <v>0</v>
      </c>
      <c r="L259" s="1063">
        <v>0</v>
      </c>
      <c r="M259" s="1063">
        <v>0</v>
      </c>
      <c r="N259" s="1063">
        <v>0</v>
      </c>
      <c r="O259" s="1063">
        <v>0</v>
      </c>
      <c r="P259" s="1063">
        <v>0</v>
      </c>
      <c r="Q259" s="1063">
        <v>0</v>
      </c>
      <c r="R259" s="1063">
        <v>0</v>
      </c>
      <c r="S259" s="1063">
        <v>0</v>
      </c>
      <c r="T259" s="1063">
        <v>0</v>
      </c>
      <c r="U259" s="1063">
        <v>0</v>
      </c>
      <c r="V259" s="1063"/>
      <c r="AT259" s="418">
        <v>37637</v>
      </c>
      <c r="AU259" s="418">
        <v>325055</v>
      </c>
      <c r="AV259" s="418">
        <v>1019789</v>
      </c>
      <c r="AW259" s="418">
        <v>0</v>
      </c>
      <c r="AX259" s="418">
        <v>25810</v>
      </c>
      <c r="AY259" s="418">
        <v>281454</v>
      </c>
      <c r="AZ259" s="418">
        <v>473850</v>
      </c>
      <c r="BA259" s="418">
        <v>567171</v>
      </c>
      <c r="BB259" s="418">
        <v>0</v>
      </c>
      <c r="BC259" s="418">
        <v>215186</v>
      </c>
      <c r="BD259" s="418">
        <v>0</v>
      </c>
      <c r="BE259" s="418">
        <v>0</v>
      </c>
      <c r="BF259" s="418">
        <v>3320741</v>
      </c>
      <c r="BG259" s="418">
        <v>0</v>
      </c>
      <c r="BH259" s="418">
        <v>0</v>
      </c>
      <c r="BI259" s="418">
        <v>388699</v>
      </c>
      <c r="BJ259" s="418">
        <v>441720</v>
      </c>
      <c r="BK259" s="418">
        <v>0</v>
      </c>
      <c r="BL259" s="418">
        <v>402237</v>
      </c>
      <c r="BM259" s="418">
        <v>260077</v>
      </c>
      <c r="BN259" s="418">
        <v>0</v>
      </c>
      <c r="BO259" s="418">
        <v>728793</v>
      </c>
      <c r="BP259" s="418">
        <v>73272</v>
      </c>
      <c r="BQ259" s="418">
        <v>68824</v>
      </c>
      <c r="BR259" s="418">
        <v>247319</v>
      </c>
      <c r="BS259" s="418">
        <v>0</v>
      </c>
      <c r="BT259" s="418">
        <v>2473471</v>
      </c>
      <c r="BU259" s="418">
        <v>174958</v>
      </c>
      <c r="BV259" s="418">
        <v>449498</v>
      </c>
      <c r="BW259" s="418">
        <v>28522</v>
      </c>
      <c r="BX259" s="418">
        <v>0</v>
      </c>
      <c r="BY259" s="418">
        <v>0</v>
      </c>
      <c r="BZ259" s="418">
        <v>0</v>
      </c>
      <c r="CA259" s="418">
        <v>802190</v>
      </c>
      <c r="CB259" s="418">
        <v>0</v>
      </c>
    </row>
    <row r="260" spans="1:80" s="418" customFormat="1" ht="100.8" x14ac:dyDescent="0.3">
      <c r="A260" s="1052">
        <v>600</v>
      </c>
      <c r="B260" s="1049"/>
      <c r="C260" s="1056">
        <v>600</v>
      </c>
      <c r="D260" s="1093" t="s">
        <v>848</v>
      </c>
      <c r="E260" s="1049"/>
      <c r="F260" s="1063">
        <v>0</v>
      </c>
      <c r="G260" s="1063">
        <v>0</v>
      </c>
      <c r="H260" s="1063">
        <v>0</v>
      </c>
      <c r="I260" s="1063">
        <v>0</v>
      </c>
      <c r="J260" s="1063">
        <v>0</v>
      </c>
      <c r="K260" s="1063">
        <v>0</v>
      </c>
      <c r="L260" s="1063">
        <v>0</v>
      </c>
      <c r="M260" s="1063">
        <v>0</v>
      </c>
      <c r="N260" s="1063">
        <v>0</v>
      </c>
      <c r="O260" s="1063">
        <v>0</v>
      </c>
      <c r="P260" s="1063">
        <v>0</v>
      </c>
      <c r="Q260" s="1063">
        <v>0</v>
      </c>
      <c r="R260" s="1063">
        <v>0</v>
      </c>
      <c r="S260" s="1063">
        <v>0</v>
      </c>
      <c r="T260" s="1063">
        <v>0</v>
      </c>
      <c r="U260" s="1063">
        <v>0</v>
      </c>
      <c r="V260" s="1063"/>
    </row>
    <row r="261" spans="1:80" s="418" customFormat="1" ht="201.6" x14ac:dyDescent="0.3">
      <c r="A261" s="1052">
        <v>601</v>
      </c>
      <c r="B261" s="1049"/>
      <c r="C261" s="1056">
        <v>601</v>
      </c>
      <c r="D261" s="1093" t="s">
        <v>849</v>
      </c>
      <c r="E261" s="1049"/>
      <c r="F261" s="1063">
        <v>0</v>
      </c>
      <c r="G261" s="1063">
        <v>0</v>
      </c>
      <c r="H261" s="1063">
        <v>0</v>
      </c>
      <c r="I261" s="1063">
        <v>0</v>
      </c>
      <c r="J261" s="1063">
        <v>0</v>
      </c>
      <c r="K261" s="1063">
        <v>0</v>
      </c>
      <c r="L261" s="1063">
        <v>0</v>
      </c>
      <c r="M261" s="1063">
        <v>0</v>
      </c>
      <c r="N261" s="1063">
        <v>0</v>
      </c>
      <c r="O261" s="1063">
        <v>0</v>
      </c>
      <c r="P261" s="1063">
        <v>0</v>
      </c>
      <c r="Q261" s="1063">
        <v>0</v>
      </c>
      <c r="R261" s="1063">
        <v>0</v>
      </c>
      <c r="S261" s="1063">
        <v>0</v>
      </c>
      <c r="T261" s="1063">
        <v>0</v>
      </c>
      <c r="U261" s="1063">
        <v>0</v>
      </c>
      <c r="V261" s="1063"/>
    </row>
    <row r="262" spans="1:80" s="418" customFormat="1" x14ac:dyDescent="0.3">
      <c r="A262" s="1052">
        <v>602</v>
      </c>
      <c r="B262" s="1049"/>
      <c r="C262" s="1056">
        <v>602</v>
      </c>
      <c r="D262" s="1094"/>
      <c r="E262" s="1049"/>
      <c r="F262" s="1063">
        <v>0</v>
      </c>
      <c r="G262" s="1063">
        <v>0</v>
      </c>
      <c r="H262" s="1063">
        <v>0</v>
      </c>
      <c r="I262" s="1063">
        <v>0</v>
      </c>
      <c r="J262" s="1063">
        <v>0</v>
      </c>
      <c r="K262" s="1063">
        <v>0</v>
      </c>
      <c r="L262" s="1063">
        <v>0</v>
      </c>
      <c r="M262" s="1063">
        <v>0</v>
      </c>
      <c r="N262" s="1063">
        <v>0</v>
      </c>
      <c r="O262" s="1063">
        <v>0</v>
      </c>
      <c r="P262" s="1063">
        <v>0</v>
      </c>
      <c r="Q262" s="1063">
        <v>0</v>
      </c>
      <c r="R262" s="1063">
        <v>0</v>
      </c>
      <c r="S262" s="1063">
        <v>0</v>
      </c>
      <c r="T262" s="1063">
        <v>0</v>
      </c>
      <c r="U262" s="1063">
        <v>0</v>
      </c>
      <c r="V262" s="1063"/>
      <c r="AT262" s="418">
        <v>0</v>
      </c>
      <c r="AU262" s="418">
        <v>0</v>
      </c>
      <c r="AV262" s="418">
        <v>0</v>
      </c>
      <c r="AW262" s="418">
        <v>0</v>
      </c>
      <c r="AX262" s="418">
        <v>0</v>
      </c>
      <c r="AY262" s="418">
        <v>0</v>
      </c>
      <c r="AZ262" s="418">
        <v>0</v>
      </c>
      <c r="BA262" s="418">
        <v>0</v>
      </c>
      <c r="BB262" s="418">
        <v>0</v>
      </c>
      <c r="BC262" s="418">
        <v>0</v>
      </c>
      <c r="BD262" s="418">
        <v>0</v>
      </c>
      <c r="BE262" s="418">
        <v>0</v>
      </c>
      <c r="BF262" s="418">
        <v>0</v>
      </c>
      <c r="BG262" s="418">
        <v>0</v>
      </c>
      <c r="BH262" s="418">
        <v>0</v>
      </c>
      <c r="BI262" s="418">
        <v>0</v>
      </c>
      <c r="BJ262" s="418">
        <v>0</v>
      </c>
      <c r="BK262" s="418">
        <v>0</v>
      </c>
      <c r="BL262" s="418">
        <v>0</v>
      </c>
      <c r="BM262" s="418">
        <v>0</v>
      </c>
      <c r="BN262" s="418">
        <v>0</v>
      </c>
      <c r="BO262" s="418">
        <v>0</v>
      </c>
      <c r="BP262" s="418">
        <v>0</v>
      </c>
      <c r="BQ262" s="418">
        <v>0</v>
      </c>
      <c r="BR262" s="418">
        <v>0</v>
      </c>
      <c r="BS262" s="418">
        <v>0</v>
      </c>
      <c r="BT262" s="418">
        <v>0</v>
      </c>
      <c r="BU262" s="418">
        <v>0</v>
      </c>
      <c r="BV262" s="418">
        <v>0</v>
      </c>
      <c r="BW262" s="418">
        <v>0</v>
      </c>
      <c r="BX262" s="418">
        <v>0</v>
      </c>
      <c r="BY262" s="418">
        <v>0</v>
      </c>
      <c r="BZ262" s="418">
        <v>0</v>
      </c>
      <c r="CA262" s="418">
        <v>0</v>
      </c>
      <c r="CB262" s="418">
        <v>0</v>
      </c>
    </row>
    <row r="263" spans="1:80" s="418" customFormat="1" ht="158.4" x14ac:dyDescent="0.3">
      <c r="A263" s="1053" t="s">
        <v>1866</v>
      </c>
      <c r="B263" s="1049"/>
      <c r="C263" s="1055">
        <v>603</v>
      </c>
      <c r="D263" s="1094" t="s">
        <v>670</v>
      </c>
      <c r="E263" s="1049"/>
      <c r="F263" s="1063">
        <v>0</v>
      </c>
      <c r="G263" s="1063">
        <v>0</v>
      </c>
      <c r="H263" s="1063">
        <v>0</v>
      </c>
      <c r="I263" s="1063">
        <v>0</v>
      </c>
      <c r="J263" s="1063">
        <v>0</v>
      </c>
      <c r="K263" s="1063">
        <v>0</v>
      </c>
      <c r="L263" s="1063">
        <v>0</v>
      </c>
      <c r="M263" s="1063">
        <v>0</v>
      </c>
      <c r="N263" s="1063">
        <v>0</v>
      </c>
      <c r="O263" s="1063">
        <v>0</v>
      </c>
      <c r="P263" s="1063">
        <v>0</v>
      </c>
      <c r="Q263" s="1063">
        <v>0</v>
      </c>
      <c r="R263" s="1063">
        <v>0</v>
      </c>
      <c r="S263" s="1063">
        <v>0</v>
      </c>
      <c r="T263" s="1063">
        <v>0</v>
      </c>
      <c r="U263" s="1063">
        <v>0</v>
      </c>
      <c r="V263" s="1063"/>
    </row>
    <row r="264" spans="1:80" s="418" customFormat="1" ht="115.2" x14ac:dyDescent="0.3">
      <c r="A264" s="1052">
        <v>604</v>
      </c>
      <c r="B264" s="1049"/>
      <c r="C264" s="1055">
        <v>604</v>
      </c>
      <c r="D264" s="1094" t="s">
        <v>671</v>
      </c>
      <c r="E264" s="1049"/>
      <c r="F264" s="1063">
        <v>0</v>
      </c>
      <c r="G264" s="1063">
        <v>0</v>
      </c>
      <c r="H264" s="1063">
        <v>0</v>
      </c>
      <c r="I264" s="1063">
        <v>0</v>
      </c>
      <c r="J264" s="1063">
        <v>0</v>
      </c>
      <c r="K264" s="1063">
        <v>0</v>
      </c>
      <c r="L264" s="1063">
        <v>0</v>
      </c>
      <c r="M264" s="1063">
        <v>0</v>
      </c>
      <c r="N264" s="1063">
        <v>0</v>
      </c>
      <c r="O264" s="1063">
        <v>0</v>
      </c>
      <c r="P264" s="1063">
        <v>0</v>
      </c>
      <c r="Q264" s="1063">
        <v>0</v>
      </c>
      <c r="R264" s="1063">
        <v>0</v>
      </c>
      <c r="S264" s="1063">
        <v>0</v>
      </c>
      <c r="T264" s="1063">
        <v>0</v>
      </c>
      <c r="U264" s="1063">
        <v>0</v>
      </c>
      <c r="V264" s="1063"/>
      <c r="AT264" s="418">
        <v>0</v>
      </c>
      <c r="AU264" s="418">
        <v>0</v>
      </c>
      <c r="AV264" s="418">
        <v>0</v>
      </c>
      <c r="AW264" s="418">
        <v>0</v>
      </c>
      <c r="AX264" s="418">
        <v>0</v>
      </c>
      <c r="AY264" s="418">
        <v>0</v>
      </c>
      <c r="AZ264" s="418">
        <v>0</v>
      </c>
      <c r="BA264" s="418">
        <v>0</v>
      </c>
      <c r="BB264" s="418">
        <v>0</v>
      </c>
      <c r="BC264" s="418">
        <v>0</v>
      </c>
      <c r="BD264" s="418">
        <v>0</v>
      </c>
      <c r="BE264" s="418">
        <v>0</v>
      </c>
      <c r="BF264" s="418">
        <v>0</v>
      </c>
      <c r="BG264" s="418">
        <v>0</v>
      </c>
      <c r="BH264" s="418">
        <v>0</v>
      </c>
      <c r="BI264" s="418">
        <v>0</v>
      </c>
      <c r="BJ264" s="418">
        <v>0</v>
      </c>
      <c r="BK264" s="418">
        <v>0</v>
      </c>
      <c r="BL264" s="418">
        <v>0</v>
      </c>
      <c r="BM264" s="418">
        <v>0</v>
      </c>
      <c r="BN264" s="418">
        <v>0</v>
      </c>
      <c r="BO264" s="418">
        <v>0</v>
      </c>
      <c r="BP264" s="418">
        <v>0</v>
      </c>
      <c r="BQ264" s="418">
        <v>0</v>
      </c>
      <c r="BR264" s="418">
        <v>0</v>
      </c>
      <c r="BS264" s="418">
        <v>0</v>
      </c>
      <c r="BT264" s="418">
        <v>0</v>
      </c>
      <c r="BU264" s="418">
        <v>0</v>
      </c>
      <c r="BV264" s="418">
        <v>0</v>
      </c>
      <c r="BW264" s="418">
        <v>0</v>
      </c>
      <c r="BX264" s="418">
        <v>0</v>
      </c>
      <c r="BY264" s="418">
        <v>0</v>
      </c>
      <c r="BZ264" s="418">
        <v>0</v>
      </c>
      <c r="CA264" s="418">
        <v>0</v>
      </c>
      <c r="CB264" s="418">
        <v>0</v>
      </c>
    </row>
    <row r="265" spans="1:80" s="418" customFormat="1" ht="28.8" x14ac:dyDescent="0.3">
      <c r="A265" s="1052">
        <v>605</v>
      </c>
      <c r="B265" s="1049"/>
      <c r="C265" s="1055">
        <v>605</v>
      </c>
      <c r="D265" s="1094" t="s">
        <v>673</v>
      </c>
      <c r="E265" s="1049"/>
      <c r="F265" s="1063">
        <v>0</v>
      </c>
      <c r="G265" s="1063">
        <v>0</v>
      </c>
      <c r="H265" s="1063">
        <v>0</v>
      </c>
      <c r="I265" s="1063">
        <v>0</v>
      </c>
      <c r="J265" s="1063">
        <v>0</v>
      </c>
      <c r="K265" s="1063">
        <v>0</v>
      </c>
      <c r="L265" s="1063">
        <v>0</v>
      </c>
      <c r="M265" s="1063">
        <v>0</v>
      </c>
      <c r="N265" s="1063">
        <v>0</v>
      </c>
      <c r="O265" s="1063">
        <v>0</v>
      </c>
      <c r="P265" s="1063">
        <v>0</v>
      </c>
      <c r="Q265" s="1063">
        <v>0</v>
      </c>
      <c r="R265" s="1063">
        <v>0</v>
      </c>
      <c r="S265" s="1063">
        <v>0</v>
      </c>
      <c r="T265" s="1063">
        <v>0</v>
      </c>
      <c r="U265" s="1063">
        <v>0</v>
      </c>
      <c r="V265" s="1063"/>
      <c r="AT265" s="418">
        <v>0</v>
      </c>
      <c r="AU265" s="418">
        <v>0</v>
      </c>
      <c r="AV265" s="418">
        <v>0</v>
      </c>
      <c r="AW265" s="418">
        <v>0</v>
      </c>
      <c r="AX265" s="418">
        <v>0</v>
      </c>
      <c r="AY265" s="418">
        <v>0</v>
      </c>
      <c r="AZ265" s="418">
        <v>0</v>
      </c>
      <c r="BA265" s="418">
        <v>0</v>
      </c>
      <c r="BB265" s="418">
        <v>0</v>
      </c>
      <c r="BC265" s="418">
        <v>0</v>
      </c>
      <c r="BD265" s="418">
        <v>0</v>
      </c>
      <c r="BE265" s="418">
        <v>0</v>
      </c>
      <c r="BF265" s="418">
        <v>0</v>
      </c>
      <c r="BG265" s="418">
        <v>0</v>
      </c>
      <c r="BH265" s="418">
        <v>0</v>
      </c>
      <c r="BI265" s="418">
        <v>0</v>
      </c>
      <c r="BJ265" s="418">
        <v>0</v>
      </c>
      <c r="BK265" s="418">
        <v>0</v>
      </c>
      <c r="BL265" s="418">
        <v>0</v>
      </c>
      <c r="BM265" s="418">
        <v>0</v>
      </c>
      <c r="BN265" s="418">
        <v>0</v>
      </c>
      <c r="BO265" s="418">
        <v>0</v>
      </c>
      <c r="BP265" s="418">
        <v>0</v>
      </c>
      <c r="BQ265" s="418">
        <v>0</v>
      </c>
      <c r="BR265" s="418">
        <v>0</v>
      </c>
      <c r="BS265" s="418">
        <v>0</v>
      </c>
      <c r="BT265" s="418">
        <v>0</v>
      </c>
      <c r="BU265" s="418">
        <v>0</v>
      </c>
      <c r="BV265" s="418">
        <v>0</v>
      </c>
      <c r="BW265" s="418">
        <v>0</v>
      </c>
      <c r="BX265" s="418">
        <v>0</v>
      </c>
      <c r="BY265" s="418">
        <v>0</v>
      </c>
      <c r="BZ265" s="418">
        <v>0</v>
      </c>
      <c r="CA265" s="418">
        <v>0</v>
      </c>
      <c r="CB265" s="418">
        <v>0</v>
      </c>
    </row>
    <row r="266" spans="1:80" s="418" customFormat="1" ht="28.8" x14ac:dyDescent="0.3">
      <c r="A266" s="1052">
        <v>606</v>
      </c>
      <c r="B266" s="1053">
        <v>606</v>
      </c>
      <c r="C266" s="1055">
        <v>606</v>
      </c>
      <c r="D266" s="1094" t="s">
        <v>688</v>
      </c>
      <c r="E266" s="1049"/>
      <c r="F266" s="1063">
        <v>0</v>
      </c>
      <c r="G266" s="1063">
        <v>0</v>
      </c>
      <c r="H266" s="1063">
        <v>0</v>
      </c>
      <c r="I266" s="1063">
        <v>1</v>
      </c>
      <c r="J266" s="1063">
        <v>0</v>
      </c>
      <c r="K266" s="1063">
        <v>0</v>
      </c>
      <c r="L266" s="1063">
        <v>0</v>
      </c>
      <c r="M266" s="1063">
        <v>0</v>
      </c>
      <c r="N266" s="1063">
        <v>0</v>
      </c>
      <c r="O266" s="1063">
        <v>0</v>
      </c>
      <c r="P266" s="1063">
        <v>0</v>
      </c>
      <c r="Q266" s="1063">
        <v>0</v>
      </c>
      <c r="R266" s="1063">
        <v>0</v>
      </c>
      <c r="S266" s="1063">
        <v>0</v>
      </c>
      <c r="T266" s="1063">
        <v>0</v>
      </c>
      <c r="U266" s="1063">
        <v>0</v>
      </c>
      <c r="V266" s="1063"/>
      <c r="AT266" s="418">
        <v>0</v>
      </c>
      <c r="AU266" s="418">
        <v>0</v>
      </c>
      <c r="AV266" s="418">
        <v>1</v>
      </c>
      <c r="AW266" s="418">
        <v>0</v>
      </c>
      <c r="AX266" s="418">
        <v>0</v>
      </c>
      <c r="AY266" s="418">
        <v>0</v>
      </c>
      <c r="AZ266" s="418">
        <v>1</v>
      </c>
      <c r="BA266" s="418">
        <v>0</v>
      </c>
      <c r="BB266" s="418">
        <v>0</v>
      </c>
      <c r="BC266" s="418">
        <v>0</v>
      </c>
      <c r="BD266" s="418">
        <v>0</v>
      </c>
      <c r="BE266" s="418">
        <v>0</v>
      </c>
      <c r="BF266" s="418">
        <v>0</v>
      </c>
      <c r="BG266" s="418">
        <v>0</v>
      </c>
      <c r="BH266" s="418">
        <v>0</v>
      </c>
      <c r="BI266" s="418">
        <v>0</v>
      </c>
      <c r="BJ266" s="418">
        <v>0</v>
      </c>
      <c r="BK266" s="418">
        <v>0</v>
      </c>
      <c r="BL266" s="418">
        <v>0</v>
      </c>
      <c r="BM266" s="418">
        <v>0</v>
      </c>
      <c r="BN266" s="418">
        <v>0</v>
      </c>
      <c r="BO266" s="418">
        <v>1</v>
      </c>
      <c r="BP266" s="418">
        <v>0</v>
      </c>
      <c r="BQ266" s="418">
        <v>0</v>
      </c>
      <c r="BR266" s="418">
        <v>0</v>
      </c>
      <c r="BS266" s="418">
        <v>0</v>
      </c>
      <c r="BT266" s="418">
        <v>1</v>
      </c>
      <c r="BU266" s="418">
        <v>0</v>
      </c>
      <c r="BV266" s="418">
        <v>0</v>
      </c>
      <c r="BW266" s="418">
        <v>1</v>
      </c>
      <c r="BX266" s="418">
        <v>0</v>
      </c>
      <c r="BY266" s="418">
        <v>0</v>
      </c>
      <c r="BZ266" s="418">
        <v>0</v>
      </c>
      <c r="CA266" s="418">
        <v>1</v>
      </c>
      <c r="CB266" s="418">
        <v>0</v>
      </c>
    </row>
    <row r="267" spans="1:80" s="418" customFormat="1" x14ac:dyDescent="0.3">
      <c r="A267" s="1052">
        <v>607</v>
      </c>
      <c r="B267" s="1049"/>
      <c r="C267" s="1055">
        <v>607</v>
      </c>
      <c r="D267" s="1094" t="s">
        <v>663</v>
      </c>
      <c r="E267" s="1049"/>
      <c r="F267" s="1063">
        <v>0</v>
      </c>
      <c r="G267" s="1063">
        <v>0</v>
      </c>
      <c r="H267" s="1063">
        <v>0</v>
      </c>
      <c r="I267" s="1063">
        <v>0</v>
      </c>
      <c r="J267" s="1063">
        <v>0</v>
      </c>
      <c r="K267" s="1063">
        <v>0</v>
      </c>
      <c r="L267" s="1063">
        <v>0</v>
      </c>
      <c r="M267" s="1063">
        <v>0</v>
      </c>
      <c r="N267" s="1063">
        <v>0</v>
      </c>
      <c r="O267" s="1063">
        <v>0</v>
      </c>
      <c r="P267" s="1063">
        <v>0</v>
      </c>
      <c r="Q267" s="1063">
        <v>0</v>
      </c>
      <c r="R267" s="1063">
        <v>0</v>
      </c>
      <c r="S267" s="1063">
        <v>0</v>
      </c>
      <c r="T267" s="1063">
        <v>0</v>
      </c>
      <c r="U267" s="1063">
        <v>0</v>
      </c>
      <c r="V267" s="1063"/>
      <c r="AT267" s="418">
        <v>0</v>
      </c>
      <c r="AU267" s="418">
        <v>0</v>
      </c>
      <c r="AV267" s="418">
        <v>0</v>
      </c>
      <c r="AW267" s="418">
        <v>0</v>
      </c>
      <c r="AX267" s="418">
        <v>0</v>
      </c>
      <c r="AY267" s="418">
        <v>0</v>
      </c>
      <c r="AZ267" s="418">
        <v>0</v>
      </c>
      <c r="BA267" s="418">
        <v>0</v>
      </c>
      <c r="BB267" s="418">
        <v>0</v>
      </c>
      <c r="BC267" s="418">
        <v>0</v>
      </c>
      <c r="BD267" s="418">
        <v>0</v>
      </c>
      <c r="BE267" s="418">
        <v>0</v>
      </c>
      <c r="BF267" s="418">
        <v>0</v>
      </c>
      <c r="BG267" s="418">
        <v>0</v>
      </c>
      <c r="BH267" s="418">
        <v>0</v>
      </c>
      <c r="BI267" s="418">
        <v>0</v>
      </c>
      <c r="BJ267" s="418">
        <v>0</v>
      </c>
      <c r="BK267" s="418">
        <v>0</v>
      </c>
      <c r="BL267" s="418">
        <v>0</v>
      </c>
      <c r="BM267" s="418">
        <v>0</v>
      </c>
      <c r="BN267" s="418">
        <v>0</v>
      </c>
      <c r="BO267" s="418">
        <v>0</v>
      </c>
      <c r="BP267" s="418">
        <v>0</v>
      </c>
      <c r="BQ267" s="418">
        <v>0</v>
      </c>
      <c r="BR267" s="418">
        <v>0</v>
      </c>
      <c r="BS267" s="418">
        <v>0</v>
      </c>
      <c r="BT267" s="418">
        <v>0</v>
      </c>
      <c r="BU267" s="418">
        <v>0</v>
      </c>
      <c r="BV267" s="418">
        <v>0</v>
      </c>
      <c r="BW267" s="418">
        <v>0</v>
      </c>
      <c r="BX267" s="418">
        <v>0</v>
      </c>
      <c r="BY267" s="418">
        <v>0</v>
      </c>
      <c r="BZ267" s="418">
        <v>0</v>
      </c>
      <c r="CA267" s="418">
        <v>0</v>
      </c>
      <c r="CB267" s="418">
        <v>0</v>
      </c>
    </row>
    <row r="268" spans="1:80" s="418" customFormat="1" ht="28.8" x14ac:dyDescent="0.3">
      <c r="A268" s="1052">
        <v>608</v>
      </c>
      <c r="B268" s="1049"/>
      <c r="C268" s="1055">
        <v>608</v>
      </c>
      <c r="D268" s="1094" t="s">
        <v>664</v>
      </c>
      <c r="E268" s="1049"/>
      <c r="F268" s="1063">
        <v>0</v>
      </c>
      <c r="G268" s="1063">
        <v>0</v>
      </c>
      <c r="H268" s="1063">
        <v>0</v>
      </c>
      <c r="I268" s="1063">
        <v>0</v>
      </c>
      <c r="J268" s="1063">
        <v>0</v>
      </c>
      <c r="K268" s="1063">
        <v>0</v>
      </c>
      <c r="L268" s="1063">
        <v>0</v>
      </c>
      <c r="M268" s="1063">
        <v>0</v>
      </c>
      <c r="N268" s="1063">
        <v>0</v>
      </c>
      <c r="O268" s="1063">
        <v>0</v>
      </c>
      <c r="P268" s="1063">
        <v>0</v>
      </c>
      <c r="Q268" s="1063">
        <v>0</v>
      </c>
      <c r="R268" s="1063">
        <v>0</v>
      </c>
      <c r="S268" s="1063">
        <v>0</v>
      </c>
      <c r="T268" s="1063">
        <v>0</v>
      </c>
      <c r="U268" s="1063">
        <v>0</v>
      </c>
      <c r="V268" s="1063"/>
      <c r="AT268" s="418">
        <v>0</v>
      </c>
      <c r="AU268" s="418">
        <v>0</v>
      </c>
      <c r="AV268" s="418">
        <v>0</v>
      </c>
      <c r="AW268" s="418">
        <v>0</v>
      </c>
      <c r="AX268" s="418">
        <v>0</v>
      </c>
      <c r="AY268" s="418">
        <v>0</v>
      </c>
      <c r="AZ268" s="418">
        <v>0</v>
      </c>
      <c r="BA268" s="418">
        <v>0</v>
      </c>
      <c r="BB268" s="418">
        <v>0</v>
      </c>
      <c r="BC268" s="418">
        <v>0</v>
      </c>
      <c r="BD268" s="418">
        <v>0</v>
      </c>
      <c r="BE268" s="418">
        <v>0</v>
      </c>
      <c r="BF268" s="418">
        <v>0</v>
      </c>
      <c r="BG268" s="418">
        <v>0</v>
      </c>
      <c r="BH268" s="418">
        <v>0</v>
      </c>
      <c r="BI268" s="418">
        <v>0</v>
      </c>
      <c r="BJ268" s="418">
        <v>0</v>
      </c>
      <c r="BK268" s="418">
        <v>0</v>
      </c>
      <c r="BL268" s="418">
        <v>0</v>
      </c>
      <c r="BM268" s="418">
        <v>0</v>
      </c>
      <c r="BN268" s="418">
        <v>0</v>
      </c>
      <c r="BO268" s="418">
        <v>0</v>
      </c>
      <c r="BP268" s="418">
        <v>0</v>
      </c>
      <c r="BQ268" s="418">
        <v>0</v>
      </c>
      <c r="BR268" s="418">
        <v>0</v>
      </c>
      <c r="BS268" s="418">
        <v>0</v>
      </c>
      <c r="BT268" s="418">
        <v>0</v>
      </c>
      <c r="BU268" s="418">
        <v>0</v>
      </c>
      <c r="BV268" s="418">
        <v>0</v>
      </c>
      <c r="BW268" s="418">
        <v>0</v>
      </c>
      <c r="BX268" s="418">
        <v>0</v>
      </c>
      <c r="BY268" s="418">
        <v>0</v>
      </c>
      <c r="BZ268" s="418">
        <v>0</v>
      </c>
      <c r="CA268" s="418">
        <v>0</v>
      </c>
      <c r="CB268" s="418">
        <v>0</v>
      </c>
    </row>
    <row r="269" spans="1:80" s="418" customFormat="1" ht="28.8" x14ac:dyDescent="0.3">
      <c r="A269" s="1052">
        <v>609</v>
      </c>
      <c r="B269" s="1049"/>
      <c r="C269" s="1055">
        <v>609</v>
      </c>
      <c r="D269" s="1094" t="s">
        <v>682</v>
      </c>
      <c r="E269" s="1049"/>
      <c r="F269" s="1063">
        <v>0</v>
      </c>
      <c r="G269" s="1063">
        <v>0</v>
      </c>
      <c r="H269" s="1063">
        <v>0</v>
      </c>
      <c r="I269" s="1063">
        <v>0</v>
      </c>
      <c r="J269" s="1063">
        <v>0</v>
      </c>
      <c r="K269" s="1063">
        <v>0</v>
      </c>
      <c r="L269" s="1063">
        <v>0</v>
      </c>
      <c r="M269" s="1063">
        <v>0</v>
      </c>
      <c r="N269" s="1063">
        <v>0</v>
      </c>
      <c r="O269" s="1063">
        <v>0</v>
      </c>
      <c r="P269" s="1063">
        <v>0</v>
      </c>
      <c r="Q269" s="1063">
        <v>0</v>
      </c>
      <c r="R269" s="1063">
        <v>0</v>
      </c>
      <c r="S269" s="1063">
        <v>0</v>
      </c>
      <c r="T269" s="1063">
        <v>0</v>
      </c>
      <c r="U269" s="1063">
        <v>0</v>
      </c>
      <c r="V269" s="1063"/>
      <c r="AT269" s="418">
        <v>0</v>
      </c>
      <c r="AU269" s="418">
        <v>0</v>
      </c>
      <c r="AV269" s="418">
        <v>0</v>
      </c>
      <c r="AW269" s="418">
        <v>0</v>
      </c>
      <c r="AX269" s="418">
        <v>0</v>
      </c>
      <c r="AY269" s="418">
        <v>0</v>
      </c>
      <c r="AZ269" s="418">
        <v>0</v>
      </c>
      <c r="BA269" s="418">
        <v>0</v>
      </c>
      <c r="BB269" s="418">
        <v>0</v>
      </c>
      <c r="BC269" s="418">
        <v>0</v>
      </c>
      <c r="BD269" s="418">
        <v>0</v>
      </c>
      <c r="BE269" s="418">
        <v>0</v>
      </c>
      <c r="BF269" s="418">
        <v>0</v>
      </c>
      <c r="BG269" s="418">
        <v>0</v>
      </c>
      <c r="BH269" s="418">
        <v>0</v>
      </c>
      <c r="BI269" s="418">
        <v>0</v>
      </c>
      <c r="BJ269" s="418">
        <v>0</v>
      </c>
      <c r="BK269" s="418">
        <v>0</v>
      </c>
      <c r="BL269" s="418">
        <v>0</v>
      </c>
      <c r="BM269" s="418">
        <v>0</v>
      </c>
      <c r="BN269" s="418">
        <v>0</v>
      </c>
      <c r="BO269" s="418">
        <v>0</v>
      </c>
      <c r="BP269" s="418">
        <v>0</v>
      </c>
      <c r="BQ269" s="418">
        <v>0</v>
      </c>
      <c r="BR269" s="418">
        <v>0</v>
      </c>
      <c r="BS269" s="418">
        <v>0</v>
      </c>
      <c r="BT269" s="418">
        <v>0</v>
      </c>
      <c r="BU269" s="418">
        <v>0</v>
      </c>
      <c r="BV269" s="418">
        <v>0</v>
      </c>
      <c r="BW269" s="418">
        <v>0</v>
      </c>
      <c r="BX269" s="418">
        <v>0</v>
      </c>
      <c r="BY269" s="418">
        <v>0</v>
      </c>
      <c r="BZ269" s="418">
        <v>0</v>
      </c>
      <c r="CA269" s="418">
        <v>0</v>
      </c>
      <c r="CB269" s="418">
        <v>0</v>
      </c>
    </row>
    <row r="270" spans="1:80" s="418" customFormat="1" x14ac:dyDescent="0.3">
      <c r="A270" s="1052">
        <v>610</v>
      </c>
      <c r="B270" s="1049"/>
      <c r="C270" s="1055">
        <v>610</v>
      </c>
      <c r="D270" s="1094" t="s">
        <v>665</v>
      </c>
      <c r="E270" s="1049"/>
      <c r="F270" s="1063">
        <v>0</v>
      </c>
      <c r="G270" s="1063">
        <v>0</v>
      </c>
      <c r="H270" s="1063">
        <v>0</v>
      </c>
      <c r="I270" s="1063">
        <v>0</v>
      </c>
      <c r="J270" s="1063">
        <v>0</v>
      </c>
      <c r="K270" s="1063">
        <v>0</v>
      </c>
      <c r="L270" s="1063">
        <v>0</v>
      </c>
      <c r="M270" s="1063">
        <v>0</v>
      </c>
      <c r="N270" s="1063">
        <v>0</v>
      </c>
      <c r="O270" s="1063">
        <v>0</v>
      </c>
      <c r="P270" s="1063">
        <v>0</v>
      </c>
      <c r="Q270" s="1063">
        <v>0</v>
      </c>
      <c r="R270" s="1063">
        <v>0</v>
      </c>
      <c r="S270" s="1063">
        <v>0</v>
      </c>
      <c r="T270" s="1063">
        <v>0</v>
      </c>
      <c r="U270" s="1063">
        <v>0</v>
      </c>
      <c r="V270" s="1063"/>
      <c r="AT270" s="418">
        <v>0</v>
      </c>
      <c r="AU270" s="418">
        <v>0</v>
      </c>
      <c r="AV270" s="418">
        <v>0</v>
      </c>
      <c r="AW270" s="418">
        <v>0</v>
      </c>
      <c r="AX270" s="418">
        <v>0</v>
      </c>
      <c r="AY270" s="418">
        <v>0</v>
      </c>
      <c r="AZ270" s="418">
        <v>0</v>
      </c>
      <c r="BA270" s="418">
        <v>0</v>
      </c>
      <c r="BB270" s="418">
        <v>0</v>
      </c>
      <c r="BC270" s="418">
        <v>0</v>
      </c>
      <c r="BD270" s="418">
        <v>0</v>
      </c>
      <c r="BE270" s="418">
        <v>0</v>
      </c>
      <c r="BF270" s="418">
        <v>0</v>
      </c>
      <c r="BG270" s="418">
        <v>0</v>
      </c>
      <c r="BH270" s="418">
        <v>0</v>
      </c>
      <c r="BI270" s="418">
        <v>0</v>
      </c>
      <c r="BJ270" s="418">
        <v>0</v>
      </c>
      <c r="BK270" s="418">
        <v>0</v>
      </c>
      <c r="BL270" s="418">
        <v>0</v>
      </c>
      <c r="BM270" s="418">
        <v>0</v>
      </c>
      <c r="BN270" s="418">
        <v>0</v>
      </c>
      <c r="BO270" s="418">
        <v>0</v>
      </c>
      <c r="BP270" s="418">
        <v>0</v>
      </c>
      <c r="BQ270" s="418">
        <v>0</v>
      </c>
      <c r="BR270" s="418">
        <v>0</v>
      </c>
      <c r="BS270" s="418">
        <v>0</v>
      </c>
      <c r="BT270" s="418">
        <v>0</v>
      </c>
      <c r="BU270" s="418">
        <v>0</v>
      </c>
      <c r="BV270" s="418">
        <v>0</v>
      </c>
      <c r="BW270" s="418">
        <v>0</v>
      </c>
      <c r="BX270" s="418">
        <v>0</v>
      </c>
      <c r="BY270" s="418">
        <v>0</v>
      </c>
      <c r="BZ270" s="418">
        <v>0</v>
      </c>
      <c r="CA270" s="418">
        <v>0</v>
      </c>
      <c r="CB270" s="418">
        <v>0</v>
      </c>
    </row>
    <row r="271" spans="1:80" s="418" customFormat="1" ht="28.8" x14ac:dyDescent="0.3">
      <c r="A271" s="1052">
        <v>611</v>
      </c>
      <c r="B271" s="1049"/>
      <c r="C271" s="1055">
        <v>611</v>
      </c>
      <c r="D271" s="1094" t="s">
        <v>666</v>
      </c>
      <c r="E271" s="1049"/>
      <c r="F271" s="1063">
        <v>0</v>
      </c>
      <c r="G271" s="1063">
        <v>0</v>
      </c>
      <c r="H271" s="1063">
        <v>0</v>
      </c>
      <c r="I271" s="1063">
        <v>0</v>
      </c>
      <c r="J271" s="1063">
        <v>0</v>
      </c>
      <c r="K271" s="1063">
        <v>0</v>
      </c>
      <c r="L271" s="1063">
        <v>0</v>
      </c>
      <c r="M271" s="1063">
        <v>0</v>
      </c>
      <c r="N271" s="1063">
        <v>0</v>
      </c>
      <c r="O271" s="1063">
        <v>0</v>
      </c>
      <c r="P271" s="1063">
        <v>0</v>
      </c>
      <c r="Q271" s="1063">
        <v>0</v>
      </c>
      <c r="R271" s="1063">
        <v>0</v>
      </c>
      <c r="S271" s="1063">
        <v>0</v>
      </c>
      <c r="T271" s="1063">
        <v>0</v>
      </c>
      <c r="U271" s="1063">
        <v>0</v>
      </c>
      <c r="V271" s="1063"/>
      <c r="AT271" s="418">
        <v>0</v>
      </c>
      <c r="AU271" s="418">
        <v>0</v>
      </c>
      <c r="AV271" s="418">
        <v>0</v>
      </c>
      <c r="AW271" s="418">
        <v>0</v>
      </c>
      <c r="AX271" s="418">
        <v>0</v>
      </c>
      <c r="AY271" s="418">
        <v>0</v>
      </c>
      <c r="AZ271" s="418">
        <v>0</v>
      </c>
      <c r="BA271" s="418">
        <v>0</v>
      </c>
      <c r="BB271" s="418">
        <v>0</v>
      </c>
      <c r="BC271" s="418">
        <v>0</v>
      </c>
      <c r="BD271" s="418">
        <v>0</v>
      </c>
      <c r="BE271" s="418">
        <v>0</v>
      </c>
      <c r="BF271" s="418">
        <v>0</v>
      </c>
      <c r="BG271" s="418">
        <v>0</v>
      </c>
      <c r="BH271" s="418">
        <v>0</v>
      </c>
      <c r="BI271" s="418">
        <v>0</v>
      </c>
      <c r="BJ271" s="418">
        <v>0</v>
      </c>
      <c r="BK271" s="418">
        <v>0</v>
      </c>
      <c r="BL271" s="418">
        <v>0</v>
      </c>
      <c r="BM271" s="418">
        <v>0</v>
      </c>
      <c r="BN271" s="418">
        <v>0</v>
      </c>
      <c r="BO271" s="418">
        <v>0</v>
      </c>
      <c r="BP271" s="418">
        <v>0</v>
      </c>
      <c r="BQ271" s="418">
        <v>0</v>
      </c>
      <c r="BR271" s="418">
        <v>0</v>
      </c>
      <c r="BS271" s="418">
        <v>0</v>
      </c>
      <c r="BT271" s="418">
        <v>0</v>
      </c>
      <c r="BU271" s="418">
        <v>0</v>
      </c>
      <c r="BV271" s="418">
        <v>0</v>
      </c>
      <c r="BW271" s="418">
        <v>0</v>
      </c>
      <c r="BX271" s="418">
        <v>0</v>
      </c>
      <c r="BY271" s="418">
        <v>0</v>
      </c>
      <c r="BZ271" s="418">
        <v>0</v>
      </c>
      <c r="CA271" s="418">
        <v>0</v>
      </c>
      <c r="CB271" s="418">
        <v>0</v>
      </c>
    </row>
    <row r="272" spans="1:80" s="418" customFormat="1" ht="28.8" x14ac:dyDescent="0.3">
      <c r="A272" s="1052">
        <v>612</v>
      </c>
      <c r="B272" s="1049"/>
      <c r="C272" s="1055">
        <v>612</v>
      </c>
      <c r="D272" s="1094" t="s">
        <v>683</v>
      </c>
      <c r="E272" s="1049"/>
      <c r="F272" s="1063">
        <v>0</v>
      </c>
      <c r="G272" s="1063">
        <v>0</v>
      </c>
      <c r="H272" s="1063">
        <v>0</v>
      </c>
      <c r="I272" s="1063">
        <v>0</v>
      </c>
      <c r="J272" s="1063">
        <v>0</v>
      </c>
      <c r="K272" s="1063">
        <v>0</v>
      </c>
      <c r="L272" s="1063">
        <v>0</v>
      </c>
      <c r="M272" s="1063">
        <v>0</v>
      </c>
      <c r="N272" s="1063">
        <v>0</v>
      </c>
      <c r="O272" s="1063">
        <v>0</v>
      </c>
      <c r="P272" s="1063">
        <v>0</v>
      </c>
      <c r="Q272" s="1063">
        <v>0</v>
      </c>
      <c r="R272" s="1063">
        <v>0</v>
      </c>
      <c r="S272" s="1063">
        <v>0</v>
      </c>
      <c r="T272" s="1063">
        <v>0</v>
      </c>
      <c r="U272" s="1063">
        <v>0</v>
      </c>
      <c r="V272" s="1063"/>
      <c r="AT272" s="418">
        <v>0</v>
      </c>
      <c r="AU272" s="418">
        <v>0</v>
      </c>
      <c r="AV272" s="418">
        <v>0</v>
      </c>
      <c r="AW272" s="418">
        <v>0</v>
      </c>
      <c r="AX272" s="418">
        <v>0</v>
      </c>
      <c r="AY272" s="418">
        <v>0</v>
      </c>
      <c r="AZ272" s="418">
        <v>0</v>
      </c>
      <c r="BA272" s="418">
        <v>0</v>
      </c>
      <c r="BB272" s="418">
        <v>0</v>
      </c>
      <c r="BC272" s="418">
        <v>0</v>
      </c>
      <c r="BD272" s="418">
        <v>0</v>
      </c>
      <c r="BE272" s="418">
        <v>0</v>
      </c>
      <c r="BF272" s="418">
        <v>0</v>
      </c>
      <c r="BG272" s="418">
        <v>0</v>
      </c>
      <c r="BH272" s="418">
        <v>0</v>
      </c>
      <c r="BI272" s="418">
        <v>0</v>
      </c>
      <c r="BJ272" s="418">
        <v>0</v>
      </c>
      <c r="BK272" s="418">
        <v>0</v>
      </c>
      <c r="BL272" s="418">
        <v>0</v>
      </c>
      <c r="BM272" s="418">
        <v>0</v>
      </c>
      <c r="BN272" s="418">
        <v>0</v>
      </c>
      <c r="BO272" s="418">
        <v>0</v>
      </c>
      <c r="BP272" s="418">
        <v>0</v>
      </c>
      <c r="BQ272" s="418">
        <v>0</v>
      </c>
      <c r="BR272" s="418">
        <v>0</v>
      </c>
      <c r="BS272" s="418">
        <v>0</v>
      </c>
      <c r="BT272" s="418">
        <v>0</v>
      </c>
      <c r="BU272" s="418">
        <v>0</v>
      </c>
      <c r="BV272" s="418">
        <v>0</v>
      </c>
      <c r="BW272" s="418">
        <v>0</v>
      </c>
      <c r="BX272" s="418">
        <v>0</v>
      </c>
      <c r="BY272" s="418">
        <v>0</v>
      </c>
      <c r="BZ272" s="418">
        <v>0</v>
      </c>
      <c r="CA272" s="418">
        <v>0</v>
      </c>
      <c r="CB272" s="418">
        <v>0</v>
      </c>
    </row>
    <row r="273" spans="1:80" s="418" customFormat="1" x14ac:dyDescent="0.3">
      <c r="A273" s="1052">
        <v>613</v>
      </c>
      <c r="B273" s="1049"/>
      <c r="C273" s="1055">
        <v>613</v>
      </c>
      <c r="D273" s="1094" t="s">
        <v>674</v>
      </c>
      <c r="E273" s="1049"/>
      <c r="F273" s="1063">
        <v>0</v>
      </c>
      <c r="G273" s="1063">
        <v>0</v>
      </c>
      <c r="H273" s="1063">
        <v>0</v>
      </c>
      <c r="I273" s="1063">
        <v>0</v>
      </c>
      <c r="J273" s="1063">
        <v>0</v>
      </c>
      <c r="K273" s="1063">
        <v>0</v>
      </c>
      <c r="L273" s="1063">
        <v>0</v>
      </c>
      <c r="M273" s="1063">
        <v>0</v>
      </c>
      <c r="N273" s="1063">
        <v>0</v>
      </c>
      <c r="O273" s="1063">
        <v>0</v>
      </c>
      <c r="P273" s="1063">
        <v>0</v>
      </c>
      <c r="Q273" s="1063">
        <v>0</v>
      </c>
      <c r="R273" s="1063">
        <v>0</v>
      </c>
      <c r="S273" s="1063">
        <v>0</v>
      </c>
      <c r="T273" s="1063">
        <v>0</v>
      </c>
      <c r="U273" s="1063">
        <v>0</v>
      </c>
      <c r="V273" s="1063"/>
      <c r="W273" s="1049"/>
      <c r="AT273" s="418">
        <v>0</v>
      </c>
      <c r="AU273" s="418">
        <v>0</v>
      </c>
      <c r="AV273" s="418">
        <v>0</v>
      </c>
      <c r="AW273" s="418">
        <v>0</v>
      </c>
      <c r="AX273" s="418">
        <v>0</v>
      </c>
      <c r="AY273" s="418">
        <v>0</v>
      </c>
      <c r="AZ273" s="418">
        <v>0</v>
      </c>
      <c r="BA273" s="418">
        <v>0</v>
      </c>
      <c r="BB273" s="418">
        <v>0</v>
      </c>
      <c r="BC273" s="418">
        <v>0</v>
      </c>
      <c r="BD273" s="418">
        <v>0</v>
      </c>
      <c r="BE273" s="418">
        <v>0</v>
      </c>
      <c r="BF273" s="418">
        <v>0</v>
      </c>
      <c r="BG273" s="418">
        <v>0</v>
      </c>
      <c r="BH273" s="418">
        <v>0</v>
      </c>
      <c r="BI273" s="418">
        <v>0</v>
      </c>
      <c r="BJ273" s="418">
        <v>0</v>
      </c>
      <c r="BK273" s="418">
        <v>0</v>
      </c>
      <c r="BL273" s="418">
        <v>0</v>
      </c>
      <c r="BM273" s="418">
        <v>0</v>
      </c>
      <c r="BN273" s="418">
        <v>0</v>
      </c>
      <c r="BO273" s="418">
        <v>0</v>
      </c>
      <c r="BP273" s="418">
        <v>0</v>
      </c>
      <c r="BQ273" s="418">
        <v>0</v>
      </c>
      <c r="BR273" s="418">
        <v>0</v>
      </c>
      <c r="BS273" s="418">
        <v>0</v>
      </c>
      <c r="BT273" s="418">
        <v>0</v>
      </c>
      <c r="BU273" s="418">
        <v>0</v>
      </c>
      <c r="BV273" s="418">
        <v>0</v>
      </c>
      <c r="BW273" s="418">
        <v>0</v>
      </c>
      <c r="BX273" s="418">
        <v>0</v>
      </c>
      <c r="BY273" s="418">
        <v>0</v>
      </c>
      <c r="BZ273" s="418">
        <v>0</v>
      </c>
      <c r="CA273" s="418">
        <v>0</v>
      </c>
      <c r="CB273" s="418">
        <v>0</v>
      </c>
    </row>
    <row r="274" spans="1:80" s="418" customFormat="1" ht="28.8" x14ac:dyDescent="0.3">
      <c r="A274" s="1052">
        <v>614</v>
      </c>
      <c r="B274" s="1049"/>
      <c r="C274" s="1055">
        <v>614</v>
      </c>
      <c r="D274" s="1094" t="s">
        <v>667</v>
      </c>
      <c r="E274" s="1049"/>
      <c r="F274" s="1063">
        <v>0</v>
      </c>
      <c r="G274" s="1063">
        <v>0</v>
      </c>
      <c r="H274" s="1063">
        <v>0</v>
      </c>
      <c r="I274" s="1063">
        <v>0</v>
      </c>
      <c r="J274" s="1063">
        <v>0</v>
      </c>
      <c r="K274" s="1063">
        <v>0</v>
      </c>
      <c r="L274" s="1063">
        <v>0</v>
      </c>
      <c r="M274" s="1063">
        <v>0</v>
      </c>
      <c r="N274" s="1063">
        <v>0</v>
      </c>
      <c r="O274" s="1063">
        <v>0</v>
      </c>
      <c r="P274" s="1063">
        <v>0</v>
      </c>
      <c r="Q274" s="1063">
        <v>0</v>
      </c>
      <c r="R274" s="1063">
        <v>0</v>
      </c>
      <c r="S274" s="1063">
        <v>0</v>
      </c>
      <c r="T274" s="1063">
        <v>0</v>
      </c>
      <c r="U274" s="1063">
        <v>0</v>
      </c>
      <c r="V274" s="1063"/>
      <c r="W274" s="1049"/>
      <c r="AT274" s="418">
        <v>0</v>
      </c>
      <c r="AU274" s="418">
        <v>0</v>
      </c>
      <c r="AV274" s="418">
        <v>0</v>
      </c>
      <c r="AW274" s="418">
        <v>0</v>
      </c>
      <c r="AX274" s="418">
        <v>0</v>
      </c>
      <c r="AY274" s="418">
        <v>0</v>
      </c>
      <c r="AZ274" s="418">
        <v>0</v>
      </c>
      <c r="BA274" s="418">
        <v>0</v>
      </c>
      <c r="BB274" s="418">
        <v>0</v>
      </c>
      <c r="BC274" s="418">
        <v>0</v>
      </c>
      <c r="BD274" s="418">
        <v>0</v>
      </c>
      <c r="BE274" s="418">
        <v>0</v>
      </c>
      <c r="BF274" s="418">
        <v>0</v>
      </c>
      <c r="BG274" s="418">
        <v>0</v>
      </c>
      <c r="BH274" s="418">
        <v>0</v>
      </c>
      <c r="BI274" s="418">
        <v>0</v>
      </c>
      <c r="BJ274" s="418">
        <v>0</v>
      </c>
      <c r="BK274" s="418">
        <v>0</v>
      </c>
      <c r="BL274" s="418">
        <v>0</v>
      </c>
      <c r="BM274" s="418">
        <v>0</v>
      </c>
      <c r="BN274" s="418">
        <v>0</v>
      </c>
      <c r="BO274" s="418">
        <v>0</v>
      </c>
      <c r="BP274" s="418">
        <v>0</v>
      </c>
      <c r="BQ274" s="418">
        <v>0</v>
      </c>
      <c r="BR274" s="418">
        <v>0</v>
      </c>
      <c r="BS274" s="418">
        <v>0</v>
      </c>
      <c r="BT274" s="418">
        <v>0</v>
      </c>
      <c r="BU274" s="418">
        <v>0</v>
      </c>
      <c r="BV274" s="418">
        <v>0</v>
      </c>
      <c r="BW274" s="418">
        <v>0</v>
      </c>
      <c r="BX274" s="418">
        <v>0</v>
      </c>
      <c r="BY274" s="418">
        <v>0</v>
      </c>
      <c r="BZ274" s="418">
        <v>0</v>
      </c>
      <c r="CA274" s="418">
        <v>0</v>
      </c>
      <c r="CB274" s="418">
        <v>0</v>
      </c>
    </row>
    <row r="275" spans="1:80" s="418" customFormat="1" ht="28.8" x14ac:dyDescent="0.3">
      <c r="A275" s="1052">
        <v>615</v>
      </c>
      <c r="B275" s="1049"/>
      <c r="C275" s="1055">
        <v>615</v>
      </c>
      <c r="D275" s="1094" t="s">
        <v>684</v>
      </c>
      <c r="E275" s="1049"/>
      <c r="F275" s="1063">
        <v>0</v>
      </c>
      <c r="G275" s="1063">
        <v>0</v>
      </c>
      <c r="H275" s="1063">
        <v>0</v>
      </c>
      <c r="I275" s="1063">
        <v>0</v>
      </c>
      <c r="J275" s="1063">
        <v>0</v>
      </c>
      <c r="K275" s="1063">
        <v>0</v>
      </c>
      <c r="L275" s="1063">
        <v>0</v>
      </c>
      <c r="M275" s="1063">
        <v>0</v>
      </c>
      <c r="N275" s="1063">
        <v>0</v>
      </c>
      <c r="O275" s="1063">
        <v>0</v>
      </c>
      <c r="P275" s="1063">
        <v>0</v>
      </c>
      <c r="Q275" s="1063">
        <v>0</v>
      </c>
      <c r="R275" s="1063">
        <v>0</v>
      </c>
      <c r="S275" s="1063">
        <v>0</v>
      </c>
      <c r="T275" s="1063">
        <v>0</v>
      </c>
      <c r="U275" s="1063">
        <v>0</v>
      </c>
      <c r="V275" s="1063"/>
      <c r="W275" s="1049"/>
      <c r="AT275" s="418">
        <v>0</v>
      </c>
      <c r="AU275" s="418">
        <v>0</v>
      </c>
      <c r="AV275" s="418">
        <v>0</v>
      </c>
      <c r="AW275" s="418">
        <v>0</v>
      </c>
      <c r="AX275" s="418">
        <v>0</v>
      </c>
      <c r="AY275" s="418">
        <v>0</v>
      </c>
      <c r="AZ275" s="418">
        <v>0</v>
      </c>
      <c r="BA275" s="418">
        <v>0</v>
      </c>
      <c r="BB275" s="418">
        <v>0</v>
      </c>
      <c r="BC275" s="418">
        <v>0</v>
      </c>
      <c r="BD275" s="418">
        <v>0</v>
      </c>
      <c r="BE275" s="418">
        <v>0</v>
      </c>
      <c r="BF275" s="418">
        <v>0</v>
      </c>
      <c r="BG275" s="418">
        <v>0</v>
      </c>
      <c r="BH275" s="418">
        <v>0</v>
      </c>
      <c r="BI275" s="418">
        <v>0</v>
      </c>
      <c r="BJ275" s="418">
        <v>0</v>
      </c>
      <c r="BK275" s="418">
        <v>0</v>
      </c>
      <c r="BL275" s="418">
        <v>0</v>
      </c>
      <c r="BM275" s="418">
        <v>0</v>
      </c>
      <c r="BN275" s="418">
        <v>0</v>
      </c>
      <c r="BO275" s="418">
        <v>0</v>
      </c>
      <c r="BP275" s="418">
        <v>0</v>
      </c>
      <c r="BQ275" s="418">
        <v>0</v>
      </c>
      <c r="BR275" s="418">
        <v>0</v>
      </c>
      <c r="BS275" s="418">
        <v>0</v>
      </c>
      <c r="BT275" s="418">
        <v>0</v>
      </c>
      <c r="BU275" s="418">
        <v>0</v>
      </c>
      <c r="BV275" s="418">
        <v>0</v>
      </c>
      <c r="BW275" s="418">
        <v>0</v>
      </c>
      <c r="BX275" s="418">
        <v>0</v>
      </c>
      <c r="BY275" s="418">
        <v>0</v>
      </c>
      <c r="BZ275" s="418">
        <v>0</v>
      </c>
      <c r="CA275" s="418">
        <v>0</v>
      </c>
      <c r="CB275" s="418">
        <v>0</v>
      </c>
    </row>
    <row r="276" spans="1:80" s="418" customFormat="1" x14ac:dyDescent="0.3">
      <c r="A276" s="1052">
        <v>616</v>
      </c>
      <c r="B276" s="1049"/>
      <c r="C276" s="1055">
        <v>616</v>
      </c>
      <c r="D276" s="1094" t="s">
        <v>668</v>
      </c>
      <c r="E276" s="1049"/>
      <c r="F276" s="1063">
        <v>0</v>
      </c>
      <c r="G276" s="1063">
        <v>0</v>
      </c>
      <c r="H276" s="1063">
        <v>0</v>
      </c>
      <c r="I276" s="1063">
        <v>0</v>
      </c>
      <c r="J276" s="1063">
        <v>0</v>
      </c>
      <c r="K276" s="1063">
        <v>0</v>
      </c>
      <c r="L276" s="1063">
        <v>0</v>
      </c>
      <c r="M276" s="1063">
        <v>0</v>
      </c>
      <c r="N276" s="1063">
        <v>0</v>
      </c>
      <c r="O276" s="1063">
        <v>0</v>
      </c>
      <c r="P276" s="1063">
        <v>0</v>
      </c>
      <c r="Q276" s="1063">
        <v>0</v>
      </c>
      <c r="R276" s="1063">
        <v>0</v>
      </c>
      <c r="S276" s="1063">
        <v>0</v>
      </c>
      <c r="T276" s="1063">
        <v>0</v>
      </c>
      <c r="U276" s="1063">
        <v>0</v>
      </c>
      <c r="V276" s="1063"/>
      <c r="W276" s="1049"/>
      <c r="AT276" s="418">
        <v>0</v>
      </c>
      <c r="AU276" s="418">
        <v>0</v>
      </c>
      <c r="AV276" s="418">
        <v>0</v>
      </c>
      <c r="AW276" s="418">
        <v>0</v>
      </c>
      <c r="AX276" s="418">
        <v>0</v>
      </c>
      <c r="AY276" s="418">
        <v>0</v>
      </c>
      <c r="AZ276" s="418">
        <v>0</v>
      </c>
      <c r="BA276" s="418">
        <v>0</v>
      </c>
      <c r="BB276" s="418">
        <v>0</v>
      </c>
      <c r="BC276" s="418">
        <v>0</v>
      </c>
      <c r="BD276" s="418">
        <v>0</v>
      </c>
      <c r="BE276" s="418">
        <v>0</v>
      </c>
      <c r="BF276" s="418">
        <v>0</v>
      </c>
      <c r="BG276" s="418">
        <v>0</v>
      </c>
      <c r="BH276" s="418">
        <v>0</v>
      </c>
      <c r="BI276" s="418">
        <v>0</v>
      </c>
      <c r="BJ276" s="418">
        <v>0</v>
      </c>
      <c r="BK276" s="418">
        <v>0</v>
      </c>
      <c r="BL276" s="418">
        <v>0</v>
      </c>
      <c r="BM276" s="418">
        <v>0</v>
      </c>
      <c r="BN276" s="418">
        <v>0</v>
      </c>
      <c r="BO276" s="418">
        <v>0</v>
      </c>
      <c r="BP276" s="418">
        <v>0</v>
      </c>
      <c r="BQ276" s="418">
        <v>0</v>
      </c>
      <c r="BR276" s="418">
        <v>0</v>
      </c>
      <c r="BS276" s="418">
        <v>0</v>
      </c>
      <c r="BT276" s="418">
        <v>0</v>
      </c>
      <c r="BU276" s="418">
        <v>0</v>
      </c>
      <c r="BV276" s="418">
        <v>0</v>
      </c>
      <c r="BW276" s="418">
        <v>0</v>
      </c>
      <c r="BX276" s="418">
        <v>0</v>
      </c>
      <c r="BY276" s="418">
        <v>0</v>
      </c>
      <c r="BZ276" s="418">
        <v>0</v>
      </c>
      <c r="CA276" s="418">
        <v>0</v>
      </c>
      <c r="CB276" s="418">
        <v>0</v>
      </c>
    </row>
    <row r="277" spans="1:80" s="418" customFormat="1" ht="28.8" x14ac:dyDescent="0.3">
      <c r="A277" s="1052">
        <v>617</v>
      </c>
      <c r="B277" s="1049"/>
      <c r="C277" s="1055">
        <v>617</v>
      </c>
      <c r="D277" s="1094" t="s">
        <v>669</v>
      </c>
      <c r="E277" s="1049"/>
      <c r="F277" s="1063">
        <v>0</v>
      </c>
      <c r="G277" s="1063">
        <v>0</v>
      </c>
      <c r="H277" s="1063">
        <v>0</v>
      </c>
      <c r="I277" s="1063">
        <v>0</v>
      </c>
      <c r="J277" s="1063">
        <v>0</v>
      </c>
      <c r="K277" s="1063">
        <v>0</v>
      </c>
      <c r="L277" s="1063">
        <v>0</v>
      </c>
      <c r="M277" s="1063">
        <v>0</v>
      </c>
      <c r="N277" s="1063">
        <v>0</v>
      </c>
      <c r="O277" s="1063">
        <v>0</v>
      </c>
      <c r="P277" s="1063">
        <v>0</v>
      </c>
      <c r="Q277" s="1063">
        <v>0</v>
      </c>
      <c r="R277" s="1063">
        <v>0</v>
      </c>
      <c r="S277" s="1063">
        <v>0</v>
      </c>
      <c r="T277" s="1063">
        <v>0</v>
      </c>
      <c r="U277" s="1063">
        <v>0</v>
      </c>
      <c r="V277" s="1063"/>
      <c r="W277" s="1049"/>
      <c r="AT277" s="418">
        <v>0</v>
      </c>
      <c r="AU277" s="418">
        <v>0</v>
      </c>
      <c r="AV277" s="418">
        <v>0</v>
      </c>
      <c r="AW277" s="418">
        <v>0</v>
      </c>
      <c r="AX277" s="418">
        <v>0</v>
      </c>
      <c r="AY277" s="418">
        <v>0</v>
      </c>
      <c r="AZ277" s="418">
        <v>0</v>
      </c>
      <c r="BA277" s="418">
        <v>0</v>
      </c>
      <c r="BB277" s="418">
        <v>0</v>
      </c>
      <c r="BC277" s="418">
        <v>0</v>
      </c>
      <c r="BD277" s="418">
        <v>0</v>
      </c>
      <c r="BE277" s="418">
        <v>0</v>
      </c>
      <c r="BF277" s="418">
        <v>0</v>
      </c>
      <c r="BG277" s="418">
        <v>0</v>
      </c>
      <c r="BH277" s="418">
        <v>0</v>
      </c>
      <c r="BI277" s="418">
        <v>0</v>
      </c>
      <c r="BJ277" s="418">
        <v>0</v>
      </c>
      <c r="BK277" s="418">
        <v>0</v>
      </c>
      <c r="BL277" s="418">
        <v>0</v>
      </c>
      <c r="BM277" s="418">
        <v>0</v>
      </c>
      <c r="BN277" s="418">
        <v>0</v>
      </c>
      <c r="BO277" s="418">
        <v>0</v>
      </c>
      <c r="BP277" s="418">
        <v>0</v>
      </c>
      <c r="BQ277" s="418">
        <v>0</v>
      </c>
      <c r="BR277" s="418">
        <v>0</v>
      </c>
      <c r="BS277" s="418">
        <v>0</v>
      </c>
      <c r="BT277" s="418">
        <v>0</v>
      </c>
      <c r="BU277" s="418">
        <v>0</v>
      </c>
      <c r="BV277" s="418">
        <v>0</v>
      </c>
      <c r="BW277" s="418">
        <v>0</v>
      </c>
      <c r="BX277" s="418">
        <v>0</v>
      </c>
      <c r="BY277" s="418">
        <v>0</v>
      </c>
      <c r="BZ277" s="418">
        <v>0</v>
      </c>
      <c r="CA277" s="418">
        <v>0</v>
      </c>
      <c r="CB277" s="418">
        <v>0</v>
      </c>
    </row>
    <row r="278" spans="1:80" s="418" customFormat="1" ht="28.8" x14ac:dyDescent="0.3">
      <c r="A278" s="1052">
        <v>618</v>
      </c>
      <c r="B278" s="1049"/>
      <c r="C278" s="1055">
        <v>618</v>
      </c>
      <c r="D278" s="1094" t="s">
        <v>685</v>
      </c>
      <c r="E278" s="1049"/>
      <c r="F278" s="1063">
        <v>0</v>
      </c>
      <c r="G278" s="1063">
        <v>0</v>
      </c>
      <c r="H278" s="1063">
        <v>0</v>
      </c>
      <c r="I278" s="1063">
        <v>0</v>
      </c>
      <c r="J278" s="1063">
        <v>0</v>
      </c>
      <c r="K278" s="1063">
        <v>0</v>
      </c>
      <c r="L278" s="1063">
        <v>0</v>
      </c>
      <c r="M278" s="1063">
        <v>0</v>
      </c>
      <c r="N278" s="1063">
        <v>0</v>
      </c>
      <c r="O278" s="1063">
        <v>0</v>
      </c>
      <c r="P278" s="1063">
        <v>0</v>
      </c>
      <c r="Q278" s="1063">
        <v>0</v>
      </c>
      <c r="R278" s="1063">
        <v>0</v>
      </c>
      <c r="S278" s="1063">
        <v>0</v>
      </c>
      <c r="T278" s="1063">
        <v>0</v>
      </c>
      <c r="U278" s="1063">
        <v>0</v>
      </c>
      <c r="V278" s="1063"/>
      <c r="W278" s="1049"/>
      <c r="AT278" s="418">
        <v>0</v>
      </c>
      <c r="AU278" s="418">
        <v>0</v>
      </c>
      <c r="AV278" s="418">
        <v>0</v>
      </c>
      <c r="AW278" s="418">
        <v>0</v>
      </c>
      <c r="AX278" s="418">
        <v>0</v>
      </c>
      <c r="AY278" s="418">
        <v>0</v>
      </c>
      <c r="AZ278" s="418">
        <v>0</v>
      </c>
      <c r="BA278" s="418">
        <v>0</v>
      </c>
      <c r="BB278" s="418">
        <v>0</v>
      </c>
      <c r="BC278" s="418">
        <v>0</v>
      </c>
      <c r="BD278" s="418">
        <v>0</v>
      </c>
      <c r="BE278" s="418">
        <v>0</v>
      </c>
      <c r="BF278" s="418">
        <v>0</v>
      </c>
      <c r="BG278" s="418">
        <v>0</v>
      </c>
      <c r="BH278" s="418">
        <v>0</v>
      </c>
      <c r="BI278" s="418">
        <v>0</v>
      </c>
      <c r="BJ278" s="418">
        <v>0</v>
      </c>
      <c r="BK278" s="418">
        <v>0</v>
      </c>
      <c r="BL278" s="418">
        <v>0</v>
      </c>
      <c r="BM278" s="418">
        <v>0</v>
      </c>
      <c r="BN278" s="418">
        <v>0</v>
      </c>
      <c r="BO278" s="418">
        <v>0</v>
      </c>
      <c r="BP278" s="418">
        <v>0</v>
      </c>
      <c r="BQ278" s="418">
        <v>0</v>
      </c>
      <c r="BR278" s="418">
        <v>0</v>
      </c>
      <c r="BS278" s="418">
        <v>0</v>
      </c>
      <c r="BT278" s="418">
        <v>0</v>
      </c>
      <c r="BU278" s="418">
        <v>0</v>
      </c>
      <c r="BV278" s="418">
        <v>0</v>
      </c>
      <c r="BW278" s="418">
        <v>0</v>
      </c>
      <c r="BX278" s="418">
        <v>0</v>
      </c>
      <c r="BY278" s="418">
        <v>0</v>
      </c>
      <c r="BZ278" s="418">
        <v>0</v>
      </c>
      <c r="CA278" s="418">
        <v>0</v>
      </c>
      <c r="CB278" s="418">
        <v>0</v>
      </c>
    </row>
    <row r="279" spans="1:80" s="418" customFormat="1" x14ac:dyDescent="0.3">
      <c r="A279" s="1052">
        <v>619</v>
      </c>
      <c r="B279" s="1049"/>
      <c r="C279" s="1055">
        <v>619</v>
      </c>
      <c r="D279" s="1094"/>
      <c r="E279" s="1049"/>
      <c r="F279" s="1063">
        <v>0</v>
      </c>
      <c r="G279" s="1063">
        <v>0</v>
      </c>
      <c r="H279" s="1063">
        <v>0</v>
      </c>
      <c r="I279" s="1063">
        <v>0</v>
      </c>
      <c r="J279" s="1063">
        <v>0</v>
      </c>
      <c r="K279" s="1063">
        <v>0</v>
      </c>
      <c r="L279" s="1063">
        <v>0</v>
      </c>
      <c r="M279" s="1063">
        <v>0</v>
      </c>
      <c r="N279" s="1063">
        <v>0</v>
      </c>
      <c r="O279" s="1063">
        <v>0</v>
      </c>
      <c r="P279" s="1063">
        <v>0</v>
      </c>
      <c r="Q279" s="1063">
        <v>0</v>
      </c>
      <c r="R279" s="1063">
        <v>0</v>
      </c>
      <c r="S279" s="1063">
        <v>0</v>
      </c>
      <c r="T279" s="1063">
        <v>0</v>
      </c>
      <c r="U279" s="1063">
        <v>0</v>
      </c>
      <c r="V279" s="1063"/>
      <c r="W279" s="1049"/>
      <c r="AT279" s="418">
        <v>0</v>
      </c>
      <c r="AU279" s="418">
        <v>0</v>
      </c>
      <c r="AV279" s="418">
        <v>0</v>
      </c>
      <c r="AW279" s="418">
        <v>0</v>
      </c>
      <c r="AX279" s="418">
        <v>0</v>
      </c>
      <c r="AY279" s="418">
        <v>0</v>
      </c>
      <c r="AZ279" s="418">
        <v>0</v>
      </c>
      <c r="BA279" s="418">
        <v>0</v>
      </c>
      <c r="BB279" s="418">
        <v>0</v>
      </c>
      <c r="BC279" s="418">
        <v>0</v>
      </c>
      <c r="BD279" s="418">
        <v>0</v>
      </c>
      <c r="BE279" s="418">
        <v>0</v>
      </c>
      <c r="BF279" s="418">
        <v>0</v>
      </c>
      <c r="BG279" s="418">
        <v>0</v>
      </c>
      <c r="BH279" s="418">
        <v>0</v>
      </c>
      <c r="BI279" s="418">
        <v>0</v>
      </c>
      <c r="BJ279" s="418">
        <v>0</v>
      </c>
      <c r="BK279" s="418">
        <v>0</v>
      </c>
      <c r="BL279" s="418">
        <v>0</v>
      </c>
      <c r="BM279" s="418">
        <v>0</v>
      </c>
      <c r="BN279" s="418">
        <v>0</v>
      </c>
      <c r="BO279" s="418">
        <v>0</v>
      </c>
      <c r="BP279" s="418">
        <v>0</v>
      </c>
      <c r="BQ279" s="418">
        <v>0</v>
      </c>
      <c r="BR279" s="418">
        <v>0</v>
      </c>
      <c r="BS279" s="418">
        <v>0</v>
      </c>
      <c r="BT279" s="418">
        <v>0</v>
      </c>
      <c r="BU279" s="418">
        <v>0</v>
      </c>
      <c r="BV279" s="418">
        <v>0</v>
      </c>
      <c r="BW279" s="418">
        <v>0</v>
      </c>
      <c r="BX279" s="418">
        <v>0</v>
      </c>
      <c r="BY279" s="418">
        <v>0</v>
      </c>
      <c r="BZ279" s="418">
        <v>0</v>
      </c>
      <c r="CA279" s="418">
        <v>0</v>
      </c>
      <c r="CB279" s="418">
        <v>0</v>
      </c>
    </row>
    <row r="280" spans="1:80" s="418" customFormat="1" ht="57.6" x14ac:dyDescent="0.3">
      <c r="A280" s="1052">
        <v>620</v>
      </c>
      <c r="B280" s="1053">
        <v>620</v>
      </c>
      <c r="C280" s="1055">
        <v>620</v>
      </c>
      <c r="D280" s="1094" t="s">
        <v>678</v>
      </c>
      <c r="E280" s="1049"/>
      <c r="F280" s="1063">
        <v>2</v>
      </c>
      <c r="G280" s="1063">
        <v>2</v>
      </c>
      <c r="H280" s="1063">
        <v>2</v>
      </c>
      <c r="I280" s="1063">
        <v>1</v>
      </c>
      <c r="J280" s="1063">
        <v>0</v>
      </c>
      <c r="K280" s="1063">
        <v>0</v>
      </c>
      <c r="L280" s="1063">
        <v>0</v>
      </c>
      <c r="M280" s="1063">
        <v>0</v>
      </c>
      <c r="N280" s="1063">
        <v>1</v>
      </c>
      <c r="O280" s="1063">
        <v>2</v>
      </c>
      <c r="P280" s="1063">
        <v>1</v>
      </c>
      <c r="Q280" s="1063">
        <v>0</v>
      </c>
      <c r="R280" s="1063">
        <v>2</v>
      </c>
      <c r="S280" s="1063">
        <v>2</v>
      </c>
      <c r="T280" s="1063">
        <v>2</v>
      </c>
      <c r="U280" s="1063">
        <v>2</v>
      </c>
      <c r="V280" s="1063"/>
      <c r="W280" s="1049"/>
      <c r="AT280" s="418">
        <v>2</v>
      </c>
      <c r="AU280" s="418">
        <v>2</v>
      </c>
      <c r="AV280" s="418">
        <v>2</v>
      </c>
      <c r="AW280" s="418">
        <v>2</v>
      </c>
      <c r="AX280" s="418">
        <v>2</v>
      </c>
      <c r="AY280" s="418">
        <v>2</v>
      </c>
      <c r="AZ280" s="418">
        <v>2</v>
      </c>
      <c r="BA280" s="418">
        <v>1</v>
      </c>
      <c r="BB280" s="418">
        <v>2</v>
      </c>
      <c r="BC280" s="418">
        <v>2</v>
      </c>
      <c r="BD280" s="418">
        <v>0</v>
      </c>
      <c r="BE280" s="418">
        <v>2</v>
      </c>
      <c r="BF280" s="418">
        <v>2</v>
      </c>
      <c r="BG280" s="418">
        <v>0</v>
      </c>
      <c r="BH280" s="418">
        <v>2</v>
      </c>
      <c r="BI280" s="418">
        <v>2</v>
      </c>
      <c r="BJ280" s="418">
        <v>2</v>
      </c>
      <c r="BK280" s="418">
        <v>0</v>
      </c>
      <c r="BL280" s="418">
        <v>2</v>
      </c>
      <c r="BM280" s="418">
        <v>2</v>
      </c>
      <c r="BN280" s="418">
        <v>2</v>
      </c>
      <c r="BO280" s="418">
        <v>2</v>
      </c>
      <c r="BP280" s="418">
        <v>2</v>
      </c>
      <c r="BQ280" s="418">
        <v>2</v>
      </c>
      <c r="BR280" s="418">
        <v>2</v>
      </c>
      <c r="BS280" s="418">
        <v>2</v>
      </c>
      <c r="BT280" s="418">
        <v>2</v>
      </c>
      <c r="BU280" s="418">
        <v>1</v>
      </c>
      <c r="BV280" s="418">
        <v>2</v>
      </c>
      <c r="BW280" s="418">
        <v>2</v>
      </c>
      <c r="BX280" s="418">
        <v>2</v>
      </c>
      <c r="BY280" s="418">
        <v>2</v>
      </c>
      <c r="BZ280" s="418">
        <v>2</v>
      </c>
      <c r="CA280" s="418">
        <v>1</v>
      </c>
      <c r="CB280" s="418">
        <v>2</v>
      </c>
    </row>
    <row r="281" spans="1:80" s="418" customFormat="1" x14ac:dyDescent="0.3">
      <c r="A281" s="1052">
        <v>621</v>
      </c>
      <c r="B281" s="1053">
        <v>621</v>
      </c>
      <c r="C281" s="1055">
        <v>621</v>
      </c>
      <c r="D281" s="1094" t="s">
        <v>1745</v>
      </c>
      <c r="E281" s="1049"/>
      <c r="F281" s="1063">
        <v>0</v>
      </c>
      <c r="G281" s="1063">
        <v>0</v>
      </c>
      <c r="H281" s="1063">
        <v>0</v>
      </c>
      <c r="I281" s="1063">
        <v>0</v>
      </c>
      <c r="J281" s="1063">
        <v>0</v>
      </c>
      <c r="K281" s="1063">
        <v>0</v>
      </c>
      <c r="L281" s="1063">
        <v>0</v>
      </c>
      <c r="M281" s="1063">
        <v>0</v>
      </c>
      <c r="N281" s="1063">
        <v>0</v>
      </c>
      <c r="O281" s="1063">
        <v>0</v>
      </c>
      <c r="P281" s="1063">
        <v>0</v>
      </c>
      <c r="Q281" s="1063">
        <v>0</v>
      </c>
      <c r="R281" s="1063">
        <v>0</v>
      </c>
      <c r="S281" s="1063">
        <v>0</v>
      </c>
      <c r="T281" s="1063">
        <v>0</v>
      </c>
      <c r="U281" s="1063">
        <v>0</v>
      </c>
      <c r="V281" s="1063"/>
      <c r="W281" s="1049"/>
      <c r="AT281" s="418">
        <v>0</v>
      </c>
      <c r="AU281" s="418">
        <v>0</v>
      </c>
      <c r="AV281" s="418">
        <v>0</v>
      </c>
      <c r="AW281" s="418">
        <v>0</v>
      </c>
      <c r="AX281" s="418">
        <v>0</v>
      </c>
      <c r="AY281" s="418">
        <v>0</v>
      </c>
      <c r="AZ281" s="418">
        <v>0</v>
      </c>
      <c r="BA281" s="418">
        <v>0</v>
      </c>
      <c r="BB281" s="418">
        <v>0</v>
      </c>
      <c r="BC281" s="418">
        <v>0</v>
      </c>
      <c r="BD281" s="418">
        <v>0</v>
      </c>
      <c r="BE281" s="418">
        <v>0</v>
      </c>
      <c r="BF281" s="418">
        <v>0</v>
      </c>
      <c r="BG281" s="418">
        <v>0</v>
      </c>
      <c r="BH281" s="418">
        <v>0</v>
      </c>
      <c r="BI281" s="418">
        <v>0</v>
      </c>
      <c r="BJ281" s="418">
        <v>0</v>
      </c>
      <c r="BK281" s="418">
        <v>0</v>
      </c>
      <c r="BL281" s="418">
        <v>0</v>
      </c>
      <c r="BM281" s="418">
        <v>0</v>
      </c>
      <c r="BN281" s="418">
        <v>0</v>
      </c>
      <c r="BO281" s="418">
        <v>0</v>
      </c>
      <c r="BP281" s="418">
        <v>0</v>
      </c>
      <c r="BQ281" s="418">
        <v>0</v>
      </c>
      <c r="BR281" s="418">
        <v>0</v>
      </c>
      <c r="BS281" s="418">
        <v>0</v>
      </c>
      <c r="BT281" s="418">
        <v>0</v>
      </c>
      <c r="BU281" s="418">
        <v>0</v>
      </c>
      <c r="BV281" s="418">
        <v>0</v>
      </c>
      <c r="BW281" s="418">
        <v>0</v>
      </c>
      <c r="BX281" s="418">
        <v>0</v>
      </c>
      <c r="BY281" s="418">
        <v>0</v>
      </c>
      <c r="BZ281" s="418">
        <v>0</v>
      </c>
      <c r="CA281" s="418">
        <v>0</v>
      </c>
      <c r="CB281" s="418">
        <v>0</v>
      </c>
    </row>
    <row r="282" spans="1:80" s="418" customFormat="1" x14ac:dyDescent="0.3">
      <c r="A282" s="1052">
        <v>622</v>
      </c>
      <c r="B282" s="1053">
        <v>622</v>
      </c>
      <c r="C282" s="1055">
        <v>622</v>
      </c>
      <c r="D282" s="1094" t="s">
        <v>1747</v>
      </c>
      <c r="E282" s="1049"/>
      <c r="F282" s="1063">
        <v>0</v>
      </c>
      <c r="G282" s="1063">
        <v>0</v>
      </c>
      <c r="H282" s="1063">
        <v>0</v>
      </c>
      <c r="I282" s="1063">
        <v>0</v>
      </c>
      <c r="J282" s="1063">
        <v>0</v>
      </c>
      <c r="K282" s="1063">
        <v>0</v>
      </c>
      <c r="L282" s="1063">
        <v>0</v>
      </c>
      <c r="M282" s="1063">
        <v>0</v>
      </c>
      <c r="N282" s="1063">
        <v>0</v>
      </c>
      <c r="O282" s="1063">
        <v>0</v>
      </c>
      <c r="P282" s="1063">
        <v>0</v>
      </c>
      <c r="Q282" s="1063">
        <v>0</v>
      </c>
      <c r="R282" s="1063">
        <v>1601091</v>
      </c>
      <c r="S282" s="1063">
        <v>0</v>
      </c>
      <c r="T282" s="1063">
        <v>0</v>
      </c>
      <c r="U282" s="1063">
        <v>0</v>
      </c>
      <c r="V282" s="1063"/>
      <c r="W282" s="1049"/>
      <c r="AT282" s="418">
        <v>54072</v>
      </c>
      <c r="AU282" s="418">
        <v>766843</v>
      </c>
      <c r="AV282" s="418">
        <v>2591917</v>
      </c>
      <c r="AW282" s="418">
        <v>11743</v>
      </c>
      <c r="AX282" s="418">
        <v>127261</v>
      </c>
      <c r="AY282" s="418">
        <v>545365</v>
      </c>
      <c r="AZ282" s="418">
        <v>685188</v>
      </c>
      <c r="BA282" s="418">
        <v>1292818</v>
      </c>
      <c r="BB282" s="418">
        <v>0</v>
      </c>
      <c r="BC282" s="418">
        <v>350923</v>
      </c>
      <c r="BD282" s="418">
        <v>0</v>
      </c>
      <c r="BE282" s="418">
        <v>0</v>
      </c>
      <c r="BF282" s="418">
        <v>6576333</v>
      </c>
      <c r="BG282" s="418">
        <v>0</v>
      </c>
      <c r="BH282" s="418">
        <v>0</v>
      </c>
      <c r="BI282" s="418">
        <v>585237</v>
      </c>
      <c r="BJ282" s="418">
        <v>406361</v>
      </c>
      <c r="BK282" s="418">
        <v>0</v>
      </c>
      <c r="BL282" s="418">
        <v>1037477</v>
      </c>
      <c r="BM282" s="418">
        <v>689012</v>
      </c>
      <c r="BN282" s="418">
        <v>0</v>
      </c>
      <c r="BO282" s="418">
        <v>1551984</v>
      </c>
      <c r="BP282" s="418">
        <v>0</v>
      </c>
      <c r="BQ282" s="418">
        <v>179695</v>
      </c>
      <c r="BR282" s="418">
        <v>383695</v>
      </c>
      <c r="BS282" s="418">
        <v>99679</v>
      </c>
      <c r="BT282" s="418">
        <v>3554568</v>
      </c>
      <c r="BU282" s="418">
        <v>288385</v>
      </c>
      <c r="BV282" s="418">
        <v>566120</v>
      </c>
      <c r="BW282" s="418">
        <v>135223</v>
      </c>
      <c r="BX282" s="418">
        <v>44514</v>
      </c>
      <c r="BY282" s="418">
        <v>0</v>
      </c>
      <c r="BZ282" s="418">
        <v>0</v>
      </c>
      <c r="CA282" s="418">
        <v>3055629</v>
      </c>
      <c r="CB282" s="418">
        <v>0</v>
      </c>
    </row>
    <row r="283" spans="1:80" s="418" customFormat="1" x14ac:dyDescent="0.3">
      <c r="A283" s="1052">
        <v>624</v>
      </c>
      <c r="B283" s="1049"/>
      <c r="C283" s="1055">
        <v>624</v>
      </c>
      <c r="D283" s="1094"/>
      <c r="E283" s="1049"/>
      <c r="F283" s="1063">
        <v>0</v>
      </c>
      <c r="G283" s="1063">
        <v>0</v>
      </c>
      <c r="H283" s="1063">
        <v>0</v>
      </c>
      <c r="I283" s="1063">
        <v>0</v>
      </c>
      <c r="J283" s="1063">
        <v>0</v>
      </c>
      <c r="K283" s="1063">
        <v>0</v>
      </c>
      <c r="L283" s="1063">
        <v>0</v>
      </c>
      <c r="M283" s="1063">
        <v>0</v>
      </c>
      <c r="N283" s="1063">
        <v>0</v>
      </c>
      <c r="O283" s="1063">
        <v>0</v>
      </c>
      <c r="P283" s="1063">
        <v>0</v>
      </c>
      <c r="Q283" s="1063">
        <v>0</v>
      </c>
      <c r="R283" s="1063">
        <v>0</v>
      </c>
      <c r="S283" s="1063">
        <v>0</v>
      </c>
      <c r="T283" s="1063">
        <v>0</v>
      </c>
      <c r="U283" s="1063">
        <v>0</v>
      </c>
      <c r="V283" s="1063"/>
      <c r="W283" s="1049"/>
      <c r="AT283" s="418">
        <v>1</v>
      </c>
      <c r="AU283" s="418">
        <v>1</v>
      </c>
      <c r="AV283" s="418">
        <v>1</v>
      </c>
      <c r="AW283" s="418">
        <v>1</v>
      </c>
      <c r="AX283" s="418">
        <v>2</v>
      </c>
      <c r="AY283" s="418">
        <v>1</v>
      </c>
      <c r="AZ283" s="418">
        <v>1</v>
      </c>
      <c r="BA283" s="418">
        <v>1</v>
      </c>
      <c r="BB283" s="418">
        <v>1</v>
      </c>
      <c r="BC283" s="418">
        <v>1</v>
      </c>
      <c r="BD283" s="418">
        <v>0</v>
      </c>
      <c r="BE283" s="418">
        <v>1</v>
      </c>
      <c r="BF283" s="418">
        <v>2</v>
      </c>
      <c r="BG283" s="418">
        <v>0</v>
      </c>
      <c r="BH283" s="418">
        <v>1</v>
      </c>
      <c r="BI283" s="418">
        <v>2</v>
      </c>
      <c r="BJ283" s="418">
        <v>2</v>
      </c>
      <c r="BK283" s="418">
        <v>0</v>
      </c>
      <c r="BL283" s="418">
        <v>1</v>
      </c>
      <c r="BM283" s="418">
        <v>2</v>
      </c>
      <c r="BN283" s="418">
        <v>2</v>
      </c>
      <c r="BO283" s="418">
        <v>1</v>
      </c>
      <c r="BP283" s="418">
        <v>2</v>
      </c>
      <c r="BQ283" s="418">
        <v>2</v>
      </c>
      <c r="BR283" s="418">
        <v>1</v>
      </c>
      <c r="BS283" s="418">
        <v>1</v>
      </c>
      <c r="BT283" s="418">
        <v>2</v>
      </c>
      <c r="BU283" s="418">
        <v>2</v>
      </c>
      <c r="BV283" s="418">
        <v>2</v>
      </c>
      <c r="BW283" s="418">
        <v>1</v>
      </c>
      <c r="BX283" s="418">
        <v>1</v>
      </c>
      <c r="BY283" s="418">
        <v>1</v>
      </c>
      <c r="BZ283" s="418">
        <v>2</v>
      </c>
      <c r="CA283" s="418">
        <v>1</v>
      </c>
      <c r="CB283" s="418">
        <v>2</v>
      </c>
    </row>
    <row r="284" spans="1:80" s="418" customFormat="1" ht="100.8" x14ac:dyDescent="0.3">
      <c r="A284" s="1052">
        <v>625</v>
      </c>
      <c r="B284" s="1049"/>
      <c r="C284" s="1055">
        <v>625</v>
      </c>
      <c r="D284" s="1094" t="s">
        <v>787</v>
      </c>
      <c r="E284" s="1049"/>
      <c r="F284" s="1063">
        <v>0</v>
      </c>
      <c r="G284" s="1063">
        <v>0</v>
      </c>
      <c r="H284" s="1063">
        <v>0</v>
      </c>
      <c r="I284" s="1063">
        <v>0</v>
      </c>
      <c r="J284" s="1063">
        <v>0</v>
      </c>
      <c r="K284" s="1063">
        <v>0</v>
      </c>
      <c r="L284" s="1063">
        <v>0</v>
      </c>
      <c r="M284" s="1063">
        <v>0</v>
      </c>
      <c r="N284" s="1063">
        <v>0</v>
      </c>
      <c r="O284" s="1063">
        <v>0</v>
      </c>
      <c r="P284" s="1063">
        <v>0</v>
      </c>
      <c r="Q284" s="1063">
        <v>0</v>
      </c>
      <c r="R284" s="1063">
        <v>0</v>
      </c>
      <c r="S284" s="1063">
        <v>0</v>
      </c>
      <c r="T284" s="1063">
        <v>0</v>
      </c>
      <c r="U284" s="1063">
        <v>0</v>
      </c>
      <c r="V284" s="1063"/>
      <c r="W284" s="1049"/>
      <c r="AT284" s="418">
        <v>0</v>
      </c>
      <c r="AU284" s="418">
        <v>0</v>
      </c>
      <c r="AV284" s="418">
        <v>0</v>
      </c>
      <c r="AW284" s="418">
        <v>0</v>
      </c>
      <c r="AX284" s="418">
        <v>0</v>
      </c>
      <c r="AY284" s="418">
        <v>0</v>
      </c>
      <c r="AZ284" s="418">
        <v>0</v>
      </c>
      <c r="BA284" s="418">
        <v>0</v>
      </c>
      <c r="BB284" s="418">
        <v>0</v>
      </c>
      <c r="BC284" s="418">
        <v>0</v>
      </c>
      <c r="BD284" s="418">
        <v>0</v>
      </c>
      <c r="BE284" s="418">
        <v>0</v>
      </c>
      <c r="BF284" s="418">
        <v>0</v>
      </c>
      <c r="BG284" s="418">
        <v>0</v>
      </c>
      <c r="BH284" s="418">
        <v>0</v>
      </c>
      <c r="BI284" s="418">
        <v>0</v>
      </c>
      <c r="BJ284" s="418">
        <v>0</v>
      </c>
      <c r="BK284" s="418">
        <v>0</v>
      </c>
      <c r="BL284" s="418">
        <v>0</v>
      </c>
      <c r="BM284" s="418">
        <v>0</v>
      </c>
      <c r="BN284" s="418">
        <v>0</v>
      </c>
      <c r="BO284" s="418">
        <v>0</v>
      </c>
      <c r="BP284" s="418">
        <v>0</v>
      </c>
      <c r="BQ284" s="418">
        <v>0</v>
      </c>
      <c r="BR284" s="418">
        <v>0</v>
      </c>
      <c r="BS284" s="418">
        <v>0</v>
      </c>
      <c r="BT284" s="418">
        <v>0</v>
      </c>
      <c r="BU284" s="418">
        <v>0</v>
      </c>
      <c r="BV284" s="418">
        <v>0</v>
      </c>
      <c r="BW284" s="418">
        <v>0</v>
      </c>
      <c r="BX284" s="418">
        <v>0</v>
      </c>
      <c r="BY284" s="418">
        <v>0</v>
      </c>
      <c r="BZ284" s="418">
        <v>0</v>
      </c>
      <c r="CA284" s="418">
        <v>0</v>
      </c>
      <c r="CB284" s="418">
        <v>0</v>
      </c>
    </row>
    <row r="285" spans="1:80" s="418" customFormat="1" ht="28.8" x14ac:dyDescent="0.3">
      <c r="A285" s="1052">
        <v>626</v>
      </c>
      <c r="B285" s="1049"/>
      <c r="C285" s="1095">
        <v>626</v>
      </c>
      <c r="D285" s="1096" t="s">
        <v>714</v>
      </c>
      <c r="E285" s="1049"/>
      <c r="F285" s="1063">
        <v>0</v>
      </c>
      <c r="G285" s="1063">
        <v>0</v>
      </c>
      <c r="H285" s="1063">
        <v>0</v>
      </c>
      <c r="I285" s="1063">
        <v>0</v>
      </c>
      <c r="J285" s="1063">
        <v>0</v>
      </c>
      <c r="K285" s="1063">
        <v>0</v>
      </c>
      <c r="L285" s="1063">
        <v>0</v>
      </c>
      <c r="M285" s="1063">
        <v>0</v>
      </c>
      <c r="N285" s="1063">
        <v>0</v>
      </c>
      <c r="O285" s="1063">
        <v>0</v>
      </c>
      <c r="P285" s="1063">
        <v>0</v>
      </c>
      <c r="Q285" s="1063">
        <v>0</v>
      </c>
      <c r="R285" s="1063">
        <v>0</v>
      </c>
      <c r="S285" s="1063">
        <v>0</v>
      </c>
      <c r="T285" s="1063">
        <v>0</v>
      </c>
      <c r="U285" s="1063">
        <v>0</v>
      </c>
      <c r="V285" s="1063"/>
      <c r="W285" s="1049"/>
      <c r="AT285" s="418">
        <v>132916</v>
      </c>
      <c r="AU285" s="418">
        <v>433420</v>
      </c>
      <c r="AV285" s="418">
        <v>1642771</v>
      </c>
      <c r="AW285" s="418">
        <v>48325</v>
      </c>
      <c r="AX285" s="418">
        <v>33663</v>
      </c>
      <c r="AY285" s="418">
        <v>284913</v>
      </c>
      <c r="AZ285" s="418">
        <v>157381</v>
      </c>
      <c r="BA285" s="418">
        <v>255618</v>
      </c>
      <c r="BB285" s="418">
        <v>0</v>
      </c>
      <c r="BC285" s="418">
        <v>90321</v>
      </c>
      <c r="BD285" s="418">
        <v>0</v>
      </c>
      <c r="BE285" s="418">
        <v>3368</v>
      </c>
      <c r="BF285" s="418">
        <v>5433394</v>
      </c>
      <c r="BG285" s="418">
        <v>0</v>
      </c>
      <c r="BH285" s="418">
        <v>2267</v>
      </c>
      <c r="BI285" s="418">
        <v>44854</v>
      </c>
      <c r="BJ285" s="418">
        <v>152121</v>
      </c>
      <c r="BK285" s="418">
        <v>0</v>
      </c>
      <c r="BL285" s="418">
        <v>415927</v>
      </c>
      <c r="BM285" s="418">
        <v>125885</v>
      </c>
      <c r="BN285" s="418">
        <v>0</v>
      </c>
      <c r="BO285" s="418">
        <v>1230368</v>
      </c>
      <c r="BP285" s="418">
        <v>436910</v>
      </c>
      <c r="BQ285" s="418">
        <v>19990</v>
      </c>
      <c r="BR285" s="418">
        <v>8180</v>
      </c>
      <c r="BS285" s="418">
        <v>48831</v>
      </c>
      <c r="BT285" s="418">
        <v>3846102</v>
      </c>
      <c r="BU285" s="418">
        <v>119598</v>
      </c>
      <c r="BV285" s="418">
        <v>3801367</v>
      </c>
      <c r="BW285" s="418">
        <v>141784</v>
      </c>
      <c r="BX285" s="418">
        <v>11908</v>
      </c>
      <c r="BY285" s="418">
        <v>0</v>
      </c>
      <c r="BZ285" s="418">
        <v>0</v>
      </c>
      <c r="CA285" s="418">
        <v>4101712</v>
      </c>
      <c r="CB285" s="418">
        <v>2665</v>
      </c>
    </row>
    <row r="286" spans="1:80" s="418" customFormat="1" x14ac:dyDescent="0.3">
      <c r="A286" s="1052">
        <v>627</v>
      </c>
      <c r="B286" s="1049"/>
      <c r="C286" s="1095">
        <v>627</v>
      </c>
      <c r="D286" s="1096" t="s">
        <v>706</v>
      </c>
      <c r="E286" s="1049"/>
      <c r="F286" s="1063">
        <v>0</v>
      </c>
      <c r="G286" s="1063">
        <v>0</v>
      </c>
      <c r="H286" s="1063">
        <v>0</v>
      </c>
      <c r="I286" s="1063">
        <v>0</v>
      </c>
      <c r="J286" s="1063">
        <v>0</v>
      </c>
      <c r="K286" s="1063">
        <v>0</v>
      </c>
      <c r="L286" s="1063">
        <v>0</v>
      </c>
      <c r="M286" s="1063">
        <v>0</v>
      </c>
      <c r="N286" s="1063">
        <v>0</v>
      </c>
      <c r="O286" s="1063">
        <v>0</v>
      </c>
      <c r="P286" s="1063">
        <v>0</v>
      </c>
      <c r="Q286" s="1063">
        <v>0</v>
      </c>
      <c r="R286" s="1063">
        <v>0</v>
      </c>
      <c r="S286" s="1063">
        <v>0</v>
      </c>
      <c r="T286" s="1063">
        <v>0</v>
      </c>
      <c r="U286" s="1063">
        <v>0</v>
      </c>
      <c r="V286" s="1063"/>
      <c r="W286" s="1049"/>
      <c r="AT286" s="418">
        <v>0</v>
      </c>
      <c r="AU286" s="418">
        <v>0</v>
      </c>
      <c r="AV286" s="418">
        <v>0</v>
      </c>
      <c r="AW286" s="418">
        <v>0</v>
      </c>
      <c r="AX286" s="418">
        <v>0</v>
      </c>
      <c r="AY286" s="418">
        <v>0</v>
      </c>
      <c r="AZ286" s="418">
        <v>0</v>
      </c>
      <c r="BA286" s="418">
        <v>0</v>
      </c>
      <c r="BB286" s="418">
        <v>0</v>
      </c>
      <c r="BC286" s="418">
        <v>0</v>
      </c>
      <c r="BD286" s="418">
        <v>0</v>
      </c>
      <c r="BE286" s="418">
        <v>0</v>
      </c>
      <c r="BF286" s="418">
        <v>0</v>
      </c>
      <c r="BG286" s="418">
        <v>0</v>
      </c>
      <c r="BH286" s="418">
        <v>0</v>
      </c>
      <c r="BI286" s="418">
        <v>0</v>
      </c>
      <c r="BJ286" s="418">
        <v>0</v>
      </c>
      <c r="BK286" s="418">
        <v>0</v>
      </c>
      <c r="BL286" s="418">
        <v>0</v>
      </c>
      <c r="BM286" s="418">
        <v>0</v>
      </c>
      <c r="BN286" s="418">
        <v>0</v>
      </c>
      <c r="BO286" s="418">
        <v>0</v>
      </c>
      <c r="BP286" s="418">
        <v>0</v>
      </c>
      <c r="BQ286" s="418">
        <v>0</v>
      </c>
      <c r="BR286" s="418">
        <v>0</v>
      </c>
      <c r="BS286" s="418">
        <v>0</v>
      </c>
      <c r="BT286" s="418">
        <v>0</v>
      </c>
      <c r="BU286" s="418">
        <v>0</v>
      </c>
      <c r="BV286" s="418">
        <v>0</v>
      </c>
      <c r="BW286" s="418">
        <v>79977</v>
      </c>
      <c r="BX286" s="418">
        <v>0</v>
      </c>
      <c r="BY286" s="418">
        <v>0</v>
      </c>
      <c r="BZ286" s="418">
        <v>0</v>
      </c>
      <c r="CA286" s="418">
        <v>0</v>
      </c>
      <c r="CB286" s="418">
        <v>0</v>
      </c>
    </row>
    <row r="287" spans="1:80" s="418" customFormat="1" ht="28.8" x14ac:dyDescent="0.3">
      <c r="A287" s="1052">
        <v>628</v>
      </c>
      <c r="B287" s="1049"/>
      <c r="C287" s="1095">
        <v>628</v>
      </c>
      <c r="D287" s="1096" t="s">
        <v>711</v>
      </c>
      <c r="E287" s="1049"/>
      <c r="F287" s="1063">
        <v>0</v>
      </c>
      <c r="G287" s="1063">
        <v>0</v>
      </c>
      <c r="H287" s="1063">
        <v>0</v>
      </c>
      <c r="I287" s="1063">
        <v>0</v>
      </c>
      <c r="J287" s="1063">
        <v>0</v>
      </c>
      <c r="K287" s="1063">
        <v>0</v>
      </c>
      <c r="L287" s="1063">
        <v>0</v>
      </c>
      <c r="M287" s="1063">
        <v>0</v>
      </c>
      <c r="N287" s="1063">
        <v>0</v>
      </c>
      <c r="O287" s="1063">
        <v>0</v>
      </c>
      <c r="P287" s="1063">
        <v>0</v>
      </c>
      <c r="Q287" s="1063">
        <v>0</v>
      </c>
      <c r="R287" s="1063">
        <v>0</v>
      </c>
      <c r="S287" s="1063">
        <v>0</v>
      </c>
      <c r="T287" s="1063">
        <v>0</v>
      </c>
      <c r="U287" s="1063">
        <v>0</v>
      </c>
      <c r="V287" s="1063"/>
      <c r="W287" s="1049"/>
      <c r="AT287" s="418">
        <v>9098</v>
      </c>
      <c r="AU287" s="418">
        <v>0</v>
      </c>
      <c r="AV287" s="418">
        <v>230212</v>
      </c>
      <c r="AW287" s="418">
        <v>257</v>
      </c>
      <c r="AX287" s="418">
        <v>0</v>
      </c>
      <c r="AY287" s="418">
        <v>57707</v>
      </c>
      <c r="AZ287" s="418">
        <v>0</v>
      </c>
      <c r="BA287" s="418">
        <v>0</v>
      </c>
      <c r="BB287" s="418">
        <v>0</v>
      </c>
      <c r="BC287" s="418">
        <v>0</v>
      </c>
      <c r="BD287" s="418">
        <v>0</v>
      </c>
      <c r="BE287" s="418">
        <v>0</v>
      </c>
      <c r="BF287" s="418">
        <v>211114</v>
      </c>
      <c r="BG287" s="418">
        <v>0</v>
      </c>
      <c r="BH287" s="418">
        <v>0</v>
      </c>
      <c r="BI287" s="418">
        <v>0</v>
      </c>
      <c r="BJ287" s="418">
        <v>50998</v>
      </c>
      <c r="BK287" s="418">
        <v>0</v>
      </c>
      <c r="BL287" s="418">
        <v>77281</v>
      </c>
      <c r="BM287" s="418">
        <v>28454</v>
      </c>
      <c r="BN287" s="418">
        <v>0</v>
      </c>
      <c r="BO287" s="418">
        <v>185200</v>
      </c>
      <c r="BP287" s="418">
        <v>44837</v>
      </c>
      <c r="BQ287" s="418">
        <v>10598</v>
      </c>
      <c r="BR287" s="418">
        <v>0</v>
      </c>
      <c r="BS287" s="418">
        <v>4884</v>
      </c>
      <c r="BT287" s="418">
        <v>61408</v>
      </c>
      <c r="BU287" s="418">
        <v>0</v>
      </c>
      <c r="BV287" s="418">
        <v>98077</v>
      </c>
      <c r="BW287" s="418">
        <v>5000</v>
      </c>
      <c r="BX287" s="418">
        <v>0</v>
      </c>
      <c r="BY287" s="418">
        <v>0</v>
      </c>
      <c r="BZ287" s="418">
        <v>0</v>
      </c>
      <c r="CA287" s="418">
        <v>433810</v>
      </c>
      <c r="CB287" s="418">
        <v>0</v>
      </c>
    </row>
    <row r="288" spans="1:80" s="418" customFormat="1" x14ac:dyDescent="0.3">
      <c r="A288" s="1052">
        <v>629</v>
      </c>
      <c r="B288" s="1049"/>
      <c r="C288" s="1095">
        <v>629</v>
      </c>
      <c r="D288" s="1096" t="s">
        <v>710</v>
      </c>
      <c r="E288" s="1049"/>
      <c r="F288" s="1063">
        <v>0</v>
      </c>
      <c r="G288" s="1063">
        <v>0</v>
      </c>
      <c r="H288" s="1063">
        <v>0</v>
      </c>
      <c r="I288" s="1063">
        <v>0</v>
      </c>
      <c r="J288" s="1063">
        <v>0</v>
      </c>
      <c r="K288" s="1063">
        <v>0</v>
      </c>
      <c r="L288" s="1063">
        <v>0</v>
      </c>
      <c r="M288" s="1063">
        <v>0</v>
      </c>
      <c r="N288" s="1063">
        <v>0</v>
      </c>
      <c r="O288" s="1063">
        <v>0</v>
      </c>
      <c r="P288" s="1063">
        <v>0</v>
      </c>
      <c r="Q288" s="1063">
        <v>0</v>
      </c>
      <c r="R288" s="1063">
        <v>0</v>
      </c>
      <c r="S288" s="1063">
        <v>0</v>
      </c>
      <c r="T288" s="1063">
        <v>0</v>
      </c>
      <c r="U288" s="1063">
        <v>0</v>
      </c>
      <c r="V288" s="1063"/>
      <c r="W288" s="1050"/>
      <c r="AT288" s="418">
        <v>0</v>
      </c>
      <c r="AU288" s="418">
        <v>0</v>
      </c>
      <c r="AV288" s="418">
        <v>0</v>
      </c>
      <c r="AW288" s="418">
        <v>0</v>
      </c>
      <c r="AX288" s="418">
        <v>0</v>
      </c>
      <c r="AY288" s="418">
        <v>0</v>
      </c>
      <c r="AZ288" s="418">
        <v>0</v>
      </c>
      <c r="BA288" s="418">
        <v>0</v>
      </c>
      <c r="BB288" s="418">
        <v>0</v>
      </c>
      <c r="BC288" s="418">
        <v>0</v>
      </c>
      <c r="BD288" s="418">
        <v>0</v>
      </c>
      <c r="BE288" s="418">
        <v>0</v>
      </c>
      <c r="BF288" s="418">
        <v>0</v>
      </c>
      <c r="BG288" s="418">
        <v>0</v>
      </c>
      <c r="BH288" s="418">
        <v>0</v>
      </c>
      <c r="BI288" s="418">
        <v>0</v>
      </c>
      <c r="BJ288" s="418">
        <v>0</v>
      </c>
      <c r="BK288" s="418">
        <v>0</v>
      </c>
      <c r="BL288" s="418">
        <v>0</v>
      </c>
      <c r="BM288" s="418">
        <v>0</v>
      </c>
      <c r="BN288" s="418">
        <v>0</v>
      </c>
      <c r="BO288" s="418">
        <v>0</v>
      </c>
      <c r="BP288" s="418">
        <v>0</v>
      </c>
      <c r="BQ288" s="418">
        <v>0</v>
      </c>
      <c r="BR288" s="418">
        <v>0</v>
      </c>
      <c r="BS288" s="418">
        <v>0</v>
      </c>
      <c r="BT288" s="418">
        <v>0</v>
      </c>
      <c r="BU288" s="418">
        <v>0</v>
      </c>
      <c r="BV288" s="418">
        <v>882005</v>
      </c>
      <c r="BW288" s="418">
        <v>0</v>
      </c>
      <c r="BX288" s="418">
        <v>0</v>
      </c>
      <c r="BY288" s="418">
        <v>0</v>
      </c>
      <c r="BZ288" s="418">
        <v>0</v>
      </c>
      <c r="CA288" s="418">
        <v>0</v>
      </c>
      <c r="CB288" s="418">
        <v>0</v>
      </c>
    </row>
    <row r="289" spans="1:80" s="418" customFormat="1" ht="28.8" x14ac:dyDescent="0.3">
      <c r="A289" s="1052">
        <v>630</v>
      </c>
      <c r="B289" s="1049"/>
      <c r="C289" s="1095">
        <v>630</v>
      </c>
      <c r="D289" s="1096" t="s">
        <v>709</v>
      </c>
      <c r="E289" s="1049"/>
      <c r="F289" s="1063">
        <v>0</v>
      </c>
      <c r="G289" s="1063">
        <v>0</v>
      </c>
      <c r="H289" s="1063">
        <v>0</v>
      </c>
      <c r="I289" s="1063">
        <v>0</v>
      </c>
      <c r="J289" s="1063">
        <v>0</v>
      </c>
      <c r="K289" s="1063">
        <v>0</v>
      </c>
      <c r="L289" s="1063">
        <v>0</v>
      </c>
      <c r="M289" s="1063">
        <v>0</v>
      </c>
      <c r="N289" s="1063">
        <v>0</v>
      </c>
      <c r="O289" s="1063">
        <v>0</v>
      </c>
      <c r="P289" s="1063">
        <v>0</v>
      </c>
      <c r="Q289" s="1063">
        <v>0</v>
      </c>
      <c r="R289" s="1063">
        <v>0</v>
      </c>
      <c r="S289" s="1063">
        <v>0</v>
      </c>
      <c r="T289" s="1063">
        <v>0</v>
      </c>
      <c r="U289" s="1063">
        <v>0</v>
      </c>
      <c r="V289" s="1063"/>
      <c r="W289" s="1049"/>
      <c r="X289" s="1049"/>
      <c r="Y289" s="1049"/>
      <c r="Z289" s="1049"/>
      <c r="AA289" s="1049"/>
      <c r="AT289" s="418">
        <v>0</v>
      </c>
      <c r="AU289" s="418">
        <v>0</v>
      </c>
      <c r="AV289" s="418">
        <v>0</v>
      </c>
      <c r="AW289" s="418">
        <v>0</v>
      </c>
      <c r="AX289" s="418">
        <v>0</v>
      </c>
      <c r="AY289" s="418">
        <v>0</v>
      </c>
      <c r="AZ289" s="418">
        <v>0</v>
      </c>
      <c r="BA289" s="418">
        <v>0</v>
      </c>
      <c r="BB289" s="418">
        <v>0</v>
      </c>
      <c r="BC289" s="418">
        <v>0</v>
      </c>
      <c r="BD289" s="418">
        <v>0</v>
      </c>
      <c r="BE289" s="418">
        <v>0</v>
      </c>
      <c r="BF289" s="418">
        <v>0</v>
      </c>
      <c r="BG289" s="418">
        <v>0</v>
      </c>
      <c r="BH289" s="418">
        <v>0</v>
      </c>
      <c r="BI289" s="418">
        <v>0</v>
      </c>
      <c r="BJ289" s="418">
        <v>22090</v>
      </c>
      <c r="BK289" s="418">
        <v>0</v>
      </c>
      <c r="BL289" s="418">
        <v>155</v>
      </c>
      <c r="BM289" s="418">
        <v>97431</v>
      </c>
      <c r="BN289" s="418">
        <v>0</v>
      </c>
      <c r="BO289" s="418">
        <v>7637</v>
      </c>
      <c r="BP289" s="418">
        <v>0</v>
      </c>
      <c r="BQ289" s="418">
        <v>0</v>
      </c>
      <c r="BR289" s="418">
        <v>0</v>
      </c>
      <c r="BS289" s="418">
        <v>33020</v>
      </c>
      <c r="BT289" s="418">
        <v>27755</v>
      </c>
      <c r="BU289" s="418">
        <v>0</v>
      </c>
      <c r="BV289" s="418">
        <v>0</v>
      </c>
      <c r="BW289" s="418">
        <v>0</v>
      </c>
      <c r="BX289" s="418">
        <v>0</v>
      </c>
      <c r="BY289" s="418">
        <v>0</v>
      </c>
      <c r="BZ289" s="418">
        <v>0</v>
      </c>
      <c r="CA289" s="418">
        <v>863078</v>
      </c>
      <c r="CB289" s="418">
        <v>0</v>
      </c>
    </row>
    <row r="290" spans="1:80" s="418" customFormat="1" x14ac:dyDescent="0.3">
      <c r="A290" s="1052">
        <v>631</v>
      </c>
      <c r="B290" s="1049"/>
      <c r="C290" s="1095">
        <v>631</v>
      </c>
      <c r="D290" s="1096" t="s">
        <v>708</v>
      </c>
      <c r="E290" s="1049"/>
      <c r="F290" s="1063">
        <v>0</v>
      </c>
      <c r="G290" s="1063">
        <v>0</v>
      </c>
      <c r="H290" s="1063">
        <v>0</v>
      </c>
      <c r="I290" s="1063">
        <v>0</v>
      </c>
      <c r="J290" s="1063">
        <v>0</v>
      </c>
      <c r="K290" s="1063">
        <v>0</v>
      </c>
      <c r="L290" s="1063">
        <v>0</v>
      </c>
      <c r="M290" s="1063">
        <v>0</v>
      </c>
      <c r="N290" s="1063">
        <v>0</v>
      </c>
      <c r="O290" s="1063">
        <v>0</v>
      </c>
      <c r="P290" s="1063">
        <v>0</v>
      </c>
      <c r="Q290" s="1063">
        <v>0</v>
      </c>
      <c r="R290" s="1063">
        <v>0</v>
      </c>
      <c r="S290" s="1063">
        <v>0</v>
      </c>
      <c r="T290" s="1063">
        <v>0</v>
      </c>
      <c r="U290" s="1063">
        <v>0</v>
      </c>
      <c r="V290" s="1063"/>
      <c r="W290" s="1049"/>
      <c r="X290" s="1049"/>
      <c r="Y290" s="1049"/>
      <c r="Z290" s="1049"/>
      <c r="AA290" s="1049"/>
      <c r="AT290" s="418">
        <v>0</v>
      </c>
      <c r="AU290" s="418">
        <v>0</v>
      </c>
      <c r="AV290" s="418">
        <v>0</v>
      </c>
      <c r="AW290" s="418">
        <v>0</v>
      </c>
      <c r="AX290" s="418">
        <v>0</v>
      </c>
      <c r="AY290" s="418">
        <v>0</v>
      </c>
      <c r="AZ290" s="418">
        <v>0</v>
      </c>
      <c r="BA290" s="418">
        <v>0</v>
      </c>
      <c r="BB290" s="418">
        <v>0</v>
      </c>
      <c r="BC290" s="418">
        <v>0</v>
      </c>
      <c r="BD290" s="418">
        <v>0</v>
      </c>
      <c r="BE290" s="418">
        <v>0</v>
      </c>
      <c r="BF290" s="418">
        <v>0</v>
      </c>
      <c r="BG290" s="418">
        <v>0</v>
      </c>
      <c r="BH290" s="418">
        <v>0</v>
      </c>
      <c r="BI290" s="418">
        <v>0</v>
      </c>
      <c r="BJ290" s="418">
        <v>0</v>
      </c>
      <c r="BK290" s="418">
        <v>0</v>
      </c>
      <c r="BL290" s="418">
        <v>0</v>
      </c>
      <c r="BM290" s="418">
        <v>0</v>
      </c>
      <c r="BN290" s="418">
        <v>0</v>
      </c>
      <c r="BO290" s="418">
        <v>0</v>
      </c>
      <c r="BP290" s="418">
        <v>0</v>
      </c>
      <c r="BQ290" s="418">
        <v>0</v>
      </c>
      <c r="BR290" s="418">
        <v>0</v>
      </c>
      <c r="BS290" s="418">
        <v>0</v>
      </c>
      <c r="BT290" s="418">
        <v>0</v>
      </c>
      <c r="BU290" s="418">
        <v>0</v>
      </c>
      <c r="BV290" s="418">
        <v>2749874</v>
      </c>
      <c r="BW290" s="418">
        <v>0</v>
      </c>
      <c r="BX290" s="418">
        <v>0</v>
      </c>
      <c r="BY290" s="418">
        <v>0</v>
      </c>
      <c r="BZ290" s="418">
        <v>0</v>
      </c>
      <c r="CA290" s="418">
        <v>0</v>
      </c>
      <c r="CB290" s="418">
        <v>0</v>
      </c>
    </row>
    <row r="291" spans="1:80" s="418" customFormat="1" x14ac:dyDescent="0.3">
      <c r="A291" s="1052">
        <v>632</v>
      </c>
      <c r="B291" s="1049"/>
      <c r="C291" s="1095">
        <v>632</v>
      </c>
      <c r="D291" s="1096" t="s">
        <v>707</v>
      </c>
      <c r="E291" s="1049"/>
      <c r="F291" s="1063">
        <v>0</v>
      </c>
      <c r="G291" s="1063">
        <v>0</v>
      </c>
      <c r="H291" s="1063">
        <v>0</v>
      </c>
      <c r="I291" s="1063">
        <v>0</v>
      </c>
      <c r="J291" s="1063">
        <v>0</v>
      </c>
      <c r="K291" s="1063">
        <v>0</v>
      </c>
      <c r="L291" s="1063">
        <v>0</v>
      </c>
      <c r="M291" s="1063">
        <v>0</v>
      </c>
      <c r="N291" s="1063">
        <v>0</v>
      </c>
      <c r="O291" s="1063">
        <v>0</v>
      </c>
      <c r="P291" s="1063">
        <v>0</v>
      </c>
      <c r="Q291" s="1063">
        <v>0</v>
      </c>
      <c r="R291" s="1063">
        <v>0</v>
      </c>
      <c r="S291" s="1063">
        <v>0</v>
      </c>
      <c r="T291" s="1063">
        <v>0</v>
      </c>
      <c r="U291" s="1063">
        <v>0</v>
      </c>
      <c r="V291" s="1063"/>
      <c r="W291" s="1049"/>
      <c r="X291" s="1049"/>
      <c r="Y291" s="1049"/>
      <c r="Z291" s="1049"/>
      <c r="AA291" s="1049"/>
      <c r="AT291" s="418">
        <v>0</v>
      </c>
      <c r="AU291" s="418">
        <v>0</v>
      </c>
      <c r="AV291" s="418">
        <v>0</v>
      </c>
      <c r="AW291" s="418">
        <v>0</v>
      </c>
      <c r="AX291" s="418">
        <v>0</v>
      </c>
      <c r="AY291" s="418">
        <v>0</v>
      </c>
      <c r="AZ291" s="418">
        <v>0</v>
      </c>
      <c r="BA291" s="418">
        <v>0</v>
      </c>
      <c r="BB291" s="418">
        <v>0</v>
      </c>
      <c r="BC291" s="418">
        <v>0</v>
      </c>
      <c r="BD291" s="418">
        <v>0</v>
      </c>
      <c r="BE291" s="418">
        <v>0</v>
      </c>
      <c r="BF291" s="418">
        <v>0</v>
      </c>
      <c r="BG291" s="418">
        <v>0</v>
      </c>
      <c r="BH291" s="418">
        <v>0</v>
      </c>
      <c r="BI291" s="418">
        <v>0</v>
      </c>
      <c r="BJ291" s="418">
        <v>0</v>
      </c>
      <c r="BK291" s="418">
        <v>0</v>
      </c>
      <c r="BL291" s="418">
        <v>0</v>
      </c>
      <c r="BM291" s="418">
        <v>0</v>
      </c>
      <c r="BN291" s="418">
        <v>0</v>
      </c>
      <c r="BO291" s="418">
        <v>0</v>
      </c>
      <c r="BP291" s="418">
        <v>0</v>
      </c>
      <c r="BQ291" s="418">
        <v>0</v>
      </c>
      <c r="BR291" s="418">
        <v>0</v>
      </c>
      <c r="BS291" s="418">
        <v>0</v>
      </c>
      <c r="BT291" s="418">
        <v>0</v>
      </c>
      <c r="BU291" s="418">
        <v>0</v>
      </c>
      <c r="BV291" s="418">
        <v>0</v>
      </c>
      <c r="BW291" s="418">
        <v>0</v>
      </c>
      <c r="BX291" s="418">
        <v>0</v>
      </c>
      <c r="BY291" s="418">
        <v>0</v>
      </c>
      <c r="BZ291" s="418">
        <v>0</v>
      </c>
      <c r="CA291" s="418">
        <v>0</v>
      </c>
      <c r="CB291" s="418">
        <v>0</v>
      </c>
    </row>
    <row r="292" spans="1:80" s="418" customFormat="1" ht="28.8" x14ac:dyDescent="0.3">
      <c r="A292" s="1052">
        <v>633</v>
      </c>
      <c r="B292" s="1049"/>
      <c r="C292" s="1095">
        <v>633</v>
      </c>
      <c r="D292" s="1096" t="s">
        <v>715</v>
      </c>
      <c r="E292" s="1049"/>
      <c r="F292" s="1063">
        <v>0</v>
      </c>
      <c r="G292" s="1063">
        <v>0</v>
      </c>
      <c r="H292" s="1063">
        <v>0</v>
      </c>
      <c r="I292" s="1063">
        <v>0</v>
      </c>
      <c r="J292" s="1063">
        <v>0</v>
      </c>
      <c r="K292" s="1063">
        <v>0</v>
      </c>
      <c r="L292" s="1063">
        <v>0</v>
      </c>
      <c r="M292" s="1063">
        <v>0</v>
      </c>
      <c r="N292" s="1063">
        <v>0</v>
      </c>
      <c r="O292" s="1063">
        <v>0</v>
      </c>
      <c r="P292" s="1063">
        <v>0</v>
      </c>
      <c r="Q292" s="1063">
        <v>0</v>
      </c>
      <c r="R292" s="1063">
        <v>0</v>
      </c>
      <c r="S292" s="1063">
        <v>0</v>
      </c>
      <c r="T292" s="1063">
        <v>0</v>
      </c>
      <c r="U292" s="1063">
        <v>0</v>
      </c>
      <c r="V292" s="1063"/>
      <c r="W292" s="1049"/>
      <c r="X292" s="1049"/>
      <c r="Y292" s="1049"/>
      <c r="Z292" s="1049"/>
      <c r="AA292" s="1049"/>
      <c r="AT292" s="418">
        <v>39753</v>
      </c>
      <c r="AU292" s="418">
        <v>242482</v>
      </c>
      <c r="AV292" s="418">
        <v>2980628</v>
      </c>
      <c r="AW292" s="418">
        <v>85737</v>
      </c>
      <c r="AX292" s="418">
        <v>55452</v>
      </c>
      <c r="AY292" s="418">
        <v>61980</v>
      </c>
      <c r="AZ292" s="418">
        <v>140531</v>
      </c>
      <c r="BA292" s="418">
        <v>317093</v>
      </c>
      <c r="BB292" s="418">
        <v>16123</v>
      </c>
      <c r="BC292" s="418">
        <v>183333</v>
      </c>
      <c r="BD292" s="418">
        <v>0</v>
      </c>
      <c r="BE292" s="418">
        <v>0</v>
      </c>
      <c r="BF292" s="418">
        <v>1058269</v>
      </c>
      <c r="BG292" s="418">
        <v>0</v>
      </c>
      <c r="BH292" s="418">
        <v>0</v>
      </c>
      <c r="BI292" s="418">
        <v>359701</v>
      </c>
      <c r="BJ292" s="418">
        <v>223939</v>
      </c>
      <c r="BK292" s="418">
        <v>0</v>
      </c>
      <c r="BL292" s="418">
        <v>217836</v>
      </c>
      <c r="BM292" s="418">
        <v>285416</v>
      </c>
      <c r="BN292" s="418">
        <v>0</v>
      </c>
      <c r="BO292" s="418">
        <v>634947</v>
      </c>
      <c r="BP292" s="418">
        <v>226325</v>
      </c>
      <c r="BQ292" s="418">
        <v>63846</v>
      </c>
      <c r="BR292" s="418">
        <v>799399</v>
      </c>
      <c r="BS292" s="418">
        <v>0</v>
      </c>
      <c r="BT292" s="418">
        <v>0</v>
      </c>
      <c r="BU292" s="418">
        <v>121908</v>
      </c>
      <c r="BV292" s="418">
        <v>539022</v>
      </c>
      <c r="BW292" s="418">
        <v>686678</v>
      </c>
      <c r="BX292" s="418">
        <v>596266</v>
      </c>
      <c r="BY292" s="418">
        <v>0</v>
      </c>
      <c r="BZ292" s="418">
        <v>0</v>
      </c>
      <c r="CA292" s="418">
        <v>2053250</v>
      </c>
      <c r="CB292" s="418">
        <v>0</v>
      </c>
    </row>
    <row r="293" spans="1:80" s="418" customFormat="1" ht="28.8" x14ac:dyDescent="0.3">
      <c r="A293" s="1052">
        <v>634</v>
      </c>
      <c r="B293" s="1049"/>
      <c r="C293" s="1095">
        <v>634</v>
      </c>
      <c r="D293" s="1096" t="s">
        <v>716</v>
      </c>
      <c r="E293" s="1049"/>
      <c r="F293" s="1063">
        <v>0</v>
      </c>
      <c r="G293" s="1063">
        <v>0</v>
      </c>
      <c r="H293" s="1063">
        <v>0</v>
      </c>
      <c r="I293" s="1063">
        <v>0</v>
      </c>
      <c r="J293" s="1063">
        <v>0</v>
      </c>
      <c r="K293" s="1063">
        <v>0</v>
      </c>
      <c r="L293" s="1063">
        <v>0</v>
      </c>
      <c r="M293" s="1063">
        <v>0</v>
      </c>
      <c r="N293" s="1063">
        <v>0</v>
      </c>
      <c r="O293" s="1063">
        <v>0</v>
      </c>
      <c r="P293" s="1063">
        <v>0</v>
      </c>
      <c r="Q293" s="1063">
        <v>0</v>
      </c>
      <c r="R293" s="1063">
        <v>0</v>
      </c>
      <c r="S293" s="1063">
        <v>0</v>
      </c>
      <c r="T293" s="1063">
        <v>0</v>
      </c>
      <c r="U293" s="1063">
        <v>0</v>
      </c>
      <c r="V293" s="1063"/>
      <c r="W293" s="1049"/>
      <c r="X293" s="1049"/>
      <c r="Y293" s="1049"/>
      <c r="Z293" s="1049"/>
      <c r="AA293" s="1049"/>
      <c r="AT293" s="418">
        <v>0</v>
      </c>
      <c r="AU293" s="418">
        <v>0</v>
      </c>
      <c r="AV293" s="418">
        <v>0</v>
      </c>
      <c r="AW293" s="418">
        <v>0</v>
      </c>
      <c r="AX293" s="418">
        <v>0</v>
      </c>
      <c r="AY293" s="418">
        <v>0</v>
      </c>
      <c r="AZ293" s="418">
        <v>0</v>
      </c>
      <c r="BA293" s="418">
        <v>0</v>
      </c>
      <c r="BB293" s="418">
        <v>0</v>
      </c>
      <c r="BC293" s="418">
        <v>0</v>
      </c>
      <c r="BD293" s="418">
        <v>0</v>
      </c>
      <c r="BE293" s="418">
        <v>0</v>
      </c>
      <c r="BF293" s="418">
        <v>0</v>
      </c>
      <c r="BG293" s="418">
        <v>0</v>
      </c>
      <c r="BH293" s="418">
        <v>0</v>
      </c>
      <c r="BI293" s="418">
        <v>0</v>
      </c>
      <c r="BJ293" s="418">
        <v>0</v>
      </c>
      <c r="BK293" s="418">
        <v>0</v>
      </c>
      <c r="BL293" s="418">
        <v>0</v>
      </c>
      <c r="BM293" s="418">
        <v>36664</v>
      </c>
      <c r="BN293" s="418">
        <v>0</v>
      </c>
      <c r="BO293" s="418">
        <v>0</v>
      </c>
      <c r="BP293" s="418">
        <v>0</v>
      </c>
      <c r="BQ293" s="418">
        <v>0</v>
      </c>
      <c r="BR293" s="418">
        <v>0</v>
      </c>
      <c r="BS293" s="418">
        <v>0</v>
      </c>
      <c r="BT293" s="418">
        <v>0</v>
      </c>
      <c r="BU293" s="418">
        <v>0</v>
      </c>
      <c r="BV293" s="418">
        <v>0</v>
      </c>
      <c r="BW293" s="418">
        <v>567000</v>
      </c>
      <c r="BX293" s="418">
        <v>0</v>
      </c>
      <c r="BY293" s="418">
        <v>0</v>
      </c>
      <c r="BZ293" s="418">
        <v>0</v>
      </c>
      <c r="CA293" s="418">
        <v>0</v>
      </c>
      <c r="CB293" s="418">
        <v>0</v>
      </c>
    </row>
    <row r="294" spans="1:80" s="418" customFormat="1" ht="28.8" x14ac:dyDescent="0.3">
      <c r="A294" s="1052">
        <v>635</v>
      </c>
      <c r="B294" s="1049"/>
      <c r="C294" s="1095">
        <v>635</v>
      </c>
      <c r="D294" s="1096" t="s">
        <v>717</v>
      </c>
      <c r="E294" s="1049"/>
      <c r="F294" s="1063">
        <v>0</v>
      </c>
      <c r="G294" s="1063">
        <v>0</v>
      </c>
      <c r="H294" s="1063">
        <v>0</v>
      </c>
      <c r="I294" s="1063">
        <v>0</v>
      </c>
      <c r="J294" s="1063">
        <v>0</v>
      </c>
      <c r="K294" s="1063">
        <v>0</v>
      </c>
      <c r="L294" s="1063">
        <v>0</v>
      </c>
      <c r="M294" s="1063">
        <v>0</v>
      </c>
      <c r="N294" s="1063">
        <v>0</v>
      </c>
      <c r="O294" s="1063">
        <v>0</v>
      </c>
      <c r="P294" s="1063">
        <v>0</v>
      </c>
      <c r="Q294" s="1063">
        <v>0</v>
      </c>
      <c r="R294" s="1063">
        <v>0</v>
      </c>
      <c r="S294" s="1063">
        <v>0</v>
      </c>
      <c r="T294" s="1063">
        <v>0</v>
      </c>
      <c r="U294" s="1063">
        <v>0</v>
      </c>
      <c r="V294" s="1063"/>
      <c r="W294" s="1049"/>
      <c r="X294" s="1049"/>
      <c r="Y294" s="1049"/>
      <c r="Z294" s="1049"/>
      <c r="AA294" s="1049"/>
      <c r="AT294" s="418">
        <v>0</v>
      </c>
      <c r="AU294" s="418">
        <v>0</v>
      </c>
      <c r="AV294" s="418">
        <v>61435</v>
      </c>
      <c r="AW294" s="418">
        <v>2317</v>
      </c>
      <c r="AX294" s="418">
        <v>0</v>
      </c>
      <c r="AY294" s="418">
        <v>0</v>
      </c>
      <c r="AZ294" s="418">
        <v>0</v>
      </c>
      <c r="BA294" s="418">
        <v>0</v>
      </c>
      <c r="BB294" s="418">
        <v>0</v>
      </c>
      <c r="BC294" s="418">
        <v>0</v>
      </c>
      <c r="BD294" s="418">
        <v>0</v>
      </c>
      <c r="BE294" s="418">
        <v>0</v>
      </c>
      <c r="BF294" s="418">
        <v>62376</v>
      </c>
      <c r="BG294" s="418">
        <v>0</v>
      </c>
      <c r="BH294" s="418">
        <v>0</v>
      </c>
      <c r="BI294" s="418">
        <v>0</v>
      </c>
      <c r="BJ294" s="418">
        <v>16822</v>
      </c>
      <c r="BK294" s="418">
        <v>0</v>
      </c>
      <c r="BL294" s="418">
        <v>13059</v>
      </c>
      <c r="BM294" s="418">
        <v>8158</v>
      </c>
      <c r="BN294" s="418">
        <v>0</v>
      </c>
      <c r="BO294" s="418">
        <v>30400</v>
      </c>
      <c r="BP294" s="418">
        <v>11509</v>
      </c>
      <c r="BQ294" s="418">
        <v>3523</v>
      </c>
      <c r="BR294" s="418">
        <v>0</v>
      </c>
      <c r="BS294" s="418">
        <v>0</v>
      </c>
      <c r="BT294" s="418">
        <v>0</v>
      </c>
      <c r="BU294" s="418">
        <v>0</v>
      </c>
      <c r="BV294" s="418">
        <v>50043</v>
      </c>
      <c r="BW294" s="418">
        <v>3000</v>
      </c>
      <c r="BX294" s="418">
        <v>0</v>
      </c>
      <c r="BY294" s="418">
        <v>0</v>
      </c>
      <c r="BZ294" s="418">
        <v>0</v>
      </c>
      <c r="CA294" s="418">
        <v>68558</v>
      </c>
      <c r="CB294" s="418">
        <v>0</v>
      </c>
    </row>
    <row r="295" spans="1:80" s="418" customFormat="1" ht="28.8" x14ac:dyDescent="0.3">
      <c r="A295" s="1052">
        <v>636</v>
      </c>
      <c r="B295" s="1049"/>
      <c r="C295" s="1095">
        <v>636</v>
      </c>
      <c r="D295" s="1096" t="s">
        <v>712</v>
      </c>
      <c r="E295" s="1049"/>
      <c r="F295" s="1063">
        <v>0</v>
      </c>
      <c r="G295" s="1063">
        <v>0</v>
      </c>
      <c r="H295" s="1063">
        <v>0</v>
      </c>
      <c r="I295" s="1063">
        <v>0</v>
      </c>
      <c r="J295" s="1063">
        <v>0</v>
      </c>
      <c r="K295" s="1063">
        <v>0</v>
      </c>
      <c r="L295" s="1063">
        <v>0</v>
      </c>
      <c r="M295" s="1063">
        <v>0</v>
      </c>
      <c r="N295" s="1063">
        <v>0</v>
      </c>
      <c r="O295" s="1063">
        <v>0</v>
      </c>
      <c r="P295" s="1063">
        <v>0</v>
      </c>
      <c r="Q295" s="1063">
        <v>0</v>
      </c>
      <c r="R295" s="1063">
        <v>0</v>
      </c>
      <c r="S295" s="1063">
        <v>0</v>
      </c>
      <c r="T295" s="1063">
        <v>0</v>
      </c>
      <c r="U295" s="1063">
        <v>0</v>
      </c>
      <c r="V295" s="1063"/>
      <c r="W295" s="1049"/>
      <c r="X295" s="1049"/>
      <c r="Y295" s="1049"/>
      <c r="Z295" s="1049"/>
      <c r="AA295" s="1066"/>
      <c r="AT295" s="418">
        <v>0</v>
      </c>
      <c r="AU295" s="418">
        <v>0</v>
      </c>
      <c r="AV295" s="418">
        <v>0</v>
      </c>
      <c r="AW295" s="418">
        <v>0</v>
      </c>
      <c r="AX295" s="418">
        <v>0</v>
      </c>
      <c r="AY295" s="418">
        <v>0</v>
      </c>
      <c r="AZ295" s="418">
        <v>0</v>
      </c>
      <c r="BA295" s="418">
        <v>0</v>
      </c>
      <c r="BB295" s="418">
        <v>0</v>
      </c>
      <c r="BC295" s="418">
        <v>0</v>
      </c>
      <c r="BD295" s="418">
        <v>0</v>
      </c>
      <c r="BE295" s="418">
        <v>0</v>
      </c>
      <c r="BF295" s="418">
        <v>0</v>
      </c>
      <c r="BG295" s="418">
        <v>0</v>
      </c>
      <c r="BH295" s="418">
        <v>0</v>
      </c>
      <c r="BI295" s="418">
        <v>0</v>
      </c>
      <c r="BJ295" s="418">
        <v>0</v>
      </c>
      <c r="BK295" s="418">
        <v>0</v>
      </c>
      <c r="BL295" s="418">
        <v>0</v>
      </c>
      <c r="BM295" s="418">
        <v>0</v>
      </c>
      <c r="BN295" s="418">
        <v>0</v>
      </c>
      <c r="BO295" s="418">
        <v>0</v>
      </c>
      <c r="BP295" s="418">
        <v>0</v>
      </c>
      <c r="BQ295" s="418">
        <v>0</v>
      </c>
      <c r="BR295" s="418">
        <v>0</v>
      </c>
      <c r="BS295" s="418">
        <v>0</v>
      </c>
      <c r="BT295" s="418">
        <v>0</v>
      </c>
      <c r="BU295" s="418">
        <v>0</v>
      </c>
      <c r="BV295" s="418">
        <v>193613</v>
      </c>
      <c r="BW295" s="418">
        <v>0</v>
      </c>
      <c r="BX295" s="418">
        <v>0</v>
      </c>
      <c r="BY295" s="418">
        <v>0</v>
      </c>
      <c r="BZ295" s="418">
        <v>0</v>
      </c>
      <c r="CA295" s="418">
        <v>0</v>
      </c>
      <c r="CB295" s="418">
        <v>0</v>
      </c>
    </row>
    <row r="296" spans="1:80" s="418" customFormat="1" ht="28.8" x14ac:dyDescent="0.3">
      <c r="A296" s="1052">
        <v>637</v>
      </c>
      <c r="B296" s="1049"/>
      <c r="C296" s="1095">
        <v>637</v>
      </c>
      <c r="D296" s="1096" t="s">
        <v>713</v>
      </c>
      <c r="E296" s="1049"/>
      <c r="F296" s="1063">
        <v>0</v>
      </c>
      <c r="G296" s="1063">
        <v>0</v>
      </c>
      <c r="H296" s="1063">
        <v>0</v>
      </c>
      <c r="I296" s="1063">
        <v>0</v>
      </c>
      <c r="J296" s="1063">
        <v>0</v>
      </c>
      <c r="K296" s="1063">
        <v>0</v>
      </c>
      <c r="L296" s="1063">
        <v>0</v>
      </c>
      <c r="M296" s="1063">
        <v>0</v>
      </c>
      <c r="N296" s="1063">
        <v>0</v>
      </c>
      <c r="O296" s="1063">
        <v>0</v>
      </c>
      <c r="P296" s="1063">
        <v>0</v>
      </c>
      <c r="Q296" s="1063">
        <v>0</v>
      </c>
      <c r="R296" s="1063">
        <v>0</v>
      </c>
      <c r="S296" s="1063">
        <v>0</v>
      </c>
      <c r="T296" s="1063">
        <v>0</v>
      </c>
      <c r="U296" s="1063">
        <v>0</v>
      </c>
      <c r="V296" s="1063"/>
      <c r="W296" s="1049"/>
      <c r="X296" s="1049"/>
      <c r="Y296" s="1049"/>
      <c r="Z296" s="1049"/>
      <c r="AA296" s="1066"/>
      <c r="AT296" s="418">
        <v>24561</v>
      </c>
      <c r="AU296" s="418">
        <v>0</v>
      </c>
      <c r="AV296" s="418">
        <v>121988</v>
      </c>
      <c r="AW296" s="418">
        <v>49900</v>
      </c>
      <c r="AX296" s="418">
        <v>0</v>
      </c>
      <c r="AY296" s="418">
        <v>0</v>
      </c>
      <c r="AZ296" s="418">
        <v>73103</v>
      </c>
      <c r="BA296" s="418">
        <v>0</v>
      </c>
      <c r="BB296" s="418">
        <v>0</v>
      </c>
      <c r="BC296" s="418">
        <v>0</v>
      </c>
      <c r="BD296" s="418">
        <v>0</v>
      </c>
      <c r="BE296" s="418">
        <v>0</v>
      </c>
      <c r="BF296" s="418">
        <v>40370</v>
      </c>
      <c r="BG296" s="418">
        <v>0</v>
      </c>
      <c r="BH296" s="418">
        <v>0</v>
      </c>
      <c r="BI296" s="418">
        <v>0</v>
      </c>
      <c r="BJ296" s="418">
        <v>0</v>
      </c>
      <c r="BK296" s="418">
        <v>0</v>
      </c>
      <c r="BL296" s="418">
        <v>38980</v>
      </c>
      <c r="BM296" s="418">
        <v>57422</v>
      </c>
      <c r="BN296" s="418">
        <v>0</v>
      </c>
      <c r="BO296" s="418">
        <v>248740</v>
      </c>
      <c r="BP296" s="418">
        <v>0</v>
      </c>
      <c r="BQ296" s="418">
        <v>39450</v>
      </c>
      <c r="BR296" s="418">
        <v>64381</v>
      </c>
      <c r="BS296" s="418">
        <v>0</v>
      </c>
      <c r="BT296" s="418">
        <v>0</v>
      </c>
      <c r="BU296" s="418">
        <v>0</v>
      </c>
      <c r="BV296" s="418">
        <v>0</v>
      </c>
      <c r="BW296" s="418">
        <v>42761</v>
      </c>
      <c r="BX296" s="418">
        <v>26655</v>
      </c>
      <c r="BY296" s="418">
        <v>0</v>
      </c>
      <c r="BZ296" s="418">
        <v>0</v>
      </c>
      <c r="CA296" s="418">
        <v>602881</v>
      </c>
      <c r="CB296" s="418">
        <v>0</v>
      </c>
    </row>
    <row r="297" spans="1:80" s="418" customFormat="1" x14ac:dyDescent="0.3">
      <c r="A297" s="1052">
        <v>638</v>
      </c>
      <c r="B297" s="1049"/>
      <c r="C297" s="1095">
        <v>638</v>
      </c>
      <c r="D297" s="1096" t="s">
        <v>718</v>
      </c>
      <c r="E297" s="1049"/>
      <c r="F297" s="1063">
        <v>0</v>
      </c>
      <c r="G297" s="1063">
        <v>0</v>
      </c>
      <c r="H297" s="1063">
        <v>0</v>
      </c>
      <c r="I297" s="1063">
        <v>0</v>
      </c>
      <c r="J297" s="1063">
        <v>0</v>
      </c>
      <c r="K297" s="1063">
        <v>0</v>
      </c>
      <c r="L297" s="1063">
        <v>0</v>
      </c>
      <c r="M297" s="1063">
        <v>0</v>
      </c>
      <c r="N297" s="1063">
        <v>0</v>
      </c>
      <c r="O297" s="1063">
        <v>0</v>
      </c>
      <c r="P297" s="1063">
        <v>0</v>
      </c>
      <c r="Q297" s="1063">
        <v>0</v>
      </c>
      <c r="R297" s="1063">
        <v>0</v>
      </c>
      <c r="S297" s="1063">
        <v>0</v>
      </c>
      <c r="T297" s="1063">
        <v>0</v>
      </c>
      <c r="U297" s="1063">
        <v>0</v>
      </c>
      <c r="V297" s="1063"/>
      <c r="W297" s="1049"/>
      <c r="X297" s="1049"/>
      <c r="Y297" s="1049"/>
      <c r="Z297" s="1049"/>
      <c r="AA297" s="1066"/>
      <c r="AT297" s="418">
        <v>0</v>
      </c>
      <c r="AU297" s="418">
        <v>0</v>
      </c>
      <c r="AV297" s="418">
        <v>0</v>
      </c>
      <c r="AW297" s="418">
        <v>0</v>
      </c>
      <c r="AX297" s="418">
        <v>0</v>
      </c>
      <c r="AY297" s="418">
        <v>0</v>
      </c>
      <c r="AZ297" s="418">
        <v>0</v>
      </c>
      <c r="BA297" s="418">
        <v>0</v>
      </c>
      <c r="BB297" s="418">
        <v>0</v>
      </c>
      <c r="BC297" s="418">
        <v>0</v>
      </c>
      <c r="BD297" s="418">
        <v>0</v>
      </c>
      <c r="BE297" s="418">
        <v>0</v>
      </c>
      <c r="BF297" s="418">
        <v>0</v>
      </c>
      <c r="BG297" s="418">
        <v>0</v>
      </c>
      <c r="BH297" s="418">
        <v>0</v>
      </c>
      <c r="BI297" s="418">
        <v>0</v>
      </c>
      <c r="BJ297" s="418">
        <v>0</v>
      </c>
      <c r="BK297" s="418">
        <v>0</v>
      </c>
      <c r="BL297" s="418">
        <v>0</v>
      </c>
      <c r="BM297" s="418">
        <v>0</v>
      </c>
      <c r="BN297" s="418">
        <v>0</v>
      </c>
      <c r="BO297" s="418">
        <v>0</v>
      </c>
      <c r="BP297" s="418">
        <v>0</v>
      </c>
      <c r="BQ297" s="418">
        <v>0</v>
      </c>
      <c r="BR297" s="418">
        <v>0</v>
      </c>
      <c r="BS297" s="418">
        <v>0</v>
      </c>
      <c r="BT297" s="418">
        <v>0</v>
      </c>
      <c r="BU297" s="418">
        <v>0</v>
      </c>
      <c r="BV297" s="418">
        <v>0</v>
      </c>
      <c r="BW297" s="418">
        <v>0</v>
      </c>
      <c r="BX297" s="418">
        <v>0</v>
      </c>
      <c r="BY297" s="418">
        <v>0</v>
      </c>
      <c r="BZ297" s="418">
        <v>0</v>
      </c>
      <c r="CA297" s="418">
        <v>0</v>
      </c>
      <c r="CB297" s="418">
        <v>0</v>
      </c>
    </row>
    <row r="298" spans="1:80" s="418" customFormat="1" ht="28.8" x14ac:dyDescent="0.3">
      <c r="A298" s="1052">
        <v>639</v>
      </c>
      <c r="B298" s="1049"/>
      <c r="C298" s="1095">
        <v>639</v>
      </c>
      <c r="D298" s="1096" t="s">
        <v>719</v>
      </c>
      <c r="E298" s="1049"/>
      <c r="F298" s="1063">
        <v>0</v>
      </c>
      <c r="G298" s="1063">
        <v>0</v>
      </c>
      <c r="H298" s="1063">
        <v>0</v>
      </c>
      <c r="I298" s="1063">
        <v>0</v>
      </c>
      <c r="J298" s="1063">
        <v>0</v>
      </c>
      <c r="K298" s="1063">
        <v>0</v>
      </c>
      <c r="L298" s="1063">
        <v>0</v>
      </c>
      <c r="M298" s="1063">
        <v>0</v>
      </c>
      <c r="N298" s="1063">
        <v>0</v>
      </c>
      <c r="O298" s="1063">
        <v>0</v>
      </c>
      <c r="P298" s="1063">
        <v>0</v>
      </c>
      <c r="Q298" s="1063">
        <v>0</v>
      </c>
      <c r="R298" s="1063">
        <v>0</v>
      </c>
      <c r="S298" s="1063">
        <v>0</v>
      </c>
      <c r="T298" s="1063">
        <v>0</v>
      </c>
      <c r="U298" s="1063">
        <v>0</v>
      </c>
      <c r="V298" s="1063"/>
      <c r="W298" s="1049"/>
      <c r="X298" s="1049"/>
      <c r="Y298" s="1049"/>
      <c r="Z298" s="1049"/>
      <c r="AA298" s="1066"/>
      <c r="AT298" s="418">
        <v>0</v>
      </c>
      <c r="AU298" s="418">
        <v>0</v>
      </c>
      <c r="AV298" s="418">
        <v>911516</v>
      </c>
      <c r="AW298" s="418">
        <v>0</v>
      </c>
      <c r="AX298" s="418">
        <v>0</v>
      </c>
      <c r="AY298" s="418">
        <v>0</v>
      </c>
      <c r="AZ298" s="418">
        <v>0</v>
      </c>
      <c r="BA298" s="418">
        <v>549719</v>
      </c>
      <c r="BB298" s="418">
        <v>0</v>
      </c>
      <c r="BC298" s="418">
        <v>0</v>
      </c>
      <c r="BD298" s="418">
        <v>0</v>
      </c>
      <c r="BE298" s="418">
        <v>0</v>
      </c>
      <c r="BF298" s="418">
        <v>3350688</v>
      </c>
      <c r="BG298" s="418">
        <v>0</v>
      </c>
      <c r="BH298" s="418">
        <v>0</v>
      </c>
      <c r="BI298" s="418">
        <v>0</v>
      </c>
      <c r="BJ298" s="418">
        <v>0</v>
      </c>
      <c r="BK298" s="418">
        <v>0</v>
      </c>
      <c r="BL298" s="418">
        <v>192475</v>
      </c>
      <c r="BM298" s="418">
        <v>0</v>
      </c>
      <c r="BN298" s="418">
        <v>0</v>
      </c>
      <c r="BO298" s="418">
        <v>0</v>
      </c>
      <c r="BP298" s="418">
        <v>0</v>
      </c>
      <c r="BQ298" s="418">
        <v>0</v>
      </c>
      <c r="BR298" s="418">
        <v>0</v>
      </c>
      <c r="BS298" s="418">
        <v>0</v>
      </c>
      <c r="BT298" s="418">
        <v>0</v>
      </c>
      <c r="BU298" s="418">
        <v>0</v>
      </c>
      <c r="BV298" s="418">
        <v>0</v>
      </c>
      <c r="BW298" s="418">
        <v>0</v>
      </c>
      <c r="BX298" s="418">
        <v>0</v>
      </c>
      <c r="BY298" s="418">
        <v>0</v>
      </c>
      <c r="BZ298" s="418">
        <v>0</v>
      </c>
      <c r="CA298" s="418">
        <v>0</v>
      </c>
      <c r="CB298" s="418">
        <v>0</v>
      </c>
    </row>
    <row r="299" spans="1:80" s="418" customFormat="1" ht="28.8" x14ac:dyDescent="0.3">
      <c r="A299" s="1052">
        <v>640</v>
      </c>
      <c r="B299" s="1049"/>
      <c r="C299" s="1095">
        <v>640</v>
      </c>
      <c r="D299" s="1096" t="s">
        <v>720</v>
      </c>
      <c r="E299" s="1049"/>
      <c r="F299" s="1063">
        <v>0</v>
      </c>
      <c r="G299" s="1063">
        <v>0</v>
      </c>
      <c r="H299" s="1063">
        <v>0</v>
      </c>
      <c r="I299" s="1063">
        <v>0</v>
      </c>
      <c r="J299" s="1063">
        <v>0</v>
      </c>
      <c r="K299" s="1063">
        <v>0</v>
      </c>
      <c r="L299" s="1063">
        <v>0</v>
      </c>
      <c r="M299" s="1063">
        <v>0</v>
      </c>
      <c r="N299" s="1063">
        <v>0</v>
      </c>
      <c r="O299" s="1063">
        <v>0</v>
      </c>
      <c r="P299" s="1063">
        <v>0</v>
      </c>
      <c r="Q299" s="1063">
        <v>0</v>
      </c>
      <c r="R299" s="1063">
        <v>0</v>
      </c>
      <c r="S299" s="1063">
        <v>0</v>
      </c>
      <c r="T299" s="1063">
        <v>0</v>
      </c>
      <c r="U299" s="1063">
        <v>0</v>
      </c>
      <c r="V299" s="1063"/>
      <c r="W299" s="1049"/>
      <c r="X299" s="1049"/>
      <c r="Y299" s="1049"/>
      <c r="Z299" s="1049"/>
      <c r="AA299" s="1066"/>
      <c r="AT299" s="418">
        <v>0</v>
      </c>
      <c r="AU299" s="418">
        <v>0</v>
      </c>
      <c r="AV299" s="418">
        <v>0</v>
      </c>
      <c r="AW299" s="418">
        <v>0</v>
      </c>
      <c r="AX299" s="418">
        <v>0</v>
      </c>
      <c r="AY299" s="418">
        <v>0</v>
      </c>
      <c r="AZ299" s="418">
        <v>0</v>
      </c>
      <c r="BA299" s="418">
        <v>0</v>
      </c>
      <c r="BB299" s="418">
        <v>0</v>
      </c>
      <c r="BC299" s="418">
        <v>0</v>
      </c>
      <c r="BD299" s="418">
        <v>0</v>
      </c>
      <c r="BE299" s="418">
        <v>0</v>
      </c>
      <c r="BF299" s="418">
        <v>0</v>
      </c>
      <c r="BG299" s="418">
        <v>0</v>
      </c>
      <c r="BH299" s="418">
        <v>0</v>
      </c>
      <c r="BI299" s="418">
        <v>0</v>
      </c>
      <c r="BJ299" s="418">
        <v>0</v>
      </c>
      <c r="BK299" s="418">
        <v>0</v>
      </c>
      <c r="BL299" s="418">
        <v>0</v>
      </c>
      <c r="BM299" s="418">
        <v>0</v>
      </c>
      <c r="BN299" s="418">
        <v>0</v>
      </c>
      <c r="BO299" s="418">
        <v>0</v>
      </c>
      <c r="BP299" s="418">
        <v>0</v>
      </c>
      <c r="BQ299" s="418">
        <v>0</v>
      </c>
      <c r="BR299" s="418">
        <v>0</v>
      </c>
      <c r="BS299" s="418">
        <v>0</v>
      </c>
      <c r="BT299" s="418">
        <v>0</v>
      </c>
      <c r="BU299" s="418">
        <v>0</v>
      </c>
      <c r="BV299" s="418">
        <v>0</v>
      </c>
      <c r="BW299" s="418">
        <v>0</v>
      </c>
      <c r="BX299" s="418">
        <v>0</v>
      </c>
      <c r="BY299" s="418">
        <v>0</v>
      </c>
      <c r="BZ299" s="418">
        <v>0</v>
      </c>
      <c r="CA299" s="418">
        <v>0</v>
      </c>
      <c r="CB299" s="418">
        <v>0</v>
      </c>
    </row>
    <row r="300" spans="1:80" s="418" customFormat="1" ht="28.8" x14ac:dyDescent="0.3">
      <c r="A300" s="1052">
        <v>641</v>
      </c>
      <c r="B300" s="1049"/>
      <c r="C300" s="1095">
        <v>641</v>
      </c>
      <c r="D300" s="1096" t="s">
        <v>721</v>
      </c>
      <c r="E300" s="1049"/>
      <c r="F300" s="1063">
        <v>0</v>
      </c>
      <c r="G300" s="1063">
        <v>0</v>
      </c>
      <c r="H300" s="1063">
        <v>0</v>
      </c>
      <c r="I300" s="1063">
        <v>0</v>
      </c>
      <c r="J300" s="1063">
        <v>0</v>
      </c>
      <c r="K300" s="1063">
        <v>0</v>
      </c>
      <c r="L300" s="1063">
        <v>0</v>
      </c>
      <c r="M300" s="1063">
        <v>0</v>
      </c>
      <c r="N300" s="1063">
        <v>0</v>
      </c>
      <c r="O300" s="1063">
        <v>0</v>
      </c>
      <c r="P300" s="1063">
        <v>0</v>
      </c>
      <c r="Q300" s="1063">
        <v>0</v>
      </c>
      <c r="R300" s="1063">
        <v>0</v>
      </c>
      <c r="S300" s="1063">
        <v>0</v>
      </c>
      <c r="T300" s="1063">
        <v>0</v>
      </c>
      <c r="U300" s="1063">
        <v>0</v>
      </c>
      <c r="V300" s="1063"/>
      <c r="W300" s="1049"/>
      <c r="X300" s="1049"/>
      <c r="Y300" s="1049"/>
      <c r="Z300" s="1049"/>
      <c r="AA300" s="1066"/>
      <c r="AT300" s="418">
        <v>0</v>
      </c>
      <c r="AU300" s="418">
        <v>0</v>
      </c>
      <c r="AV300" s="418">
        <v>15034</v>
      </c>
      <c r="AW300" s="418">
        <v>0</v>
      </c>
      <c r="AX300" s="418">
        <v>0</v>
      </c>
      <c r="AY300" s="418">
        <v>0</v>
      </c>
      <c r="AZ300" s="418">
        <v>0</v>
      </c>
      <c r="BA300" s="418">
        <v>0</v>
      </c>
      <c r="BB300" s="418">
        <v>0</v>
      </c>
      <c r="BC300" s="418">
        <v>0</v>
      </c>
      <c r="BD300" s="418">
        <v>0</v>
      </c>
      <c r="BE300" s="418">
        <v>0</v>
      </c>
      <c r="BF300" s="418">
        <v>0</v>
      </c>
      <c r="BG300" s="418">
        <v>0</v>
      </c>
      <c r="BH300" s="418">
        <v>0</v>
      </c>
      <c r="BI300" s="418">
        <v>0</v>
      </c>
      <c r="BJ300" s="418">
        <v>0</v>
      </c>
      <c r="BK300" s="418">
        <v>0</v>
      </c>
      <c r="BL300" s="418">
        <v>5319</v>
      </c>
      <c r="BM300" s="418">
        <v>0</v>
      </c>
      <c r="BN300" s="418">
        <v>0</v>
      </c>
      <c r="BO300" s="418">
        <v>0</v>
      </c>
      <c r="BP300" s="418">
        <v>0</v>
      </c>
      <c r="BQ300" s="418">
        <v>0</v>
      </c>
      <c r="BR300" s="418">
        <v>0</v>
      </c>
      <c r="BS300" s="418">
        <v>0</v>
      </c>
      <c r="BT300" s="418">
        <v>0</v>
      </c>
      <c r="BU300" s="418">
        <v>0</v>
      </c>
      <c r="BV300" s="418">
        <v>0</v>
      </c>
      <c r="BW300" s="418">
        <v>0</v>
      </c>
      <c r="BX300" s="418">
        <v>0</v>
      </c>
      <c r="BY300" s="418">
        <v>0</v>
      </c>
      <c r="BZ300" s="418">
        <v>0</v>
      </c>
      <c r="CA300" s="418">
        <v>0</v>
      </c>
      <c r="CB300" s="418">
        <v>0</v>
      </c>
    </row>
    <row r="301" spans="1:80" s="418" customFormat="1" ht="28.8" x14ac:dyDescent="0.3">
      <c r="A301" s="1052">
        <v>642</v>
      </c>
      <c r="B301" s="1049"/>
      <c r="C301" s="1095">
        <v>642</v>
      </c>
      <c r="D301" s="1096" t="s">
        <v>722</v>
      </c>
      <c r="E301" s="1049"/>
      <c r="F301" s="1063">
        <v>0</v>
      </c>
      <c r="G301" s="1063">
        <v>0</v>
      </c>
      <c r="H301" s="1063">
        <v>0</v>
      </c>
      <c r="I301" s="1063">
        <v>0</v>
      </c>
      <c r="J301" s="1063">
        <v>0</v>
      </c>
      <c r="K301" s="1063">
        <v>0</v>
      </c>
      <c r="L301" s="1063">
        <v>0</v>
      </c>
      <c r="M301" s="1063">
        <v>0</v>
      </c>
      <c r="N301" s="1063">
        <v>0</v>
      </c>
      <c r="O301" s="1063">
        <v>0</v>
      </c>
      <c r="P301" s="1063">
        <v>0</v>
      </c>
      <c r="Q301" s="1063">
        <v>0</v>
      </c>
      <c r="R301" s="1063">
        <v>0</v>
      </c>
      <c r="S301" s="1063">
        <v>0</v>
      </c>
      <c r="T301" s="1063">
        <v>0</v>
      </c>
      <c r="U301" s="1063">
        <v>0</v>
      </c>
      <c r="V301" s="1063"/>
      <c r="W301" s="1049"/>
      <c r="X301" s="1049"/>
      <c r="Y301" s="1049"/>
      <c r="Z301" s="1049"/>
      <c r="AA301" s="1066"/>
      <c r="AT301" s="418">
        <v>0</v>
      </c>
      <c r="AU301" s="418">
        <v>0</v>
      </c>
      <c r="AV301" s="418">
        <v>0</v>
      </c>
      <c r="AW301" s="418">
        <v>0</v>
      </c>
      <c r="AX301" s="418">
        <v>0</v>
      </c>
      <c r="AY301" s="418">
        <v>0</v>
      </c>
      <c r="AZ301" s="418">
        <v>0</v>
      </c>
      <c r="BA301" s="418">
        <v>0</v>
      </c>
      <c r="BB301" s="418">
        <v>0</v>
      </c>
      <c r="BC301" s="418">
        <v>0</v>
      </c>
      <c r="BD301" s="418">
        <v>0</v>
      </c>
      <c r="BE301" s="418">
        <v>0</v>
      </c>
      <c r="BF301" s="418">
        <v>0</v>
      </c>
      <c r="BG301" s="418">
        <v>0</v>
      </c>
      <c r="BH301" s="418">
        <v>0</v>
      </c>
      <c r="BI301" s="418">
        <v>0</v>
      </c>
      <c r="BJ301" s="418">
        <v>0</v>
      </c>
      <c r="BK301" s="418">
        <v>0</v>
      </c>
      <c r="BL301" s="418">
        <v>0</v>
      </c>
      <c r="BM301" s="418">
        <v>0</v>
      </c>
      <c r="BN301" s="418">
        <v>0</v>
      </c>
      <c r="BO301" s="418">
        <v>0</v>
      </c>
      <c r="BP301" s="418">
        <v>0</v>
      </c>
      <c r="BQ301" s="418">
        <v>0</v>
      </c>
      <c r="BR301" s="418">
        <v>0</v>
      </c>
      <c r="BS301" s="418">
        <v>0</v>
      </c>
      <c r="BT301" s="418">
        <v>0</v>
      </c>
      <c r="BU301" s="418">
        <v>0</v>
      </c>
      <c r="BV301" s="418">
        <v>0</v>
      </c>
      <c r="BW301" s="418">
        <v>0</v>
      </c>
      <c r="BX301" s="418">
        <v>0</v>
      </c>
      <c r="BY301" s="418">
        <v>0</v>
      </c>
      <c r="BZ301" s="418">
        <v>0</v>
      </c>
      <c r="CA301" s="418">
        <v>0</v>
      </c>
      <c r="CB301" s="418">
        <v>0</v>
      </c>
    </row>
    <row r="302" spans="1:80" s="418" customFormat="1" ht="28.8" x14ac:dyDescent="0.3">
      <c r="A302" s="1052">
        <v>643</v>
      </c>
      <c r="B302" s="1049"/>
      <c r="C302" s="1095">
        <v>643</v>
      </c>
      <c r="D302" s="1096" t="s">
        <v>723</v>
      </c>
      <c r="E302" s="1049"/>
      <c r="F302" s="1063">
        <v>0</v>
      </c>
      <c r="G302" s="1063">
        <v>0</v>
      </c>
      <c r="H302" s="1063">
        <v>0</v>
      </c>
      <c r="I302" s="1063">
        <v>0</v>
      </c>
      <c r="J302" s="1063">
        <v>0</v>
      </c>
      <c r="K302" s="1063">
        <v>0</v>
      </c>
      <c r="L302" s="1063">
        <v>0</v>
      </c>
      <c r="M302" s="1063">
        <v>0</v>
      </c>
      <c r="N302" s="1063">
        <v>0</v>
      </c>
      <c r="O302" s="1063">
        <v>0</v>
      </c>
      <c r="P302" s="1063">
        <v>0</v>
      </c>
      <c r="Q302" s="1063">
        <v>0</v>
      </c>
      <c r="R302" s="1063">
        <v>0</v>
      </c>
      <c r="S302" s="1063">
        <v>0</v>
      </c>
      <c r="T302" s="1063">
        <v>0</v>
      </c>
      <c r="U302" s="1063">
        <v>0</v>
      </c>
      <c r="V302" s="1063"/>
      <c r="W302" s="1049"/>
      <c r="X302" s="1049"/>
      <c r="Y302" s="1049"/>
      <c r="Z302" s="1049"/>
      <c r="AA302" s="1066"/>
      <c r="AT302" s="418">
        <v>0</v>
      </c>
      <c r="AU302" s="418">
        <v>0</v>
      </c>
      <c r="AV302" s="418">
        <v>286424</v>
      </c>
      <c r="AW302" s="418">
        <v>0</v>
      </c>
      <c r="AX302" s="418">
        <v>0</v>
      </c>
      <c r="AY302" s="418">
        <v>0</v>
      </c>
      <c r="AZ302" s="418">
        <v>0</v>
      </c>
      <c r="BA302" s="418">
        <v>0</v>
      </c>
      <c r="BB302" s="418">
        <v>0</v>
      </c>
      <c r="BC302" s="418">
        <v>0</v>
      </c>
      <c r="BD302" s="418">
        <v>0</v>
      </c>
      <c r="BE302" s="418">
        <v>0</v>
      </c>
      <c r="BF302" s="418">
        <v>1300338</v>
      </c>
      <c r="BG302" s="418">
        <v>0</v>
      </c>
      <c r="BH302" s="418">
        <v>0</v>
      </c>
      <c r="BI302" s="418">
        <v>0</v>
      </c>
      <c r="BJ302" s="418">
        <v>0</v>
      </c>
      <c r="BK302" s="418">
        <v>0</v>
      </c>
      <c r="BL302" s="418">
        <v>126513</v>
      </c>
      <c r="BM302" s="418">
        <v>0</v>
      </c>
      <c r="BN302" s="418">
        <v>0</v>
      </c>
      <c r="BO302" s="418">
        <v>0</v>
      </c>
      <c r="BP302" s="418">
        <v>0</v>
      </c>
      <c r="BQ302" s="418">
        <v>0</v>
      </c>
      <c r="BR302" s="418">
        <v>0</v>
      </c>
      <c r="BS302" s="418">
        <v>0</v>
      </c>
      <c r="BT302" s="418">
        <v>0</v>
      </c>
      <c r="BU302" s="418">
        <v>0</v>
      </c>
      <c r="BV302" s="418">
        <v>0</v>
      </c>
      <c r="BW302" s="418">
        <v>0</v>
      </c>
      <c r="BX302" s="418">
        <v>0</v>
      </c>
      <c r="BY302" s="418">
        <v>0</v>
      </c>
      <c r="BZ302" s="418">
        <v>0</v>
      </c>
      <c r="CA302" s="418">
        <v>0</v>
      </c>
      <c r="CB302" s="418">
        <v>0</v>
      </c>
    </row>
    <row r="303" spans="1:80" s="418" customFormat="1" x14ac:dyDescent="0.3">
      <c r="A303" s="1052">
        <v>644</v>
      </c>
      <c r="B303" s="1049"/>
      <c r="C303" s="1095">
        <v>644</v>
      </c>
      <c r="D303" s="1096" t="s">
        <v>724</v>
      </c>
      <c r="E303" s="1049"/>
      <c r="F303" s="1063">
        <v>0</v>
      </c>
      <c r="G303" s="1063">
        <v>0</v>
      </c>
      <c r="H303" s="1063">
        <v>0</v>
      </c>
      <c r="I303" s="1063">
        <v>0</v>
      </c>
      <c r="J303" s="1063">
        <v>0</v>
      </c>
      <c r="K303" s="1063">
        <v>0</v>
      </c>
      <c r="L303" s="1063">
        <v>0</v>
      </c>
      <c r="M303" s="1063">
        <v>0</v>
      </c>
      <c r="N303" s="1063">
        <v>0</v>
      </c>
      <c r="O303" s="1063">
        <v>0</v>
      </c>
      <c r="P303" s="1063">
        <v>0</v>
      </c>
      <c r="Q303" s="1063">
        <v>0</v>
      </c>
      <c r="R303" s="1063">
        <v>0</v>
      </c>
      <c r="S303" s="1063">
        <v>0</v>
      </c>
      <c r="T303" s="1063">
        <v>0</v>
      </c>
      <c r="U303" s="1063">
        <v>0</v>
      </c>
      <c r="V303" s="1063"/>
      <c r="W303" s="1049"/>
      <c r="X303" s="1049"/>
      <c r="Y303" s="1049"/>
      <c r="Z303" s="1049"/>
      <c r="AA303" s="1066"/>
      <c r="AT303" s="418">
        <v>0</v>
      </c>
      <c r="AU303" s="418">
        <v>0</v>
      </c>
      <c r="AV303" s="418">
        <v>0</v>
      </c>
      <c r="AW303" s="418">
        <v>0</v>
      </c>
      <c r="AX303" s="418">
        <v>0</v>
      </c>
      <c r="AY303" s="418">
        <v>0</v>
      </c>
      <c r="AZ303" s="418">
        <v>0</v>
      </c>
      <c r="BA303" s="418">
        <v>0</v>
      </c>
      <c r="BB303" s="418">
        <v>0</v>
      </c>
      <c r="BC303" s="418">
        <v>0</v>
      </c>
      <c r="BD303" s="418">
        <v>0</v>
      </c>
      <c r="BE303" s="418">
        <v>0</v>
      </c>
      <c r="BF303" s="418">
        <v>0</v>
      </c>
      <c r="BG303" s="418">
        <v>0</v>
      </c>
      <c r="BH303" s="418">
        <v>0</v>
      </c>
      <c r="BI303" s="418">
        <v>0</v>
      </c>
      <c r="BJ303" s="418">
        <v>0</v>
      </c>
      <c r="BK303" s="418">
        <v>0</v>
      </c>
      <c r="BL303" s="418">
        <v>0</v>
      </c>
      <c r="BM303" s="418">
        <v>0</v>
      </c>
      <c r="BN303" s="418">
        <v>0</v>
      </c>
      <c r="BO303" s="418">
        <v>0</v>
      </c>
      <c r="BP303" s="418">
        <v>0</v>
      </c>
      <c r="BQ303" s="418">
        <v>0</v>
      </c>
      <c r="BR303" s="418">
        <v>0</v>
      </c>
      <c r="BS303" s="418">
        <v>0</v>
      </c>
      <c r="BT303" s="418">
        <v>0</v>
      </c>
      <c r="BU303" s="418">
        <v>0</v>
      </c>
      <c r="BV303" s="418">
        <v>0</v>
      </c>
      <c r="BW303" s="418">
        <v>0</v>
      </c>
      <c r="BX303" s="418">
        <v>0</v>
      </c>
      <c r="BY303" s="418">
        <v>0</v>
      </c>
      <c r="BZ303" s="418">
        <v>0</v>
      </c>
      <c r="CA303" s="418">
        <v>0</v>
      </c>
      <c r="CB303" s="418">
        <v>0</v>
      </c>
    </row>
    <row r="304" spans="1:80" s="418" customFormat="1" x14ac:dyDescent="0.3">
      <c r="A304" s="1052">
        <v>645</v>
      </c>
      <c r="B304" s="1049"/>
      <c r="C304" s="1095">
        <v>645</v>
      </c>
      <c r="D304" s="1096" t="s">
        <v>725</v>
      </c>
      <c r="E304" s="1049"/>
      <c r="F304" s="1063">
        <v>0</v>
      </c>
      <c r="G304" s="1063">
        <v>0</v>
      </c>
      <c r="H304" s="1063">
        <v>0</v>
      </c>
      <c r="I304" s="1063">
        <v>0</v>
      </c>
      <c r="J304" s="1063">
        <v>0</v>
      </c>
      <c r="K304" s="1063">
        <v>0</v>
      </c>
      <c r="L304" s="1063">
        <v>0</v>
      </c>
      <c r="M304" s="1063">
        <v>0</v>
      </c>
      <c r="N304" s="1063">
        <v>0</v>
      </c>
      <c r="O304" s="1063">
        <v>0</v>
      </c>
      <c r="P304" s="1063">
        <v>0</v>
      </c>
      <c r="Q304" s="1063">
        <v>0</v>
      </c>
      <c r="R304" s="1063">
        <v>0</v>
      </c>
      <c r="S304" s="1063">
        <v>0</v>
      </c>
      <c r="T304" s="1063">
        <v>0</v>
      </c>
      <c r="U304" s="1063">
        <v>0</v>
      </c>
      <c r="V304" s="1063"/>
      <c r="W304" s="1049"/>
      <c r="X304" s="1049"/>
      <c r="Y304" s="1049"/>
      <c r="Z304" s="1049"/>
      <c r="AA304" s="1066"/>
      <c r="AT304" s="418">
        <v>0</v>
      </c>
      <c r="AU304" s="418">
        <v>0</v>
      </c>
      <c r="AV304" s="418">
        <v>405000</v>
      </c>
      <c r="AW304" s="418">
        <v>0</v>
      </c>
      <c r="AX304" s="418">
        <v>0</v>
      </c>
      <c r="AY304" s="418">
        <v>281454</v>
      </c>
      <c r="AZ304" s="418">
        <v>0</v>
      </c>
      <c r="BA304" s="418">
        <v>341545</v>
      </c>
      <c r="BB304" s="418">
        <v>0</v>
      </c>
      <c r="BC304" s="418">
        <v>0</v>
      </c>
      <c r="BD304" s="418">
        <v>0</v>
      </c>
      <c r="BE304" s="418">
        <v>41335</v>
      </c>
      <c r="BF304" s="418">
        <v>2046175</v>
      </c>
      <c r="BG304" s="418">
        <v>0</v>
      </c>
      <c r="BH304" s="418">
        <v>0</v>
      </c>
      <c r="BI304" s="418">
        <v>38000</v>
      </c>
      <c r="BJ304" s="418">
        <v>72552</v>
      </c>
      <c r="BK304" s="418">
        <v>0</v>
      </c>
      <c r="BL304" s="418">
        <v>0</v>
      </c>
      <c r="BM304" s="418">
        <v>0</v>
      </c>
      <c r="BN304" s="418">
        <v>0</v>
      </c>
      <c r="BO304" s="418">
        <v>12534</v>
      </c>
      <c r="BP304" s="418">
        <v>125000</v>
      </c>
      <c r="BQ304" s="418">
        <v>510362</v>
      </c>
      <c r="BR304" s="418">
        <v>297313</v>
      </c>
      <c r="BS304" s="418">
        <v>796914</v>
      </c>
      <c r="BT304" s="418">
        <v>1159334</v>
      </c>
      <c r="BU304" s="418">
        <v>424000</v>
      </c>
      <c r="BV304" s="418">
        <v>0</v>
      </c>
      <c r="BW304" s="418">
        <v>0</v>
      </c>
      <c r="BX304" s="418">
        <v>0</v>
      </c>
      <c r="BY304" s="418">
        <v>0</v>
      </c>
      <c r="BZ304" s="418">
        <v>20000</v>
      </c>
      <c r="CA304" s="418">
        <v>1823718</v>
      </c>
      <c r="CB304" s="418">
        <v>0</v>
      </c>
    </row>
    <row r="305" spans="1:80" s="418" customFormat="1" x14ac:dyDescent="0.3">
      <c r="A305" s="1052">
        <v>646</v>
      </c>
      <c r="B305" s="1049"/>
      <c r="C305" s="1095">
        <v>646</v>
      </c>
      <c r="D305" s="1096" t="s">
        <v>726</v>
      </c>
      <c r="E305" s="1049"/>
      <c r="F305" s="1063">
        <v>0</v>
      </c>
      <c r="G305" s="1063">
        <v>0</v>
      </c>
      <c r="H305" s="1063">
        <v>0</v>
      </c>
      <c r="I305" s="1063">
        <v>0</v>
      </c>
      <c r="J305" s="1063">
        <v>0</v>
      </c>
      <c r="K305" s="1063">
        <v>0</v>
      </c>
      <c r="L305" s="1063">
        <v>0</v>
      </c>
      <c r="M305" s="1063">
        <v>0</v>
      </c>
      <c r="N305" s="1063">
        <v>0</v>
      </c>
      <c r="O305" s="1063">
        <v>0</v>
      </c>
      <c r="P305" s="1063">
        <v>0</v>
      </c>
      <c r="Q305" s="1063">
        <v>0</v>
      </c>
      <c r="R305" s="1063">
        <v>0</v>
      </c>
      <c r="S305" s="1063">
        <v>0</v>
      </c>
      <c r="T305" s="1063">
        <v>0</v>
      </c>
      <c r="U305" s="1063">
        <v>0</v>
      </c>
      <c r="V305" s="1063"/>
      <c r="W305" s="1049"/>
      <c r="X305" s="1049"/>
      <c r="Y305" s="1049"/>
      <c r="Z305" s="1049"/>
      <c r="AA305" s="1066"/>
      <c r="AT305" s="418">
        <v>412481</v>
      </c>
      <c r="AU305" s="418">
        <v>2163570</v>
      </c>
      <c r="AV305" s="418">
        <v>4296297</v>
      </c>
      <c r="AW305" s="418">
        <v>146537</v>
      </c>
      <c r="AX305" s="418">
        <v>320663</v>
      </c>
      <c r="AY305" s="418">
        <v>2801595</v>
      </c>
      <c r="AZ305" s="418">
        <v>2118946</v>
      </c>
      <c r="BA305" s="418">
        <v>692567</v>
      </c>
      <c r="BB305" s="418">
        <v>70512</v>
      </c>
      <c r="BC305" s="418">
        <v>1275706</v>
      </c>
      <c r="BD305" s="418">
        <v>0</v>
      </c>
      <c r="BE305" s="418">
        <v>339209</v>
      </c>
      <c r="BF305" s="418">
        <v>534450</v>
      </c>
      <c r="BG305" s="418">
        <v>0</v>
      </c>
      <c r="BH305" s="418">
        <v>0</v>
      </c>
      <c r="BI305" s="418">
        <v>2658780</v>
      </c>
      <c r="BJ305" s="418">
        <v>3020048</v>
      </c>
      <c r="BK305" s="418">
        <v>0</v>
      </c>
      <c r="BL305" s="418">
        <v>2220366</v>
      </c>
      <c r="BM305" s="418">
        <v>4615680</v>
      </c>
      <c r="BN305" s="418">
        <v>0</v>
      </c>
      <c r="BO305" s="418">
        <v>3063843</v>
      </c>
      <c r="BP305" s="418">
        <v>3228718</v>
      </c>
      <c r="BQ305" s="418">
        <v>949757</v>
      </c>
      <c r="BR305" s="418">
        <v>2228673</v>
      </c>
      <c r="BS305" s="418">
        <v>1095473</v>
      </c>
      <c r="BT305" s="418">
        <v>7320281</v>
      </c>
      <c r="BU305" s="418">
        <v>1683484</v>
      </c>
      <c r="BV305" s="418">
        <v>1472029</v>
      </c>
      <c r="BW305" s="418">
        <v>400799</v>
      </c>
      <c r="BX305" s="418">
        <v>761324</v>
      </c>
      <c r="BY305" s="418">
        <v>165153</v>
      </c>
      <c r="BZ305" s="418">
        <v>172770</v>
      </c>
      <c r="CA305" s="418">
        <v>10427779</v>
      </c>
      <c r="CB305" s="418">
        <v>94313</v>
      </c>
    </row>
    <row r="306" spans="1:80" s="418" customFormat="1" x14ac:dyDescent="0.3">
      <c r="A306" s="1052">
        <v>647</v>
      </c>
      <c r="B306" s="1049"/>
      <c r="C306" s="1095">
        <v>647</v>
      </c>
      <c r="D306" s="1096" t="s">
        <v>727</v>
      </c>
      <c r="E306" s="1049"/>
      <c r="F306" s="1063">
        <v>0</v>
      </c>
      <c r="G306" s="1063">
        <v>0</v>
      </c>
      <c r="H306" s="1063">
        <v>0</v>
      </c>
      <c r="I306" s="1063">
        <v>0</v>
      </c>
      <c r="J306" s="1063">
        <v>0</v>
      </c>
      <c r="K306" s="1063">
        <v>0</v>
      </c>
      <c r="L306" s="1063">
        <v>0</v>
      </c>
      <c r="M306" s="1063">
        <v>0</v>
      </c>
      <c r="N306" s="1063">
        <v>0</v>
      </c>
      <c r="O306" s="1063">
        <v>0</v>
      </c>
      <c r="P306" s="1063">
        <v>0</v>
      </c>
      <c r="Q306" s="1063">
        <v>0</v>
      </c>
      <c r="R306" s="1063">
        <v>0</v>
      </c>
      <c r="S306" s="1063">
        <v>0</v>
      </c>
      <c r="T306" s="1063">
        <v>0</v>
      </c>
      <c r="U306" s="1063">
        <v>0</v>
      </c>
      <c r="V306" s="1063"/>
      <c r="W306" s="1049"/>
      <c r="X306" s="1049"/>
      <c r="Y306" s="1049"/>
      <c r="Z306" s="1049"/>
      <c r="AA306" s="1066"/>
      <c r="AT306" s="418">
        <v>0</v>
      </c>
      <c r="AU306" s="418">
        <v>0</v>
      </c>
      <c r="AV306" s="418">
        <v>0</v>
      </c>
      <c r="AW306" s="418">
        <v>0</v>
      </c>
      <c r="AX306" s="418">
        <v>0</v>
      </c>
      <c r="AY306" s="418">
        <v>0</v>
      </c>
      <c r="AZ306" s="418">
        <v>0</v>
      </c>
      <c r="BA306" s="418">
        <v>0</v>
      </c>
      <c r="BB306" s="418">
        <v>0</v>
      </c>
      <c r="BC306" s="418">
        <v>0</v>
      </c>
      <c r="BD306" s="418">
        <v>0</v>
      </c>
      <c r="BE306" s="418">
        <v>0</v>
      </c>
      <c r="BF306" s="418">
        <v>0</v>
      </c>
      <c r="BG306" s="418">
        <v>0</v>
      </c>
      <c r="BH306" s="418">
        <v>0</v>
      </c>
      <c r="BI306" s="418">
        <v>0</v>
      </c>
      <c r="BJ306" s="418">
        <v>0</v>
      </c>
      <c r="BK306" s="418">
        <v>0</v>
      </c>
      <c r="BL306" s="418">
        <v>0</v>
      </c>
      <c r="BM306" s="418">
        <v>0</v>
      </c>
      <c r="BN306" s="418">
        <v>0</v>
      </c>
      <c r="BO306" s="418">
        <v>0</v>
      </c>
      <c r="BP306" s="418">
        <v>0</v>
      </c>
      <c r="BQ306" s="418">
        <v>0</v>
      </c>
      <c r="BR306" s="418">
        <v>0</v>
      </c>
      <c r="BS306" s="418">
        <v>0</v>
      </c>
      <c r="BT306" s="418">
        <v>0</v>
      </c>
      <c r="BU306" s="418">
        <v>0</v>
      </c>
      <c r="BV306" s="418">
        <v>0</v>
      </c>
      <c r="BW306" s="418">
        <v>0</v>
      </c>
      <c r="BX306" s="418">
        <v>0</v>
      </c>
      <c r="BY306" s="418">
        <v>0</v>
      </c>
      <c r="BZ306" s="418">
        <v>0</v>
      </c>
      <c r="CA306" s="418">
        <v>0</v>
      </c>
      <c r="CB306" s="418">
        <v>0</v>
      </c>
    </row>
    <row r="307" spans="1:80" s="418" customFormat="1" ht="28.8" x14ac:dyDescent="0.3">
      <c r="A307" s="1052">
        <v>654</v>
      </c>
      <c r="B307" s="1049"/>
      <c r="C307" s="1095">
        <v>654</v>
      </c>
      <c r="D307" s="1096" t="s">
        <v>781</v>
      </c>
      <c r="E307" s="1049"/>
      <c r="F307" s="1063">
        <v>0</v>
      </c>
      <c r="G307" s="1063">
        <v>0</v>
      </c>
      <c r="H307" s="1063">
        <v>0</v>
      </c>
      <c r="I307" s="1063">
        <v>0</v>
      </c>
      <c r="J307" s="1063">
        <v>0</v>
      </c>
      <c r="K307" s="1063">
        <v>0</v>
      </c>
      <c r="L307" s="1063">
        <v>0</v>
      </c>
      <c r="M307" s="1063">
        <v>0</v>
      </c>
      <c r="N307" s="1063">
        <v>0</v>
      </c>
      <c r="O307" s="1063">
        <v>0</v>
      </c>
      <c r="P307" s="1063">
        <v>0</v>
      </c>
      <c r="Q307" s="1063">
        <v>0</v>
      </c>
      <c r="R307" s="1063">
        <v>0</v>
      </c>
      <c r="S307" s="1063">
        <v>0</v>
      </c>
      <c r="T307" s="1063">
        <v>0</v>
      </c>
      <c r="U307" s="1063">
        <v>0</v>
      </c>
      <c r="V307" s="1063"/>
      <c r="W307" s="1049"/>
      <c r="X307" s="1049"/>
      <c r="Y307" s="1049"/>
      <c r="Z307" s="1049"/>
      <c r="AA307" s="1066"/>
      <c r="AT307" s="418">
        <v>303999</v>
      </c>
      <c r="AU307" s="418">
        <v>1827770</v>
      </c>
      <c r="AV307" s="418">
        <v>8677637</v>
      </c>
      <c r="AW307" s="418">
        <v>1229395</v>
      </c>
      <c r="AX307" s="418">
        <v>761286</v>
      </c>
      <c r="AY307" s="418">
        <v>1382816</v>
      </c>
      <c r="AZ307" s="418">
        <v>1166057</v>
      </c>
      <c r="BA307" s="418">
        <v>2032086</v>
      </c>
      <c r="BB307" s="418">
        <v>1587</v>
      </c>
      <c r="BC307" s="418">
        <v>827367</v>
      </c>
      <c r="BD307" s="418">
        <v>0</v>
      </c>
      <c r="BE307" s="418">
        <v>0</v>
      </c>
      <c r="BF307" s="418">
        <v>6031181</v>
      </c>
      <c r="BG307" s="418">
        <v>0</v>
      </c>
      <c r="BH307" s="418">
        <v>0</v>
      </c>
      <c r="BI307" s="418">
        <v>939408</v>
      </c>
      <c r="BJ307" s="418">
        <v>2086026</v>
      </c>
      <c r="BK307" s="418">
        <v>0</v>
      </c>
      <c r="BL307" s="418">
        <v>5097090</v>
      </c>
      <c r="BM307" s="418">
        <v>3221981</v>
      </c>
      <c r="BN307" s="418">
        <v>0</v>
      </c>
      <c r="BO307" s="418">
        <v>2575415</v>
      </c>
      <c r="BP307" s="418">
        <v>4090262</v>
      </c>
      <c r="BQ307" s="418">
        <v>1114058</v>
      </c>
      <c r="BR307" s="418">
        <v>1954421</v>
      </c>
      <c r="BS307" s="418">
        <v>0</v>
      </c>
      <c r="BT307" s="418">
        <v>0</v>
      </c>
      <c r="BU307" s="418">
        <v>1286428</v>
      </c>
      <c r="BV307" s="418">
        <v>2231693</v>
      </c>
      <c r="BW307" s="418">
        <v>326523</v>
      </c>
      <c r="BX307" s="418">
        <v>1509425</v>
      </c>
      <c r="BY307" s="418">
        <v>0</v>
      </c>
      <c r="BZ307" s="418">
        <v>0</v>
      </c>
      <c r="CA307" s="418">
        <v>9996425</v>
      </c>
      <c r="CB307" s="418">
        <v>0</v>
      </c>
    </row>
    <row r="308" spans="1:80" s="418" customFormat="1" ht="28.8" x14ac:dyDescent="0.3">
      <c r="A308" s="1052">
        <v>655</v>
      </c>
      <c r="B308" s="1049"/>
      <c r="C308" s="1095">
        <v>655</v>
      </c>
      <c r="D308" s="1096" t="s">
        <v>854</v>
      </c>
      <c r="E308" s="1049"/>
      <c r="F308" s="1063">
        <v>0</v>
      </c>
      <c r="G308" s="1063">
        <v>0</v>
      </c>
      <c r="H308" s="1063">
        <v>0</v>
      </c>
      <c r="I308" s="1063">
        <v>0</v>
      </c>
      <c r="J308" s="1063">
        <v>0</v>
      </c>
      <c r="K308" s="1063">
        <v>0</v>
      </c>
      <c r="L308" s="1063">
        <v>0</v>
      </c>
      <c r="M308" s="1063">
        <v>0</v>
      </c>
      <c r="N308" s="1063">
        <v>0</v>
      </c>
      <c r="O308" s="1063">
        <v>0</v>
      </c>
      <c r="P308" s="1063">
        <v>0</v>
      </c>
      <c r="Q308" s="1063">
        <v>0</v>
      </c>
      <c r="R308" s="1063">
        <v>0</v>
      </c>
      <c r="S308" s="1063">
        <v>0</v>
      </c>
      <c r="T308" s="1063">
        <v>0</v>
      </c>
      <c r="U308" s="1063">
        <v>0</v>
      </c>
      <c r="V308" s="1063"/>
      <c r="W308" s="1049"/>
      <c r="X308" s="1049"/>
      <c r="Y308" s="1049"/>
      <c r="Z308" s="1049"/>
      <c r="AA308" s="1066"/>
      <c r="AT308" s="418">
        <v>24561</v>
      </c>
      <c r="AU308" s="418">
        <v>139220</v>
      </c>
      <c r="AV308" s="418">
        <v>0</v>
      </c>
      <c r="AW308" s="418">
        <v>49900</v>
      </c>
      <c r="AX308" s="418">
        <v>24897</v>
      </c>
      <c r="AY308" s="418">
        <v>98840</v>
      </c>
      <c r="AZ308" s="418">
        <v>73103</v>
      </c>
      <c r="BA308" s="418">
        <v>45295</v>
      </c>
      <c r="BB308" s="418">
        <v>0</v>
      </c>
      <c r="BC308" s="418">
        <v>89518</v>
      </c>
      <c r="BD308" s="418">
        <v>0</v>
      </c>
      <c r="BE308" s="418">
        <v>0</v>
      </c>
      <c r="BF308" s="418">
        <v>40370</v>
      </c>
      <c r="BG308" s="418">
        <v>0</v>
      </c>
      <c r="BH308" s="418">
        <v>0</v>
      </c>
      <c r="BI308" s="418">
        <v>41630</v>
      </c>
      <c r="BJ308" s="418">
        <v>0</v>
      </c>
      <c r="BK308" s="418">
        <v>0</v>
      </c>
      <c r="BL308" s="418">
        <v>38980</v>
      </c>
      <c r="BM308" s="418">
        <v>183172</v>
      </c>
      <c r="BN308" s="418">
        <v>0</v>
      </c>
      <c r="BO308" s="418">
        <v>248740</v>
      </c>
      <c r="BP308" s="418">
        <v>320529</v>
      </c>
      <c r="BQ308" s="418">
        <v>39450</v>
      </c>
      <c r="BR308" s="418">
        <v>64381</v>
      </c>
      <c r="BS308" s="418">
        <v>0</v>
      </c>
      <c r="BT308" s="418">
        <v>0</v>
      </c>
      <c r="BU308" s="418">
        <v>0</v>
      </c>
      <c r="BV308" s="418">
        <v>0</v>
      </c>
      <c r="BW308" s="418">
        <v>42761</v>
      </c>
      <c r="BX308" s="418">
        <v>26655</v>
      </c>
      <c r="BY308" s="418">
        <v>0</v>
      </c>
      <c r="BZ308" s="418">
        <v>0</v>
      </c>
      <c r="CA308" s="418">
        <v>1573791</v>
      </c>
      <c r="CB308" s="418">
        <v>0</v>
      </c>
    </row>
    <row r="309" spans="1:80" s="418" customFormat="1" ht="43.2" x14ac:dyDescent="0.3">
      <c r="A309" s="1052">
        <v>656</v>
      </c>
      <c r="B309" s="1049"/>
      <c r="C309" s="1095">
        <v>656</v>
      </c>
      <c r="D309" s="1096" t="s">
        <v>789</v>
      </c>
      <c r="E309" s="1049"/>
      <c r="F309" s="1063">
        <v>0</v>
      </c>
      <c r="G309" s="1063">
        <v>0</v>
      </c>
      <c r="H309" s="1063">
        <v>0</v>
      </c>
      <c r="I309" s="1063">
        <v>0</v>
      </c>
      <c r="J309" s="1063">
        <v>0</v>
      </c>
      <c r="K309" s="1063">
        <v>0</v>
      </c>
      <c r="L309" s="1063">
        <v>0</v>
      </c>
      <c r="M309" s="1063">
        <v>0</v>
      </c>
      <c r="N309" s="1063">
        <v>0</v>
      </c>
      <c r="O309" s="1063">
        <v>0</v>
      </c>
      <c r="P309" s="1063">
        <v>0</v>
      </c>
      <c r="Q309" s="1063">
        <v>0</v>
      </c>
      <c r="R309" s="1063">
        <v>0</v>
      </c>
      <c r="S309" s="1063">
        <v>0</v>
      </c>
      <c r="T309" s="1063">
        <v>0</v>
      </c>
      <c r="U309" s="1063">
        <v>0</v>
      </c>
      <c r="V309" s="1063"/>
      <c r="W309" s="1049"/>
      <c r="X309" s="1049"/>
      <c r="Y309" s="1049"/>
      <c r="Z309" s="1049"/>
      <c r="AA309" s="1066"/>
      <c r="AT309" s="418">
        <v>2</v>
      </c>
      <c r="AU309" s="418">
        <v>2</v>
      </c>
      <c r="AV309" s="418">
        <v>2</v>
      </c>
      <c r="AW309" s="418">
        <v>2</v>
      </c>
      <c r="AX309" s="418">
        <v>2</v>
      </c>
      <c r="AY309" s="418">
        <v>2</v>
      </c>
      <c r="AZ309" s="418">
        <v>0</v>
      </c>
      <c r="BA309" s="418">
        <v>0</v>
      </c>
      <c r="BB309" s="418">
        <v>0</v>
      </c>
      <c r="BC309" s="418">
        <v>0</v>
      </c>
      <c r="BD309" s="418">
        <v>0</v>
      </c>
      <c r="BE309" s="418">
        <v>2</v>
      </c>
      <c r="BF309" s="418">
        <v>0</v>
      </c>
      <c r="BG309" s="418">
        <v>0</v>
      </c>
      <c r="BH309" s="418">
        <v>0</v>
      </c>
      <c r="BI309" s="418">
        <v>0</v>
      </c>
      <c r="BJ309" s="418">
        <v>0</v>
      </c>
      <c r="BK309" s="418">
        <v>0</v>
      </c>
      <c r="BL309" s="418">
        <v>2</v>
      </c>
      <c r="BM309" s="418">
        <v>2</v>
      </c>
      <c r="BN309" s="418">
        <v>2</v>
      </c>
      <c r="BO309" s="418">
        <v>2</v>
      </c>
      <c r="BP309" s="418">
        <v>2</v>
      </c>
      <c r="BQ309" s="418">
        <v>2</v>
      </c>
      <c r="BR309" s="418">
        <v>2</v>
      </c>
      <c r="BS309" s="418">
        <v>2</v>
      </c>
      <c r="BT309" s="418">
        <v>2</v>
      </c>
      <c r="BU309" s="418">
        <v>0</v>
      </c>
      <c r="BV309" s="418">
        <v>2</v>
      </c>
      <c r="BW309" s="418">
        <v>2</v>
      </c>
      <c r="BX309" s="418">
        <v>2</v>
      </c>
      <c r="BY309" s="418">
        <v>2</v>
      </c>
      <c r="BZ309" s="418">
        <v>0</v>
      </c>
      <c r="CA309" s="418">
        <v>2</v>
      </c>
      <c r="CB309" s="418">
        <v>2</v>
      </c>
    </row>
    <row r="310" spans="1:80" s="418" customFormat="1" ht="43.2" x14ac:dyDescent="0.3">
      <c r="A310" s="1052">
        <v>657</v>
      </c>
      <c r="B310" s="1049"/>
      <c r="C310" s="1095">
        <v>657</v>
      </c>
      <c r="D310" s="1096" t="s">
        <v>786</v>
      </c>
      <c r="E310" s="1049"/>
      <c r="F310" s="1063">
        <v>0</v>
      </c>
      <c r="G310" s="1063">
        <v>0</v>
      </c>
      <c r="H310" s="1063">
        <v>0</v>
      </c>
      <c r="I310" s="1063">
        <v>0</v>
      </c>
      <c r="J310" s="1063">
        <v>0</v>
      </c>
      <c r="K310" s="1063">
        <v>0</v>
      </c>
      <c r="L310" s="1063">
        <v>0</v>
      </c>
      <c r="M310" s="1063">
        <v>0</v>
      </c>
      <c r="N310" s="1063">
        <v>0</v>
      </c>
      <c r="O310" s="1063">
        <v>0</v>
      </c>
      <c r="P310" s="1063">
        <v>0</v>
      </c>
      <c r="Q310" s="1063">
        <v>0</v>
      </c>
      <c r="R310" s="1063">
        <v>0</v>
      </c>
      <c r="S310" s="1063">
        <v>0</v>
      </c>
      <c r="T310" s="1063">
        <v>0</v>
      </c>
      <c r="U310" s="1063">
        <v>0</v>
      </c>
      <c r="V310" s="1063"/>
      <c r="W310" s="1049"/>
      <c r="X310" s="1049"/>
      <c r="Y310" s="1049"/>
      <c r="Z310" s="1049"/>
      <c r="AA310" s="1066"/>
      <c r="AT310" s="418">
        <v>0</v>
      </c>
      <c r="AU310" s="418">
        <v>0</v>
      </c>
      <c r="AV310" s="418">
        <v>3573338</v>
      </c>
      <c r="AW310" s="418">
        <v>0</v>
      </c>
      <c r="AX310" s="418">
        <v>0</v>
      </c>
      <c r="AY310" s="418">
        <v>0</v>
      </c>
      <c r="AZ310" s="418">
        <v>0</v>
      </c>
      <c r="BA310" s="418">
        <v>2623720</v>
      </c>
      <c r="BB310" s="418">
        <v>0</v>
      </c>
      <c r="BC310" s="418">
        <v>0</v>
      </c>
      <c r="BD310" s="418">
        <v>0</v>
      </c>
      <c r="BE310" s="418">
        <v>0</v>
      </c>
      <c r="BF310" s="418">
        <v>14755146</v>
      </c>
      <c r="BG310" s="418">
        <v>0</v>
      </c>
      <c r="BH310" s="418">
        <v>0</v>
      </c>
      <c r="BI310" s="418">
        <v>0</v>
      </c>
      <c r="BJ310" s="418">
        <v>0</v>
      </c>
      <c r="BK310" s="418">
        <v>0</v>
      </c>
      <c r="BL310" s="418">
        <v>3572360</v>
      </c>
      <c r="BM310" s="418">
        <v>0</v>
      </c>
      <c r="BN310" s="418">
        <v>0</v>
      </c>
      <c r="BO310" s="418">
        <v>0</v>
      </c>
      <c r="BP310" s="418">
        <v>0</v>
      </c>
      <c r="BQ310" s="418">
        <v>0</v>
      </c>
      <c r="BR310" s="418">
        <v>0</v>
      </c>
      <c r="BS310" s="418">
        <v>0</v>
      </c>
      <c r="BT310" s="418">
        <v>0</v>
      </c>
      <c r="BU310" s="418">
        <v>0</v>
      </c>
      <c r="BV310" s="418">
        <v>0</v>
      </c>
      <c r="BW310" s="418">
        <v>0</v>
      </c>
      <c r="BX310" s="418">
        <v>0</v>
      </c>
      <c r="BY310" s="418">
        <v>0</v>
      </c>
      <c r="BZ310" s="418">
        <v>0</v>
      </c>
      <c r="CA310" s="418">
        <v>0</v>
      </c>
      <c r="CB310" s="418">
        <v>0</v>
      </c>
    </row>
    <row r="311" spans="1:80" s="418" customFormat="1" ht="43.2" x14ac:dyDescent="0.3">
      <c r="A311" s="1052">
        <v>658</v>
      </c>
      <c r="B311" s="1049"/>
      <c r="C311" s="1095">
        <v>658</v>
      </c>
      <c r="D311" s="1096" t="s">
        <v>853</v>
      </c>
      <c r="E311" s="1049"/>
      <c r="F311" s="1063">
        <v>0</v>
      </c>
      <c r="G311" s="1063">
        <v>0</v>
      </c>
      <c r="H311" s="1063">
        <v>0</v>
      </c>
      <c r="I311" s="1063">
        <v>0</v>
      </c>
      <c r="J311" s="1063">
        <v>0</v>
      </c>
      <c r="K311" s="1063">
        <v>0</v>
      </c>
      <c r="L311" s="1063">
        <v>0</v>
      </c>
      <c r="M311" s="1063">
        <v>0</v>
      </c>
      <c r="N311" s="1063">
        <v>0</v>
      </c>
      <c r="O311" s="1063">
        <v>0</v>
      </c>
      <c r="P311" s="1063">
        <v>0</v>
      </c>
      <c r="Q311" s="1063">
        <v>0</v>
      </c>
      <c r="R311" s="1063">
        <v>0</v>
      </c>
      <c r="S311" s="1063">
        <v>0</v>
      </c>
      <c r="T311" s="1063">
        <v>0</v>
      </c>
      <c r="U311" s="1063">
        <v>0</v>
      </c>
      <c r="V311" s="1063"/>
      <c r="W311" s="1049"/>
      <c r="X311" s="1049"/>
      <c r="Y311" s="1049"/>
      <c r="Z311" s="1049"/>
      <c r="AA311" s="1066"/>
      <c r="AT311" s="418">
        <v>0</v>
      </c>
      <c r="AU311" s="418">
        <v>0</v>
      </c>
      <c r="AV311" s="418">
        <v>0</v>
      </c>
      <c r="AW311" s="418">
        <v>0</v>
      </c>
      <c r="AX311" s="418">
        <v>0</v>
      </c>
      <c r="AY311" s="418">
        <v>0</v>
      </c>
      <c r="AZ311" s="418">
        <v>0</v>
      </c>
      <c r="BA311" s="418">
        <v>429974</v>
      </c>
      <c r="BB311" s="418">
        <v>0</v>
      </c>
      <c r="BC311" s="418">
        <v>0</v>
      </c>
      <c r="BD311" s="418">
        <v>0</v>
      </c>
      <c r="BE311" s="418">
        <v>0</v>
      </c>
      <c r="BF311" s="418">
        <v>1300338</v>
      </c>
      <c r="BG311" s="418">
        <v>0</v>
      </c>
      <c r="BH311" s="418">
        <v>0</v>
      </c>
      <c r="BI311" s="418">
        <v>0</v>
      </c>
      <c r="BJ311" s="418">
        <v>0</v>
      </c>
      <c r="BK311" s="418">
        <v>0</v>
      </c>
      <c r="BL311" s="418">
        <v>126513</v>
      </c>
      <c r="BM311" s="418">
        <v>0</v>
      </c>
      <c r="BN311" s="418">
        <v>0</v>
      </c>
      <c r="BO311" s="418">
        <v>0</v>
      </c>
      <c r="BP311" s="418">
        <v>0</v>
      </c>
      <c r="BQ311" s="418">
        <v>0</v>
      </c>
      <c r="BR311" s="418">
        <v>0</v>
      </c>
      <c r="BS311" s="418">
        <v>0</v>
      </c>
      <c r="BT311" s="418">
        <v>0</v>
      </c>
      <c r="BU311" s="418">
        <v>0</v>
      </c>
      <c r="BV311" s="418">
        <v>0</v>
      </c>
      <c r="BW311" s="418">
        <v>0</v>
      </c>
      <c r="BX311" s="418">
        <v>0</v>
      </c>
      <c r="BY311" s="418">
        <v>0</v>
      </c>
      <c r="BZ311" s="418">
        <v>0</v>
      </c>
      <c r="CA311" s="418">
        <v>0</v>
      </c>
      <c r="CB311" s="418">
        <v>0</v>
      </c>
    </row>
    <row r="312" spans="1:80" s="418" customFormat="1" ht="28.8" x14ac:dyDescent="0.3">
      <c r="A312" s="1052">
        <v>659</v>
      </c>
      <c r="B312" s="1053">
        <v>659</v>
      </c>
      <c r="C312" s="1095">
        <v>659</v>
      </c>
      <c r="D312" s="1096" t="s">
        <v>784</v>
      </c>
      <c r="E312" s="1049"/>
      <c r="F312" s="1063">
        <v>0</v>
      </c>
      <c r="G312" s="1063">
        <v>5874865</v>
      </c>
      <c r="H312" s="1063">
        <v>0</v>
      </c>
      <c r="I312" s="1063">
        <v>0</v>
      </c>
      <c r="J312" s="1063">
        <v>0</v>
      </c>
      <c r="K312" s="1063">
        <v>0</v>
      </c>
      <c r="L312" s="1063">
        <v>0</v>
      </c>
      <c r="M312" s="1063">
        <v>0</v>
      </c>
      <c r="N312" s="1063">
        <v>0</v>
      </c>
      <c r="O312" s="1063">
        <v>0</v>
      </c>
      <c r="P312" s="1063">
        <v>457146000</v>
      </c>
      <c r="Q312" s="1063">
        <v>0</v>
      </c>
      <c r="R312" s="1063">
        <v>0</v>
      </c>
      <c r="S312" s="1063">
        <v>0</v>
      </c>
      <c r="T312" s="1063">
        <v>0</v>
      </c>
      <c r="U312" s="1063">
        <v>0</v>
      </c>
      <c r="V312" s="1063"/>
      <c r="W312" s="1049"/>
      <c r="X312" s="1049"/>
      <c r="Y312" s="1049"/>
      <c r="Z312" s="1049"/>
      <c r="AA312" s="1066"/>
      <c r="AT312" s="418">
        <v>208528</v>
      </c>
      <c r="AU312" s="418">
        <v>1128480</v>
      </c>
      <c r="AV312" s="418">
        <v>10285334</v>
      </c>
      <c r="AW312" s="418">
        <v>0</v>
      </c>
      <c r="AX312" s="418">
        <v>0</v>
      </c>
      <c r="AY312" s="418">
        <v>0</v>
      </c>
      <c r="AZ312" s="418">
        <v>123863</v>
      </c>
      <c r="BA312" s="418">
        <v>1272028</v>
      </c>
      <c r="BB312" s="418">
        <v>0</v>
      </c>
      <c r="BC312" s="418">
        <v>369689</v>
      </c>
      <c r="BD312" s="418">
        <v>0</v>
      </c>
      <c r="BE312" s="418">
        <v>0</v>
      </c>
      <c r="BF312" s="418">
        <v>39181436</v>
      </c>
      <c r="BG312" s="418">
        <v>0</v>
      </c>
      <c r="BH312" s="418">
        <v>0</v>
      </c>
      <c r="BI312" s="418">
        <v>4232643</v>
      </c>
      <c r="BJ312" s="418">
        <v>208129</v>
      </c>
      <c r="BK312" s="418">
        <v>0</v>
      </c>
      <c r="BL312" s="418">
        <v>504375</v>
      </c>
      <c r="BM312" s="418">
        <v>1823461</v>
      </c>
      <c r="BN312" s="418">
        <v>0</v>
      </c>
      <c r="BO312" s="418">
        <v>104185</v>
      </c>
      <c r="BP312" s="418">
        <v>0</v>
      </c>
      <c r="BQ312" s="418">
        <v>0</v>
      </c>
      <c r="BR312" s="418">
        <v>0</v>
      </c>
      <c r="BS312" s="418">
        <v>0</v>
      </c>
      <c r="BT312" s="418">
        <v>0</v>
      </c>
      <c r="BU312" s="418">
        <v>0</v>
      </c>
      <c r="BV312" s="418">
        <v>4772429</v>
      </c>
      <c r="BW312" s="418">
        <v>0</v>
      </c>
      <c r="BX312" s="418">
        <v>0</v>
      </c>
      <c r="BY312" s="418">
        <v>0</v>
      </c>
      <c r="BZ312" s="418">
        <v>0</v>
      </c>
      <c r="CA312" s="418">
        <v>7870810</v>
      </c>
      <c r="CB312" s="418">
        <v>0</v>
      </c>
    </row>
    <row r="313" spans="1:80" s="418" customFormat="1" ht="43.2" x14ac:dyDescent="0.3">
      <c r="A313" s="1052">
        <v>660</v>
      </c>
      <c r="B313" s="1053">
        <v>660</v>
      </c>
      <c r="C313" s="1095">
        <v>660</v>
      </c>
      <c r="D313" s="1096" t="s">
        <v>785</v>
      </c>
      <c r="E313" s="1049"/>
      <c r="F313" s="1063">
        <v>0</v>
      </c>
      <c r="G313" s="1063">
        <v>7733597</v>
      </c>
      <c r="H313" s="1063">
        <v>0</v>
      </c>
      <c r="I313" s="1063">
        <v>0</v>
      </c>
      <c r="J313" s="1063">
        <v>0</v>
      </c>
      <c r="K313" s="1063">
        <v>0</v>
      </c>
      <c r="L313" s="1063">
        <v>0</v>
      </c>
      <c r="M313" s="1063">
        <v>0</v>
      </c>
      <c r="N313" s="1063">
        <v>0</v>
      </c>
      <c r="O313" s="1063">
        <v>0</v>
      </c>
      <c r="P313" s="1063">
        <v>457146000</v>
      </c>
      <c r="Q313" s="1063">
        <v>0</v>
      </c>
      <c r="R313" s="1063">
        <v>0</v>
      </c>
      <c r="S313" s="1063">
        <v>0</v>
      </c>
      <c r="T313" s="1063">
        <v>0</v>
      </c>
      <c r="U313" s="1063">
        <v>0</v>
      </c>
      <c r="V313" s="1063"/>
      <c r="W313" s="1049"/>
      <c r="X313" s="1049"/>
      <c r="Y313" s="1049"/>
      <c r="Z313" s="1049"/>
      <c r="AA313" s="1066"/>
      <c r="AT313" s="418">
        <v>0</v>
      </c>
      <c r="AU313" s="418">
        <v>0</v>
      </c>
      <c r="AV313" s="418">
        <v>0</v>
      </c>
      <c r="AW313" s="418">
        <v>0</v>
      </c>
      <c r="AX313" s="418">
        <v>0</v>
      </c>
      <c r="AY313" s="418">
        <v>0</v>
      </c>
      <c r="AZ313" s="418">
        <v>0</v>
      </c>
      <c r="BA313" s="418">
        <v>0</v>
      </c>
      <c r="BB313" s="418">
        <v>0</v>
      </c>
      <c r="BC313" s="418">
        <v>0</v>
      </c>
      <c r="BD313" s="418">
        <v>0</v>
      </c>
      <c r="BE313" s="418">
        <v>0</v>
      </c>
      <c r="BF313" s="418">
        <v>0</v>
      </c>
      <c r="BG313" s="418">
        <v>0</v>
      </c>
      <c r="BH313" s="418">
        <v>0</v>
      </c>
      <c r="BI313" s="418">
        <v>0</v>
      </c>
      <c r="BJ313" s="418">
        <v>0</v>
      </c>
      <c r="BK313" s="418">
        <v>0</v>
      </c>
      <c r="BL313" s="418">
        <v>0</v>
      </c>
      <c r="BM313" s="418">
        <v>0</v>
      </c>
      <c r="BN313" s="418">
        <v>0</v>
      </c>
      <c r="BO313" s="418">
        <v>0</v>
      </c>
      <c r="BP313" s="418">
        <v>0</v>
      </c>
      <c r="BQ313" s="418">
        <v>0</v>
      </c>
      <c r="BR313" s="418">
        <v>0</v>
      </c>
      <c r="BS313" s="418">
        <v>0</v>
      </c>
      <c r="BT313" s="418">
        <v>0</v>
      </c>
      <c r="BU313" s="418">
        <v>0</v>
      </c>
      <c r="BV313" s="418">
        <v>0</v>
      </c>
      <c r="BW313" s="418">
        <v>0</v>
      </c>
      <c r="BX313" s="418">
        <v>0</v>
      </c>
      <c r="BY313" s="418">
        <v>0</v>
      </c>
      <c r="BZ313" s="418">
        <v>0</v>
      </c>
      <c r="CA313" s="418">
        <v>0</v>
      </c>
      <c r="CB313" s="418">
        <v>0</v>
      </c>
    </row>
    <row r="314" spans="1:80" s="418" customFormat="1" ht="28.8" x14ac:dyDescent="0.3">
      <c r="A314" s="1052">
        <v>661</v>
      </c>
      <c r="B314" s="1053">
        <v>661</v>
      </c>
      <c r="C314" s="1095">
        <v>661</v>
      </c>
      <c r="D314" s="1096" t="s">
        <v>788</v>
      </c>
      <c r="E314" s="1049"/>
      <c r="F314" s="1063">
        <v>0</v>
      </c>
      <c r="G314" s="1063">
        <v>1858732</v>
      </c>
      <c r="H314" s="1063">
        <v>0</v>
      </c>
      <c r="I314" s="1063">
        <v>0</v>
      </c>
      <c r="J314" s="1063">
        <v>0</v>
      </c>
      <c r="K314" s="1063">
        <v>0</v>
      </c>
      <c r="L314" s="1063">
        <v>0</v>
      </c>
      <c r="M314" s="1063">
        <v>0</v>
      </c>
      <c r="N314" s="1063">
        <v>0</v>
      </c>
      <c r="O314" s="1063">
        <v>0</v>
      </c>
      <c r="P314" s="1063">
        <v>0</v>
      </c>
      <c r="Q314" s="1063">
        <v>0</v>
      </c>
      <c r="R314" s="1063">
        <v>0</v>
      </c>
      <c r="S314" s="1063">
        <v>0</v>
      </c>
      <c r="T314" s="1063">
        <v>0</v>
      </c>
      <c r="U314" s="1063">
        <v>0</v>
      </c>
      <c r="V314" s="1063"/>
      <c r="W314" s="1049"/>
      <c r="X314" s="1049"/>
      <c r="Y314" s="1049"/>
      <c r="Z314" s="1049"/>
      <c r="AA314" s="1066"/>
      <c r="AT314" s="418">
        <v>0</v>
      </c>
      <c r="AU314" s="418">
        <v>0</v>
      </c>
      <c r="AV314" s="418">
        <v>0</v>
      </c>
      <c r="AW314" s="418">
        <v>0</v>
      </c>
      <c r="AX314" s="418">
        <v>0</v>
      </c>
      <c r="AY314" s="418">
        <v>0</v>
      </c>
      <c r="AZ314" s="418">
        <v>0</v>
      </c>
      <c r="BA314" s="418">
        <v>0</v>
      </c>
      <c r="BB314" s="418">
        <v>0</v>
      </c>
      <c r="BC314" s="418">
        <v>0</v>
      </c>
      <c r="BD314" s="418">
        <v>0</v>
      </c>
      <c r="BE314" s="418">
        <v>0</v>
      </c>
      <c r="BF314" s="418">
        <v>0</v>
      </c>
      <c r="BG314" s="418">
        <v>0</v>
      </c>
      <c r="BH314" s="418">
        <v>0</v>
      </c>
      <c r="BI314" s="418">
        <v>0</v>
      </c>
      <c r="BJ314" s="418">
        <v>0</v>
      </c>
      <c r="BK314" s="418">
        <v>0</v>
      </c>
      <c r="BL314" s="418">
        <v>0</v>
      </c>
      <c r="BM314" s="418">
        <v>0</v>
      </c>
      <c r="BN314" s="418">
        <v>0</v>
      </c>
      <c r="BO314" s="418">
        <v>0</v>
      </c>
      <c r="BP314" s="418">
        <v>0</v>
      </c>
      <c r="BQ314" s="418">
        <v>0</v>
      </c>
      <c r="BR314" s="418">
        <v>0</v>
      </c>
      <c r="BS314" s="418">
        <v>0</v>
      </c>
      <c r="BT314" s="418">
        <v>0</v>
      </c>
      <c r="BU314" s="418">
        <v>0</v>
      </c>
      <c r="BV314" s="418">
        <v>0</v>
      </c>
      <c r="BW314" s="418">
        <v>0</v>
      </c>
      <c r="BX314" s="418">
        <v>0</v>
      </c>
      <c r="BY314" s="418">
        <v>0</v>
      </c>
      <c r="BZ314" s="418">
        <v>0</v>
      </c>
      <c r="CA314" s="418">
        <v>0</v>
      </c>
      <c r="CB314" s="418">
        <v>0</v>
      </c>
    </row>
    <row r="315" spans="1:80" s="418" customFormat="1" ht="28.8" x14ac:dyDescent="0.3">
      <c r="A315" s="1052">
        <v>662</v>
      </c>
      <c r="B315" s="1053">
        <v>662</v>
      </c>
      <c r="C315" s="1095">
        <v>662</v>
      </c>
      <c r="D315" s="1096" t="s">
        <v>857</v>
      </c>
      <c r="E315" s="1056"/>
      <c r="F315" s="1063">
        <v>0</v>
      </c>
      <c r="G315" s="1063">
        <v>0</v>
      </c>
      <c r="H315" s="1063">
        <v>0</v>
      </c>
      <c r="I315" s="1063">
        <v>0</v>
      </c>
      <c r="J315" s="1063">
        <v>0</v>
      </c>
      <c r="K315" s="1063">
        <v>0</v>
      </c>
      <c r="L315" s="1063">
        <v>0</v>
      </c>
      <c r="M315" s="1063">
        <v>0</v>
      </c>
      <c r="N315" s="1063">
        <v>0</v>
      </c>
      <c r="O315" s="1063">
        <v>0</v>
      </c>
      <c r="P315" s="1063">
        <v>0</v>
      </c>
      <c r="Q315" s="1063">
        <v>0</v>
      </c>
      <c r="R315" s="1063">
        <v>0</v>
      </c>
      <c r="S315" s="1063">
        <v>0</v>
      </c>
      <c r="T315" s="1063">
        <v>0</v>
      </c>
      <c r="U315" s="1063">
        <v>0</v>
      </c>
      <c r="V315" s="1063"/>
      <c r="W315" s="1049"/>
      <c r="X315" s="1049"/>
      <c r="Y315" s="1049"/>
      <c r="Z315" s="1049"/>
      <c r="AA315" s="1066"/>
      <c r="AT315" s="418">
        <v>0</v>
      </c>
      <c r="AU315" s="418">
        <v>0</v>
      </c>
      <c r="AV315" s="418">
        <v>830367</v>
      </c>
      <c r="AW315" s="418">
        <v>0</v>
      </c>
      <c r="AX315" s="418">
        <v>0</v>
      </c>
      <c r="AY315" s="418">
        <v>0</v>
      </c>
      <c r="AZ315" s="418">
        <v>0</v>
      </c>
      <c r="BA315" s="418">
        <v>0</v>
      </c>
      <c r="BB315" s="418">
        <v>0</v>
      </c>
      <c r="BC315" s="418">
        <v>0</v>
      </c>
      <c r="BD315" s="418">
        <v>0</v>
      </c>
      <c r="BE315" s="418">
        <v>0</v>
      </c>
      <c r="BF315" s="418">
        <v>0</v>
      </c>
      <c r="BG315" s="418">
        <v>0</v>
      </c>
      <c r="BH315" s="418">
        <v>0</v>
      </c>
      <c r="BI315" s="418">
        <v>0</v>
      </c>
      <c r="BJ315" s="418">
        <v>0</v>
      </c>
      <c r="BK315" s="418">
        <v>0</v>
      </c>
      <c r="BL315" s="418">
        <v>0</v>
      </c>
      <c r="BM315" s="418">
        <v>0</v>
      </c>
      <c r="BN315" s="418">
        <v>0</v>
      </c>
      <c r="BO315" s="418">
        <v>0</v>
      </c>
      <c r="BP315" s="418">
        <v>0</v>
      </c>
      <c r="BQ315" s="418">
        <v>0</v>
      </c>
      <c r="BR315" s="418">
        <v>0</v>
      </c>
      <c r="BS315" s="418">
        <v>0</v>
      </c>
      <c r="BT315" s="418">
        <v>184000</v>
      </c>
      <c r="BU315" s="418">
        <v>0</v>
      </c>
      <c r="BV315" s="418">
        <v>0</v>
      </c>
      <c r="BW315" s="418">
        <v>0</v>
      </c>
      <c r="BX315" s="418">
        <v>0</v>
      </c>
      <c r="BY315" s="418">
        <v>0</v>
      </c>
      <c r="BZ315" s="418">
        <v>0</v>
      </c>
      <c r="CA315" s="418">
        <v>54610</v>
      </c>
      <c r="CB315" s="418">
        <v>0</v>
      </c>
    </row>
    <row r="316" spans="1:80" s="418" customFormat="1" ht="28.8" x14ac:dyDescent="0.3">
      <c r="A316" s="1052">
        <v>663</v>
      </c>
      <c r="B316" s="1053">
        <v>663</v>
      </c>
      <c r="C316" s="1095">
        <v>663</v>
      </c>
      <c r="D316" s="1096" t="s">
        <v>858</v>
      </c>
      <c r="E316" s="1056"/>
      <c r="F316" s="1063">
        <v>0</v>
      </c>
      <c r="G316" s="1063">
        <v>0</v>
      </c>
      <c r="H316" s="1063">
        <v>0</v>
      </c>
      <c r="I316" s="1063">
        <v>0</v>
      </c>
      <c r="J316" s="1063">
        <v>0</v>
      </c>
      <c r="K316" s="1063">
        <v>0</v>
      </c>
      <c r="L316" s="1063">
        <v>0</v>
      </c>
      <c r="M316" s="1063">
        <v>0</v>
      </c>
      <c r="N316" s="1063">
        <v>0</v>
      </c>
      <c r="O316" s="1063">
        <v>0</v>
      </c>
      <c r="P316" s="1063">
        <v>10617331</v>
      </c>
      <c r="Q316" s="1063">
        <v>0</v>
      </c>
      <c r="R316" s="1063">
        <v>0</v>
      </c>
      <c r="S316" s="1063">
        <v>0</v>
      </c>
      <c r="T316" s="1063">
        <v>0</v>
      </c>
      <c r="U316" s="1063">
        <v>0</v>
      </c>
      <c r="V316" s="1063"/>
      <c r="W316" s="1049"/>
      <c r="X316" s="1049"/>
      <c r="Y316" s="1049"/>
      <c r="Z316" s="1049"/>
      <c r="AA316" s="1066"/>
      <c r="AT316" s="418">
        <v>0</v>
      </c>
      <c r="AU316" s="418">
        <v>0</v>
      </c>
      <c r="AV316" s="418">
        <v>0</v>
      </c>
      <c r="AW316" s="418">
        <v>0</v>
      </c>
      <c r="AX316" s="418">
        <v>0</v>
      </c>
      <c r="AY316" s="418">
        <v>0</v>
      </c>
      <c r="AZ316" s="418">
        <v>0</v>
      </c>
      <c r="BA316" s="418">
        <v>0</v>
      </c>
      <c r="BB316" s="418">
        <v>0</v>
      </c>
      <c r="BC316" s="418">
        <v>0</v>
      </c>
      <c r="BD316" s="418">
        <v>0</v>
      </c>
      <c r="BE316" s="418">
        <v>0</v>
      </c>
      <c r="BF316" s="418">
        <v>0</v>
      </c>
      <c r="BG316" s="418">
        <v>0</v>
      </c>
      <c r="BH316" s="418">
        <v>0</v>
      </c>
      <c r="BI316" s="418">
        <v>0</v>
      </c>
      <c r="BJ316" s="418">
        <v>0</v>
      </c>
      <c r="BK316" s="418">
        <v>0</v>
      </c>
      <c r="BL316" s="418">
        <v>0</v>
      </c>
      <c r="BM316" s="418">
        <v>0</v>
      </c>
      <c r="BN316" s="418">
        <v>0</v>
      </c>
      <c r="BO316" s="418">
        <v>0</v>
      </c>
      <c r="BP316" s="418">
        <v>0</v>
      </c>
      <c r="BQ316" s="418">
        <v>0</v>
      </c>
      <c r="BR316" s="418">
        <v>0</v>
      </c>
      <c r="BS316" s="418">
        <v>0</v>
      </c>
      <c r="BT316" s="418">
        <v>0</v>
      </c>
      <c r="BU316" s="418">
        <v>0</v>
      </c>
      <c r="BV316" s="418">
        <v>0</v>
      </c>
      <c r="BW316" s="418">
        <v>0</v>
      </c>
      <c r="BX316" s="418">
        <v>0</v>
      </c>
      <c r="BY316" s="418">
        <v>0</v>
      </c>
      <c r="BZ316" s="418">
        <v>0</v>
      </c>
      <c r="CA316" s="418">
        <v>0</v>
      </c>
      <c r="CB316" s="418">
        <v>0</v>
      </c>
    </row>
    <row r="317" spans="1:80" s="418" customFormat="1" ht="28.8" x14ac:dyDescent="0.3">
      <c r="A317" s="1052">
        <v>906</v>
      </c>
      <c r="B317" s="1053">
        <v>906</v>
      </c>
      <c r="C317" s="1095" t="s">
        <v>1867</v>
      </c>
      <c r="D317" s="1096" t="s">
        <v>917</v>
      </c>
      <c r="E317" s="1056"/>
      <c r="F317" s="1063">
        <v>1</v>
      </c>
      <c r="G317" s="1063">
        <v>1</v>
      </c>
      <c r="H317" s="1063">
        <v>1</v>
      </c>
      <c r="I317" s="1063">
        <v>1</v>
      </c>
      <c r="J317" s="1063">
        <v>0</v>
      </c>
      <c r="K317" s="1063">
        <v>0</v>
      </c>
      <c r="L317" s="1063">
        <v>0</v>
      </c>
      <c r="M317" s="1063">
        <v>0</v>
      </c>
      <c r="N317" s="1063">
        <v>1</v>
      </c>
      <c r="O317" s="1063">
        <v>1</v>
      </c>
      <c r="P317" s="1063">
        <v>1</v>
      </c>
      <c r="Q317" s="1063">
        <v>0</v>
      </c>
      <c r="R317" s="1063">
        <v>1</v>
      </c>
      <c r="S317" s="1063">
        <v>1</v>
      </c>
      <c r="T317" s="1063">
        <v>1</v>
      </c>
      <c r="U317" s="1063">
        <v>1</v>
      </c>
      <c r="V317" s="1063"/>
      <c r="W317" s="1049"/>
      <c r="X317" s="1049"/>
      <c r="Y317" s="1049"/>
      <c r="Z317" s="1049"/>
      <c r="AA317" s="1066"/>
      <c r="AT317" s="418">
        <v>1</v>
      </c>
      <c r="AU317" s="418">
        <v>1</v>
      </c>
      <c r="AV317" s="418">
        <v>1</v>
      </c>
      <c r="AW317" s="418">
        <v>1</v>
      </c>
      <c r="AX317" s="418">
        <v>1</v>
      </c>
      <c r="AY317" s="418">
        <v>1</v>
      </c>
      <c r="AZ317" s="418">
        <v>1</v>
      </c>
      <c r="BA317" s="418">
        <v>1</v>
      </c>
      <c r="BB317" s="418">
        <v>1</v>
      </c>
      <c r="BC317" s="418">
        <v>1</v>
      </c>
      <c r="BD317" s="418">
        <v>0</v>
      </c>
      <c r="BE317" s="418">
        <v>1</v>
      </c>
      <c r="BF317" s="418">
        <v>1</v>
      </c>
      <c r="BG317" s="418">
        <v>0</v>
      </c>
      <c r="BH317" s="418">
        <v>1</v>
      </c>
      <c r="BI317" s="418">
        <v>1</v>
      </c>
      <c r="BJ317" s="418">
        <v>1</v>
      </c>
      <c r="BK317" s="418">
        <v>0</v>
      </c>
      <c r="BL317" s="418">
        <v>1</v>
      </c>
      <c r="BM317" s="418">
        <v>1</v>
      </c>
      <c r="BN317" s="418">
        <v>1</v>
      </c>
      <c r="BO317" s="418">
        <v>1</v>
      </c>
      <c r="BP317" s="418">
        <v>1</v>
      </c>
      <c r="BQ317" s="418">
        <v>1</v>
      </c>
      <c r="BR317" s="418">
        <v>1</v>
      </c>
      <c r="BS317" s="418">
        <v>1</v>
      </c>
      <c r="BT317" s="418">
        <v>1</v>
      </c>
      <c r="BU317" s="418">
        <v>1</v>
      </c>
      <c r="BV317" s="418">
        <v>1</v>
      </c>
      <c r="BW317" s="418">
        <v>1</v>
      </c>
      <c r="BX317" s="418">
        <v>1</v>
      </c>
      <c r="BY317" s="418">
        <v>1</v>
      </c>
      <c r="BZ317" s="418">
        <v>1</v>
      </c>
      <c r="CA317" s="418">
        <v>1</v>
      </c>
      <c r="CB317" s="418">
        <v>1</v>
      </c>
    </row>
    <row r="318" spans="1:80" s="418" customFormat="1" ht="28.8" x14ac:dyDescent="0.3">
      <c r="A318" s="1052">
        <v>907</v>
      </c>
      <c r="B318" s="1053">
        <v>907</v>
      </c>
      <c r="C318" s="1095" t="s">
        <v>1867</v>
      </c>
      <c r="D318" s="1096" t="s">
        <v>918</v>
      </c>
      <c r="E318" s="1056"/>
      <c r="F318" s="1063">
        <v>2</v>
      </c>
      <c r="G318" s="1063">
        <v>2</v>
      </c>
      <c r="H318" s="1063">
        <v>2</v>
      </c>
      <c r="I318" s="1063">
        <v>2</v>
      </c>
      <c r="J318" s="1063">
        <v>0</v>
      </c>
      <c r="K318" s="1063">
        <v>0</v>
      </c>
      <c r="L318" s="1063">
        <v>0</v>
      </c>
      <c r="M318" s="1063">
        <v>0</v>
      </c>
      <c r="N318" s="1063">
        <v>2</v>
      </c>
      <c r="O318" s="1063">
        <v>2</v>
      </c>
      <c r="P318" s="1063">
        <v>2</v>
      </c>
      <c r="Q318" s="1063">
        <v>0</v>
      </c>
      <c r="R318" s="1063">
        <v>2</v>
      </c>
      <c r="S318" s="1063">
        <v>2</v>
      </c>
      <c r="T318" s="1063">
        <v>2</v>
      </c>
      <c r="U318" s="1063">
        <v>2</v>
      </c>
      <c r="V318" s="1063"/>
      <c r="W318" s="1049"/>
      <c r="X318" s="1049"/>
      <c r="Y318" s="1049"/>
      <c r="Z318" s="1049"/>
      <c r="AA318" s="1066"/>
      <c r="AT318" s="418">
        <v>1</v>
      </c>
      <c r="AU318" s="418">
        <v>1</v>
      </c>
      <c r="AV318" s="418">
        <v>2</v>
      </c>
      <c r="AW318" s="418">
        <v>1</v>
      </c>
      <c r="AX318" s="418">
        <v>2</v>
      </c>
      <c r="AY318" s="418">
        <v>2</v>
      </c>
      <c r="AZ318" s="418">
        <v>1</v>
      </c>
      <c r="BA318" s="418">
        <v>2</v>
      </c>
      <c r="BB318" s="418">
        <v>1</v>
      </c>
      <c r="BC318" s="418">
        <v>1</v>
      </c>
      <c r="BD318" s="418">
        <v>0</v>
      </c>
      <c r="BE318" s="418">
        <v>1</v>
      </c>
      <c r="BF318" s="418">
        <v>2</v>
      </c>
      <c r="BG318" s="418">
        <v>0</v>
      </c>
      <c r="BH318" s="418">
        <v>1</v>
      </c>
      <c r="BI318" s="418">
        <v>2</v>
      </c>
      <c r="BJ318" s="418">
        <v>1</v>
      </c>
      <c r="BK318" s="418">
        <v>0</v>
      </c>
      <c r="BL318" s="418">
        <v>2</v>
      </c>
      <c r="BM318" s="418">
        <v>1</v>
      </c>
      <c r="BN318" s="418">
        <v>1</v>
      </c>
      <c r="BO318" s="418">
        <v>2</v>
      </c>
      <c r="BP318" s="418">
        <v>1</v>
      </c>
      <c r="BQ318" s="418">
        <v>1</v>
      </c>
      <c r="BR318" s="418">
        <v>2</v>
      </c>
      <c r="BS318" s="418">
        <v>1</v>
      </c>
      <c r="BT318" s="418">
        <v>2</v>
      </c>
      <c r="BU318" s="418">
        <v>2</v>
      </c>
      <c r="BV318" s="418">
        <v>1</v>
      </c>
      <c r="BW318" s="418">
        <v>1</v>
      </c>
      <c r="BX318" s="418">
        <v>1</v>
      </c>
      <c r="BY318" s="418">
        <v>1</v>
      </c>
      <c r="BZ318" s="418">
        <v>2</v>
      </c>
      <c r="CA318" s="418">
        <v>2</v>
      </c>
      <c r="CB318" s="418">
        <v>2</v>
      </c>
    </row>
    <row r="319" spans="1:80" s="418" customFormat="1" ht="28.8" x14ac:dyDescent="0.3">
      <c r="A319" s="1052">
        <v>951</v>
      </c>
      <c r="B319" s="1053">
        <v>951</v>
      </c>
      <c r="C319" s="1095" t="s">
        <v>1867</v>
      </c>
      <c r="D319" s="1096" t="s">
        <v>919</v>
      </c>
      <c r="E319" s="1056"/>
      <c r="F319" s="1063">
        <v>2</v>
      </c>
      <c r="G319" s="1063">
        <v>2</v>
      </c>
      <c r="H319" s="1063">
        <v>2</v>
      </c>
      <c r="I319" s="1063">
        <v>2</v>
      </c>
      <c r="J319" s="1063">
        <v>0</v>
      </c>
      <c r="K319" s="1063">
        <v>0</v>
      </c>
      <c r="L319" s="1063">
        <v>0</v>
      </c>
      <c r="M319" s="1063">
        <v>0</v>
      </c>
      <c r="N319" s="1063">
        <v>2</v>
      </c>
      <c r="O319" s="1063">
        <v>2</v>
      </c>
      <c r="P319" s="1063">
        <v>2</v>
      </c>
      <c r="Q319" s="1063">
        <v>0</v>
      </c>
      <c r="R319" s="1063">
        <v>2</v>
      </c>
      <c r="S319" s="1063">
        <v>2</v>
      </c>
      <c r="T319" s="1063">
        <v>2</v>
      </c>
      <c r="U319" s="1063">
        <v>2</v>
      </c>
      <c r="V319" s="1063"/>
      <c r="W319" s="1049"/>
      <c r="X319" s="1049"/>
      <c r="Y319" s="1049"/>
      <c r="Z319" s="1049"/>
      <c r="AA319" s="1066"/>
      <c r="AT319" s="418">
        <v>1</v>
      </c>
      <c r="AU319" s="418">
        <v>1</v>
      </c>
      <c r="AV319" s="418">
        <v>2</v>
      </c>
      <c r="AW319" s="418">
        <v>2</v>
      </c>
      <c r="AX319" s="418">
        <v>2</v>
      </c>
      <c r="AY319" s="418">
        <v>2</v>
      </c>
      <c r="AZ319" s="418">
        <v>2</v>
      </c>
      <c r="BA319" s="418">
        <v>2</v>
      </c>
      <c r="BB319" s="418">
        <v>1</v>
      </c>
      <c r="BC319" s="418">
        <v>2</v>
      </c>
      <c r="BD319" s="418">
        <v>0</v>
      </c>
      <c r="BE319" s="418">
        <v>2</v>
      </c>
      <c r="BF319" s="418">
        <v>2</v>
      </c>
      <c r="BG319" s="418">
        <v>0</v>
      </c>
      <c r="BH319" s="418">
        <v>2</v>
      </c>
      <c r="BI319" s="418">
        <v>2</v>
      </c>
      <c r="BJ319" s="418">
        <v>2</v>
      </c>
      <c r="BK319" s="418">
        <v>0</v>
      </c>
      <c r="BL319" s="418">
        <v>2</v>
      </c>
      <c r="BM319" s="418">
        <v>2</v>
      </c>
      <c r="BN319" s="418">
        <v>2</v>
      </c>
      <c r="BO319" s="418">
        <v>2</v>
      </c>
      <c r="BP319" s="418">
        <v>2</v>
      </c>
      <c r="BQ319" s="418">
        <v>2</v>
      </c>
      <c r="BR319" s="418">
        <v>2</v>
      </c>
      <c r="BS319" s="418">
        <v>2</v>
      </c>
      <c r="BT319" s="418">
        <v>2</v>
      </c>
      <c r="BU319" s="418">
        <v>2</v>
      </c>
      <c r="BV319" s="418">
        <v>2</v>
      </c>
      <c r="BW319" s="418">
        <v>2</v>
      </c>
      <c r="BX319" s="418">
        <v>2</v>
      </c>
      <c r="BY319" s="418">
        <v>2</v>
      </c>
      <c r="BZ319" s="418">
        <v>2</v>
      </c>
      <c r="CA319" s="418">
        <v>2</v>
      </c>
      <c r="CB319" s="418">
        <v>2</v>
      </c>
    </row>
    <row r="320" spans="1:80" s="418" customFormat="1" ht="28.8" x14ac:dyDescent="0.3">
      <c r="A320" s="1052">
        <v>953</v>
      </c>
      <c r="B320" s="1053">
        <v>953</v>
      </c>
      <c r="C320" s="1095" t="s">
        <v>1867</v>
      </c>
      <c r="D320" s="1096" t="s">
        <v>920</v>
      </c>
      <c r="E320" s="1056"/>
      <c r="F320" s="1063">
        <v>2</v>
      </c>
      <c r="G320" s="1063">
        <v>2</v>
      </c>
      <c r="H320" s="1063">
        <v>2</v>
      </c>
      <c r="I320" s="1063">
        <v>2</v>
      </c>
      <c r="J320" s="1063">
        <v>0</v>
      </c>
      <c r="K320" s="1063">
        <v>0</v>
      </c>
      <c r="L320" s="1063">
        <v>0</v>
      </c>
      <c r="M320" s="1063">
        <v>0</v>
      </c>
      <c r="N320" s="1063">
        <v>2</v>
      </c>
      <c r="O320" s="1063">
        <v>2</v>
      </c>
      <c r="P320" s="1063">
        <v>2</v>
      </c>
      <c r="Q320" s="1063">
        <v>0</v>
      </c>
      <c r="R320" s="1063">
        <v>2</v>
      </c>
      <c r="S320" s="1063">
        <v>2</v>
      </c>
      <c r="T320" s="1063">
        <v>2</v>
      </c>
      <c r="U320" s="1063">
        <v>2</v>
      </c>
      <c r="V320" s="1063"/>
      <c r="W320" s="1049"/>
      <c r="X320" s="1049"/>
      <c r="Y320" s="1049"/>
      <c r="Z320" s="1049"/>
      <c r="AA320" s="1066"/>
      <c r="AT320" s="418">
        <v>2</v>
      </c>
      <c r="AU320" s="418">
        <v>2</v>
      </c>
      <c r="AV320" s="418">
        <v>2</v>
      </c>
      <c r="AW320" s="418">
        <v>2</v>
      </c>
      <c r="AX320" s="418">
        <v>2</v>
      </c>
      <c r="AY320" s="418">
        <v>2</v>
      </c>
      <c r="AZ320" s="418">
        <v>2</v>
      </c>
      <c r="BA320" s="418">
        <v>2</v>
      </c>
      <c r="BB320" s="418">
        <v>2</v>
      </c>
      <c r="BC320" s="418">
        <v>2</v>
      </c>
      <c r="BD320" s="418">
        <v>0</v>
      </c>
      <c r="BE320" s="418">
        <v>2</v>
      </c>
      <c r="BF320" s="418">
        <v>2</v>
      </c>
      <c r="BG320" s="418">
        <v>0</v>
      </c>
      <c r="BH320" s="418">
        <v>2</v>
      </c>
      <c r="BI320" s="418">
        <v>2</v>
      </c>
      <c r="BJ320" s="418">
        <v>2</v>
      </c>
      <c r="BK320" s="418">
        <v>0</v>
      </c>
      <c r="BL320" s="418">
        <v>2</v>
      </c>
      <c r="BM320" s="418">
        <v>2</v>
      </c>
      <c r="BN320" s="418">
        <v>2</v>
      </c>
      <c r="BO320" s="418">
        <v>2</v>
      </c>
      <c r="BP320" s="418">
        <v>2</v>
      </c>
      <c r="BQ320" s="418">
        <v>2</v>
      </c>
      <c r="BR320" s="418">
        <v>2</v>
      </c>
      <c r="BS320" s="418">
        <v>2</v>
      </c>
      <c r="BT320" s="418">
        <v>2</v>
      </c>
      <c r="BU320" s="418">
        <v>2</v>
      </c>
      <c r="BV320" s="418">
        <v>2</v>
      </c>
      <c r="BW320" s="418">
        <v>2</v>
      </c>
      <c r="BX320" s="418">
        <v>2</v>
      </c>
      <c r="BY320" s="418">
        <v>2</v>
      </c>
      <c r="BZ320" s="418">
        <v>2</v>
      </c>
      <c r="CA320" s="418">
        <v>2</v>
      </c>
      <c r="CB320" s="418">
        <v>2</v>
      </c>
    </row>
    <row r="321" spans="1:80" s="418" customFormat="1" ht="28.8" x14ac:dyDescent="0.3">
      <c r="A321" s="1052">
        <v>955</v>
      </c>
      <c r="B321" s="1053">
        <v>955</v>
      </c>
      <c r="C321" s="1095" t="s">
        <v>1867</v>
      </c>
      <c r="D321" s="1096" t="s">
        <v>930</v>
      </c>
      <c r="E321" s="1056"/>
      <c r="F321" s="1063">
        <v>0</v>
      </c>
      <c r="G321" s="1063">
        <v>0</v>
      </c>
      <c r="H321" s="1063">
        <v>0</v>
      </c>
      <c r="I321" s="1063">
        <v>0</v>
      </c>
      <c r="J321" s="1063">
        <v>0</v>
      </c>
      <c r="K321" s="1063">
        <v>0</v>
      </c>
      <c r="L321" s="1063">
        <v>0</v>
      </c>
      <c r="M321" s="1063">
        <v>0</v>
      </c>
      <c r="N321" s="1063">
        <v>0</v>
      </c>
      <c r="O321" s="1063">
        <v>0</v>
      </c>
      <c r="P321" s="1063">
        <v>0</v>
      </c>
      <c r="Q321" s="1063">
        <v>0</v>
      </c>
      <c r="R321" s="1063">
        <v>0</v>
      </c>
      <c r="S321" s="1063">
        <v>0</v>
      </c>
      <c r="T321" s="1063">
        <v>0</v>
      </c>
      <c r="U321" s="1063">
        <v>0</v>
      </c>
      <c r="V321" s="1063"/>
      <c r="W321" s="1049"/>
      <c r="X321" s="1049"/>
      <c r="Y321" s="1049"/>
      <c r="Z321" s="1049"/>
      <c r="AA321" s="1066"/>
      <c r="AT321" s="418">
        <v>0</v>
      </c>
      <c r="AU321" s="418">
        <v>0</v>
      </c>
      <c r="AV321" s="418">
        <v>2</v>
      </c>
      <c r="AW321" s="418">
        <v>0</v>
      </c>
      <c r="AX321" s="418">
        <v>0</v>
      </c>
      <c r="AY321" s="418">
        <v>0</v>
      </c>
      <c r="AZ321" s="418">
        <v>0</v>
      </c>
      <c r="BA321" s="418">
        <v>0</v>
      </c>
      <c r="BB321" s="418">
        <v>0</v>
      </c>
      <c r="BC321" s="418">
        <v>0</v>
      </c>
      <c r="BD321" s="418">
        <v>0</v>
      </c>
      <c r="BE321" s="418">
        <v>0</v>
      </c>
      <c r="BF321" s="418">
        <v>0</v>
      </c>
      <c r="BG321" s="418">
        <v>0</v>
      </c>
      <c r="BH321" s="418">
        <v>0</v>
      </c>
      <c r="BI321" s="418">
        <v>0</v>
      </c>
      <c r="BJ321" s="418">
        <v>0</v>
      </c>
      <c r="BK321" s="418">
        <v>0</v>
      </c>
      <c r="BL321" s="418">
        <v>0</v>
      </c>
      <c r="BM321" s="418">
        <v>0</v>
      </c>
      <c r="BN321" s="418">
        <v>0</v>
      </c>
      <c r="BO321" s="418">
        <v>0</v>
      </c>
      <c r="BP321" s="418">
        <v>0</v>
      </c>
      <c r="BQ321" s="418">
        <v>0</v>
      </c>
      <c r="BR321" s="418">
        <v>0</v>
      </c>
      <c r="BS321" s="418">
        <v>0</v>
      </c>
      <c r="BT321" s="418">
        <v>0</v>
      </c>
      <c r="BU321" s="418">
        <v>0</v>
      </c>
      <c r="BV321" s="418">
        <v>1</v>
      </c>
      <c r="BW321" s="418">
        <v>0</v>
      </c>
      <c r="BX321" s="418">
        <v>0</v>
      </c>
      <c r="BY321" s="418">
        <v>0</v>
      </c>
      <c r="BZ321" s="418">
        <v>0</v>
      </c>
      <c r="CA321" s="418">
        <v>0</v>
      </c>
      <c r="CB321" s="418">
        <v>0</v>
      </c>
    </row>
    <row r="322" spans="1:80" s="418" customFormat="1" ht="28.8" x14ac:dyDescent="0.3">
      <c r="A322" s="1052">
        <v>957</v>
      </c>
      <c r="B322" s="1053">
        <v>957</v>
      </c>
      <c r="C322" s="1095" t="s">
        <v>1867</v>
      </c>
      <c r="D322" s="1096" t="s">
        <v>931</v>
      </c>
      <c r="E322" s="1056"/>
      <c r="F322" s="1063">
        <v>0</v>
      </c>
      <c r="G322" s="1063">
        <v>0</v>
      </c>
      <c r="H322" s="1063">
        <v>0</v>
      </c>
      <c r="I322" s="1063">
        <v>0</v>
      </c>
      <c r="J322" s="1063">
        <v>0</v>
      </c>
      <c r="K322" s="1063">
        <v>0</v>
      </c>
      <c r="L322" s="1063">
        <v>0</v>
      </c>
      <c r="M322" s="1063">
        <v>0</v>
      </c>
      <c r="N322" s="1063">
        <v>0</v>
      </c>
      <c r="O322" s="1063">
        <v>0</v>
      </c>
      <c r="P322" s="1063">
        <v>0</v>
      </c>
      <c r="Q322" s="1063">
        <v>0</v>
      </c>
      <c r="R322" s="1063">
        <v>0</v>
      </c>
      <c r="S322" s="1063">
        <v>0</v>
      </c>
      <c r="T322" s="1063">
        <v>0</v>
      </c>
      <c r="U322" s="1063">
        <v>0</v>
      </c>
      <c r="V322" s="1063"/>
      <c r="W322" s="1049"/>
      <c r="X322" s="1049"/>
      <c r="Y322" s="1049"/>
      <c r="Z322" s="1049"/>
      <c r="AA322" s="1066"/>
      <c r="AT322" s="418">
        <v>0</v>
      </c>
      <c r="AU322" s="418">
        <v>0</v>
      </c>
      <c r="AV322" s="418">
        <v>0</v>
      </c>
      <c r="AW322" s="418">
        <v>0</v>
      </c>
      <c r="AX322" s="418">
        <v>0</v>
      </c>
      <c r="AY322" s="418">
        <v>0</v>
      </c>
      <c r="AZ322" s="418">
        <v>0</v>
      </c>
      <c r="BA322" s="418">
        <v>0</v>
      </c>
      <c r="BB322" s="418">
        <v>0</v>
      </c>
      <c r="BC322" s="418">
        <v>0</v>
      </c>
      <c r="BD322" s="418">
        <v>0</v>
      </c>
      <c r="BE322" s="418">
        <v>0</v>
      </c>
      <c r="BF322" s="418">
        <v>1</v>
      </c>
      <c r="BG322" s="418">
        <v>0</v>
      </c>
      <c r="BH322" s="418">
        <v>0</v>
      </c>
      <c r="BI322" s="418">
        <v>0</v>
      </c>
      <c r="BJ322" s="418">
        <v>0</v>
      </c>
      <c r="BK322" s="418">
        <v>0</v>
      </c>
      <c r="BL322" s="418">
        <v>0</v>
      </c>
      <c r="BM322" s="418">
        <v>0</v>
      </c>
      <c r="BN322" s="418">
        <v>0</v>
      </c>
      <c r="BO322" s="418">
        <v>0</v>
      </c>
      <c r="BP322" s="418">
        <v>0</v>
      </c>
      <c r="BQ322" s="418">
        <v>0</v>
      </c>
      <c r="BR322" s="418">
        <v>0</v>
      </c>
      <c r="BS322" s="418">
        <v>0</v>
      </c>
      <c r="BT322" s="418">
        <v>0</v>
      </c>
      <c r="BU322" s="418">
        <v>0</v>
      </c>
      <c r="BV322" s="418">
        <v>0</v>
      </c>
      <c r="BW322" s="418">
        <v>2</v>
      </c>
      <c r="BX322" s="418">
        <v>0</v>
      </c>
      <c r="BY322" s="418">
        <v>0</v>
      </c>
      <c r="BZ322" s="418">
        <v>0</v>
      </c>
      <c r="CA322" s="418">
        <v>0</v>
      </c>
      <c r="CB322" s="418">
        <v>0</v>
      </c>
    </row>
    <row r="323" spans="1:80" s="418" customFormat="1" ht="57.6" x14ac:dyDescent="0.3">
      <c r="A323" s="1052">
        <v>959</v>
      </c>
      <c r="B323" s="1053">
        <v>959</v>
      </c>
      <c r="C323" s="1095" t="s">
        <v>1867</v>
      </c>
      <c r="D323" s="1096" t="s">
        <v>921</v>
      </c>
      <c r="E323" s="1056"/>
      <c r="F323" s="1063">
        <v>2</v>
      </c>
      <c r="G323" s="1063">
        <v>2</v>
      </c>
      <c r="H323" s="1063">
        <v>3</v>
      </c>
      <c r="I323" s="1063">
        <v>2</v>
      </c>
      <c r="J323" s="1063">
        <v>0</v>
      </c>
      <c r="K323" s="1063">
        <v>0</v>
      </c>
      <c r="L323" s="1063">
        <v>0</v>
      </c>
      <c r="M323" s="1063">
        <v>0</v>
      </c>
      <c r="N323" s="1063">
        <v>2</v>
      </c>
      <c r="O323" s="1063">
        <v>2</v>
      </c>
      <c r="P323" s="1063">
        <v>2</v>
      </c>
      <c r="Q323" s="1063">
        <v>0</v>
      </c>
      <c r="R323" s="1063">
        <v>2</v>
      </c>
      <c r="S323" s="1063">
        <v>2</v>
      </c>
      <c r="T323" s="1063">
        <v>2</v>
      </c>
      <c r="U323" s="1063">
        <v>2</v>
      </c>
      <c r="V323" s="1063"/>
      <c r="W323" s="1049"/>
      <c r="X323" s="1049"/>
      <c r="Y323" s="1049"/>
      <c r="Z323" s="1049"/>
      <c r="AA323" s="1066"/>
      <c r="AT323" s="418">
        <v>2</v>
      </c>
      <c r="AU323" s="418">
        <v>2</v>
      </c>
      <c r="AV323" s="418">
        <v>3</v>
      </c>
      <c r="AW323" s="418">
        <v>3</v>
      </c>
      <c r="AX323" s="418">
        <v>2</v>
      </c>
      <c r="AY323" s="418">
        <v>2</v>
      </c>
      <c r="AZ323" s="418">
        <v>2</v>
      </c>
      <c r="BA323" s="418">
        <v>2</v>
      </c>
      <c r="BB323" s="418">
        <v>2</v>
      </c>
      <c r="BC323" s="418">
        <v>3</v>
      </c>
      <c r="BD323" s="418">
        <v>0</v>
      </c>
      <c r="BE323" s="418">
        <v>3</v>
      </c>
      <c r="BF323" s="418">
        <v>2</v>
      </c>
      <c r="BG323" s="418">
        <v>0</v>
      </c>
      <c r="BH323" s="418">
        <v>2</v>
      </c>
      <c r="BI323" s="418">
        <v>2</v>
      </c>
      <c r="BJ323" s="418">
        <v>2</v>
      </c>
      <c r="BK323" s="418">
        <v>0</v>
      </c>
      <c r="BL323" s="418">
        <v>2</v>
      </c>
      <c r="BM323" s="418">
        <v>2</v>
      </c>
      <c r="BN323" s="418">
        <v>3</v>
      </c>
      <c r="BO323" s="418">
        <v>2</v>
      </c>
      <c r="BP323" s="418">
        <v>2</v>
      </c>
      <c r="BQ323" s="418">
        <v>3</v>
      </c>
      <c r="BR323" s="418">
        <v>2</v>
      </c>
      <c r="BS323" s="418">
        <v>3</v>
      </c>
      <c r="BT323" s="418">
        <v>2</v>
      </c>
      <c r="BU323" s="418">
        <v>2</v>
      </c>
      <c r="BV323" s="418">
        <v>2</v>
      </c>
      <c r="BW323" s="418">
        <v>3</v>
      </c>
      <c r="BX323" s="418">
        <v>3</v>
      </c>
      <c r="BY323" s="418">
        <v>3</v>
      </c>
      <c r="BZ323" s="418">
        <v>2</v>
      </c>
      <c r="CA323" s="418">
        <v>2</v>
      </c>
      <c r="CB323" s="418">
        <v>2</v>
      </c>
    </row>
    <row r="324" spans="1:80" s="418" customFormat="1" ht="57.6" x14ac:dyDescent="0.3">
      <c r="A324" s="1052">
        <v>961</v>
      </c>
      <c r="B324" s="1053">
        <v>961</v>
      </c>
      <c r="C324" s="1095" t="s">
        <v>1867</v>
      </c>
      <c r="D324" s="1096" t="s">
        <v>922</v>
      </c>
      <c r="E324" s="1056"/>
      <c r="F324" s="1063">
        <v>2</v>
      </c>
      <c r="G324" s="1063">
        <v>2</v>
      </c>
      <c r="H324" s="1063">
        <v>3</v>
      </c>
      <c r="I324" s="1063">
        <v>2</v>
      </c>
      <c r="J324" s="1063">
        <v>0</v>
      </c>
      <c r="K324" s="1063">
        <v>0</v>
      </c>
      <c r="L324" s="1063">
        <v>0</v>
      </c>
      <c r="M324" s="1063">
        <v>0</v>
      </c>
      <c r="N324" s="1063">
        <v>2</v>
      </c>
      <c r="O324" s="1063">
        <v>2</v>
      </c>
      <c r="P324" s="1063">
        <v>2</v>
      </c>
      <c r="Q324" s="1063">
        <v>0</v>
      </c>
      <c r="R324" s="1063">
        <v>2</v>
      </c>
      <c r="S324" s="1063">
        <v>2</v>
      </c>
      <c r="T324" s="1063">
        <v>2</v>
      </c>
      <c r="U324" s="1063">
        <v>2</v>
      </c>
      <c r="V324" s="1063"/>
      <c r="W324" s="1049"/>
      <c r="X324" s="1049"/>
      <c r="Y324" s="1049"/>
      <c r="Z324" s="1049"/>
      <c r="AA324" s="1066"/>
      <c r="AT324" s="418">
        <v>2</v>
      </c>
      <c r="AU324" s="418">
        <v>2</v>
      </c>
      <c r="AV324" s="418">
        <v>2</v>
      </c>
      <c r="AW324" s="418">
        <v>2</v>
      </c>
      <c r="AX324" s="418">
        <v>2</v>
      </c>
      <c r="AY324" s="418">
        <v>2</v>
      </c>
      <c r="AZ324" s="418">
        <v>2</v>
      </c>
      <c r="BA324" s="418">
        <v>2</v>
      </c>
      <c r="BB324" s="418">
        <v>2</v>
      </c>
      <c r="BC324" s="418">
        <v>3</v>
      </c>
      <c r="BD324" s="418">
        <v>0</v>
      </c>
      <c r="BE324" s="418">
        <v>3</v>
      </c>
      <c r="BF324" s="418">
        <v>2</v>
      </c>
      <c r="BG324" s="418">
        <v>0</v>
      </c>
      <c r="BH324" s="418">
        <v>2</v>
      </c>
      <c r="BI324" s="418">
        <v>2</v>
      </c>
      <c r="BJ324" s="418">
        <v>2</v>
      </c>
      <c r="BK324" s="418">
        <v>0</v>
      </c>
      <c r="BL324" s="418">
        <v>2</v>
      </c>
      <c r="BM324" s="418">
        <v>2</v>
      </c>
      <c r="BN324" s="418">
        <v>3</v>
      </c>
      <c r="BO324" s="418">
        <v>2</v>
      </c>
      <c r="BP324" s="418">
        <v>2</v>
      </c>
      <c r="BQ324" s="418">
        <v>3</v>
      </c>
      <c r="BR324" s="418">
        <v>2</v>
      </c>
      <c r="BS324" s="418">
        <v>2</v>
      </c>
      <c r="BT324" s="418">
        <v>2</v>
      </c>
      <c r="BU324" s="418">
        <v>2</v>
      </c>
      <c r="BV324" s="418">
        <v>2</v>
      </c>
      <c r="BW324" s="418">
        <v>2</v>
      </c>
      <c r="BX324" s="418">
        <v>3</v>
      </c>
      <c r="BY324" s="418">
        <v>3</v>
      </c>
      <c r="BZ324" s="418">
        <v>3</v>
      </c>
      <c r="CA324" s="418">
        <v>2</v>
      </c>
      <c r="CB324" s="418">
        <v>2</v>
      </c>
    </row>
    <row r="325" spans="1:80" s="418" customFormat="1" x14ac:dyDescent="0.3">
      <c r="A325" s="1052">
        <v>963</v>
      </c>
      <c r="B325" s="1053">
        <v>963</v>
      </c>
      <c r="C325" s="1095" t="s">
        <v>1867</v>
      </c>
      <c r="D325" s="1096" t="s">
        <v>923</v>
      </c>
      <c r="E325" s="1056"/>
      <c r="F325" s="1063">
        <v>3</v>
      </c>
      <c r="G325" s="1063">
        <v>1</v>
      </c>
      <c r="H325" s="1063">
        <v>3</v>
      </c>
      <c r="I325" s="1063">
        <v>1</v>
      </c>
      <c r="J325" s="1063">
        <v>0</v>
      </c>
      <c r="K325" s="1063">
        <v>0</v>
      </c>
      <c r="L325" s="1063">
        <v>0</v>
      </c>
      <c r="M325" s="1063">
        <v>0</v>
      </c>
      <c r="N325" s="1063">
        <v>1</v>
      </c>
      <c r="O325" s="1063">
        <v>3</v>
      </c>
      <c r="P325" s="1063">
        <v>1</v>
      </c>
      <c r="Q325" s="1063">
        <v>0</v>
      </c>
      <c r="R325" s="1063">
        <v>1</v>
      </c>
      <c r="S325" s="1063">
        <v>1</v>
      </c>
      <c r="T325" s="1063">
        <v>1</v>
      </c>
      <c r="U325" s="1063">
        <v>1</v>
      </c>
      <c r="V325" s="1063"/>
      <c r="W325" s="1049"/>
      <c r="X325" s="1049"/>
      <c r="Y325" s="1049"/>
      <c r="Z325" s="1049"/>
      <c r="AA325" s="1066"/>
      <c r="AT325" s="418">
        <v>1</v>
      </c>
      <c r="AU325" s="418">
        <v>3</v>
      </c>
      <c r="AV325" s="418">
        <v>1</v>
      </c>
      <c r="AW325" s="418">
        <v>3</v>
      </c>
      <c r="AX325" s="418">
        <v>3</v>
      </c>
      <c r="AY325" s="418">
        <v>3</v>
      </c>
      <c r="AZ325" s="418">
        <v>3</v>
      </c>
      <c r="BA325" s="418">
        <v>2</v>
      </c>
      <c r="BB325" s="418">
        <v>3</v>
      </c>
      <c r="BC325" s="418">
        <v>3</v>
      </c>
      <c r="BD325" s="418">
        <v>0</v>
      </c>
      <c r="BE325" s="418">
        <v>3</v>
      </c>
      <c r="BF325" s="418">
        <v>1</v>
      </c>
      <c r="BG325" s="418">
        <v>0</v>
      </c>
      <c r="BH325" s="418">
        <v>3</v>
      </c>
      <c r="BI325" s="418">
        <v>1</v>
      </c>
      <c r="BJ325" s="418">
        <v>3</v>
      </c>
      <c r="BK325" s="418">
        <v>0</v>
      </c>
      <c r="BL325" s="418">
        <v>3</v>
      </c>
      <c r="BM325" s="418">
        <v>1</v>
      </c>
      <c r="BN325" s="418">
        <v>3</v>
      </c>
      <c r="BO325" s="418">
        <v>3</v>
      </c>
      <c r="BP325" s="418">
        <v>3</v>
      </c>
      <c r="BQ325" s="418">
        <v>3</v>
      </c>
      <c r="BR325" s="418">
        <v>1</v>
      </c>
      <c r="BS325" s="418">
        <v>1</v>
      </c>
      <c r="BT325" s="418">
        <v>3</v>
      </c>
      <c r="BU325" s="418">
        <v>3</v>
      </c>
      <c r="BV325" s="418">
        <v>3</v>
      </c>
      <c r="BW325" s="418">
        <v>3</v>
      </c>
      <c r="BX325" s="418">
        <v>3</v>
      </c>
      <c r="BY325" s="418">
        <v>3</v>
      </c>
      <c r="BZ325" s="418">
        <v>3</v>
      </c>
      <c r="CA325" s="418">
        <v>3</v>
      </c>
      <c r="CB325" s="418">
        <v>3</v>
      </c>
    </row>
    <row r="326" spans="1:80" s="418" customFormat="1" ht="28.8" x14ac:dyDescent="0.3">
      <c r="A326" s="1052">
        <v>965</v>
      </c>
      <c r="B326" s="1053">
        <v>965</v>
      </c>
      <c r="C326" s="1095" t="s">
        <v>1867</v>
      </c>
      <c r="D326" s="1096" t="s">
        <v>924</v>
      </c>
      <c r="E326" s="1056"/>
      <c r="F326" s="1063">
        <v>1</v>
      </c>
      <c r="G326" s="1063">
        <v>1</v>
      </c>
      <c r="H326" s="1063">
        <v>0</v>
      </c>
      <c r="I326" s="1063">
        <v>1</v>
      </c>
      <c r="J326" s="1063">
        <v>0</v>
      </c>
      <c r="K326" s="1063">
        <v>0</v>
      </c>
      <c r="L326" s="1063">
        <v>0</v>
      </c>
      <c r="M326" s="1063">
        <v>0</v>
      </c>
      <c r="N326" s="1063">
        <v>1</v>
      </c>
      <c r="O326" s="1063">
        <v>1</v>
      </c>
      <c r="P326" s="1063">
        <v>1</v>
      </c>
      <c r="Q326" s="1063">
        <v>0</v>
      </c>
      <c r="R326" s="1063">
        <v>2</v>
      </c>
      <c r="S326" s="1063">
        <v>1</v>
      </c>
      <c r="T326" s="1063">
        <v>1</v>
      </c>
      <c r="U326" s="1063">
        <v>1</v>
      </c>
      <c r="V326" s="1063"/>
      <c r="W326" s="1049"/>
      <c r="X326" s="1049"/>
      <c r="Y326" s="1049"/>
      <c r="Z326" s="1049"/>
      <c r="AA326" s="1066"/>
      <c r="AT326" s="418">
        <v>1</v>
      </c>
      <c r="AU326" s="418">
        <v>1</v>
      </c>
      <c r="AV326" s="418">
        <v>1</v>
      </c>
      <c r="AW326" s="418">
        <v>1</v>
      </c>
      <c r="AX326" s="418">
        <v>1</v>
      </c>
      <c r="AY326" s="418">
        <v>1</v>
      </c>
      <c r="AZ326" s="418">
        <v>1</v>
      </c>
      <c r="BA326" s="418">
        <v>1</v>
      </c>
      <c r="BB326" s="418">
        <v>1</v>
      </c>
      <c r="BC326" s="418">
        <v>1</v>
      </c>
      <c r="BD326" s="418">
        <v>0</v>
      </c>
      <c r="BE326" s="418">
        <v>1</v>
      </c>
      <c r="BF326" s="418">
        <v>1</v>
      </c>
      <c r="BG326" s="418">
        <v>0</v>
      </c>
      <c r="BH326" s="418">
        <v>1</v>
      </c>
      <c r="BI326" s="418">
        <v>1</v>
      </c>
      <c r="BJ326" s="418">
        <v>1</v>
      </c>
      <c r="BK326" s="418">
        <v>0</v>
      </c>
      <c r="BL326" s="418">
        <v>1</v>
      </c>
      <c r="BM326" s="418">
        <v>1</v>
      </c>
      <c r="BN326" s="418">
        <v>1</v>
      </c>
      <c r="BO326" s="418">
        <v>1</v>
      </c>
      <c r="BP326" s="418">
        <v>1</v>
      </c>
      <c r="BQ326" s="418">
        <v>1</v>
      </c>
      <c r="BR326" s="418">
        <v>1</v>
      </c>
      <c r="BS326" s="418">
        <v>1</v>
      </c>
      <c r="BT326" s="418">
        <v>1</v>
      </c>
      <c r="BU326" s="418">
        <v>1</v>
      </c>
      <c r="BV326" s="418">
        <v>1</v>
      </c>
      <c r="BW326" s="418">
        <v>1</v>
      </c>
      <c r="BX326" s="418">
        <v>1</v>
      </c>
      <c r="BY326" s="418">
        <v>1</v>
      </c>
      <c r="BZ326" s="418">
        <v>1</v>
      </c>
      <c r="CA326" s="418">
        <v>1</v>
      </c>
      <c r="CB326" s="418">
        <v>1</v>
      </c>
    </row>
    <row r="327" spans="1:80" s="418" customFormat="1" ht="28.8" x14ac:dyDescent="0.3">
      <c r="A327" s="1052">
        <v>603</v>
      </c>
      <c r="B327" s="1053">
        <v>603</v>
      </c>
      <c r="C327" s="1095" t="s">
        <v>1868</v>
      </c>
      <c r="D327" s="1096" t="s">
        <v>929</v>
      </c>
      <c r="E327" s="1056"/>
      <c r="F327" s="1063">
        <v>1</v>
      </c>
      <c r="G327" s="1063">
        <v>0</v>
      </c>
      <c r="H327" s="1063">
        <v>0</v>
      </c>
      <c r="I327" s="1063">
        <v>1</v>
      </c>
      <c r="J327" s="1063">
        <v>0</v>
      </c>
      <c r="K327" s="1063">
        <v>0</v>
      </c>
      <c r="L327" s="1063">
        <v>0</v>
      </c>
      <c r="M327" s="1063">
        <v>0</v>
      </c>
      <c r="N327" s="1063">
        <v>1</v>
      </c>
      <c r="O327" s="1063">
        <v>0</v>
      </c>
      <c r="P327" s="1063">
        <v>1</v>
      </c>
      <c r="Q327" s="1063">
        <v>0</v>
      </c>
      <c r="R327" s="1063">
        <v>1</v>
      </c>
      <c r="S327" s="1063">
        <v>1</v>
      </c>
      <c r="T327" s="1063">
        <v>1</v>
      </c>
      <c r="U327" s="1063">
        <v>0</v>
      </c>
      <c r="V327" s="1063"/>
      <c r="W327" s="1049"/>
      <c r="X327" s="1049"/>
      <c r="Y327" s="1049"/>
      <c r="Z327" s="1049"/>
      <c r="AA327" s="1066"/>
      <c r="AT327" s="418">
        <v>0</v>
      </c>
      <c r="AU327" s="418">
        <v>2</v>
      </c>
      <c r="AV327" s="418">
        <v>2</v>
      </c>
      <c r="AW327" s="418">
        <v>2</v>
      </c>
      <c r="AX327" s="418">
        <v>1</v>
      </c>
      <c r="AY327" s="418">
        <v>0</v>
      </c>
      <c r="AZ327" s="418">
        <v>2</v>
      </c>
      <c r="BA327" s="418">
        <v>4</v>
      </c>
      <c r="BB327" s="418">
        <v>5</v>
      </c>
      <c r="BC327" s="418">
        <v>0</v>
      </c>
      <c r="BD327" s="418">
        <v>0</v>
      </c>
      <c r="BE327" s="418">
        <v>0</v>
      </c>
      <c r="BF327" s="418">
        <v>4</v>
      </c>
      <c r="BG327" s="418">
        <v>0</v>
      </c>
      <c r="BH327" s="418">
        <v>0</v>
      </c>
      <c r="BI327" s="418">
        <v>0</v>
      </c>
      <c r="BJ327" s="418">
        <v>2</v>
      </c>
      <c r="BK327" s="418">
        <v>0</v>
      </c>
      <c r="BL327" s="418">
        <v>0</v>
      </c>
      <c r="BM327" s="418">
        <v>0</v>
      </c>
      <c r="BN327" s="418">
        <v>2</v>
      </c>
      <c r="BO327" s="418">
        <v>1</v>
      </c>
      <c r="BP327" s="418">
        <v>0</v>
      </c>
      <c r="BQ327" s="418">
        <v>2</v>
      </c>
      <c r="BR327" s="418">
        <v>1</v>
      </c>
      <c r="BS327" s="418">
        <v>0</v>
      </c>
      <c r="BT327" s="418">
        <v>1</v>
      </c>
      <c r="BU327" s="418">
        <v>1</v>
      </c>
      <c r="BV327" s="418">
        <v>0</v>
      </c>
      <c r="BW327" s="418">
        <v>4</v>
      </c>
      <c r="BX327" s="418">
        <v>0</v>
      </c>
      <c r="BY327" s="418">
        <v>2</v>
      </c>
      <c r="BZ327" s="418">
        <v>1</v>
      </c>
      <c r="CA327" s="418">
        <v>1</v>
      </c>
      <c r="CB327" s="418">
        <v>0</v>
      </c>
    </row>
    <row r="328" spans="1:80" s="418" customFormat="1" x14ac:dyDescent="0.3">
      <c r="A328" s="1052">
        <v>929</v>
      </c>
      <c r="B328" s="1053">
        <v>929</v>
      </c>
      <c r="C328" s="1095" t="s">
        <v>1868</v>
      </c>
      <c r="D328" s="1096" t="s">
        <v>925</v>
      </c>
      <c r="E328" s="1056"/>
      <c r="F328" s="1063">
        <v>2</v>
      </c>
      <c r="G328" s="1063">
        <v>0</v>
      </c>
      <c r="H328" s="1063">
        <v>0</v>
      </c>
      <c r="I328" s="1063">
        <v>2</v>
      </c>
      <c r="J328" s="1063">
        <v>0</v>
      </c>
      <c r="K328" s="1063">
        <v>0</v>
      </c>
      <c r="L328" s="1063">
        <v>0</v>
      </c>
      <c r="M328" s="1063">
        <v>0</v>
      </c>
      <c r="N328" s="1063">
        <v>2</v>
      </c>
      <c r="O328" s="1063">
        <v>0</v>
      </c>
      <c r="P328" s="1063">
        <v>2</v>
      </c>
      <c r="Q328" s="1063">
        <v>0</v>
      </c>
      <c r="R328" s="1063">
        <v>2</v>
      </c>
      <c r="S328" s="1063">
        <v>2</v>
      </c>
      <c r="T328" s="1063">
        <v>2</v>
      </c>
      <c r="U328" s="1063">
        <v>0</v>
      </c>
      <c r="V328" s="1063"/>
      <c r="W328" s="1049"/>
      <c r="X328" s="1049"/>
      <c r="Y328" s="1049"/>
      <c r="Z328" s="1049"/>
      <c r="AA328" s="1066"/>
      <c r="AT328" s="418">
        <v>0</v>
      </c>
      <c r="AU328" s="418">
        <v>1</v>
      </c>
      <c r="AV328" s="418">
        <v>2</v>
      </c>
      <c r="AW328" s="418">
        <v>2</v>
      </c>
      <c r="AX328" s="418">
        <v>2</v>
      </c>
      <c r="AY328" s="418">
        <v>0</v>
      </c>
      <c r="AZ328" s="418">
        <v>2</v>
      </c>
      <c r="BA328" s="418">
        <v>2</v>
      </c>
      <c r="BB328" s="418">
        <v>2</v>
      </c>
      <c r="BC328" s="418">
        <v>0</v>
      </c>
      <c r="BD328" s="418">
        <v>0</v>
      </c>
      <c r="BE328" s="418">
        <v>0</v>
      </c>
      <c r="BF328" s="418">
        <v>1</v>
      </c>
      <c r="BG328" s="418">
        <v>0</v>
      </c>
      <c r="BH328" s="418">
        <v>0</v>
      </c>
      <c r="BI328" s="418">
        <v>0</v>
      </c>
      <c r="BJ328" s="418">
        <v>2</v>
      </c>
      <c r="BK328" s="418">
        <v>0</v>
      </c>
      <c r="BL328" s="418">
        <v>0</v>
      </c>
      <c r="BM328" s="418">
        <v>0</v>
      </c>
      <c r="BN328" s="418">
        <v>2</v>
      </c>
      <c r="BO328" s="418">
        <v>2</v>
      </c>
      <c r="BP328" s="418">
        <v>0</v>
      </c>
      <c r="BQ328" s="418">
        <v>2</v>
      </c>
      <c r="BR328" s="418">
        <v>2</v>
      </c>
      <c r="BS328" s="418">
        <v>0</v>
      </c>
      <c r="BT328" s="418">
        <v>2</v>
      </c>
      <c r="BU328" s="418">
        <v>2</v>
      </c>
      <c r="BV328" s="418">
        <v>0</v>
      </c>
      <c r="BW328" s="418">
        <v>1</v>
      </c>
      <c r="BX328" s="418">
        <v>0</v>
      </c>
      <c r="BY328" s="418">
        <v>2</v>
      </c>
      <c r="BZ328" s="418">
        <v>2</v>
      </c>
      <c r="CA328" s="418">
        <v>2</v>
      </c>
      <c r="CB328" s="418">
        <v>0</v>
      </c>
    </row>
    <row r="329" spans="1:80" s="418" customFormat="1" x14ac:dyDescent="0.3">
      <c r="A329" s="1052">
        <v>930</v>
      </c>
      <c r="B329" s="1053">
        <v>930</v>
      </c>
      <c r="C329" s="1095" t="s">
        <v>1868</v>
      </c>
      <c r="D329" s="1096" t="s">
        <v>926</v>
      </c>
      <c r="E329" s="1056"/>
      <c r="F329" s="1063">
        <v>2</v>
      </c>
      <c r="G329" s="1063">
        <v>0</v>
      </c>
      <c r="H329" s="1063">
        <v>0</v>
      </c>
      <c r="I329" s="1063">
        <v>2</v>
      </c>
      <c r="J329" s="1063">
        <v>0</v>
      </c>
      <c r="K329" s="1063">
        <v>0</v>
      </c>
      <c r="L329" s="1063">
        <v>0</v>
      </c>
      <c r="M329" s="1063">
        <v>0</v>
      </c>
      <c r="N329" s="1063">
        <v>2</v>
      </c>
      <c r="O329" s="1063">
        <v>0</v>
      </c>
      <c r="P329" s="1063">
        <v>2</v>
      </c>
      <c r="Q329" s="1063">
        <v>0</v>
      </c>
      <c r="R329" s="1063">
        <v>2</v>
      </c>
      <c r="S329" s="1063">
        <v>2</v>
      </c>
      <c r="T329" s="1063">
        <v>2</v>
      </c>
      <c r="U329" s="1063">
        <v>0</v>
      </c>
      <c r="V329" s="1063"/>
      <c r="W329" s="1049"/>
      <c r="X329" s="1049"/>
      <c r="Y329" s="1049"/>
      <c r="Z329" s="1049"/>
      <c r="AA329" s="1066"/>
      <c r="AT329" s="418">
        <v>0</v>
      </c>
      <c r="AU329" s="418">
        <v>2</v>
      </c>
      <c r="AV329" s="418">
        <v>2</v>
      </c>
      <c r="AW329" s="418">
        <v>2</v>
      </c>
      <c r="AX329" s="418">
        <v>2</v>
      </c>
      <c r="AY329" s="418">
        <v>0</v>
      </c>
      <c r="AZ329" s="418">
        <v>2</v>
      </c>
      <c r="BA329" s="418">
        <v>1</v>
      </c>
      <c r="BB329" s="418">
        <v>1</v>
      </c>
      <c r="BC329" s="418">
        <v>0</v>
      </c>
      <c r="BD329" s="418">
        <v>0</v>
      </c>
      <c r="BE329" s="418">
        <v>0</v>
      </c>
      <c r="BF329" s="418">
        <v>2</v>
      </c>
      <c r="BG329" s="418">
        <v>0</v>
      </c>
      <c r="BH329" s="418">
        <v>0</v>
      </c>
      <c r="BI329" s="418">
        <v>0</v>
      </c>
      <c r="BJ329" s="418">
        <v>2</v>
      </c>
      <c r="BK329" s="418">
        <v>0</v>
      </c>
      <c r="BL329" s="418">
        <v>0</v>
      </c>
      <c r="BM329" s="418">
        <v>0</v>
      </c>
      <c r="BN329" s="418">
        <v>2</v>
      </c>
      <c r="BO329" s="418">
        <v>2</v>
      </c>
      <c r="BP329" s="418">
        <v>0</v>
      </c>
      <c r="BQ329" s="418">
        <v>2</v>
      </c>
      <c r="BR329" s="418">
        <v>2</v>
      </c>
      <c r="BS329" s="418">
        <v>0</v>
      </c>
      <c r="BT329" s="418">
        <v>2</v>
      </c>
      <c r="BU329" s="418">
        <v>2</v>
      </c>
      <c r="BV329" s="418">
        <v>0</v>
      </c>
      <c r="BW329" s="418">
        <v>2</v>
      </c>
      <c r="BX329" s="418">
        <v>0</v>
      </c>
      <c r="BY329" s="418">
        <v>2</v>
      </c>
      <c r="BZ329" s="418">
        <v>2</v>
      </c>
      <c r="CA329" s="418">
        <v>2</v>
      </c>
      <c r="CB329" s="418">
        <v>0</v>
      </c>
    </row>
    <row r="330" spans="1:80" s="418" customFormat="1" x14ac:dyDescent="0.3">
      <c r="A330" s="1052">
        <v>931</v>
      </c>
      <c r="B330" s="1053">
        <v>931</v>
      </c>
      <c r="C330" s="1095" t="s">
        <v>1868</v>
      </c>
      <c r="D330" s="1096" t="s">
        <v>927</v>
      </c>
      <c r="E330" s="1056"/>
      <c r="F330" s="1063">
        <v>2</v>
      </c>
      <c r="G330" s="1063">
        <v>0</v>
      </c>
      <c r="H330" s="1063">
        <v>0</v>
      </c>
      <c r="I330" s="1063">
        <v>2</v>
      </c>
      <c r="J330" s="1063">
        <v>0</v>
      </c>
      <c r="K330" s="1063">
        <v>0</v>
      </c>
      <c r="L330" s="1063">
        <v>0</v>
      </c>
      <c r="M330" s="1063">
        <v>0</v>
      </c>
      <c r="N330" s="1063">
        <v>2</v>
      </c>
      <c r="O330" s="1063">
        <v>0</v>
      </c>
      <c r="P330" s="1063">
        <v>2</v>
      </c>
      <c r="Q330" s="1063">
        <v>0</v>
      </c>
      <c r="R330" s="1063">
        <v>2</v>
      </c>
      <c r="S330" s="1063">
        <v>2</v>
      </c>
      <c r="T330" s="1063">
        <v>2</v>
      </c>
      <c r="U330" s="1063">
        <v>0</v>
      </c>
      <c r="V330" s="1063"/>
      <c r="W330" s="1049"/>
      <c r="X330" s="1049"/>
      <c r="Y330" s="1049"/>
      <c r="Z330" s="1049"/>
      <c r="AA330" s="1066"/>
      <c r="AT330" s="418">
        <v>0</v>
      </c>
      <c r="AU330" s="418">
        <v>2</v>
      </c>
      <c r="AV330" s="418">
        <v>2</v>
      </c>
      <c r="AW330" s="418">
        <v>2</v>
      </c>
      <c r="AX330" s="418">
        <v>2</v>
      </c>
      <c r="AY330" s="418">
        <v>0</v>
      </c>
      <c r="AZ330" s="418">
        <v>2</v>
      </c>
      <c r="BA330" s="418">
        <v>2</v>
      </c>
      <c r="BB330" s="418">
        <v>2</v>
      </c>
      <c r="BC330" s="418">
        <v>0</v>
      </c>
      <c r="BD330" s="418">
        <v>0</v>
      </c>
      <c r="BE330" s="418">
        <v>0</v>
      </c>
      <c r="BF330" s="418">
        <v>2</v>
      </c>
      <c r="BG330" s="418">
        <v>0</v>
      </c>
      <c r="BH330" s="418">
        <v>0</v>
      </c>
      <c r="BI330" s="418">
        <v>0</v>
      </c>
      <c r="BJ330" s="418">
        <v>2</v>
      </c>
      <c r="BK330" s="418">
        <v>0</v>
      </c>
      <c r="BL330" s="418">
        <v>0</v>
      </c>
      <c r="BM330" s="418">
        <v>0</v>
      </c>
      <c r="BN330" s="418">
        <v>2</v>
      </c>
      <c r="BO330" s="418">
        <v>2</v>
      </c>
      <c r="BP330" s="418">
        <v>0</v>
      </c>
      <c r="BQ330" s="418">
        <v>2</v>
      </c>
      <c r="BR330" s="418">
        <v>2</v>
      </c>
      <c r="BS330" s="418">
        <v>0</v>
      </c>
      <c r="BT330" s="418">
        <v>2</v>
      </c>
      <c r="BU330" s="418">
        <v>2</v>
      </c>
      <c r="BV330" s="418">
        <v>0</v>
      </c>
      <c r="BW330" s="418">
        <v>2</v>
      </c>
      <c r="BX330" s="418">
        <v>0</v>
      </c>
      <c r="BY330" s="418">
        <v>2</v>
      </c>
      <c r="BZ330" s="418">
        <v>2</v>
      </c>
      <c r="CA330" s="418">
        <v>2</v>
      </c>
      <c r="CB330" s="418">
        <v>0</v>
      </c>
    </row>
    <row r="331" spans="1:80" s="418" customFormat="1" x14ac:dyDescent="0.3">
      <c r="A331" s="1052">
        <v>932</v>
      </c>
      <c r="B331" s="1053">
        <v>932</v>
      </c>
      <c r="C331" s="1095" t="s">
        <v>1868</v>
      </c>
      <c r="D331" s="1096" t="s">
        <v>928</v>
      </c>
      <c r="E331" s="1056"/>
      <c r="F331" s="1063">
        <v>2</v>
      </c>
      <c r="G331" s="1063">
        <v>0</v>
      </c>
      <c r="H331" s="1063">
        <v>0</v>
      </c>
      <c r="I331" s="1063">
        <v>2</v>
      </c>
      <c r="J331" s="1063">
        <v>0</v>
      </c>
      <c r="K331" s="1063">
        <v>0</v>
      </c>
      <c r="L331" s="1063">
        <v>0</v>
      </c>
      <c r="M331" s="1063">
        <v>0</v>
      </c>
      <c r="N331" s="1063">
        <v>2</v>
      </c>
      <c r="O331" s="1063">
        <v>0</v>
      </c>
      <c r="P331" s="1063">
        <v>2</v>
      </c>
      <c r="Q331" s="1063">
        <v>0</v>
      </c>
      <c r="R331" s="1063">
        <v>2</v>
      </c>
      <c r="S331" s="1063">
        <v>2</v>
      </c>
      <c r="T331" s="1063">
        <v>2</v>
      </c>
      <c r="U331" s="1063">
        <v>0</v>
      </c>
      <c r="V331" s="1063"/>
      <c r="W331" s="1049"/>
      <c r="X331" s="1049"/>
      <c r="Y331" s="1049"/>
      <c r="Z331" s="1049"/>
      <c r="AA331" s="1066"/>
      <c r="AT331" s="418">
        <v>0</v>
      </c>
      <c r="AU331" s="418">
        <v>2</v>
      </c>
      <c r="AV331" s="418">
        <v>2</v>
      </c>
      <c r="AW331" s="418">
        <v>2</v>
      </c>
      <c r="AX331" s="418">
        <v>2</v>
      </c>
      <c r="AY331" s="418">
        <v>0</v>
      </c>
      <c r="AZ331" s="418">
        <v>2</v>
      </c>
      <c r="BA331" s="418">
        <v>2</v>
      </c>
      <c r="BB331" s="418">
        <v>1</v>
      </c>
      <c r="BC331" s="418">
        <v>0</v>
      </c>
      <c r="BD331" s="418">
        <v>0</v>
      </c>
      <c r="BE331" s="418">
        <v>0</v>
      </c>
      <c r="BF331" s="418">
        <v>2</v>
      </c>
      <c r="BG331" s="418">
        <v>0</v>
      </c>
      <c r="BH331" s="418">
        <v>0</v>
      </c>
      <c r="BI331" s="418">
        <v>0</v>
      </c>
      <c r="BJ331" s="418">
        <v>2</v>
      </c>
      <c r="BK331" s="418">
        <v>0</v>
      </c>
      <c r="BL331" s="418">
        <v>0</v>
      </c>
      <c r="BM331" s="418">
        <v>0</v>
      </c>
      <c r="BN331" s="418">
        <v>2</v>
      </c>
      <c r="BO331" s="418">
        <v>2</v>
      </c>
      <c r="BP331" s="418">
        <v>0</v>
      </c>
      <c r="BQ331" s="418">
        <v>2</v>
      </c>
      <c r="BR331" s="418">
        <v>2</v>
      </c>
      <c r="BS331" s="418">
        <v>0</v>
      </c>
      <c r="BT331" s="418">
        <v>2</v>
      </c>
      <c r="BU331" s="418">
        <v>2</v>
      </c>
      <c r="BV331" s="418">
        <v>0</v>
      </c>
      <c r="BW331" s="418">
        <v>2</v>
      </c>
      <c r="BX331" s="418">
        <v>0</v>
      </c>
      <c r="BY331" s="418">
        <v>2</v>
      </c>
      <c r="BZ331" s="418">
        <v>2</v>
      </c>
      <c r="CA331" s="418">
        <v>2</v>
      </c>
      <c r="CB331" s="418">
        <v>0</v>
      </c>
    </row>
    <row r="332" spans="1:80" s="418" customFormat="1" x14ac:dyDescent="0.3">
      <c r="A332" s="1052" t="s">
        <v>1869</v>
      </c>
      <c r="B332" s="1049"/>
      <c r="C332" s="1095"/>
      <c r="D332" s="1096"/>
      <c r="E332" s="1056"/>
      <c r="F332" s="1049"/>
      <c r="G332" s="1049"/>
      <c r="H332" s="1049"/>
      <c r="I332" s="1049"/>
      <c r="J332" s="1049"/>
      <c r="K332" s="1049"/>
      <c r="L332" s="1049"/>
      <c r="M332" s="1049"/>
      <c r="N332" s="1049"/>
      <c r="O332" s="1049"/>
      <c r="P332" s="1049"/>
      <c r="Q332" s="1049"/>
      <c r="R332" s="1049"/>
      <c r="S332" s="1049"/>
      <c r="T332" s="1049"/>
      <c r="U332" s="1049"/>
      <c r="V332" s="1049"/>
      <c r="W332" s="1049"/>
      <c r="X332" s="1049"/>
      <c r="Y332" s="1049"/>
      <c r="Z332" s="1049"/>
      <c r="AA332" s="1066"/>
    </row>
    <row r="333" spans="1:80" s="418" customFormat="1" x14ac:dyDescent="0.3">
      <c r="A333" s="1052" t="s">
        <v>1869</v>
      </c>
      <c r="B333" s="1049"/>
      <c r="C333" s="1049"/>
      <c r="D333" s="1052"/>
      <c r="E333" s="1049"/>
      <c r="F333" s="1049"/>
      <c r="G333" s="1049"/>
      <c r="H333" s="1049"/>
      <c r="I333" s="1049"/>
      <c r="J333" s="1049"/>
      <c r="K333" s="1049"/>
      <c r="L333" s="1049"/>
      <c r="M333" s="1049"/>
      <c r="N333" s="1049"/>
      <c r="O333" s="1049"/>
      <c r="P333" s="1049"/>
      <c r="Q333" s="1049"/>
      <c r="R333" s="1049"/>
      <c r="S333" s="1049"/>
      <c r="T333" s="1049"/>
      <c r="U333" s="1049"/>
      <c r="V333" s="1049"/>
      <c r="W333" s="1049"/>
      <c r="X333" s="1049"/>
      <c r="Y333" s="1049"/>
      <c r="Z333" s="1049"/>
      <c r="AA333" s="1066"/>
    </row>
    <row r="334" spans="1:80" s="418" customFormat="1" x14ac:dyDescent="0.3">
      <c r="A334" s="1097" t="s">
        <v>1870</v>
      </c>
      <c r="B334" s="1098"/>
      <c r="C334" s="1099"/>
      <c r="D334" s="1100" t="s">
        <v>1107</v>
      </c>
      <c r="E334" s="1049"/>
      <c r="F334" s="1063">
        <v>0</v>
      </c>
      <c r="G334" s="1063">
        <v>0</v>
      </c>
      <c r="H334" s="1063">
        <v>0</v>
      </c>
      <c r="I334" s="1063">
        <v>0</v>
      </c>
      <c r="J334" s="1063">
        <v>0</v>
      </c>
      <c r="K334" s="1063">
        <v>0</v>
      </c>
      <c r="L334" s="1063">
        <v>0</v>
      </c>
      <c r="M334" s="1063">
        <v>0</v>
      </c>
      <c r="N334" s="1063">
        <v>0</v>
      </c>
      <c r="O334" s="1063">
        <v>0</v>
      </c>
      <c r="P334" s="1063"/>
      <c r="Q334" s="1063">
        <v>0</v>
      </c>
      <c r="R334" s="1063">
        <v>0</v>
      </c>
      <c r="S334" s="1063">
        <v>0</v>
      </c>
      <c r="T334" s="1063">
        <v>0</v>
      </c>
      <c r="U334" s="1063">
        <v>0</v>
      </c>
      <c r="V334" s="1063">
        <v>0</v>
      </c>
      <c r="W334" s="1049"/>
      <c r="X334" s="1049"/>
      <c r="Y334" s="1049"/>
      <c r="Z334" s="1049"/>
      <c r="AA334" s="1066"/>
      <c r="AT334" s="418">
        <v>654841</v>
      </c>
      <c r="AU334" s="418">
        <v>4781660</v>
      </c>
      <c r="AV334" s="418">
        <v>10864000</v>
      </c>
      <c r="AW334" s="418">
        <v>115739</v>
      </c>
      <c r="AX334" s="418">
        <v>840880</v>
      </c>
      <c r="AY334" s="418">
        <v>2915717</v>
      </c>
      <c r="AZ334" s="418">
        <v>4073079</v>
      </c>
      <c r="BA334" s="418">
        <v>4113437</v>
      </c>
      <c r="BB334" s="418">
        <v>52028</v>
      </c>
      <c r="BC334" s="418">
        <v>2494601</v>
      </c>
      <c r="BD334" s="418">
        <v>0</v>
      </c>
      <c r="BE334" s="418">
        <v>67554</v>
      </c>
      <c r="BF334" s="418">
        <v>27708342</v>
      </c>
      <c r="BG334" s="418">
        <v>0</v>
      </c>
      <c r="BH334" s="418">
        <v>47685</v>
      </c>
      <c r="BI334" s="418">
        <v>3009729</v>
      </c>
      <c r="BJ334" s="418">
        <v>2485704</v>
      </c>
      <c r="BK334" s="418">
        <v>0</v>
      </c>
      <c r="BL334" s="418">
        <v>9454369</v>
      </c>
      <c r="BM334" s="418">
        <v>4163206</v>
      </c>
      <c r="BN334" s="418">
        <v>40551</v>
      </c>
      <c r="BO334" s="418">
        <v>6868959</v>
      </c>
      <c r="BP334" s="418">
        <v>1565361</v>
      </c>
      <c r="BQ334" s="418">
        <v>1043552</v>
      </c>
      <c r="BR334" s="418">
        <v>1983298</v>
      </c>
      <c r="BS334" s="418">
        <v>1104978</v>
      </c>
      <c r="BT334" s="418">
        <v>25453289</v>
      </c>
      <c r="BU334" s="418">
        <v>2020087</v>
      </c>
      <c r="BV334" s="418">
        <v>2776433</v>
      </c>
      <c r="BW334" s="418">
        <v>1435483</v>
      </c>
      <c r="BX334" s="418">
        <v>782442</v>
      </c>
      <c r="BY334" s="418">
        <v>31281</v>
      </c>
      <c r="BZ334" s="418">
        <v>40519</v>
      </c>
      <c r="CA334" s="418">
        <v>18193742</v>
      </c>
      <c r="CB334" s="418">
        <v>157054</v>
      </c>
    </row>
    <row r="335" spans="1:80" s="418" customFormat="1" x14ac:dyDescent="0.3">
      <c r="A335" s="1097"/>
      <c r="B335" s="1098"/>
      <c r="C335" s="1099"/>
      <c r="D335" s="1099"/>
      <c r="E335" s="1049"/>
      <c r="F335" s="1101" t="b">
        <v>0</v>
      </c>
      <c r="G335" s="1101" t="b">
        <v>0</v>
      </c>
      <c r="H335" s="1101" t="b">
        <v>0</v>
      </c>
      <c r="I335" s="1101" t="b">
        <v>0</v>
      </c>
      <c r="J335" s="1101" t="b">
        <v>0</v>
      </c>
      <c r="K335" s="1101" t="b">
        <v>0</v>
      </c>
      <c r="L335" s="1101" t="b">
        <v>0</v>
      </c>
      <c r="M335" s="1101" t="b">
        <v>0</v>
      </c>
      <c r="N335" s="1101" t="b">
        <v>0</v>
      </c>
      <c r="O335" s="1101" t="b">
        <v>0</v>
      </c>
      <c r="P335" s="1101"/>
      <c r="Q335" s="1101" t="b">
        <v>0</v>
      </c>
      <c r="R335" s="1101" t="b">
        <v>0</v>
      </c>
      <c r="S335" s="1101" t="b">
        <v>0</v>
      </c>
      <c r="T335" s="1101" t="b">
        <v>0</v>
      </c>
      <c r="U335" s="1101" t="b">
        <v>0</v>
      </c>
      <c r="V335" s="1101" t="b">
        <v>0</v>
      </c>
      <c r="W335" s="1049"/>
      <c r="X335" s="1049"/>
      <c r="Y335" s="1049"/>
      <c r="Z335" s="1049"/>
      <c r="AA335" s="1066"/>
      <c r="AT335" s="418" t="s">
        <v>1281</v>
      </c>
      <c r="AU335" s="418" t="s">
        <v>1279</v>
      </c>
      <c r="AV335" s="418" t="s">
        <v>1280</v>
      </c>
      <c r="AW335" s="418" t="s">
        <v>1281</v>
      </c>
      <c r="AX335" s="418" t="s">
        <v>1281</v>
      </c>
      <c r="AY335" s="418" t="s">
        <v>1279</v>
      </c>
      <c r="AZ335" s="418" t="s">
        <v>1279</v>
      </c>
      <c r="BA335" s="418" t="s">
        <v>1279</v>
      </c>
      <c r="BB335" s="418" t="s">
        <v>1282</v>
      </c>
      <c r="BC335" s="418" t="s">
        <v>1279</v>
      </c>
      <c r="BD335" s="418" t="b">
        <v>0</v>
      </c>
      <c r="BE335" s="418" t="s">
        <v>1282</v>
      </c>
      <c r="BF335" s="418" t="s">
        <v>1280</v>
      </c>
      <c r="BG335" s="418" t="b">
        <v>0</v>
      </c>
      <c r="BH335" s="418" t="s">
        <v>1282</v>
      </c>
      <c r="BI335" s="418" t="s">
        <v>1279</v>
      </c>
      <c r="BJ335" s="418" t="s">
        <v>1279</v>
      </c>
      <c r="BK335" s="418" t="b">
        <v>0</v>
      </c>
      <c r="BL335" s="418" t="s">
        <v>1279</v>
      </c>
      <c r="BM335" s="418" t="s">
        <v>1279</v>
      </c>
      <c r="BN335" s="418" t="s">
        <v>1282</v>
      </c>
      <c r="BO335" s="418" t="s">
        <v>1279</v>
      </c>
      <c r="BP335" s="418" t="s">
        <v>1279</v>
      </c>
      <c r="BQ335" s="418" t="s">
        <v>1279</v>
      </c>
      <c r="BR335" s="418" t="s">
        <v>1279</v>
      </c>
      <c r="BS335" s="418" t="s">
        <v>1279</v>
      </c>
      <c r="BT335" s="418" t="s">
        <v>1280</v>
      </c>
      <c r="BU335" s="418" t="s">
        <v>1279</v>
      </c>
      <c r="BV335" s="418" t="s">
        <v>1279</v>
      </c>
      <c r="BW335" s="418" t="s">
        <v>1279</v>
      </c>
      <c r="BX335" s="418" t="s">
        <v>1281</v>
      </c>
      <c r="BY335" s="418" t="s">
        <v>1282</v>
      </c>
      <c r="BZ335" s="418" t="s">
        <v>1282</v>
      </c>
      <c r="CA335" s="418" t="s">
        <v>1280</v>
      </c>
      <c r="CB335" s="418" t="s">
        <v>1281</v>
      </c>
    </row>
    <row r="336" spans="1:80" s="421" customFormat="1" x14ac:dyDescent="0.3">
      <c r="A336" s="1097"/>
      <c r="B336" s="1098"/>
      <c r="C336" s="1099"/>
      <c r="D336" s="1099"/>
      <c r="E336" s="1049"/>
      <c r="F336" s="1101" t="b">
        <v>0</v>
      </c>
      <c r="G336" s="1101" t="b">
        <v>0</v>
      </c>
      <c r="H336" s="1101" t="b">
        <v>0</v>
      </c>
      <c r="I336" s="1101" t="b">
        <v>0</v>
      </c>
      <c r="J336" s="1101" t="b">
        <v>0</v>
      </c>
      <c r="K336" s="1101" t="b">
        <v>0</v>
      </c>
      <c r="L336" s="1101" t="b">
        <v>0</v>
      </c>
      <c r="M336" s="1101" t="b">
        <v>0</v>
      </c>
      <c r="N336" s="1101" t="b">
        <v>0</v>
      </c>
      <c r="O336" s="1101" t="b">
        <v>0</v>
      </c>
      <c r="P336" s="1101"/>
      <c r="Q336" s="1101" t="b">
        <v>0</v>
      </c>
      <c r="R336" s="1101" t="b">
        <v>0</v>
      </c>
      <c r="S336" s="1101" t="b">
        <v>0</v>
      </c>
      <c r="T336" s="1101" t="b">
        <v>0</v>
      </c>
      <c r="U336" s="1101" t="b">
        <v>0</v>
      </c>
      <c r="V336" s="1101" t="b">
        <v>0</v>
      </c>
      <c r="W336" s="1049"/>
      <c r="X336" s="1049"/>
      <c r="Y336" s="1049"/>
      <c r="Z336" s="1049"/>
      <c r="AA336" s="1066"/>
      <c r="AT336" s="421">
        <v>0.71</v>
      </c>
      <c r="AU336" s="421">
        <v>0.34</v>
      </c>
      <c r="AV336" s="421">
        <v>0.25</v>
      </c>
      <c r="AW336" s="421">
        <v>0.71</v>
      </c>
      <c r="AX336" s="421">
        <v>0.71</v>
      </c>
      <c r="AY336" s="421">
        <v>0.34</v>
      </c>
      <c r="AZ336" s="421">
        <v>0.34</v>
      </c>
      <c r="BA336" s="421">
        <v>0.34</v>
      </c>
      <c r="BB336" s="421">
        <v>1</v>
      </c>
      <c r="BC336" s="421">
        <v>0.34</v>
      </c>
      <c r="BE336" s="421">
        <v>1</v>
      </c>
      <c r="BF336" s="421">
        <v>0.25</v>
      </c>
      <c r="BH336" s="421">
        <v>1</v>
      </c>
      <c r="BI336" s="421">
        <v>0.34</v>
      </c>
      <c r="BJ336" s="421">
        <v>0.34</v>
      </c>
      <c r="BL336" s="421">
        <v>0.34</v>
      </c>
      <c r="BM336" s="421">
        <v>0.34</v>
      </c>
      <c r="BN336" s="421">
        <v>1</v>
      </c>
      <c r="BO336" s="421">
        <v>0.34</v>
      </c>
      <c r="BP336" s="421">
        <v>0.34</v>
      </c>
      <c r="BQ336" s="421">
        <v>0.34</v>
      </c>
      <c r="BR336" s="421">
        <v>0.34</v>
      </c>
      <c r="BS336" s="421">
        <v>0.34</v>
      </c>
      <c r="BT336" s="421">
        <v>0.25</v>
      </c>
      <c r="BU336" s="421">
        <v>0.34</v>
      </c>
      <c r="BV336" s="421">
        <v>0.34</v>
      </c>
      <c r="BW336" s="421">
        <v>0.34</v>
      </c>
      <c r="BX336" s="421">
        <v>0.71</v>
      </c>
      <c r="BY336" s="421">
        <v>1</v>
      </c>
      <c r="BZ336" s="421">
        <v>1</v>
      </c>
      <c r="CA336" s="421">
        <v>0.25</v>
      </c>
      <c r="CB336" s="421">
        <v>0.71</v>
      </c>
    </row>
    <row r="337" spans="1:80" s="418" customFormat="1" x14ac:dyDescent="0.3">
      <c r="A337" s="1097" t="s">
        <v>1108</v>
      </c>
      <c r="B337" s="1098"/>
      <c r="C337" s="1099"/>
      <c r="D337" s="1102" t="s">
        <v>875</v>
      </c>
      <c r="E337" s="1049"/>
      <c r="F337" s="1063">
        <v>0</v>
      </c>
      <c r="G337" s="1063">
        <v>0</v>
      </c>
      <c r="H337" s="1063">
        <v>0</v>
      </c>
      <c r="I337" s="1063">
        <v>0</v>
      </c>
      <c r="J337" s="1063">
        <v>0</v>
      </c>
      <c r="K337" s="1063">
        <v>0</v>
      </c>
      <c r="L337" s="1063">
        <v>0</v>
      </c>
      <c r="M337" s="1063">
        <v>0</v>
      </c>
      <c r="N337" s="1063">
        <v>0</v>
      </c>
      <c r="O337" s="1063">
        <v>0</v>
      </c>
      <c r="P337" s="1063"/>
      <c r="Q337" s="1063">
        <v>0</v>
      </c>
      <c r="R337" s="1063">
        <v>0</v>
      </c>
      <c r="S337" s="1063">
        <v>0</v>
      </c>
      <c r="T337" s="1063">
        <v>0</v>
      </c>
      <c r="U337" s="1063">
        <v>0</v>
      </c>
      <c r="V337" s="1063">
        <v>0</v>
      </c>
      <c r="W337" s="1049"/>
      <c r="X337" s="1049"/>
      <c r="Y337" s="1049"/>
      <c r="Z337" s="1049"/>
      <c r="AA337" s="1066"/>
      <c r="AT337" s="418">
        <v>412481</v>
      </c>
      <c r="AU337" s="418">
        <v>2192428</v>
      </c>
      <c r="AV337" s="418">
        <v>4701269</v>
      </c>
      <c r="AW337" s="418">
        <v>146537</v>
      </c>
      <c r="AX337" s="418">
        <v>413815</v>
      </c>
      <c r="AY337" s="418">
        <v>3160183</v>
      </c>
      <c r="AZ337" s="418">
        <v>2171978</v>
      </c>
      <c r="BA337" s="418">
        <v>1034112</v>
      </c>
      <c r="BB337" s="418">
        <v>98139</v>
      </c>
      <c r="BC337" s="418">
        <v>1275706</v>
      </c>
      <c r="BD337" s="418">
        <v>0</v>
      </c>
      <c r="BE337" s="418">
        <v>380544</v>
      </c>
      <c r="BF337" s="418">
        <v>2580625</v>
      </c>
      <c r="BG337" s="418">
        <v>0</v>
      </c>
      <c r="BH337" s="418">
        <v>151938</v>
      </c>
      <c r="BI337" s="418">
        <v>2696780</v>
      </c>
      <c r="BJ337" s="418">
        <v>3219557</v>
      </c>
      <c r="BK337" s="418">
        <v>0</v>
      </c>
      <c r="BL337" s="418">
        <v>2466858</v>
      </c>
      <c r="BM337" s="418">
        <v>5673126</v>
      </c>
      <c r="BN337" s="418">
        <v>136189</v>
      </c>
      <c r="BO337" s="418">
        <v>3306575</v>
      </c>
      <c r="BP337" s="418">
        <v>3353718</v>
      </c>
      <c r="BQ337" s="418">
        <v>1460119</v>
      </c>
      <c r="BR337" s="418">
        <v>2534604</v>
      </c>
      <c r="BS337" s="418">
        <v>2035149</v>
      </c>
      <c r="BT337" s="418">
        <v>8873551</v>
      </c>
      <c r="BU337" s="418">
        <v>2107484</v>
      </c>
      <c r="BV337" s="418">
        <v>1610680</v>
      </c>
      <c r="BW337" s="418">
        <v>938874</v>
      </c>
      <c r="BX337" s="418">
        <v>807990</v>
      </c>
      <c r="BY337" s="418">
        <v>165153</v>
      </c>
      <c r="BZ337" s="418">
        <v>192770</v>
      </c>
      <c r="CA337" s="418">
        <v>12254939</v>
      </c>
      <c r="CB337" s="418">
        <v>94313</v>
      </c>
    </row>
    <row r="338" spans="1:80" s="418" customFormat="1" x14ac:dyDescent="0.3">
      <c r="A338" s="1097" t="s">
        <v>763</v>
      </c>
      <c r="B338" s="1098"/>
      <c r="C338" s="1099"/>
      <c r="D338" s="1102" t="s">
        <v>768</v>
      </c>
      <c r="E338" s="1049"/>
      <c r="F338" s="1063">
        <v>0</v>
      </c>
      <c r="G338" s="1063">
        <v>0</v>
      </c>
      <c r="H338" s="1063">
        <v>0</v>
      </c>
      <c r="I338" s="1063">
        <v>0</v>
      </c>
      <c r="J338" s="1063">
        <v>0</v>
      </c>
      <c r="K338" s="1063">
        <v>0</v>
      </c>
      <c r="L338" s="1063">
        <v>0</v>
      </c>
      <c r="M338" s="1063">
        <v>0</v>
      </c>
      <c r="N338" s="1063">
        <v>0</v>
      </c>
      <c r="O338" s="1063">
        <v>0</v>
      </c>
      <c r="P338" s="1063"/>
      <c r="Q338" s="1063">
        <v>0</v>
      </c>
      <c r="R338" s="1063">
        <v>0</v>
      </c>
      <c r="S338" s="1063">
        <v>0</v>
      </c>
      <c r="T338" s="1063">
        <v>0</v>
      </c>
      <c r="U338" s="1063">
        <v>0</v>
      </c>
      <c r="V338" s="1063">
        <v>0</v>
      </c>
      <c r="W338" s="1049"/>
      <c r="X338" s="1049"/>
      <c r="Y338" s="1049"/>
      <c r="Z338" s="1049"/>
      <c r="AA338" s="1066"/>
      <c r="AT338" s="418">
        <v>654841</v>
      </c>
      <c r="AU338" s="418">
        <v>4781660</v>
      </c>
      <c r="AV338" s="418">
        <v>10864000</v>
      </c>
      <c r="AW338" s="418">
        <v>115739</v>
      </c>
      <c r="AX338" s="418">
        <v>840880</v>
      </c>
      <c r="AY338" s="418">
        <v>2915717</v>
      </c>
      <c r="AZ338" s="418">
        <v>4073079</v>
      </c>
      <c r="BA338" s="418">
        <v>4113437</v>
      </c>
      <c r="BB338" s="418">
        <v>52028</v>
      </c>
      <c r="BC338" s="418">
        <v>2494601</v>
      </c>
      <c r="BD338" s="418">
        <v>0</v>
      </c>
      <c r="BE338" s="418">
        <v>67554</v>
      </c>
      <c r="BF338" s="418">
        <v>27708342</v>
      </c>
      <c r="BG338" s="418">
        <v>0</v>
      </c>
      <c r="BH338" s="418">
        <v>47685</v>
      </c>
      <c r="BI338" s="418">
        <v>3009729</v>
      </c>
      <c r="BJ338" s="418">
        <v>2485704</v>
      </c>
      <c r="BK338" s="418">
        <v>0</v>
      </c>
      <c r="BL338" s="418">
        <v>9454369</v>
      </c>
      <c r="BM338" s="418">
        <v>4163206</v>
      </c>
      <c r="BN338" s="418">
        <v>40551</v>
      </c>
      <c r="BO338" s="418">
        <v>6868959</v>
      </c>
      <c r="BP338" s="418">
        <v>1565361</v>
      </c>
      <c r="BQ338" s="418">
        <v>1043552</v>
      </c>
      <c r="BR338" s="418">
        <v>1983298</v>
      </c>
      <c r="BS338" s="418">
        <v>1104978</v>
      </c>
      <c r="BT338" s="418">
        <v>25453289</v>
      </c>
      <c r="BU338" s="418">
        <v>2020087</v>
      </c>
      <c r="BV338" s="418">
        <v>2776433</v>
      </c>
      <c r="BW338" s="418">
        <v>1435483</v>
      </c>
      <c r="BX338" s="418">
        <v>782442</v>
      </c>
      <c r="BY338" s="418">
        <v>31281</v>
      </c>
      <c r="BZ338" s="418">
        <v>40519</v>
      </c>
      <c r="CA338" s="418">
        <v>18193742</v>
      </c>
      <c r="CB338" s="418">
        <v>157054</v>
      </c>
    </row>
    <row r="339" spans="1:80" s="421" customFormat="1" x14ac:dyDescent="0.3">
      <c r="A339" s="1097" t="s">
        <v>1109</v>
      </c>
      <c r="B339" s="1098"/>
      <c r="C339" s="1099"/>
      <c r="D339" s="1103" t="s">
        <v>874</v>
      </c>
      <c r="E339" s="1049"/>
      <c r="F339" s="1104" t="e">
        <v>#DIV/0!</v>
      </c>
      <c r="G339" s="1104" t="e">
        <v>#DIV/0!</v>
      </c>
      <c r="H339" s="1104" t="e">
        <v>#DIV/0!</v>
      </c>
      <c r="I339" s="1104" t="e">
        <v>#DIV/0!</v>
      </c>
      <c r="J339" s="1104" t="e">
        <v>#DIV/0!</v>
      </c>
      <c r="K339" s="1104" t="e">
        <v>#DIV/0!</v>
      </c>
      <c r="L339" s="1104" t="e">
        <v>#DIV/0!</v>
      </c>
      <c r="M339" s="1104" t="e">
        <v>#DIV/0!</v>
      </c>
      <c r="N339" s="1104" t="e">
        <v>#DIV/0!</v>
      </c>
      <c r="O339" s="1104" t="e">
        <v>#DIV/0!</v>
      </c>
      <c r="P339" s="1104"/>
      <c r="Q339" s="1104" t="e">
        <v>#DIV/0!</v>
      </c>
      <c r="R339" s="1104" t="e">
        <v>#DIV/0!</v>
      </c>
      <c r="S339" s="1104" t="e">
        <v>#DIV/0!</v>
      </c>
      <c r="T339" s="1104" t="e">
        <v>#DIV/0!</v>
      </c>
      <c r="U339" s="1104" t="e">
        <v>#DIV/0!</v>
      </c>
      <c r="V339" s="1104" t="e">
        <v>#DIV/0!</v>
      </c>
      <c r="W339" s="1049"/>
      <c r="X339" s="1049"/>
      <c r="Y339" s="1049"/>
      <c r="Z339" s="1049"/>
      <c r="AA339" s="1066"/>
      <c r="AT339" s="421">
        <v>0.62989489051540759</v>
      </c>
      <c r="AU339" s="421">
        <v>0.45850771489399078</v>
      </c>
      <c r="AV339" s="421">
        <v>0.43273831001472757</v>
      </c>
      <c r="AW339" s="421">
        <v>1.2660987221247808</v>
      </c>
      <c r="AX339" s="421">
        <v>0.49212134906288652</v>
      </c>
      <c r="AY339" s="421">
        <v>1.0838442139617803</v>
      </c>
      <c r="AZ339" s="421">
        <v>0.53325211713300924</v>
      </c>
      <c r="BA339" s="421">
        <v>0.25139852634184018</v>
      </c>
      <c r="BB339" s="421">
        <v>1.8862727761974321</v>
      </c>
      <c r="BC339" s="421">
        <v>0.51138679091365713</v>
      </c>
      <c r="BD339" s="421" t="e">
        <v>#DIV/0!</v>
      </c>
      <c r="BE339" s="421">
        <v>5.633182343014477</v>
      </c>
      <c r="BF339" s="421">
        <v>9.3135309214820577E-2</v>
      </c>
      <c r="BG339" s="421" t="e">
        <v>#DIV/0!</v>
      </c>
      <c r="BH339" s="421">
        <v>3.1862849952815351</v>
      </c>
      <c r="BI339" s="421">
        <v>0.89602087098207184</v>
      </c>
      <c r="BJ339" s="421">
        <v>1.2952294400298667</v>
      </c>
      <c r="BK339" s="421" t="e">
        <v>#DIV/0!</v>
      </c>
      <c r="BL339" s="421">
        <v>0.26092254279476507</v>
      </c>
      <c r="BM339" s="421">
        <v>1.3626820291861608</v>
      </c>
      <c r="BN339" s="421">
        <v>3.3584621834233435</v>
      </c>
      <c r="BO339" s="421">
        <v>0.4813793472926538</v>
      </c>
      <c r="BP339" s="421">
        <v>2.1424565962739583</v>
      </c>
      <c r="BQ339" s="421">
        <v>1.3991818328171477</v>
      </c>
      <c r="BR339" s="421">
        <v>1.2779743639130379</v>
      </c>
      <c r="BS339" s="421">
        <v>1.8418004702356066</v>
      </c>
      <c r="BT339" s="421">
        <v>0.34862099746716424</v>
      </c>
      <c r="BU339" s="421">
        <v>1.0432639782346007</v>
      </c>
      <c r="BV339" s="421">
        <v>0.58012565042988606</v>
      </c>
      <c r="BW339" s="421">
        <v>0.65404745301755574</v>
      </c>
      <c r="BX339" s="421">
        <v>1.032651621462038</v>
      </c>
      <c r="BY339" s="421">
        <v>5.2796585786899399</v>
      </c>
      <c r="BZ339" s="421">
        <v>4.7575211629112264</v>
      </c>
      <c r="CA339" s="421">
        <v>0.67357990456278871</v>
      </c>
      <c r="CB339" s="421">
        <v>0.60051319928177571</v>
      </c>
    </row>
    <row r="340" spans="1:80" s="418" customFormat="1" x14ac:dyDescent="0.3">
      <c r="A340" s="1097" t="s">
        <v>764</v>
      </c>
      <c r="B340" s="1098"/>
      <c r="C340" s="1099"/>
      <c r="D340" s="1105" t="s">
        <v>2063</v>
      </c>
      <c r="E340" s="1049"/>
      <c r="F340" s="1106">
        <v>0</v>
      </c>
      <c r="G340" s="1106">
        <v>0</v>
      </c>
      <c r="H340" s="1106">
        <v>0</v>
      </c>
      <c r="I340" s="1106">
        <v>0</v>
      </c>
      <c r="J340" s="1106">
        <v>0</v>
      </c>
      <c r="K340" s="1106">
        <v>0</v>
      </c>
      <c r="L340" s="1106">
        <v>0</v>
      </c>
      <c r="M340" s="1106">
        <v>0</v>
      </c>
      <c r="N340" s="1106">
        <v>0</v>
      </c>
      <c r="O340" s="1106">
        <v>0</v>
      </c>
      <c r="P340" s="1106"/>
      <c r="Q340" s="1106">
        <v>0</v>
      </c>
      <c r="R340" s="1106">
        <v>0</v>
      </c>
      <c r="S340" s="1106">
        <v>0</v>
      </c>
      <c r="T340" s="1106">
        <v>0</v>
      </c>
      <c r="U340" s="1106">
        <v>0</v>
      </c>
      <c r="V340" s="1106">
        <v>0</v>
      </c>
      <c r="W340" s="1049"/>
      <c r="X340" s="1049"/>
      <c r="Y340" s="1049"/>
      <c r="Z340" s="1049"/>
      <c r="AA340" s="1066"/>
      <c r="AT340" s="418">
        <v>10765</v>
      </c>
      <c r="AU340" s="418">
        <v>0</v>
      </c>
      <c r="AV340" s="418">
        <v>2819930</v>
      </c>
      <c r="AW340" s="418">
        <v>21596</v>
      </c>
      <c r="AX340" s="418">
        <v>35109</v>
      </c>
      <c r="AY340" s="418">
        <v>700567</v>
      </c>
      <c r="AZ340" s="418">
        <v>43989</v>
      </c>
      <c r="BA340" s="418">
        <v>266595</v>
      </c>
      <c r="BB340" s="418">
        <v>0</v>
      </c>
      <c r="BC340" s="418">
        <v>73301</v>
      </c>
      <c r="BD340" s="418">
        <v>0</v>
      </c>
      <c r="BE340" s="418">
        <v>0</v>
      </c>
      <c r="BF340" s="418">
        <v>732939</v>
      </c>
      <c r="BG340" s="418">
        <v>0</v>
      </c>
      <c r="BH340" s="418">
        <v>0</v>
      </c>
      <c r="BI340" s="418">
        <v>317512</v>
      </c>
      <c r="BJ340" s="418">
        <v>193760</v>
      </c>
      <c r="BK340" s="418">
        <v>0</v>
      </c>
      <c r="BL340" s="418">
        <v>79013</v>
      </c>
      <c r="BM340" s="418">
        <v>44138</v>
      </c>
      <c r="BN340" s="418">
        <v>0</v>
      </c>
      <c r="BO340" s="418">
        <v>299338</v>
      </c>
      <c r="BP340" s="418">
        <v>112358</v>
      </c>
      <c r="BQ340" s="418">
        <v>36207</v>
      </c>
      <c r="BR340" s="418">
        <v>97188</v>
      </c>
      <c r="BS340" s="418">
        <v>0</v>
      </c>
      <c r="BT340" s="418">
        <v>0</v>
      </c>
      <c r="BU340" s="418">
        <v>41531</v>
      </c>
      <c r="BV340" s="418">
        <v>368887</v>
      </c>
      <c r="BW340" s="418">
        <v>12132</v>
      </c>
      <c r="BX340" s="418">
        <v>0</v>
      </c>
      <c r="BY340" s="418">
        <v>0</v>
      </c>
      <c r="BZ340" s="418">
        <v>0</v>
      </c>
      <c r="CA340" s="418">
        <v>851748</v>
      </c>
      <c r="CB340" s="418">
        <v>0</v>
      </c>
    </row>
    <row r="341" spans="1:80" s="418" customFormat="1" x14ac:dyDescent="0.3">
      <c r="A341" s="1097" t="s">
        <v>850</v>
      </c>
      <c r="B341" s="1098"/>
      <c r="C341" s="1099"/>
      <c r="D341" s="1102" t="s">
        <v>765</v>
      </c>
      <c r="E341" s="1049"/>
      <c r="F341" s="1106"/>
      <c r="G341" s="1106"/>
      <c r="H341" s="1106"/>
      <c r="I341" s="1106"/>
      <c r="J341" s="1106"/>
      <c r="K341" s="1106"/>
      <c r="L341" s="1106"/>
      <c r="M341" s="1106"/>
      <c r="N341" s="1106"/>
      <c r="O341" s="1106"/>
      <c r="P341" s="1106"/>
      <c r="Q341" s="1106"/>
      <c r="R341" s="1106"/>
      <c r="S341" s="1106"/>
      <c r="T341" s="1106"/>
      <c r="U341" s="1106"/>
      <c r="V341" s="1106"/>
      <c r="W341" s="1049"/>
      <c r="X341" s="1049"/>
      <c r="Y341" s="1049"/>
      <c r="Z341" s="1049"/>
      <c r="AA341" s="1066"/>
    </row>
    <row r="342" spans="1:80" s="418" customFormat="1" x14ac:dyDescent="0.3">
      <c r="A342" s="1097" t="s">
        <v>767</v>
      </c>
      <c r="B342" s="1098"/>
      <c r="C342" s="1107"/>
      <c r="D342" s="1102" t="s">
        <v>766</v>
      </c>
      <c r="E342" s="1049"/>
      <c r="F342" s="1106"/>
      <c r="G342" s="1106"/>
      <c r="H342" s="1106"/>
      <c r="I342" s="1106"/>
      <c r="J342" s="1106"/>
      <c r="K342" s="1106"/>
      <c r="L342" s="1106"/>
      <c r="M342" s="1106"/>
      <c r="N342" s="1106"/>
      <c r="O342" s="1106"/>
      <c r="P342" s="1106"/>
      <c r="Q342" s="1106"/>
      <c r="R342" s="1106"/>
      <c r="S342" s="1106"/>
      <c r="T342" s="1106"/>
      <c r="U342" s="1106"/>
      <c r="V342" s="1106"/>
      <c r="W342" s="1049"/>
      <c r="X342" s="1049"/>
      <c r="Y342" s="1049"/>
      <c r="Z342" s="1049"/>
      <c r="AA342" s="1066"/>
    </row>
    <row r="343" spans="1:80" s="418" customFormat="1" x14ac:dyDescent="0.3">
      <c r="A343" s="1097" t="s">
        <v>769</v>
      </c>
      <c r="B343" s="1098"/>
      <c r="C343" s="1107"/>
      <c r="D343" s="1102" t="s">
        <v>771</v>
      </c>
      <c r="E343" s="1049"/>
      <c r="F343" s="1106"/>
      <c r="G343" s="1106"/>
      <c r="H343" s="1106"/>
      <c r="I343" s="1106"/>
      <c r="J343" s="1106"/>
      <c r="K343" s="1106"/>
      <c r="L343" s="1106"/>
      <c r="M343" s="1106"/>
      <c r="N343" s="1106"/>
      <c r="O343" s="1106"/>
      <c r="P343" s="1106"/>
      <c r="Q343" s="1106"/>
      <c r="R343" s="1106"/>
      <c r="S343" s="1106"/>
      <c r="T343" s="1106"/>
      <c r="U343" s="1106"/>
      <c r="V343" s="1106"/>
      <c r="W343" s="1049"/>
      <c r="X343" s="1049"/>
      <c r="Y343" s="1049"/>
      <c r="Z343" s="1049"/>
      <c r="AA343" s="1066"/>
    </row>
    <row r="344" spans="1:80" s="418" customFormat="1" x14ac:dyDescent="0.3">
      <c r="A344" s="1097" t="s">
        <v>770</v>
      </c>
      <c r="B344" s="1098"/>
      <c r="C344" s="1107"/>
      <c r="D344" s="1102" t="s">
        <v>772</v>
      </c>
      <c r="E344" s="1049"/>
      <c r="F344" s="1106"/>
      <c r="G344" s="1106"/>
      <c r="H344" s="1106"/>
      <c r="I344" s="1106"/>
      <c r="J344" s="1106"/>
      <c r="K344" s="1106"/>
      <c r="L344" s="1106"/>
      <c r="M344" s="1106"/>
      <c r="N344" s="1106"/>
      <c r="O344" s="1106"/>
      <c r="P344" s="1106"/>
      <c r="Q344" s="1106"/>
      <c r="R344" s="1106"/>
      <c r="S344" s="1106"/>
      <c r="T344" s="1106"/>
      <c r="U344" s="1106"/>
      <c r="V344" s="1106"/>
      <c r="W344" s="1049"/>
      <c r="X344" s="1049"/>
      <c r="Y344" s="1049"/>
      <c r="Z344" s="1049"/>
      <c r="AA344" s="1066"/>
    </row>
    <row r="345" spans="1:80" s="418" customFormat="1" x14ac:dyDescent="0.3">
      <c r="A345" s="1097" t="s">
        <v>872</v>
      </c>
      <c r="B345" s="1098"/>
      <c r="C345" s="1107"/>
      <c r="D345" s="1102" t="s">
        <v>875</v>
      </c>
      <c r="E345" s="1049"/>
      <c r="F345" s="1106"/>
      <c r="G345" s="1106"/>
      <c r="H345" s="1106"/>
      <c r="I345" s="1106"/>
      <c r="J345" s="1106"/>
      <c r="K345" s="1106"/>
      <c r="L345" s="1106"/>
      <c r="M345" s="1106"/>
      <c r="N345" s="1106"/>
      <c r="O345" s="1106"/>
      <c r="P345" s="1106"/>
      <c r="Q345" s="1106"/>
      <c r="R345" s="1106"/>
      <c r="S345" s="1106"/>
      <c r="T345" s="1106"/>
      <c r="U345" s="1106"/>
      <c r="V345" s="1106"/>
      <c r="W345" s="1049"/>
      <c r="X345" s="1049"/>
      <c r="Y345" s="1049"/>
      <c r="Z345" s="1049"/>
      <c r="AA345" s="1066"/>
    </row>
    <row r="346" spans="1:80" s="418" customFormat="1" x14ac:dyDescent="0.3">
      <c r="A346" s="1097" t="s">
        <v>873</v>
      </c>
      <c r="B346" s="1098"/>
      <c r="C346" s="1107"/>
      <c r="D346" s="1098" t="s">
        <v>874</v>
      </c>
      <c r="E346" s="1049"/>
      <c r="F346" s="1106"/>
      <c r="G346" s="1106"/>
      <c r="H346" s="1106"/>
      <c r="I346" s="1106"/>
      <c r="J346" s="1106"/>
      <c r="K346" s="1106"/>
      <c r="L346" s="1106"/>
      <c r="M346" s="1106"/>
      <c r="N346" s="1106"/>
      <c r="O346" s="1106"/>
      <c r="P346" s="1106"/>
      <c r="Q346" s="1106"/>
      <c r="R346" s="1106"/>
      <c r="S346" s="1106"/>
      <c r="T346" s="1106"/>
      <c r="U346" s="1106"/>
      <c r="V346" s="1106"/>
      <c r="W346" s="1049"/>
      <c r="X346" s="1049"/>
      <c r="Y346" s="1049"/>
      <c r="Z346" s="1049"/>
      <c r="AA346" s="1066"/>
    </row>
    <row r="347" spans="1:80" s="418" customFormat="1" ht="27.6" x14ac:dyDescent="0.3">
      <c r="A347" s="1097" t="s">
        <v>1110</v>
      </c>
      <c r="B347" s="1098"/>
      <c r="C347" s="1099"/>
      <c r="D347" s="1108" t="s">
        <v>790</v>
      </c>
      <c r="E347" s="1049"/>
      <c r="F347" s="1106" t="e">
        <v>#DIV/0!</v>
      </c>
      <c r="G347" s="1106" t="e">
        <v>#DIV/0!</v>
      </c>
      <c r="H347" s="1106" t="e">
        <v>#DIV/0!</v>
      </c>
      <c r="I347" s="1106" t="e">
        <v>#DIV/0!</v>
      </c>
      <c r="J347" s="1106" t="e">
        <v>#DIV/0!</v>
      </c>
      <c r="K347" s="1106" t="e">
        <v>#DIV/0!</v>
      </c>
      <c r="L347" s="1106" t="e">
        <v>#DIV/0!</v>
      </c>
      <c r="M347" s="1106" t="e">
        <v>#DIV/0!</v>
      </c>
      <c r="N347" s="1106" t="e">
        <v>#DIV/0!</v>
      </c>
      <c r="O347" s="1106" t="e">
        <v>#DIV/0!</v>
      </c>
      <c r="P347" s="1106"/>
      <c r="Q347" s="1106" t="e">
        <v>#DIV/0!</v>
      </c>
      <c r="R347" s="1106" t="e">
        <v>#DIV/0!</v>
      </c>
      <c r="S347" s="1106" t="e">
        <v>#DIV/0!</v>
      </c>
      <c r="T347" s="1106" t="e">
        <v>#DIV/0!</v>
      </c>
      <c r="U347" s="1106" t="e">
        <v>#DIV/0!</v>
      </c>
      <c r="V347" s="1106" t="e">
        <v>#DIV/0!</v>
      </c>
      <c r="W347" s="1049"/>
      <c r="X347" s="1049"/>
      <c r="Y347" s="1049"/>
      <c r="Z347" s="1049"/>
      <c r="AA347" s="1066"/>
      <c r="AT347" s="418">
        <v>18.393759873617693</v>
      </c>
      <c r="AU347" s="418">
        <v>6.8364827079948203</v>
      </c>
      <c r="AV347" s="418">
        <v>3.0752497582408154</v>
      </c>
      <c r="AW347" s="418">
        <v>35.187798329355608</v>
      </c>
      <c r="AX347" s="418">
        <v>13.279755464185241</v>
      </c>
      <c r="AY347" s="418">
        <v>20.715972894482093</v>
      </c>
      <c r="AZ347" s="418">
        <v>14.909681437978287</v>
      </c>
      <c r="BA347" s="418">
        <v>6.2114521607225637</v>
      </c>
      <c r="BB347" s="418">
        <v>9.843081312410841E-2</v>
      </c>
      <c r="BC347" s="418">
        <v>3.8671597584722881</v>
      </c>
      <c r="BD347" s="418" t="e">
        <v>#DIV/0!</v>
      </c>
      <c r="BE347" s="418" t="e">
        <v>#DIV/0!</v>
      </c>
      <c r="BF347" s="418">
        <v>5.4242074759058649</v>
      </c>
      <c r="BG347" s="418" t="e">
        <v>#DIV/0!</v>
      </c>
      <c r="BH347" s="418" t="e">
        <v>#DIV/0!</v>
      </c>
      <c r="BI347" s="418">
        <v>2.140739113875135</v>
      </c>
      <c r="BJ347" s="418">
        <v>10.064026612977207</v>
      </c>
      <c r="BK347" s="418" t="e">
        <v>#DIV/0!</v>
      </c>
      <c r="BL347" s="418">
        <v>29.15234895685688</v>
      </c>
      <c r="BM347" s="418">
        <v>16.589920948616601</v>
      </c>
      <c r="BN347" s="418" t="e">
        <v>#DIV/0!</v>
      </c>
      <c r="BO347" s="418">
        <v>6.3453389056426657</v>
      </c>
      <c r="BP347" s="418">
        <v>17.210449873380011</v>
      </c>
      <c r="BQ347" s="418">
        <v>51.483160063239595</v>
      </c>
      <c r="BR347" s="418">
        <v>2.4723680236402372</v>
      </c>
      <c r="BS347" s="418" t="e">
        <v>#DIV/0!</v>
      </c>
      <c r="BT347" s="418" t="e">
        <v>#DIV/0!</v>
      </c>
      <c r="BU347" s="418">
        <v>10.14565902155724</v>
      </c>
      <c r="BV347" s="418">
        <v>7.2586452062864382</v>
      </c>
      <c r="BW347" s="418">
        <v>3.7882354532786775</v>
      </c>
      <c r="BX347" s="418">
        <v>2.6027955920795067</v>
      </c>
      <c r="BY347" s="418" t="e">
        <v>#DIV/0!</v>
      </c>
      <c r="BZ347" s="418" t="e">
        <v>#DIV/0!</v>
      </c>
      <c r="CA347" s="418">
        <v>6.0953589166680535</v>
      </c>
      <c r="CB347" s="418" t="e">
        <v>#DIV/0!</v>
      </c>
    </row>
    <row r="348" spans="1:80" s="418" customFormat="1" x14ac:dyDescent="0.3">
      <c r="A348" s="1097" t="s">
        <v>1117</v>
      </c>
      <c r="B348" s="1098"/>
      <c r="C348" s="1109"/>
      <c r="D348" s="1110" t="s">
        <v>1286</v>
      </c>
      <c r="E348" s="1049"/>
      <c r="F348" s="1051" t="s">
        <v>2064</v>
      </c>
      <c r="G348" s="1051" t="s">
        <v>2065</v>
      </c>
      <c r="H348" s="1051" t="s">
        <v>2064</v>
      </c>
      <c r="I348" s="1051" t="s">
        <v>2066</v>
      </c>
      <c r="J348" s="1051" t="s">
        <v>2067</v>
      </c>
      <c r="K348" s="1051" t="s">
        <v>2068</v>
      </c>
      <c r="L348" s="1051" t="s">
        <v>2069</v>
      </c>
      <c r="M348" s="1051" t="s">
        <v>2069</v>
      </c>
      <c r="N348" s="1051" t="s">
        <v>2070</v>
      </c>
      <c r="O348" s="1051" t="s">
        <v>1755</v>
      </c>
      <c r="P348" s="1051"/>
      <c r="Q348" s="1051" t="s">
        <v>2067</v>
      </c>
      <c r="R348" s="1051" t="s">
        <v>2069</v>
      </c>
      <c r="S348" s="1051" t="s">
        <v>2071</v>
      </c>
      <c r="T348" s="1051" t="s">
        <v>2072</v>
      </c>
      <c r="U348" s="1051" t="s">
        <v>2066</v>
      </c>
      <c r="V348" s="1051">
        <v>0</v>
      </c>
      <c r="W348" s="1049"/>
      <c r="X348" s="1049"/>
      <c r="Y348" s="1049"/>
      <c r="Z348" s="1049"/>
      <c r="AA348" s="1066"/>
      <c r="AT348" s="418">
        <f t="shared" ref="AT348:BQ348" si="0">+AT48-AT49+AT36-AT97</f>
        <v>29138</v>
      </c>
      <c r="AU348" s="418">
        <f t="shared" si="0"/>
        <v>297557</v>
      </c>
      <c r="AV348" s="418">
        <f t="shared" si="0"/>
        <v>98567</v>
      </c>
      <c r="AW348" s="418">
        <f t="shared" si="0"/>
        <v>112626</v>
      </c>
      <c r="AX348" s="418">
        <f t="shared" si="0"/>
        <v>-89263</v>
      </c>
      <c r="AY348" s="418">
        <f t="shared" si="0"/>
        <v>212362</v>
      </c>
      <c r="AZ348" s="418">
        <f t="shared" si="0"/>
        <v>307368</v>
      </c>
      <c r="BA348" s="418">
        <f t="shared" si="0"/>
        <v>229614</v>
      </c>
      <c r="BB348" s="418">
        <f t="shared" si="0"/>
        <v>-89650</v>
      </c>
      <c r="BC348" s="418">
        <f t="shared" si="0"/>
        <v>27445</v>
      </c>
      <c r="BD348" s="418">
        <f t="shared" si="0"/>
        <v>0</v>
      </c>
      <c r="BE348" s="418">
        <f t="shared" si="0"/>
        <v>0</v>
      </c>
      <c r="BF348" s="418">
        <f t="shared" si="0"/>
        <v>1182128</v>
      </c>
      <c r="BG348" s="418">
        <f t="shared" si="0"/>
        <v>0</v>
      </c>
      <c r="BH348" s="418">
        <f t="shared" si="0"/>
        <v>0</v>
      </c>
      <c r="BI348" s="418">
        <f t="shared" si="0"/>
        <v>81423</v>
      </c>
      <c r="BJ348" s="418">
        <f t="shared" si="0"/>
        <v>143130</v>
      </c>
      <c r="BK348" s="418">
        <f t="shared" si="0"/>
        <v>0</v>
      </c>
      <c r="BL348" s="418">
        <f t="shared" si="0"/>
        <v>197067</v>
      </c>
      <c r="BM348" s="418">
        <f t="shared" si="0"/>
        <v>479062</v>
      </c>
      <c r="BN348" s="418">
        <f t="shared" si="0"/>
        <v>0</v>
      </c>
      <c r="BO348" s="418">
        <f t="shared" si="0"/>
        <v>352606</v>
      </c>
      <c r="BP348" s="418">
        <f t="shared" si="0"/>
        <v>256413</v>
      </c>
      <c r="BQ348" s="418">
        <f t="shared" si="0"/>
        <v>205522</v>
      </c>
      <c r="BR348" s="418">
        <f t="shared" ref="BR348:CB348" si="1">+BR48-BR49+BR36-BR97</f>
        <v>93957</v>
      </c>
      <c r="BS348" s="418">
        <f t="shared" si="1"/>
        <v>0</v>
      </c>
      <c r="BT348" s="418">
        <f t="shared" si="1"/>
        <v>0</v>
      </c>
      <c r="BU348" s="418">
        <f t="shared" si="1"/>
        <v>-45214</v>
      </c>
      <c r="BV348" s="418">
        <f t="shared" si="1"/>
        <v>184535</v>
      </c>
      <c r="BW348" s="418">
        <f t="shared" si="1"/>
        <v>57367</v>
      </c>
      <c r="BX348" s="418">
        <f t="shared" si="1"/>
        <v>661423</v>
      </c>
      <c r="BY348" s="418">
        <f t="shared" si="1"/>
        <v>0</v>
      </c>
      <c r="BZ348" s="418">
        <f t="shared" si="1"/>
        <v>0</v>
      </c>
      <c r="CA348" s="418">
        <f t="shared" si="1"/>
        <v>1246711</v>
      </c>
      <c r="CB348" s="418">
        <f t="shared" si="1"/>
        <v>0</v>
      </c>
    </row>
    <row r="349" spans="1:80" s="418" customFormat="1" x14ac:dyDescent="0.3">
      <c r="A349" s="1097" t="s">
        <v>1116</v>
      </c>
      <c r="B349" s="1098"/>
      <c r="C349" s="1111"/>
      <c r="D349" s="1110" t="s">
        <v>1118</v>
      </c>
      <c r="E349" s="1049"/>
      <c r="F349" s="1106" t="e">
        <v>#DIV/0!</v>
      </c>
      <c r="G349" s="1106" t="e">
        <v>#DIV/0!</v>
      </c>
      <c r="H349" s="1106" t="e">
        <v>#DIV/0!</v>
      </c>
      <c r="I349" s="1106" t="e">
        <v>#DIV/0!</v>
      </c>
      <c r="J349" s="1106" t="e">
        <v>#DIV/0!</v>
      </c>
      <c r="K349" s="1106" t="e">
        <v>#DIV/0!</v>
      </c>
      <c r="L349" s="1106" t="e">
        <v>#DIV/0!</v>
      </c>
      <c r="M349" s="1106" t="e">
        <v>#DIV/0!</v>
      </c>
      <c r="N349" s="1106" t="e">
        <v>#DIV/0!</v>
      </c>
      <c r="O349" s="1106" t="e">
        <v>#DIV/0!</v>
      </c>
      <c r="P349" s="1106"/>
      <c r="Q349" s="1106" t="e">
        <v>#DIV/0!</v>
      </c>
      <c r="R349" s="1106" t="e">
        <v>#DIV/0!</v>
      </c>
      <c r="S349" s="1106" t="e">
        <v>#DIV/0!</v>
      </c>
      <c r="T349" s="1106" t="e">
        <v>#DIV/0!</v>
      </c>
      <c r="U349" s="1106" t="e">
        <v>#DIV/0!</v>
      </c>
      <c r="V349" s="1106" t="e">
        <v>#DIV/0!</v>
      </c>
      <c r="W349" s="1049"/>
      <c r="X349" s="1049"/>
      <c r="Y349" s="1049"/>
      <c r="Z349" s="1049"/>
      <c r="AA349" s="1066"/>
      <c r="AT349" s="418">
        <f t="shared" ref="AT349:BQ349" si="2">+AT44/(AT49+AT115-AT36+AT97)</f>
        <v>0.7825926258557917</v>
      </c>
      <c r="AU349" s="418">
        <f t="shared" si="2"/>
        <v>0.65053932640465262</v>
      </c>
      <c r="AV349" s="418">
        <f t="shared" si="2"/>
        <v>1.0300119588191372</v>
      </c>
      <c r="AW349" s="418">
        <f t="shared" si="2"/>
        <v>3.5808761447035136</v>
      </c>
      <c r="AX349" s="418">
        <f t="shared" si="2"/>
        <v>1.5753719812803659</v>
      </c>
      <c r="AY349" s="418">
        <f t="shared" si="2"/>
        <v>0.60454054860170259</v>
      </c>
      <c r="AZ349" s="418">
        <f t="shared" si="2"/>
        <v>0.46015112315099793</v>
      </c>
      <c r="BA349" s="418">
        <f t="shared" si="2"/>
        <v>0.53628937106556196</v>
      </c>
      <c r="BB349" s="418">
        <f t="shared" si="2"/>
        <v>1.5504557577889152E-2</v>
      </c>
      <c r="BC349" s="418">
        <f t="shared" si="2"/>
        <v>0.47608897536815109</v>
      </c>
      <c r="BD349" s="418" t="e">
        <f t="shared" si="2"/>
        <v>#DIV/0!</v>
      </c>
      <c r="BE349" s="418" t="e">
        <f t="shared" si="2"/>
        <v>#DIV/0!</v>
      </c>
      <c r="BF349" s="418">
        <f t="shared" si="2"/>
        <v>0.12070370681443221</v>
      </c>
      <c r="BG349" s="418" t="e">
        <f t="shared" si="2"/>
        <v>#DIV/0!</v>
      </c>
      <c r="BH349" s="418" t="e">
        <f t="shared" si="2"/>
        <v>#DIV/0!</v>
      </c>
      <c r="BI349" s="418">
        <f t="shared" si="2"/>
        <v>0.4469558455527341</v>
      </c>
      <c r="BJ349" s="418">
        <f t="shared" si="2"/>
        <v>2.2517835786090625</v>
      </c>
      <c r="BK349" s="418" t="e">
        <f t="shared" si="2"/>
        <v>#DIV/0!</v>
      </c>
      <c r="BL349" s="418">
        <f t="shared" si="2"/>
        <v>2.2156268927922471</v>
      </c>
      <c r="BM349" s="418">
        <f t="shared" si="2"/>
        <v>1.7881104314201071</v>
      </c>
      <c r="BN349" s="418" t="e">
        <f t="shared" si="2"/>
        <v>#DIV/0!</v>
      </c>
      <c r="BO349" s="418">
        <f t="shared" si="2"/>
        <v>0.50086017791550719</v>
      </c>
      <c r="BP349" s="418">
        <f t="shared" si="2"/>
        <v>4.1043090817196504</v>
      </c>
      <c r="BQ349" s="418">
        <f t="shared" si="2"/>
        <v>1.8411814523494539</v>
      </c>
      <c r="BR349" s="418">
        <f t="shared" ref="BR349:CB349" si="3">+BR44/(BR49+BR115-BR36+BR97)</f>
        <v>1.4020216051734358</v>
      </c>
      <c r="BS349" s="418" t="e">
        <f t="shared" si="3"/>
        <v>#DIV/0!</v>
      </c>
      <c r="BT349" s="418" t="e">
        <f t="shared" si="3"/>
        <v>#DIV/0!</v>
      </c>
      <c r="BU349" s="418">
        <f t="shared" si="3"/>
        <v>1.3777772769395367</v>
      </c>
      <c r="BV349" s="418">
        <f t="shared" si="3"/>
        <v>0.69278725117427076</v>
      </c>
      <c r="BW349" s="418">
        <f t="shared" si="3"/>
        <v>0.36200716085624834</v>
      </c>
      <c r="BX349" s="418">
        <f t="shared" si="3"/>
        <v>1.1283249635358208</v>
      </c>
      <c r="BY349" s="418" t="e">
        <f t="shared" si="3"/>
        <v>#DIV/0!</v>
      </c>
      <c r="BZ349" s="418" t="e">
        <f t="shared" si="3"/>
        <v>#DIV/0!</v>
      </c>
      <c r="CA349" s="418">
        <f t="shared" si="3"/>
        <v>1.167554668186698</v>
      </c>
      <c r="CB349" s="418" t="e">
        <f t="shared" si="3"/>
        <v>#DIV/0!</v>
      </c>
    </row>
    <row r="350" spans="1:80" s="418" customFormat="1" x14ac:dyDescent="0.3">
      <c r="A350" s="1097" t="s">
        <v>1115</v>
      </c>
      <c r="B350" s="1098"/>
      <c r="C350" s="1099"/>
      <c r="D350" s="1098" t="s">
        <v>1119</v>
      </c>
      <c r="E350" s="1049"/>
      <c r="F350" s="1106" t="e">
        <v>#DIV/0!</v>
      </c>
      <c r="G350" s="1106" t="e">
        <v>#DIV/0!</v>
      </c>
      <c r="H350" s="1106" t="e">
        <v>#DIV/0!</v>
      </c>
      <c r="I350" s="1106" t="e">
        <v>#DIV/0!</v>
      </c>
      <c r="J350" s="1106" t="e">
        <v>#DIV/0!</v>
      </c>
      <c r="K350" s="1106" t="e">
        <v>#DIV/0!</v>
      </c>
      <c r="L350" s="1106" t="e">
        <v>#DIV/0!</v>
      </c>
      <c r="M350" s="1106" t="e">
        <v>#DIV/0!</v>
      </c>
      <c r="N350" s="1106" t="e">
        <v>#DIV/0!</v>
      </c>
      <c r="O350" s="1106" t="e">
        <v>#DIV/0!</v>
      </c>
      <c r="P350" s="1106"/>
      <c r="Q350" s="1106" t="e">
        <v>#DIV/0!</v>
      </c>
      <c r="R350" s="1106" t="e">
        <v>#DIV/0!</v>
      </c>
      <c r="S350" s="1106" t="e">
        <v>#DIV/0!</v>
      </c>
      <c r="T350" s="1106" t="e">
        <v>#DIV/0!</v>
      </c>
      <c r="U350" s="1106" t="e">
        <v>#DIV/0!</v>
      </c>
      <c r="V350" s="1106" t="e">
        <v>#DIV/0!</v>
      </c>
      <c r="W350" s="1049"/>
      <c r="X350" s="1049"/>
      <c r="Y350" s="1049"/>
      <c r="Z350" s="1049"/>
      <c r="AA350" s="1066"/>
      <c r="AT350" s="418" t="e">
        <v>#DIV/0!</v>
      </c>
      <c r="AU350" s="418" t="e">
        <v>#DIV/0!</v>
      </c>
      <c r="AV350" s="418">
        <v>4.2566559245186522</v>
      </c>
      <c r="AW350" s="418" t="e">
        <v>#DIV/0!</v>
      </c>
      <c r="AX350" s="418" t="e">
        <v>#DIV/0!</v>
      </c>
      <c r="AY350" s="418" t="e">
        <v>#DIV/0!</v>
      </c>
      <c r="AZ350" s="418" t="e">
        <v>#DIV/0!</v>
      </c>
      <c r="BA350" s="418">
        <v>3.9906679594483725</v>
      </c>
      <c r="BB350" s="418" t="e">
        <v>#DIV/0!</v>
      </c>
      <c r="BC350" s="418" t="e">
        <v>#DIV/0!</v>
      </c>
      <c r="BD350" s="418" t="e">
        <v>#DIV/0!</v>
      </c>
      <c r="BE350" s="418" t="e">
        <v>#DIV/0!</v>
      </c>
      <c r="BF350" s="418">
        <v>6.2889184773331381</v>
      </c>
      <c r="BG350" s="418" t="e">
        <v>#DIV/0!</v>
      </c>
      <c r="BH350" s="418" t="e">
        <v>#DIV/0!</v>
      </c>
      <c r="BI350" s="418" t="e">
        <v>#DIV/0!</v>
      </c>
      <c r="BJ350" s="418" t="e">
        <v>#DIV/0!</v>
      </c>
      <c r="BK350" s="418" t="e">
        <v>#DIV/0!</v>
      </c>
      <c r="BL350" s="418">
        <v>49.548571145886584</v>
      </c>
      <c r="BM350" s="418" t="e">
        <v>#DIV/0!</v>
      </c>
      <c r="BN350" s="418" t="e">
        <v>#DIV/0!</v>
      </c>
      <c r="BO350" s="418" t="e">
        <v>#DIV/0!</v>
      </c>
      <c r="BP350" s="418" t="e">
        <v>#DIV/0!</v>
      </c>
      <c r="BQ350" s="418" t="e">
        <v>#DIV/0!</v>
      </c>
      <c r="BR350" s="418" t="e">
        <v>#DIV/0!</v>
      </c>
      <c r="BS350" s="418" t="e">
        <v>#DIV/0!</v>
      </c>
      <c r="BT350" s="418" t="e">
        <v>#DIV/0!</v>
      </c>
      <c r="BU350" s="418" t="e">
        <v>#DIV/0!</v>
      </c>
      <c r="BV350" s="418" t="e">
        <v>#DIV/0!</v>
      </c>
      <c r="BW350" s="418" t="e">
        <v>#DIV/0!</v>
      </c>
      <c r="BX350" s="418" t="e">
        <v>#DIV/0!</v>
      </c>
      <c r="BY350" s="418" t="e">
        <v>#DIV/0!</v>
      </c>
      <c r="BZ350" s="418" t="e">
        <v>#DIV/0!</v>
      </c>
      <c r="CA350" s="418" t="e">
        <v>#DIV/0!</v>
      </c>
      <c r="CB350" s="418" t="e">
        <v>#DIV/0!</v>
      </c>
    </row>
    <row r="351" spans="1:80" s="418" customFormat="1" x14ac:dyDescent="0.3">
      <c r="A351" s="1097" t="s">
        <v>1121</v>
      </c>
      <c r="B351" s="1098"/>
      <c r="C351" s="1099"/>
      <c r="D351" s="1107" t="s">
        <v>1287</v>
      </c>
      <c r="E351" s="1049"/>
      <c r="F351" s="1051" t="s">
        <v>2064</v>
      </c>
      <c r="G351" s="1051" t="s">
        <v>2065</v>
      </c>
      <c r="H351" s="1051" t="s">
        <v>2064</v>
      </c>
      <c r="I351" s="1051" t="s">
        <v>2066</v>
      </c>
      <c r="J351" s="1051" t="s">
        <v>2067</v>
      </c>
      <c r="K351" s="1051" t="s">
        <v>2068</v>
      </c>
      <c r="L351" s="1051" t="s">
        <v>2069</v>
      </c>
      <c r="M351" s="1051" t="s">
        <v>2069</v>
      </c>
      <c r="N351" s="1051" t="s">
        <v>2070</v>
      </c>
      <c r="O351" s="1051" t="s">
        <v>1755</v>
      </c>
      <c r="P351" s="1051"/>
      <c r="Q351" s="1051" t="s">
        <v>2067</v>
      </c>
      <c r="R351" s="1051" t="s">
        <v>2069</v>
      </c>
      <c r="S351" s="1051" t="s">
        <v>2071</v>
      </c>
      <c r="T351" s="1051" t="s">
        <v>2072</v>
      </c>
      <c r="U351" s="1051" t="s">
        <v>2066</v>
      </c>
      <c r="V351" s="1051">
        <v>0</v>
      </c>
      <c r="W351" s="1049"/>
      <c r="X351" s="1049"/>
      <c r="Y351" s="1049"/>
      <c r="Z351" s="1049"/>
      <c r="AA351" s="1066"/>
      <c r="AT351" s="418">
        <f t="shared" ref="AT351:BQ351" si="4">+AT55-AT56+AT39-AT60</f>
        <v>0</v>
      </c>
      <c r="AU351" s="418">
        <f t="shared" si="4"/>
        <v>0</v>
      </c>
      <c r="AV351" s="418">
        <f t="shared" si="4"/>
        <v>1227845</v>
      </c>
      <c r="AW351" s="418">
        <f t="shared" si="4"/>
        <v>0</v>
      </c>
      <c r="AX351" s="418">
        <f t="shared" si="4"/>
        <v>0</v>
      </c>
      <c r="AY351" s="418">
        <f t="shared" si="4"/>
        <v>0</v>
      </c>
      <c r="AZ351" s="418">
        <f t="shared" si="4"/>
        <v>0</v>
      </c>
      <c r="BA351" s="418">
        <f t="shared" si="4"/>
        <v>120397</v>
      </c>
      <c r="BB351" s="418">
        <f t="shared" si="4"/>
        <v>0</v>
      </c>
      <c r="BC351" s="418">
        <f t="shared" si="4"/>
        <v>0</v>
      </c>
      <c r="BD351" s="418">
        <f t="shared" si="4"/>
        <v>0</v>
      </c>
      <c r="BE351" s="418">
        <f t="shared" si="4"/>
        <v>0</v>
      </c>
      <c r="BF351" s="418">
        <f t="shared" si="4"/>
        <v>2047824</v>
      </c>
      <c r="BG351" s="418">
        <f t="shared" si="4"/>
        <v>0</v>
      </c>
      <c r="BH351" s="418">
        <f t="shared" si="4"/>
        <v>0</v>
      </c>
      <c r="BI351" s="418">
        <f t="shared" si="4"/>
        <v>0</v>
      </c>
      <c r="BJ351" s="418">
        <f t="shared" si="4"/>
        <v>0</v>
      </c>
      <c r="BK351" s="418">
        <f t="shared" si="4"/>
        <v>0</v>
      </c>
      <c r="BL351" s="418">
        <f t="shared" si="4"/>
        <v>1095092</v>
      </c>
      <c r="BM351" s="418">
        <f t="shared" si="4"/>
        <v>0</v>
      </c>
      <c r="BN351" s="418">
        <f t="shared" si="4"/>
        <v>0</v>
      </c>
      <c r="BO351" s="418">
        <f t="shared" si="4"/>
        <v>0</v>
      </c>
      <c r="BP351" s="418">
        <f t="shared" si="4"/>
        <v>0</v>
      </c>
      <c r="BQ351" s="418">
        <f t="shared" si="4"/>
        <v>0</v>
      </c>
      <c r="BR351" s="418">
        <f t="shared" ref="BR351:CB351" si="5">+BR55-BR56+BR39-BR60</f>
        <v>0</v>
      </c>
      <c r="BS351" s="418">
        <f t="shared" si="5"/>
        <v>0</v>
      </c>
      <c r="BT351" s="418">
        <f t="shared" si="5"/>
        <v>0</v>
      </c>
      <c r="BU351" s="418">
        <f t="shared" si="5"/>
        <v>0</v>
      </c>
      <c r="BV351" s="418">
        <f t="shared" si="5"/>
        <v>0</v>
      </c>
      <c r="BW351" s="418">
        <f t="shared" si="5"/>
        <v>0</v>
      </c>
      <c r="BX351" s="418">
        <f t="shared" si="5"/>
        <v>0</v>
      </c>
      <c r="BY351" s="418">
        <f t="shared" si="5"/>
        <v>0</v>
      </c>
      <c r="BZ351" s="418">
        <f t="shared" si="5"/>
        <v>0</v>
      </c>
      <c r="CA351" s="418">
        <f t="shared" si="5"/>
        <v>0</v>
      </c>
      <c r="CB351" s="418">
        <f t="shared" si="5"/>
        <v>0</v>
      </c>
    </row>
    <row r="352" spans="1:80" s="418" customFormat="1" x14ac:dyDescent="0.3">
      <c r="A352" s="1097" t="s">
        <v>1122</v>
      </c>
      <c r="B352" s="1098"/>
      <c r="C352" s="1099"/>
      <c r="D352" s="1107" t="s">
        <v>1123</v>
      </c>
      <c r="E352" s="1049"/>
      <c r="F352" s="1106" t="e">
        <v>#DIV/0!</v>
      </c>
      <c r="G352" s="1106" t="e">
        <v>#DIV/0!</v>
      </c>
      <c r="H352" s="1106" t="e">
        <v>#DIV/0!</v>
      </c>
      <c r="I352" s="1106" t="e">
        <v>#DIV/0!</v>
      </c>
      <c r="J352" s="1106" t="e">
        <v>#DIV/0!</v>
      </c>
      <c r="K352" s="1106" t="e">
        <v>#DIV/0!</v>
      </c>
      <c r="L352" s="1106" t="e">
        <v>#DIV/0!</v>
      </c>
      <c r="M352" s="1106" t="e">
        <v>#DIV/0!</v>
      </c>
      <c r="N352" s="1106" t="e">
        <v>#DIV/0!</v>
      </c>
      <c r="O352" s="1106" t="e">
        <v>#DIV/0!</v>
      </c>
      <c r="P352" s="1106"/>
      <c r="Q352" s="1106" t="e">
        <v>#DIV/0!</v>
      </c>
      <c r="R352" s="1106" t="e">
        <v>#DIV/0!</v>
      </c>
      <c r="S352" s="1106" t="e">
        <v>#DIV/0!</v>
      </c>
      <c r="T352" s="1106" t="e">
        <v>#DIV/0!</v>
      </c>
      <c r="U352" s="1106" t="e">
        <v>#DIV/0!</v>
      </c>
      <c r="V352" s="1106" t="e">
        <v>#DIV/0!</v>
      </c>
      <c r="W352" s="1049"/>
      <c r="X352" s="1049"/>
      <c r="Y352" s="1049"/>
      <c r="Z352" s="1049"/>
      <c r="AA352" s="1066"/>
      <c r="AT352" s="418" t="e">
        <f t="shared" ref="AT352:BQ352" si="6">+AT52/(AT125+AT56-AT39+AT60)</f>
        <v>#DIV/0!</v>
      </c>
      <c r="AU352" s="418" t="e">
        <f t="shared" si="6"/>
        <v>#DIV/0!</v>
      </c>
      <c r="AV352" s="418">
        <f t="shared" si="6"/>
        <v>0.43168207290773092</v>
      </c>
      <c r="AW352" s="418" t="e">
        <f t="shared" si="6"/>
        <v>#DIV/0!</v>
      </c>
      <c r="AX352" s="418" t="e">
        <f t="shared" si="6"/>
        <v>#DIV/0!</v>
      </c>
      <c r="AY352" s="418" t="e">
        <f t="shared" si="6"/>
        <v>#DIV/0!</v>
      </c>
      <c r="AZ352" s="418" t="e">
        <f t="shared" si="6"/>
        <v>#DIV/0!</v>
      </c>
      <c r="BA352" s="418">
        <f t="shared" si="6"/>
        <v>0.23313582578627293</v>
      </c>
      <c r="BB352" s="418" t="e">
        <f t="shared" si="6"/>
        <v>#DIV/0!</v>
      </c>
      <c r="BC352" s="418" t="e">
        <f t="shared" si="6"/>
        <v>#DIV/0!</v>
      </c>
      <c r="BD352" s="418" t="e">
        <f t="shared" si="6"/>
        <v>#DIV/0!</v>
      </c>
      <c r="BE352" s="418" t="e">
        <f t="shared" si="6"/>
        <v>#DIV/0!</v>
      </c>
      <c r="BF352" s="418">
        <f t="shared" si="6"/>
        <v>0.18437549361039662</v>
      </c>
      <c r="BG352" s="418" t="e">
        <f t="shared" si="6"/>
        <v>#DIV/0!</v>
      </c>
      <c r="BH352" s="418" t="e">
        <f t="shared" si="6"/>
        <v>#DIV/0!</v>
      </c>
      <c r="BI352" s="418" t="e">
        <f t="shared" si="6"/>
        <v>#DIV/0!</v>
      </c>
      <c r="BJ352" s="418" t="e">
        <f t="shared" si="6"/>
        <v>#DIV/0!</v>
      </c>
      <c r="BK352" s="418" t="e">
        <f t="shared" si="6"/>
        <v>#DIV/0!</v>
      </c>
      <c r="BL352" s="418">
        <f t="shared" si="6"/>
        <v>0.36864333071685912</v>
      </c>
      <c r="BM352" s="418" t="e">
        <f t="shared" si="6"/>
        <v>#DIV/0!</v>
      </c>
      <c r="BN352" s="418" t="e">
        <f t="shared" si="6"/>
        <v>#DIV/0!</v>
      </c>
      <c r="BO352" s="418" t="e">
        <f t="shared" si="6"/>
        <v>#DIV/0!</v>
      </c>
      <c r="BP352" s="418" t="e">
        <f t="shared" si="6"/>
        <v>#DIV/0!</v>
      </c>
      <c r="BQ352" s="418" t="e">
        <f t="shared" si="6"/>
        <v>#DIV/0!</v>
      </c>
      <c r="BR352" s="418" t="e">
        <f t="shared" ref="BR352:CB352" si="7">+BR52/(BR125+BR56-BR39+BR60)</f>
        <v>#DIV/0!</v>
      </c>
      <c r="BS352" s="418" t="e">
        <f t="shared" si="7"/>
        <v>#DIV/0!</v>
      </c>
      <c r="BT352" s="418" t="e">
        <f t="shared" si="7"/>
        <v>#DIV/0!</v>
      </c>
      <c r="BU352" s="418" t="e">
        <f t="shared" si="7"/>
        <v>#DIV/0!</v>
      </c>
      <c r="BV352" s="418" t="e">
        <f t="shared" si="7"/>
        <v>#DIV/0!</v>
      </c>
      <c r="BW352" s="418" t="e">
        <f t="shared" si="7"/>
        <v>#DIV/0!</v>
      </c>
      <c r="BX352" s="418" t="e">
        <f t="shared" si="7"/>
        <v>#DIV/0!</v>
      </c>
      <c r="BY352" s="418" t="e">
        <f t="shared" si="7"/>
        <v>#DIV/0!</v>
      </c>
      <c r="BZ352" s="418" t="e">
        <f t="shared" si="7"/>
        <v>#DIV/0!</v>
      </c>
      <c r="CA352" s="418" t="e">
        <f t="shared" si="7"/>
        <v>#DIV/0!</v>
      </c>
      <c r="CB352" s="418" t="e">
        <f t="shared" si="7"/>
        <v>#DIV/0!</v>
      </c>
    </row>
    <row r="353" spans="1:80" s="418" customFormat="1" x14ac:dyDescent="0.3">
      <c r="A353" s="1097" t="s">
        <v>1139</v>
      </c>
      <c r="B353" s="1098"/>
      <c r="C353" s="1099"/>
      <c r="D353" s="1108" t="s">
        <v>1141</v>
      </c>
      <c r="E353" s="1049"/>
      <c r="F353" s="1066">
        <v>0</v>
      </c>
      <c r="G353" s="1066">
        <v>0</v>
      </c>
      <c r="H353" s="1066">
        <v>0</v>
      </c>
      <c r="I353" s="1066">
        <v>0</v>
      </c>
      <c r="J353" s="1066">
        <v>0</v>
      </c>
      <c r="K353" s="1066">
        <v>0</v>
      </c>
      <c r="L353" s="1066">
        <v>0</v>
      </c>
      <c r="M353" s="1066">
        <v>0</v>
      </c>
      <c r="N353" s="1066">
        <v>0</v>
      </c>
      <c r="O353" s="1066">
        <v>0</v>
      </c>
      <c r="P353" s="1066"/>
      <c r="Q353" s="1066">
        <v>0</v>
      </c>
      <c r="R353" s="1066">
        <v>0</v>
      </c>
      <c r="S353" s="1066">
        <v>0</v>
      </c>
      <c r="T353" s="1066">
        <v>0</v>
      </c>
      <c r="U353" s="1066">
        <v>0</v>
      </c>
      <c r="V353" s="1066">
        <v>0</v>
      </c>
      <c r="W353" s="1049"/>
      <c r="X353" s="1049"/>
      <c r="Y353" s="1049"/>
      <c r="Z353" s="1049"/>
      <c r="AA353" s="1066"/>
      <c r="AB353" s="1049"/>
      <c r="AT353" s="418">
        <f t="shared" ref="AT353:BQ353" si="8">+AT177+AT118</f>
        <v>0</v>
      </c>
      <c r="AU353" s="418">
        <f t="shared" si="8"/>
        <v>0</v>
      </c>
      <c r="AV353" s="418">
        <f t="shared" si="8"/>
        <v>7984319</v>
      </c>
      <c r="AW353" s="418">
        <f t="shared" si="8"/>
        <v>0</v>
      </c>
      <c r="AX353" s="418">
        <f t="shared" si="8"/>
        <v>0</v>
      </c>
      <c r="AY353" s="418">
        <f t="shared" si="8"/>
        <v>0</v>
      </c>
      <c r="AZ353" s="418">
        <f t="shared" si="8"/>
        <v>0</v>
      </c>
      <c r="BA353" s="418">
        <f t="shared" si="8"/>
        <v>11654139</v>
      </c>
      <c r="BB353" s="418">
        <f t="shared" si="8"/>
        <v>0</v>
      </c>
      <c r="BC353" s="418">
        <f t="shared" si="8"/>
        <v>0</v>
      </c>
      <c r="BD353" s="418">
        <f t="shared" si="8"/>
        <v>0</v>
      </c>
      <c r="BE353" s="418">
        <f t="shared" si="8"/>
        <v>0</v>
      </c>
      <c r="BF353" s="418">
        <f t="shared" si="8"/>
        <v>36563025</v>
      </c>
      <c r="BG353" s="418">
        <f t="shared" si="8"/>
        <v>0</v>
      </c>
      <c r="BH353" s="418">
        <f t="shared" si="8"/>
        <v>0</v>
      </c>
      <c r="BI353" s="418">
        <f t="shared" si="8"/>
        <v>0</v>
      </c>
      <c r="BJ353" s="418">
        <f t="shared" si="8"/>
        <v>0</v>
      </c>
      <c r="BK353" s="418">
        <f t="shared" si="8"/>
        <v>0</v>
      </c>
      <c r="BL353" s="418">
        <f t="shared" si="8"/>
        <v>6785633</v>
      </c>
      <c r="BM353" s="418">
        <f t="shared" si="8"/>
        <v>0</v>
      </c>
      <c r="BN353" s="418">
        <f t="shared" si="8"/>
        <v>0</v>
      </c>
      <c r="BO353" s="418">
        <f t="shared" si="8"/>
        <v>0</v>
      </c>
      <c r="BP353" s="418">
        <f t="shared" si="8"/>
        <v>0</v>
      </c>
      <c r="BQ353" s="418">
        <f t="shared" si="8"/>
        <v>0</v>
      </c>
      <c r="BR353" s="418">
        <f t="shared" ref="BR353:CB353" si="9">+BR177+BR118</f>
        <v>0</v>
      </c>
      <c r="BS353" s="418">
        <f t="shared" si="9"/>
        <v>0</v>
      </c>
      <c r="BT353" s="418">
        <f t="shared" si="9"/>
        <v>0</v>
      </c>
      <c r="BU353" s="418">
        <f t="shared" si="9"/>
        <v>0</v>
      </c>
      <c r="BV353" s="418">
        <f t="shared" si="9"/>
        <v>0</v>
      </c>
      <c r="BW353" s="418">
        <f t="shared" si="9"/>
        <v>0</v>
      </c>
      <c r="BX353" s="418">
        <f t="shared" si="9"/>
        <v>0</v>
      </c>
      <c r="BY353" s="418">
        <f t="shared" si="9"/>
        <v>0</v>
      </c>
      <c r="BZ353" s="418">
        <f t="shared" si="9"/>
        <v>0</v>
      </c>
      <c r="CA353" s="418">
        <f t="shared" si="9"/>
        <v>0</v>
      </c>
      <c r="CB353" s="418">
        <f t="shared" si="9"/>
        <v>0</v>
      </c>
    </row>
    <row r="354" spans="1:80" s="418" customFormat="1" x14ac:dyDescent="0.3">
      <c r="A354" s="1097" t="s">
        <v>1140</v>
      </c>
      <c r="B354" s="1098"/>
      <c r="C354" s="1099"/>
      <c r="D354" s="1108"/>
      <c r="E354" s="1049"/>
      <c r="F354" s="1066"/>
      <c r="G354" s="1049"/>
      <c r="H354" s="1049"/>
      <c r="I354" s="1049"/>
      <c r="J354" s="1049"/>
      <c r="K354" s="1049"/>
      <c r="L354" s="1049"/>
      <c r="M354" s="1049"/>
      <c r="N354" s="1049"/>
      <c r="O354" s="1049"/>
      <c r="P354" s="1049"/>
      <c r="Q354" s="1049"/>
      <c r="R354" s="1049"/>
      <c r="S354" s="1049"/>
      <c r="T354" s="1049"/>
      <c r="U354" s="1049"/>
      <c r="V354" s="1049"/>
      <c r="W354" s="1049"/>
      <c r="X354" s="1049"/>
      <c r="Y354" s="1049"/>
      <c r="Z354" s="1049"/>
      <c r="AA354" s="1066"/>
      <c r="AB354" s="1049"/>
      <c r="AT354" s="418">
        <f t="shared" ref="AT354:BR354" si="10">+AT55</f>
        <v>0</v>
      </c>
      <c r="AU354" s="418">
        <f t="shared" si="10"/>
        <v>0</v>
      </c>
      <c r="AV354" s="418">
        <f t="shared" si="10"/>
        <v>7838694</v>
      </c>
      <c r="AW354" s="418">
        <f t="shared" si="10"/>
        <v>0</v>
      </c>
      <c r="AX354" s="418">
        <f t="shared" si="10"/>
        <v>0</v>
      </c>
      <c r="AY354" s="418">
        <f t="shared" si="10"/>
        <v>0</v>
      </c>
      <c r="AZ354" s="418">
        <f t="shared" si="10"/>
        <v>0</v>
      </c>
      <c r="BA354" s="418">
        <f t="shared" si="10"/>
        <v>6587772</v>
      </c>
      <c r="BB354" s="418">
        <f t="shared" si="10"/>
        <v>0</v>
      </c>
      <c r="BC354" s="418">
        <f t="shared" si="10"/>
        <v>0</v>
      </c>
      <c r="BD354" s="418">
        <f t="shared" si="10"/>
        <v>0</v>
      </c>
      <c r="BE354" s="418">
        <f t="shared" si="10"/>
        <v>0</v>
      </c>
      <c r="BF354" s="418">
        <f t="shared" si="10"/>
        <v>31037334</v>
      </c>
      <c r="BG354" s="418">
        <f t="shared" si="10"/>
        <v>0</v>
      </c>
      <c r="BH354" s="418">
        <f t="shared" si="10"/>
        <v>0</v>
      </c>
      <c r="BI354" s="418">
        <f t="shared" si="10"/>
        <v>0</v>
      </c>
      <c r="BJ354" s="418">
        <f t="shared" si="10"/>
        <v>0</v>
      </c>
      <c r="BK354" s="418">
        <f t="shared" si="10"/>
        <v>0</v>
      </c>
      <c r="BL354" s="418">
        <f t="shared" si="10"/>
        <v>8028086</v>
      </c>
      <c r="BM354" s="418">
        <f t="shared" si="10"/>
        <v>0</v>
      </c>
      <c r="BN354" s="418">
        <f t="shared" si="10"/>
        <v>0</v>
      </c>
      <c r="BO354" s="418">
        <f t="shared" si="10"/>
        <v>0</v>
      </c>
      <c r="BP354" s="418">
        <f t="shared" si="10"/>
        <v>0</v>
      </c>
      <c r="BQ354" s="418">
        <f t="shared" si="10"/>
        <v>0</v>
      </c>
      <c r="BR354" s="418">
        <f t="shared" si="10"/>
        <v>0</v>
      </c>
      <c r="BS354" s="418">
        <f t="shared" ref="BS354:CB354" si="11">+BS55</f>
        <v>0</v>
      </c>
      <c r="BT354" s="418">
        <f t="shared" si="11"/>
        <v>0</v>
      </c>
      <c r="BU354" s="418">
        <f t="shared" si="11"/>
        <v>0</v>
      </c>
      <c r="BV354" s="418">
        <f t="shared" si="11"/>
        <v>0</v>
      </c>
      <c r="BW354" s="418">
        <f t="shared" si="11"/>
        <v>0</v>
      </c>
      <c r="BX354" s="418">
        <f t="shared" si="11"/>
        <v>0</v>
      </c>
      <c r="BY354" s="418">
        <f t="shared" si="11"/>
        <v>0</v>
      </c>
      <c r="BZ354" s="418">
        <f t="shared" si="11"/>
        <v>0</v>
      </c>
      <c r="CA354" s="418">
        <f t="shared" si="11"/>
        <v>0</v>
      </c>
      <c r="CB354" s="418">
        <f t="shared" si="11"/>
        <v>0</v>
      </c>
    </row>
    <row r="355" spans="1:80" s="418" customFormat="1" x14ac:dyDescent="0.3">
      <c r="A355" s="1049"/>
      <c r="B355" s="1049"/>
      <c r="C355" s="1049"/>
      <c r="D355" s="1052"/>
      <c r="E355" s="1049"/>
      <c r="F355" s="1066"/>
      <c r="G355" s="1049"/>
      <c r="H355" s="1049"/>
      <c r="I355" s="1049"/>
      <c r="J355" s="1049"/>
      <c r="K355" s="1049"/>
      <c r="L355" s="1049"/>
      <c r="M355" s="1049"/>
      <c r="N355" s="1049"/>
      <c r="O355" s="1049"/>
      <c r="P355" s="1049"/>
      <c r="Q355" s="1049"/>
      <c r="R355" s="1049"/>
      <c r="S355" s="1049"/>
      <c r="T355" s="1049"/>
      <c r="U355" s="1049"/>
      <c r="V355" s="1049"/>
      <c r="W355" s="1049"/>
      <c r="X355" s="1049"/>
      <c r="Y355" s="1049"/>
      <c r="Z355" s="1049"/>
      <c r="AA355" s="1066"/>
      <c r="AB355" s="1049"/>
    </row>
    <row r="356" spans="1:80" s="418" customFormat="1" x14ac:dyDescent="0.3">
      <c r="A356" s="1049"/>
      <c r="B356" s="1049"/>
      <c r="C356" s="1049"/>
      <c r="D356" s="1052"/>
      <c r="E356" s="1049"/>
      <c r="F356" s="1066"/>
      <c r="G356" s="1049"/>
      <c r="H356" s="1049"/>
      <c r="I356" s="1049"/>
      <c r="J356" s="1049"/>
      <c r="K356" s="1049"/>
      <c r="L356" s="1049"/>
      <c r="M356" s="1049"/>
      <c r="N356" s="1049"/>
      <c r="O356" s="1049"/>
      <c r="P356" s="1049"/>
      <c r="Q356" s="1049"/>
      <c r="R356" s="1049"/>
      <c r="S356" s="1049"/>
      <c r="T356" s="1049"/>
      <c r="U356" s="1049"/>
      <c r="V356" s="1049"/>
      <c r="W356" s="1049"/>
      <c r="X356" s="1049"/>
      <c r="Y356" s="1049"/>
      <c r="Z356" s="1049"/>
      <c r="AA356" s="1066"/>
      <c r="AB356" s="1049"/>
    </row>
    <row r="357" spans="1:80" x14ac:dyDescent="0.3">
      <c r="A357" s="1056"/>
      <c r="B357" s="1056"/>
      <c r="C357" s="1049"/>
      <c r="D357" s="1052"/>
      <c r="E357" s="1049"/>
      <c r="F357" s="1049"/>
      <c r="G357" s="1049"/>
      <c r="H357" s="1049"/>
      <c r="I357" s="1049"/>
      <c r="J357" s="1049"/>
      <c r="K357" s="1049"/>
      <c r="L357" s="1049"/>
      <c r="M357" s="1049"/>
      <c r="N357" s="1049"/>
      <c r="O357" s="1049"/>
      <c r="P357" s="1049"/>
      <c r="Q357" s="1049"/>
      <c r="R357" s="1049"/>
      <c r="S357" s="1049"/>
      <c r="T357" s="1049"/>
      <c r="U357" s="1049"/>
      <c r="V357" s="1049"/>
      <c r="W357" s="1049"/>
      <c r="X357" s="1049"/>
      <c r="Y357" s="1049"/>
      <c r="Z357" s="1049"/>
      <c r="AA357" s="1066"/>
      <c r="AB357" s="1049"/>
    </row>
    <row r="358" spans="1:80" x14ac:dyDescent="0.3">
      <c r="A358" s="1056"/>
      <c r="B358" s="1056"/>
      <c r="C358" s="1049"/>
      <c r="D358" s="1052" t="s">
        <v>1283</v>
      </c>
      <c r="E358" s="1049"/>
      <c r="F358" s="1052">
        <v>-7574</v>
      </c>
      <c r="G358" s="1052">
        <v>4027784875</v>
      </c>
      <c r="H358" s="1052">
        <v>1719694919</v>
      </c>
      <c r="I358" s="1052">
        <v>2605803788</v>
      </c>
      <c r="J358" s="1052">
        <v>0</v>
      </c>
      <c r="K358" s="1052">
        <v>0</v>
      </c>
      <c r="L358" s="1052">
        <v>0</v>
      </c>
      <c r="M358" s="1052">
        <v>0</v>
      </c>
      <c r="N358" s="1052">
        <v>1866934166</v>
      </c>
      <c r="O358" s="1052">
        <v>364411345</v>
      </c>
      <c r="P358" s="1049"/>
      <c r="Q358" s="1052">
        <v>0</v>
      </c>
      <c r="R358" s="1052">
        <v>836489275</v>
      </c>
      <c r="S358" s="1052">
        <v>1019632134</v>
      </c>
      <c r="T358" s="1052">
        <v>487292719</v>
      </c>
      <c r="U358" s="1052">
        <v>1787614366</v>
      </c>
      <c r="V358" s="1052">
        <v>0</v>
      </c>
      <c r="W358" s="1049"/>
      <c r="X358" s="1049"/>
      <c r="Y358" s="1049"/>
      <c r="Z358" s="1049"/>
      <c r="AA358" s="1066"/>
      <c r="AB358" s="1049"/>
    </row>
    <row r="359" spans="1:80" x14ac:dyDescent="0.3">
      <c r="A359" s="1056"/>
      <c r="B359" s="1056"/>
      <c r="C359" s="1049"/>
      <c r="D359" s="1052" t="s">
        <v>1284</v>
      </c>
      <c r="E359" s="1049"/>
      <c r="F359" s="1112">
        <v>-7574</v>
      </c>
      <c r="G359" s="1052">
        <v>4027784875</v>
      </c>
      <c r="H359" s="1112">
        <v>1719694919</v>
      </c>
      <c r="I359" s="1112">
        <v>2605803788</v>
      </c>
      <c r="J359" s="1052" t="s">
        <v>1755</v>
      </c>
      <c r="K359" s="1052" t="s">
        <v>1755</v>
      </c>
      <c r="L359" s="1052" t="s">
        <v>1755</v>
      </c>
      <c r="M359" s="1052" t="s">
        <v>1755</v>
      </c>
      <c r="N359" s="1112">
        <v>1866934166</v>
      </c>
      <c r="O359" s="1112">
        <v>364411345</v>
      </c>
      <c r="P359" s="1112">
        <v>3174975178</v>
      </c>
      <c r="Q359" s="1052" t="s">
        <v>1755</v>
      </c>
      <c r="R359" s="1112">
        <v>836489275</v>
      </c>
      <c r="S359" s="1112">
        <v>1019632134</v>
      </c>
      <c r="T359" s="1112">
        <v>487292719</v>
      </c>
      <c r="U359" s="1112">
        <v>1787614366</v>
      </c>
      <c r="V359" s="1052">
        <v>0</v>
      </c>
      <c r="W359" s="1049"/>
      <c r="X359" s="1049"/>
      <c r="Y359" s="1049"/>
      <c r="Z359" s="1049"/>
      <c r="AA359" s="1066"/>
      <c r="AB359" s="1049"/>
    </row>
    <row r="360" spans="1:80" x14ac:dyDescent="0.3">
      <c r="A360" s="1056"/>
      <c r="B360" s="1056"/>
      <c r="C360" s="1049"/>
      <c r="D360" s="1052"/>
      <c r="E360" s="1049"/>
      <c r="F360" s="1052">
        <v>0</v>
      </c>
      <c r="G360" s="1052">
        <v>0</v>
      </c>
      <c r="H360" s="1052">
        <v>0</v>
      </c>
      <c r="I360" s="1052">
        <v>0</v>
      </c>
      <c r="J360" s="1052" t="e">
        <v>#VALUE!</v>
      </c>
      <c r="K360" s="1052" t="e">
        <v>#VALUE!</v>
      </c>
      <c r="L360" s="1052" t="e">
        <v>#VALUE!</v>
      </c>
      <c r="M360" s="1052" t="e">
        <v>#VALUE!</v>
      </c>
      <c r="N360" s="1052">
        <v>0</v>
      </c>
      <c r="O360" s="1052">
        <v>0</v>
      </c>
      <c r="P360" s="1049"/>
      <c r="Q360" s="1052" t="e">
        <v>#VALUE!</v>
      </c>
      <c r="R360" s="1052">
        <v>0</v>
      </c>
      <c r="S360" s="1052">
        <v>0</v>
      </c>
      <c r="T360" s="1052">
        <v>0</v>
      </c>
      <c r="U360" s="1052">
        <v>0</v>
      </c>
      <c r="V360" s="1052">
        <v>0</v>
      </c>
      <c r="W360" s="1049"/>
      <c r="X360" s="1049"/>
      <c r="Y360" s="1049"/>
      <c r="Z360" s="1049"/>
      <c r="AA360" s="1066"/>
      <c r="AB360" s="1049"/>
    </row>
    <row r="361" spans="1:80" x14ac:dyDescent="0.3">
      <c r="A361" s="1049"/>
      <c r="B361" s="1049"/>
      <c r="C361" s="1049"/>
      <c r="D361" s="1052"/>
      <c r="E361" s="1049"/>
      <c r="F361" s="1066"/>
      <c r="G361" s="1049"/>
      <c r="H361" s="1049"/>
      <c r="I361" s="1049"/>
      <c r="J361" s="1049"/>
      <c r="K361" s="1049"/>
      <c r="L361" s="1049"/>
      <c r="M361" s="1049"/>
      <c r="N361" s="1049"/>
      <c r="O361" s="1049"/>
      <c r="P361" s="1049"/>
      <c r="Q361" s="1049"/>
      <c r="R361" s="1049"/>
      <c r="S361" s="1049"/>
      <c r="T361" s="1049"/>
      <c r="U361" s="1049"/>
      <c r="V361" s="1049"/>
      <c r="W361" s="1049"/>
      <c r="X361" s="1049"/>
      <c r="Y361" s="1049"/>
      <c r="Z361" s="1049"/>
      <c r="AA361" s="1066"/>
      <c r="AB361" s="1049"/>
    </row>
    <row r="362" spans="1:80" s="1052" customFormat="1" x14ac:dyDescent="0.3">
      <c r="A362" s="1049"/>
      <c r="B362" s="1049"/>
      <c r="C362" s="1049"/>
      <c r="E362" s="1049"/>
      <c r="F362" s="1066"/>
      <c r="G362" s="1047"/>
      <c r="H362" s="1047"/>
      <c r="I362" s="1047"/>
      <c r="J362" s="1049"/>
      <c r="K362" s="1049"/>
      <c r="L362" s="1049"/>
      <c r="M362" s="1049"/>
      <c r="N362" s="1047"/>
      <c r="O362" s="1047"/>
      <c r="P362" s="1047"/>
      <c r="Q362" s="1049"/>
      <c r="R362" s="1047"/>
      <c r="S362" s="1047"/>
      <c r="T362" s="1047"/>
      <c r="U362" s="1047"/>
      <c r="V362" s="1049"/>
      <c r="W362" s="1049"/>
      <c r="X362" s="1049"/>
      <c r="Y362" s="1049"/>
      <c r="Z362" s="1049"/>
      <c r="AA362" s="1066"/>
      <c r="AB362" s="1049"/>
    </row>
    <row r="363" spans="1:80" s="1052" customFormat="1" x14ac:dyDescent="0.3">
      <c r="A363" s="1049"/>
      <c r="B363" s="1049"/>
      <c r="C363" s="1049"/>
      <c r="E363" s="1049"/>
      <c r="F363" s="1066"/>
      <c r="G363" s="1066"/>
      <c r="H363" s="1066"/>
      <c r="I363" s="1066"/>
      <c r="J363" s="1066"/>
      <c r="K363" s="1066"/>
      <c r="L363" s="1066"/>
      <c r="M363" s="1066"/>
      <c r="N363" s="1066"/>
      <c r="O363" s="1066"/>
      <c r="P363" s="1066"/>
      <c r="Q363" s="1066"/>
      <c r="R363" s="1066"/>
      <c r="S363" s="1066"/>
      <c r="T363" s="1066"/>
      <c r="U363" s="1066"/>
      <c r="V363" s="1049"/>
      <c r="W363" s="1049"/>
      <c r="X363" s="1049"/>
      <c r="Y363" s="1049"/>
      <c r="Z363" s="1049"/>
      <c r="AA363" s="1066"/>
      <c r="AB363" s="1049"/>
    </row>
    <row r="365" spans="1:80" ht="15.6" x14ac:dyDescent="0.3">
      <c r="A365" s="1052"/>
      <c r="B365" s="1049"/>
      <c r="C365" s="1060"/>
      <c r="D365" s="1061"/>
      <c r="E365" s="1062"/>
      <c r="F365" s="1063"/>
      <c r="G365" s="1063"/>
      <c r="H365" s="1063"/>
      <c r="I365" s="1063"/>
      <c r="J365" s="1063"/>
      <c r="K365" s="1063"/>
      <c r="L365" s="1063"/>
      <c r="M365" s="1063"/>
      <c r="N365" s="1063"/>
      <c r="O365" s="1063"/>
      <c r="P365" s="1063"/>
      <c r="Q365" s="1063"/>
      <c r="R365" s="1063"/>
      <c r="S365" s="1063"/>
      <c r="T365" s="1063"/>
      <c r="U365" s="1063"/>
      <c r="V365" s="1063"/>
      <c r="W365" s="1049"/>
      <c r="X365" s="1049"/>
      <c r="Y365" s="1049"/>
      <c r="Z365" s="1049"/>
      <c r="AA365" s="1066"/>
      <c r="AB365" s="1065"/>
    </row>
    <row r="366" spans="1:80" ht="15.6" x14ac:dyDescent="0.3">
      <c r="A366" s="1052"/>
      <c r="B366" s="1049"/>
      <c r="C366" s="1060"/>
      <c r="D366" s="1071"/>
      <c r="E366" s="1062"/>
      <c r="F366" s="1063"/>
      <c r="G366" s="1063"/>
      <c r="H366" s="1063"/>
      <c r="I366" s="1063"/>
      <c r="J366" s="1063"/>
      <c r="K366" s="1063"/>
      <c r="L366" s="1063"/>
      <c r="M366" s="1063"/>
      <c r="N366" s="1063"/>
      <c r="O366" s="1063"/>
      <c r="P366" s="1063"/>
      <c r="Q366" s="1063"/>
      <c r="R366" s="1063"/>
      <c r="S366" s="1063"/>
      <c r="T366" s="1063"/>
      <c r="U366" s="1063"/>
      <c r="V366" s="1063"/>
      <c r="W366" s="1049"/>
      <c r="X366" s="1049"/>
      <c r="Y366" s="1049"/>
      <c r="Z366" s="1049"/>
      <c r="AA366" s="1066"/>
      <c r="AB366" s="1049"/>
    </row>
    <row r="367" spans="1:80" ht="15.6" x14ac:dyDescent="0.3">
      <c r="A367" s="1052">
        <v>336</v>
      </c>
      <c r="B367" s="1049"/>
      <c r="C367" s="1060" t="s">
        <v>1987</v>
      </c>
      <c r="D367" s="1071" t="s">
        <v>1315</v>
      </c>
      <c r="E367" s="1062" t="s">
        <v>419</v>
      </c>
      <c r="F367" s="1063">
        <v>0</v>
      </c>
      <c r="G367" s="1063">
        <v>0</v>
      </c>
      <c r="H367" s="1063">
        <v>0</v>
      </c>
      <c r="I367" s="1063">
        <v>0</v>
      </c>
      <c r="J367" s="1063">
        <v>0</v>
      </c>
      <c r="K367" s="1063">
        <v>0</v>
      </c>
      <c r="L367" s="1063">
        <v>0</v>
      </c>
      <c r="M367" s="1063">
        <v>0</v>
      </c>
      <c r="N367" s="1063">
        <v>0</v>
      </c>
      <c r="O367" s="1063">
        <v>0</v>
      </c>
      <c r="P367" s="1063">
        <v>0</v>
      </c>
      <c r="Q367" s="1063">
        <v>0</v>
      </c>
      <c r="R367" s="1063">
        <v>0</v>
      </c>
      <c r="S367" s="1063">
        <v>0</v>
      </c>
      <c r="T367" s="1063">
        <v>0</v>
      </c>
      <c r="U367" s="1063">
        <v>0</v>
      </c>
      <c r="V367" s="1063"/>
      <c r="W367" s="1049"/>
      <c r="X367" s="1049"/>
      <c r="Y367" s="1049"/>
      <c r="Z367" s="1049"/>
      <c r="AA367" s="1066"/>
      <c r="AB367" s="1049"/>
    </row>
    <row r="368" spans="1:80" x14ac:dyDescent="0.3">
      <c r="A368" s="1052">
        <v>537</v>
      </c>
      <c r="B368" s="1053"/>
      <c r="C368" s="1056">
        <v>537</v>
      </c>
      <c r="D368" s="1052" t="s">
        <v>295</v>
      </c>
      <c r="E368" s="1052" t="s">
        <v>504</v>
      </c>
      <c r="F368" s="1063">
        <v>0</v>
      </c>
      <c r="G368" s="1063">
        <v>0</v>
      </c>
      <c r="H368" s="1063">
        <v>0</v>
      </c>
      <c r="I368" s="1063">
        <v>0</v>
      </c>
      <c r="J368" s="1063">
        <v>0</v>
      </c>
      <c r="K368" s="1063">
        <v>0</v>
      </c>
      <c r="L368" s="1063">
        <v>0</v>
      </c>
      <c r="M368" s="1063">
        <v>0</v>
      </c>
      <c r="N368" s="1063">
        <v>0</v>
      </c>
      <c r="O368" s="1063">
        <v>0</v>
      </c>
      <c r="P368" s="1063">
        <v>0</v>
      </c>
      <c r="Q368" s="1063">
        <v>0</v>
      </c>
      <c r="R368" s="1063">
        <v>0</v>
      </c>
      <c r="S368" s="1063">
        <v>0</v>
      </c>
      <c r="T368" s="1063">
        <v>0</v>
      </c>
      <c r="U368" s="1063">
        <v>0</v>
      </c>
      <c r="V368" s="1063"/>
      <c r="W368" s="1049"/>
      <c r="X368" s="1049"/>
      <c r="Y368" s="1064"/>
      <c r="Z368" s="1065"/>
      <c r="AA368" s="1066"/>
      <c r="AB368" s="1049"/>
    </row>
    <row r="369" spans="1:28" ht="27.6" x14ac:dyDescent="0.3">
      <c r="A369" s="1052">
        <v>538</v>
      </c>
      <c r="B369" s="1053"/>
      <c r="C369" s="1060" t="s">
        <v>1816</v>
      </c>
      <c r="D369" s="1080" t="s">
        <v>294</v>
      </c>
      <c r="E369" s="1062" t="s">
        <v>505</v>
      </c>
      <c r="F369" s="1063">
        <v>0</v>
      </c>
      <c r="G369" s="1063">
        <v>0</v>
      </c>
      <c r="H369" s="1063">
        <v>0</v>
      </c>
      <c r="I369" s="1063">
        <v>0</v>
      </c>
      <c r="J369" s="1063">
        <v>0</v>
      </c>
      <c r="K369" s="1063">
        <v>0</v>
      </c>
      <c r="L369" s="1063">
        <v>0</v>
      </c>
      <c r="M369" s="1063">
        <v>0</v>
      </c>
      <c r="N369" s="1063">
        <v>0</v>
      </c>
      <c r="O369" s="1063">
        <v>0</v>
      </c>
      <c r="P369" s="1063">
        <v>0</v>
      </c>
      <c r="Q369" s="1063">
        <v>0</v>
      </c>
      <c r="R369" s="1063">
        <v>0</v>
      </c>
      <c r="S369" s="1063">
        <v>0</v>
      </c>
      <c r="T369" s="1063">
        <v>0</v>
      </c>
      <c r="U369" s="1063">
        <v>0</v>
      </c>
      <c r="V369" s="1063"/>
      <c r="W369" s="1049"/>
      <c r="X369" s="1049"/>
      <c r="Y369" s="1064"/>
      <c r="Z369" s="1065"/>
      <c r="AA369" s="1066"/>
      <c r="AB369" s="1049"/>
    </row>
    <row r="370" spans="1:28" ht="41.4" x14ac:dyDescent="0.3">
      <c r="A370" s="1052">
        <v>577</v>
      </c>
      <c r="B370" s="1053">
        <v>577</v>
      </c>
      <c r="C370" s="1060" t="s">
        <v>2073</v>
      </c>
      <c r="D370" s="1080" t="s">
        <v>624</v>
      </c>
      <c r="E370" s="1062" t="s">
        <v>625</v>
      </c>
      <c r="F370" s="1063">
        <v>0</v>
      </c>
      <c r="G370" s="1063">
        <v>1</v>
      </c>
      <c r="H370" s="1063">
        <v>0</v>
      </c>
      <c r="I370" s="1063">
        <v>1</v>
      </c>
      <c r="J370" s="1063">
        <v>0</v>
      </c>
      <c r="K370" s="1063">
        <v>0</v>
      </c>
      <c r="L370" s="1063">
        <v>0</v>
      </c>
      <c r="M370" s="1063">
        <v>0</v>
      </c>
      <c r="N370" s="1063">
        <v>0</v>
      </c>
      <c r="O370" s="1063">
        <v>0</v>
      </c>
      <c r="P370" s="1063">
        <v>0</v>
      </c>
      <c r="Q370" s="1063">
        <v>0</v>
      </c>
      <c r="R370" s="1063">
        <v>1</v>
      </c>
      <c r="S370" s="1063">
        <v>0</v>
      </c>
      <c r="T370" s="1063">
        <v>0</v>
      </c>
      <c r="U370" s="1063">
        <v>0</v>
      </c>
      <c r="V370" s="1063"/>
      <c r="W370" s="1049"/>
      <c r="X370" s="1049"/>
      <c r="Y370" s="1064"/>
      <c r="Z370" s="1065"/>
      <c r="AA370" s="1066"/>
      <c r="AB370" s="1049"/>
    </row>
    <row r="371" spans="1:28" ht="41.4" x14ac:dyDescent="0.3">
      <c r="A371" s="1052">
        <v>554</v>
      </c>
      <c r="B371" s="1053">
        <v>554</v>
      </c>
      <c r="C371" s="1060" t="s">
        <v>1837</v>
      </c>
      <c r="D371" s="1080" t="s">
        <v>577</v>
      </c>
      <c r="E371" s="1062" t="s">
        <v>578</v>
      </c>
      <c r="F371" s="1063">
        <v>0</v>
      </c>
      <c r="G371" s="1063">
        <v>0</v>
      </c>
      <c r="H371" s="1063">
        <v>0</v>
      </c>
      <c r="I371" s="1063">
        <v>1143425</v>
      </c>
      <c r="J371" s="1063">
        <v>0</v>
      </c>
      <c r="K371" s="1063">
        <v>0</v>
      </c>
      <c r="L371" s="1063">
        <v>0</v>
      </c>
      <c r="M371" s="1063">
        <v>0</v>
      </c>
      <c r="N371" s="1063">
        <v>0</v>
      </c>
      <c r="O371" s="1063">
        <v>0</v>
      </c>
      <c r="P371" s="1063">
        <v>0</v>
      </c>
      <c r="Q371" s="1063">
        <v>0</v>
      </c>
      <c r="R371" s="1063">
        <v>0</v>
      </c>
      <c r="S371" s="1063">
        <v>0</v>
      </c>
      <c r="T371" s="1063">
        <v>0</v>
      </c>
      <c r="U371" s="1063">
        <v>0</v>
      </c>
      <c r="V371" s="1063"/>
      <c r="W371" s="1049"/>
      <c r="X371" s="1049"/>
      <c r="Y371" s="1064"/>
      <c r="Z371" s="1065"/>
      <c r="AA371" s="1066"/>
    </row>
    <row r="372" spans="1:28" ht="41.4" x14ac:dyDescent="0.3">
      <c r="A372" s="1052">
        <v>555</v>
      </c>
      <c r="B372" s="1053">
        <v>555</v>
      </c>
      <c r="C372" s="1060" t="s">
        <v>1838</v>
      </c>
      <c r="D372" s="1080" t="s">
        <v>579</v>
      </c>
      <c r="E372" s="1062" t="s">
        <v>580</v>
      </c>
      <c r="F372" s="1063">
        <v>0</v>
      </c>
      <c r="G372" s="1063">
        <v>0</v>
      </c>
      <c r="H372" s="1063">
        <v>0</v>
      </c>
      <c r="I372" s="1063">
        <v>718830</v>
      </c>
      <c r="J372" s="1063">
        <v>0</v>
      </c>
      <c r="K372" s="1063">
        <v>0</v>
      </c>
      <c r="L372" s="1063">
        <v>0</v>
      </c>
      <c r="M372" s="1063">
        <v>0</v>
      </c>
      <c r="N372" s="1063">
        <v>0</v>
      </c>
      <c r="O372" s="1063">
        <v>0</v>
      </c>
      <c r="P372" s="1063">
        <v>0</v>
      </c>
      <c r="Q372" s="1063">
        <v>0</v>
      </c>
      <c r="R372" s="1063">
        <v>0</v>
      </c>
      <c r="S372" s="1063">
        <v>0</v>
      </c>
      <c r="T372" s="1063">
        <v>0</v>
      </c>
      <c r="U372" s="1063">
        <v>0</v>
      </c>
      <c r="V372" s="1063"/>
      <c r="W372" s="1049"/>
      <c r="X372" s="1049"/>
      <c r="Y372" s="1064"/>
      <c r="Z372" s="1065"/>
      <c r="AA372" s="1066"/>
    </row>
    <row r="373" spans="1:28" ht="43.2" x14ac:dyDescent="0.3">
      <c r="A373" s="1052">
        <v>556</v>
      </c>
      <c r="B373" s="1053">
        <v>556</v>
      </c>
      <c r="C373" s="1055">
        <v>556</v>
      </c>
      <c r="D373" s="1094" t="s">
        <v>581</v>
      </c>
      <c r="E373" s="1049" t="s">
        <v>582</v>
      </c>
      <c r="F373" s="1063">
        <v>0</v>
      </c>
      <c r="G373" s="1063">
        <v>0</v>
      </c>
      <c r="H373" s="1063">
        <v>0</v>
      </c>
      <c r="I373" s="1063">
        <v>0</v>
      </c>
      <c r="J373" s="1063">
        <v>0</v>
      </c>
      <c r="K373" s="1063">
        <v>0</v>
      </c>
      <c r="L373" s="1063">
        <v>0</v>
      </c>
      <c r="M373" s="1063">
        <v>0</v>
      </c>
      <c r="N373" s="1063">
        <v>0</v>
      </c>
      <c r="O373" s="1063">
        <v>0</v>
      </c>
      <c r="P373" s="1063">
        <v>0</v>
      </c>
      <c r="Q373" s="1063">
        <v>0</v>
      </c>
      <c r="R373" s="1063">
        <v>0</v>
      </c>
      <c r="S373" s="1063">
        <v>0</v>
      </c>
      <c r="T373" s="1063">
        <v>0</v>
      </c>
      <c r="U373" s="1063">
        <v>0</v>
      </c>
      <c r="V373" s="1063"/>
      <c r="W373" s="1049"/>
      <c r="X373" s="1049"/>
      <c r="Y373" s="1049"/>
      <c r="Z373" s="1049"/>
      <c r="AA373" s="1049"/>
    </row>
    <row r="374" spans="1:28" ht="43.2" x14ac:dyDescent="0.3">
      <c r="A374" s="1052">
        <v>557</v>
      </c>
      <c r="B374" s="1053">
        <v>557</v>
      </c>
      <c r="C374" s="1055">
        <v>557</v>
      </c>
      <c r="D374" s="1094" t="s">
        <v>583</v>
      </c>
      <c r="E374" s="1049" t="s">
        <v>584</v>
      </c>
      <c r="F374" s="1063">
        <v>0</v>
      </c>
      <c r="G374" s="1063">
        <v>0</v>
      </c>
      <c r="H374" s="1063">
        <v>0</v>
      </c>
      <c r="I374" s="1063">
        <v>0</v>
      </c>
      <c r="J374" s="1063">
        <v>0</v>
      </c>
      <c r="K374" s="1063">
        <v>0</v>
      </c>
      <c r="L374" s="1063">
        <v>0</v>
      </c>
      <c r="M374" s="1063">
        <v>0</v>
      </c>
      <c r="N374" s="1063">
        <v>0</v>
      </c>
      <c r="O374" s="1063">
        <v>0</v>
      </c>
      <c r="P374" s="1063">
        <v>0</v>
      </c>
      <c r="Q374" s="1063">
        <v>0</v>
      </c>
      <c r="R374" s="1063">
        <v>0</v>
      </c>
      <c r="S374" s="1063">
        <v>0</v>
      </c>
      <c r="T374" s="1063">
        <v>0</v>
      </c>
      <c r="U374" s="1063">
        <v>0</v>
      </c>
      <c r="V374" s="1063"/>
      <c r="W374" s="1049"/>
      <c r="X374" s="1049"/>
      <c r="Y374" s="1049"/>
      <c r="Z374" s="1049"/>
      <c r="AA374" s="1049"/>
    </row>
    <row r="375" spans="1:28" ht="28.8" x14ac:dyDescent="0.3">
      <c r="A375" s="1052">
        <v>606</v>
      </c>
      <c r="B375" s="1053">
        <v>606</v>
      </c>
      <c r="C375" s="1095">
        <v>606</v>
      </c>
      <c r="D375" s="1096" t="s">
        <v>688</v>
      </c>
      <c r="E375" s="1056"/>
      <c r="F375" s="1063">
        <v>0</v>
      </c>
      <c r="G375" s="1063">
        <v>0</v>
      </c>
      <c r="H375" s="1063">
        <v>0</v>
      </c>
      <c r="I375" s="1063">
        <v>1</v>
      </c>
      <c r="J375" s="1063">
        <v>0</v>
      </c>
      <c r="K375" s="1063">
        <v>0</v>
      </c>
      <c r="L375" s="1063">
        <v>0</v>
      </c>
      <c r="M375" s="1063">
        <v>0</v>
      </c>
      <c r="N375" s="1063">
        <v>0</v>
      </c>
      <c r="O375" s="1063">
        <v>0</v>
      </c>
      <c r="P375" s="1063">
        <v>0</v>
      </c>
      <c r="Q375" s="1063">
        <v>0</v>
      </c>
      <c r="R375" s="1063">
        <v>0</v>
      </c>
      <c r="S375" s="1063">
        <v>0</v>
      </c>
      <c r="T375" s="1063">
        <v>0</v>
      </c>
      <c r="U375" s="1063">
        <v>0</v>
      </c>
      <c r="V375" s="1063"/>
      <c r="W375" s="1049"/>
      <c r="X375" s="1049"/>
      <c r="Y375" s="1049"/>
      <c r="Z375" s="1049"/>
      <c r="AA375" s="1066"/>
    </row>
    <row r="376" spans="1:28" ht="57.6" x14ac:dyDescent="0.3">
      <c r="A376" s="1052">
        <v>620</v>
      </c>
      <c r="B376" s="1053">
        <v>620</v>
      </c>
      <c r="C376" s="1095">
        <v>620</v>
      </c>
      <c r="D376" s="1096" t="s">
        <v>678</v>
      </c>
      <c r="E376" s="1056"/>
      <c r="F376" s="1063">
        <v>2</v>
      </c>
      <c r="G376" s="1063">
        <v>2</v>
      </c>
      <c r="H376" s="1063">
        <v>2</v>
      </c>
      <c r="I376" s="1063">
        <v>1</v>
      </c>
      <c r="J376" s="1063">
        <v>0</v>
      </c>
      <c r="K376" s="1063">
        <v>0</v>
      </c>
      <c r="L376" s="1063">
        <v>0</v>
      </c>
      <c r="M376" s="1063">
        <v>0</v>
      </c>
      <c r="N376" s="1063">
        <v>1</v>
      </c>
      <c r="O376" s="1063">
        <v>2</v>
      </c>
      <c r="P376" s="1063">
        <v>1</v>
      </c>
      <c r="Q376" s="1063">
        <v>0</v>
      </c>
      <c r="R376" s="1063">
        <v>2</v>
      </c>
      <c r="S376" s="1063">
        <v>2</v>
      </c>
      <c r="T376" s="1063">
        <v>2</v>
      </c>
      <c r="U376" s="1063">
        <v>2</v>
      </c>
      <c r="V376" s="1063"/>
      <c r="W376" s="1049"/>
      <c r="X376" s="1049"/>
      <c r="Y376" s="1049"/>
      <c r="Z376" s="1049"/>
      <c r="AA376" s="1066"/>
    </row>
    <row r="377" spans="1:28" ht="27.6" x14ac:dyDescent="0.3">
      <c r="A377" s="1052">
        <v>662</v>
      </c>
      <c r="B377" s="1053">
        <v>662</v>
      </c>
      <c r="C377" s="1088">
        <v>662</v>
      </c>
      <c r="D377" s="1084" t="s">
        <v>857</v>
      </c>
      <c r="E377" s="1085"/>
      <c r="F377" s="1063">
        <v>0</v>
      </c>
      <c r="G377" s="1063">
        <v>0</v>
      </c>
      <c r="H377" s="1063">
        <v>0</v>
      </c>
      <c r="I377" s="1063">
        <v>0</v>
      </c>
      <c r="J377" s="1063">
        <v>0</v>
      </c>
      <c r="K377" s="1063">
        <v>0</v>
      </c>
      <c r="L377" s="1063">
        <v>0</v>
      </c>
      <c r="M377" s="1063">
        <v>0</v>
      </c>
      <c r="N377" s="1063">
        <v>0</v>
      </c>
      <c r="O377" s="1063">
        <v>0</v>
      </c>
      <c r="P377" s="1063">
        <v>0</v>
      </c>
      <c r="Q377" s="1063">
        <v>0</v>
      </c>
      <c r="R377" s="1063">
        <v>0</v>
      </c>
      <c r="S377" s="1063">
        <v>0</v>
      </c>
      <c r="T377" s="1063">
        <v>0</v>
      </c>
      <c r="U377" s="1063">
        <v>0</v>
      </c>
      <c r="V377" s="1063"/>
      <c r="W377" s="1049"/>
      <c r="X377" s="1049"/>
      <c r="Y377" s="1049"/>
      <c r="Z377" s="1049"/>
      <c r="AA377" s="1066"/>
    </row>
    <row r="378" spans="1:28" ht="27.6" x14ac:dyDescent="0.3">
      <c r="A378" s="1052">
        <v>663</v>
      </c>
      <c r="B378" s="1053">
        <v>663</v>
      </c>
      <c r="C378" s="1088">
        <v>663</v>
      </c>
      <c r="D378" s="1084" t="s">
        <v>858</v>
      </c>
      <c r="E378" s="1085"/>
      <c r="F378" s="1089">
        <v>0</v>
      </c>
      <c r="G378" s="1089">
        <v>0</v>
      </c>
      <c r="H378" s="1089">
        <v>0</v>
      </c>
      <c r="I378" s="1089">
        <v>0</v>
      </c>
      <c r="J378" s="1089">
        <v>0</v>
      </c>
      <c r="K378" s="1089">
        <v>0</v>
      </c>
      <c r="L378" s="1089">
        <v>0</v>
      </c>
      <c r="M378" s="1089">
        <v>0</v>
      </c>
      <c r="N378" s="1089">
        <v>0</v>
      </c>
      <c r="O378" s="1089">
        <v>0</v>
      </c>
      <c r="P378" s="1089">
        <v>10617331</v>
      </c>
      <c r="Q378" s="1089">
        <v>0</v>
      </c>
      <c r="R378" s="1089">
        <v>0</v>
      </c>
      <c r="S378" s="1089">
        <v>0</v>
      </c>
      <c r="T378" s="1089">
        <v>0</v>
      </c>
      <c r="U378" s="1089">
        <v>0</v>
      </c>
      <c r="V378" s="1089"/>
      <c r="W378" s="1049"/>
      <c r="X378" s="1049"/>
      <c r="Y378" s="1049"/>
      <c r="Z378" s="1049"/>
      <c r="AA378" s="1066"/>
    </row>
    <row r="379" spans="1:28" s="1052" customFormat="1" ht="27" x14ac:dyDescent="0.3">
      <c r="A379" s="1052">
        <v>992</v>
      </c>
      <c r="B379" s="1053">
        <v>992</v>
      </c>
      <c r="C379" s="1060" t="s">
        <v>1860</v>
      </c>
      <c r="D379" s="1082" t="s">
        <v>1750</v>
      </c>
      <c r="E379" s="1062" t="s">
        <v>602</v>
      </c>
      <c r="F379" s="1063">
        <v>0</v>
      </c>
      <c r="G379" s="1063">
        <v>2</v>
      </c>
      <c r="H379" s="1063">
        <v>0</v>
      </c>
      <c r="I379" s="1063">
        <v>1</v>
      </c>
      <c r="J379" s="1063">
        <v>0</v>
      </c>
      <c r="K379" s="1063">
        <v>0</v>
      </c>
      <c r="L379" s="1063">
        <v>0</v>
      </c>
      <c r="M379" s="1063">
        <v>0</v>
      </c>
      <c r="N379" s="1063">
        <v>1</v>
      </c>
      <c r="O379" s="1063">
        <v>3</v>
      </c>
      <c r="P379" s="1063">
        <v>2</v>
      </c>
      <c r="Q379" s="1063">
        <v>0</v>
      </c>
      <c r="R379" s="1063">
        <v>3</v>
      </c>
      <c r="S379" s="1063">
        <v>2</v>
      </c>
      <c r="T379" s="1063">
        <v>1</v>
      </c>
      <c r="U379" s="1063">
        <v>1</v>
      </c>
      <c r="V379" s="1089"/>
      <c r="W379" s="1049"/>
      <c r="X379" s="1049"/>
      <c r="Y379" s="1049"/>
      <c r="Z379" s="1049"/>
      <c r="AA379" s="1066"/>
    </row>
    <row r="380" spans="1:28" x14ac:dyDescent="0.3">
      <c r="A380" s="1052">
        <v>998</v>
      </c>
      <c r="B380" s="1053">
        <v>998</v>
      </c>
      <c r="C380" s="1095">
        <v>998</v>
      </c>
      <c r="D380" s="1096" t="s">
        <v>292</v>
      </c>
      <c r="E380" s="1056" t="s">
        <v>523</v>
      </c>
      <c r="F380" s="1063">
        <v>53</v>
      </c>
      <c r="G380" s="1063">
        <v>53</v>
      </c>
      <c r="H380" s="1063">
        <v>0</v>
      </c>
      <c r="I380" s="1063">
        <v>53</v>
      </c>
      <c r="J380" s="1063">
        <v>0</v>
      </c>
      <c r="K380" s="1063">
        <v>0</v>
      </c>
      <c r="L380" s="1063">
        <v>0</v>
      </c>
      <c r="M380" s="1063">
        <v>0</v>
      </c>
      <c r="N380" s="1063">
        <v>53</v>
      </c>
      <c r="O380" s="1063">
        <v>53</v>
      </c>
      <c r="P380" s="1063">
        <v>53</v>
      </c>
      <c r="Q380" s="1063">
        <v>0</v>
      </c>
      <c r="R380" s="1063">
        <v>53</v>
      </c>
      <c r="S380" s="1063">
        <v>53</v>
      </c>
      <c r="T380" s="1063">
        <v>53</v>
      </c>
      <c r="U380" s="1063">
        <v>53</v>
      </c>
      <c r="V380" s="1063"/>
      <c r="W380" s="1049"/>
      <c r="X380" s="1049"/>
      <c r="Y380" s="1049"/>
      <c r="Z380" s="1049"/>
      <c r="AA380" s="1066"/>
    </row>
    <row r="381" spans="1:28" x14ac:dyDescent="0.3">
      <c r="A381" s="1052">
        <v>999</v>
      </c>
      <c r="B381" s="1053">
        <v>999</v>
      </c>
      <c r="C381" s="1095">
        <v>999</v>
      </c>
      <c r="D381" s="1096" t="s">
        <v>293</v>
      </c>
      <c r="E381" s="1056" t="s">
        <v>524</v>
      </c>
      <c r="F381" s="1063">
        <v>53876</v>
      </c>
      <c r="G381" s="1063">
        <v>53926</v>
      </c>
      <c r="H381" s="1063">
        <v>53880</v>
      </c>
      <c r="I381" s="1063">
        <v>53881</v>
      </c>
      <c r="J381" s="1063">
        <v>0</v>
      </c>
      <c r="K381" s="1063">
        <v>0</v>
      </c>
      <c r="L381" s="1063">
        <v>0</v>
      </c>
      <c r="M381" s="1063">
        <v>0</v>
      </c>
      <c r="N381" s="1063">
        <v>53897</v>
      </c>
      <c r="O381" s="1063">
        <v>53970</v>
      </c>
      <c r="P381" s="1063">
        <v>53950</v>
      </c>
      <c r="Q381" s="1063">
        <v>0</v>
      </c>
      <c r="R381" s="1063">
        <v>53902</v>
      </c>
      <c r="S381" s="1063">
        <v>53923</v>
      </c>
      <c r="T381" s="1063">
        <v>53908</v>
      </c>
      <c r="U381" s="1063">
        <v>53913</v>
      </c>
      <c r="V381" s="1063"/>
      <c r="W381" s="1049"/>
      <c r="X381" s="1049"/>
      <c r="Y381" s="1049"/>
      <c r="Z381" s="1049"/>
      <c r="AA381" s="1066"/>
    </row>
    <row r="382" spans="1:28" ht="28.8" x14ac:dyDescent="0.3">
      <c r="A382" s="1052">
        <v>906</v>
      </c>
      <c r="B382" s="1053">
        <v>906</v>
      </c>
      <c r="C382" s="1095" t="s">
        <v>1867</v>
      </c>
      <c r="D382" s="1096" t="s">
        <v>917</v>
      </c>
      <c r="E382" s="1056"/>
      <c r="F382" s="1063">
        <v>1</v>
      </c>
      <c r="G382" s="1063">
        <v>1</v>
      </c>
      <c r="H382" s="1063">
        <v>1</v>
      </c>
      <c r="I382" s="1063">
        <v>1</v>
      </c>
      <c r="J382" s="1063">
        <v>0</v>
      </c>
      <c r="K382" s="1063">
        <v>0</v>
      </c>
      <c r="L382" s="1063">
        <v>0</v>
      </c>
      <c r="M382" s="1063">
        <v>0</v>
      </c>
      <c r="N382" s="1063">
        <v>1</v>
      </c>
      <c r="O382" s="1063">
        <v>1</v>
      </c>
      <c r="P382" s="1063">
        <v>1</v>
      </c>
      <c r="Q382" s="1063">
        <v>0</v>
      </c>
      <c r="R382" s="1063">
        <v>1</v>
      </c>
      <c r="S382" s="1063">
        <v>1</v>
      </c>
      <c r="T382" s="1063">
        <v>1</v>
      </c>
      <c r="U382" s="1063">
        <v>1</v>
      </c>
      <c r="V382" s="1063"/>
      <c r="W382" s="1049"/>
      <c r="X382" s="1049"/>
      <c r="Y382" s="1049"/>
      <c r="Z382" s="1049"/>
      <c r="AA382" s="1066"/>
    </row>
    <row r="383" spans="1:28" ht="28.8" x14ac:dyDescent="0.3">
      <c r="A383" s="1052">
        <v>907</v>
      </c>
      <c r="B383" s="1053">
        <v>907</v>
      </c>
      <c r="C383" s="1095" t="s">
        <v>1867</v>
      </c>
      <c r="D383" s="1096" t="s">
        <v>918</v>
      </c>
      <c r="E383" s="1056"/>
      <c r="F383" s="1063">
        <v>2</v>
      </c>
      <c r="G383" s="1063">
        <v>2</v>
      </c>
      <c r="H383" s="1063">
        <v>2</v>
      </c>
      <c r="I383" s="1063">
        <v>2</v>
      </c>
      <c r="J383" s="1063">
        <v>0</v>
      </c>
      <c r="K383" s="1063">
        <v>0</v>
      </c>
      <c r="L383" s="1063">
        <v>0</v>
      </c>
      <c r="M383" s="1063">
        <v>0</v>
      </c>
      <c r="N383" s="1063">
        <v>2</v>
      </c>
      <c r="O383" s="1063">
        <v>2</v>
      </c>
      <c r="P383" s="1063">
        <v>2</v>
      </c>
      <c r="Q383" s="1063">
        <v>0</v>
      </c>
      <c r="R383" s="1063">
        <v>2</v>
      </c>
      <c r="S383" s="1063">
        <v>2</v>
      </c>
      <c r="T383" s="1063">
        <v>2</v>
      </c>
      <c r="U383" s="1063">
        <v>2</v>
      </c>
      <c r="V383" s="1063"/>
      <c r="W383" s="1049"/>
      <c r="X383" s="1049"/>
      <c r="Y383" s="1049"/>
      <c r="Z383" s="1049"/>
      <c r="AA383" s="1066"/>
    </row>
    <row r="384" spans="1:28" ht="28.8" x14ac:dyDescent="0.3">
      <c r="A384" s="1052">
        <v>951</v>
      </c>
      <c r="B384" s="1053">
        <v>951</v>
      </c>
      <c r="C384" s="1095" t="s">
        <v>1867</v>
      </c>
      <c r="D384" s="1096" t="s">
        <v>919</v>
      </c>
      <c r="E384" s="1056"/>
      <c r="F384" s="1063">
        <v>2</v>
      </c>
      <c r="G384" s="1063">
        <v>2</v>
      </c>
      <c r="H384" s="1063">
        <v>2</v>
      </c>
      <c r="I384" s="1063">
        <v>2</v>
      </c>
      <c r="J384" s="1063">
        <v>0</v>
      </c>
      <c r="K384" s="1063">
        <v>0</v>
      </c>
      <c r="L384" s="1063">
        <v>0</v>
      </c>
      <c r="M384" s="1063">
        <v>0</v>
      </c>
      <c r="N384" s="1063">
        <v>2</v>
      </c>
      <c r="O384" s="1063">
        <v>2</v>
      </c>
      <c r="P384" s="1063">
        <v>2</v>
      </c>
      <c r="Q384" s="1063">
        <v>0</v>
      </c>
      <c r="R384" s="1063">
        <v>2</v>
      </c>
      <c r="S384" s="1063">
        <v>2</v>
      </c>
      <c r="T384" s="1063">
        <v>2</v>
      </c>
      <c r="U384" s="1063">
        <v>2</v>
      </c>
      <c r="V384" s="1063"/>
      <c r="W384" s="1049"/>
      <c r="X384" s="1049"/>
      <c r="Y384" s="1049"/>
      <c r="Z384" s="1049"/>
      <c r="AA384" s="1066"/>
    </row>
    <row r="385" spans="1:80" ht="28.8" x14ac:dyDescent="0.3">
      <c r="A385" s="1052">
        <v>953</v>
      </c>
      <c r="B385" s="1053">
        <v>953</v>
      </c>
      <c r="C385" s="1095" t="s">
        <v>1867</v>
      </c>
      <c r="D385" s="1096" t="s">
        <v>920</v>
      </c>
      <c r="E385" s="1056"/>
      <c r="F385" s="1063">
        <v>2</v>
      </c>
      <c r="G385" s="1063">
        <v>2</v>
      </c>
      <c r="H385" s="1063">
        <v>2</v>
      </c>
      <c r="I385" s="1063">
        <v>2</v>
      </c>
      <c r="J385" s="1063">
        <v>0</v>
      </c>
      <c r="K385" s="1063">
        <v>0</v>
      </c>
      <c r="L385" s="1063">
        <v>0</v>
      </c>
      <c r="M385" s="1063">
        <v>0</v>
      </c>
      <c r="N385" s="1063">
        <v>2</v>
      </c>
      <c r="O385" s="1063">
        <v>2</v>
      </c>
      <c r="P385" s="1063">
        <v>2</v>
      </c>
      <c r="Q385" s="1063">
        <v>0</v>
      </c>
      <c r="R385" s="1063">
        <v>2</v>
      </c>
      <c r="S385" s="1063">
        <v>2</v>
      </c>
      <c r="T385" s="1063">
        <v>2</v>
      </c>
      <c r="U385" s="1063">
        <v>2</v>
      </c>
      <c r="V385" s="1063"/>
      <c r="W385" s="1049"/>
      <c r="X385" s="1049"/>
      <c r="Y385" s="1049"/>
      <c r="Z385" s="1049"/>
      <c r="AA385" s="1066"/>
    </row>
    <row r="386" spans="1:80" ht="28.8" x14ac:dyDescent="0.3">
      <c r="A386" s="1052">
        <v>955</v>
      </c>
      <c r="B386" s="1053">
        <v>955</v>
      </c>
      <c r="C386" s="1095" t="s">
        <v>1867</v>
      </c>
      <c r="D386" s="1096" t="s">
        <v>930</v>
      </c>
      <c r="E386" s="1056"/>
      <c r="F386" s="1063">
        <v>0</v>
      </c>
      <c r="G386" s="1063">
        <v>0</v>
      </c>
      <c r="H386" s="1063">
        <v>0</v>
      </c>
      <c r="I386" s="1063">
        <v>0</v>
      </c>
      <c r="J386" s="1063">
        <v>0</v>
      </c>
      <c r="K386" s="1063">
        <v>0</v>
      </c>
      <c r="L386" s="1063">
        <v>0</v>
      </c>
      <c r="M386" s="1063">
        <v>0</v>
      </c>
      <c r="N386" s="1063">
        <v>0</v>
      </c>
      <c r="O386" s="1063">
        <v>0</v>
      </c>
      <c r="P386" s="1063">
        <v>0</v>
      </c>
      <c r="Q386" s="1063">
        <v>0</v>
      </c>
      <c r="R386" s="1063">
        <v>0</v>
      </c>
      <c r="S386" s="1063">
        <v>0</v>
      </c>
      <c r="T386" s="1063">
        <v>0</v>
      </c>
      <c r="U386" s="1063">
        <v>0</v>
      </c>
      <c r="V386" s="1063"/>
      <c r="W386" s="1049"/>
      <c r="X386" s="1049"/>
      <c r="Y386" s="1049"/>
      <c r="Z386" s="1049"/>
      <c r="AA386" s="1066"/>
    </row>
    <row r="387" spans="1:80" ht="28.8" x14ac:dyDescent="0.3">
      <c r="A387" s="1052">
        <v>957</v>
      </c>
      <c r="B387" s="1053">
        <v>957</v>
      </c>
      <c r="C387" s="1095" t="s">
        <v>1867</v>
      </c>
      <c r="D387" s="1096" t="s">
        <v>931</v>
      </c>
      <c r="E387" s="1056"/>
      <c r="F387" s="1063">
        <v>0</v>
      </c>
      <c r="G387" s="1063">
        <v>0</v>
      </c>
      <c r="H387" s="1063">
        <v>0</v>
      </c>
      <c r="I387" s="1063">
        <v>0</v>
      </c>
      <c r="J387" s="1063">
        <v>0</v>
      </c>
      <c r="K387" s="1063">
        <v>0</v>
      </c>
      <c r="L387" s="1063">
        <v>0</v>
      </c>
      <c r="M387" s="1063">
        <v>0</v>
      </c>
      <c r="N387" s="1063">
        <v>0</v>
      </c>
      <c r="O387" s="1063">
        <v>0</v>
      </c>
      <c r="P387" s="1063">
        <v>0</v>
      </c>
      <c r="Q387" s="1063">
        <v>0</v>
      </c>
      <c r="R387" s="1063">
        <v>0</v>
      </c>
      <c r="S387" s="1063">
        <v>0</v>
      </c>
      <c r="T387" s="1063">
        <v>0</v>
      </c>
      <c r="U387" s="1063">
        <v>0</v>
      </c>
      <c r="V387" s="1063"/>
      <c r="W387" s="1049"/>
      <c r="X387" s="1049"/>
      <c r="Y387" s="1049"/>
      <c r="Z387" s="1049"/>
      <c r="AA387" s="1066"/>
    </row>
    <row r="388" spans="1:80" ht="57.6" x14ac:dyDescent="0.3">
      <c r="A388" s="1052">
        <v>959</v>
      </c>
      <c r="B388" s="1053">
        <v>959</v>
      </c>
      <c r="C388" s="1095" t="s">
        <v>1867</v>
      </c>
      <c r="D388" s="1096" t="s">
        <v>921</v>
      </c>
      <c r="E388" s="1056"/>
      <c r="F388" s="1063">
        <v>2</v>
      </c>
      <c r="G388" s="1063">
        <v>2</v>
      </c>
      <c r="H388" s="1063">
        <v>3</v>
      </c>
      <c r="I388" s="1063">
        <v>2</v>
      </c>
      <c r="J388" s="1063">
        <v>0</v>
      </c>
      <c r="K388" s="1063">
        <v>0</v>
      </c>
      <c r="L388" s="1063">
        <v>0</v>
      </c>
      <c r="M388" s="1063">
        <v>0</v>
      </c>
      <c r="N388" s="1063">
        <v>2</v>
      </c>
      <c r="O388" s="1063">
        <v>2</v>
      </c>
      <c r="P388" s="1063">
        <v>2</v>
      </c>
      <c r="Q388" s="1063">
        <v>0</v>
      </c>
      <c r="R388" s="1063">
        <v>2</v>
      </c>
      <c r="S388" s="1063">
        <v>2</v>
      </c>
      <c r="T388" s="1063">
        <v>2</v>
      </c>
      <c r="U388" s="1063">
        <v>2</v>
      </c>
      <c r="V388" s="1063"/>
      <c r="W388" s="1049"/>
      <c r="X388" s="1049"/>
      <c r="Y388" s="1049"/>
      <c r="Z388" s="1049"/>
      <c r="AA388" s="1066"/>
    </row>
    <row r="389" spans="1:80" ht="57.6" x14ac:dyDescent="0.3">
      <c r="A389" s="1052">
        <v>961</v>
      </c>
      <c r="B389" s="1053">
        <v>961</v>
      </c>
      <c r="C389" s="1095" t="s">
        <v>1867</v>
      </c>
      <c r="D389" s="1096" t="s">
        <v>922</v>
      </c>
      <c r="E389" s="1056"/>
      <c r="F389" s="1063">
        <v>2</v>
      </c>
      <c r="G389" s="1063">
        <v>2</v>
      </c>
      <c r="H389" s="1063">
        <v>3</v>
      </c>
      <c r="I389" s="1063">
        <v>2</v>
      </c>
      <c r="J389" s="1063">
        <v>0</v>
      </c>
      <c r="K389" s="1063">
        <v>0</v>
      </c>
      <c r="L389" s="1063">
        <v>0</v>
      </c>
      <c r="M389" s="1063">
        <v>0</v>
      </c>
      <c r="N389" s="1063">
        <v>2</v>
      </c>
      <c r="O389" s="1063">
        <v>2</v>
      </c>
      <c r="P389" s="1063">
        <v>2</v>
      </c>
      <c r="Q389" s="1063">
        <v>0</v>
      </c>
      <c r="R389" s="1063">
        <v>2</v>
      </c>
      <c r="S389" s="1063">
        <v>2</v>
      </c>
      <c r="T389" s="1063">
        <v>2</v>
      </c>
      <c r="U389" s="1063">
        <v>2</v>
      </c>
      <c r="V389" s="1063"/>
      <c r="W389" s="1049"/>
      <c r="X389" s="1049"/>
      <c r="Y389" s="1049"/>
      <c r="Z389" s="1049"/>
      <c r="AA389" s="1066"/>
    </row>
    <row r="390" spans="1:80" x14ac:dyDescent="0.3">
      <c r="A390" s="1052">
        <v>963</v>
      </c>
      <c r="B390" s="1053">
        <v>963</v>
      </c>
      <c r="C390" s="1095" t="s">
        <v>1867</v>
      </c>
      <c r="D390" s="1096" t="s">
        <v>923</v>
      </c>
      <c r="E390" s="1056"/>
      <c r="F390" s="1063">
        <v>3</v>
      </c>
      <c r="G390" s="1063">
        <v>1</v>
      </c>
      <c r="H390" s="1063">
        <v>3</v>
      </c>
      <c r="I390" s="1063">
        <v>1</v>
      </c>
      <c r="J390" s="1063">
        <v>0</v>
      </c>
      <c r="K390" s="1063">
        <v>0</v>
      </c>
      <c r="L390" s="1063">
        <v>0</v>
      </c>
      <c r="M390" s="1063">
        <v>0</v>
      </c>
      <c r="N390" s="1063">
        <v>1</v>
      </c>
      <c r="O390" s="1063">
        <v>3</v>
      </c>
      <c r="P390" s="1063">
        <v>1</v>
      </c>
      <c r="Q390" s="1063">
        <v>0</v>
      </c>
      <c r="R390" s="1063">
        <v>1</v>
      </c>
      <c r="S390" s="1063">
        <v>1</v>
      </c>
      <c r="T390" s="1063">
        <v>1</v>
      </c>
      <c r="U390" s="1063">
        <v>1</v>
      </c>
      <c r="V390" s="1063"/>
      <c r="W390" s="1049"/>
      <c r="X390" s="1049"/>
      <c r="Y390" s="1049"/>
      <c r="Z390" s="1049"/>
      <c r="AA390" s="1066"/>
    </row>
    <row r="391" spans="1:80" ht="28.8" x14ac:dyDescent="0.3">
      <c r="A391" s="1052">
        <v>965</v>
      </c>
      <c r="B391" s="1053">
        <v>965</v>
      </c>
      <c r="C391" s="1095" t="s">
        <v>1867</v>
      </c>
      <c r="D391" s="1096" t="s">
        <v>924</v>
      </c>
      <c r="E391" s="1056"/>
      <c r="F391" s="1063">
        <v>1</v>
      </c>
      <c r="G391" s="1063">
        <v>1</v>
      </c>
      <c r="H391" s="1063">
        <v>0</v>
      </c>
      <c r="I391" s="1063">
        <v>1</v>
      </c>
      <c r="J391" s="1063">
        <v>0</v>
      </c>
      <c r="K391" s="1063">
        <v>0</v>
      </c>
      <c r="L391" s="1063">
        <v>0</v>
      </c>
      <c r="M391" s="1063">
        <v>0</v>
      </c>
      <c r="N391" s="1063">
        <v>1</v>
      </c>
      <c r="O391" s="1063">
        <v>1</v>
      </c>
      <c r="P391" s="1063">
        <v>1</v>
      </c>
      <c r="Q391" s="1063">
        <v>0</v>
      </c>
      <c r="R391" s="1063">
        <v>2</v>
      </c>
      <c r="S391" s="1063">
        <v>1</v>
      </c>
      <c r="T391" s="1063">
        <v>1</v>
      </c>
      <c r="U391" s="1063">
        <v>1</v>
      </c>
      <c r="V391" s="1063"/>
      <c r="W391" s="1049"/>
      <c r="X391" s="1049"/>
      <c r="Y391" s="1049"/>
      <c r="Z391" s="1049"/>
      <c r="AA391" s="1066"/>
    </row>
    <row r="392" spans="1:80" ht="28.8" x14ac:dyDescent="0.3">
      <c r="A392" s="1052">
        <v>603</v>
      </c>
      <c r="B392" s="1053">
        <v>603</v>
      </c>
      <c r="C392" s="1095" t="s">
        <v>1868</v>
      </c>
      <c r="D392" s="1096" t="s">
        <v>929</v>
      </c>
      <c r="E392" s="1056"/>
      <c r="F392" s="1063">
        <v>1</v>
      </c>
      <c r="G392" s="1063">
        <v>0</v>
      </c>
      <c r="H392" s="1063">
        <v>0</v>
      </c>
      <c r="I392" s="1063">
        <v>1</v>
      </c>
      <c r="J392" s="1063">
        <v>0</v>
      </c>
      <c r="K392" s="1063">
        <v>0</v>
      </c>
      <c r="L392" s="1063">
        <v>0</v>
      </c>
      <c r="M392" s="1063">
        <v>0</v>
      </c>
      <c r="N392" s="1063">
        <v>1</v>
      </c>
      <c r="O392" s="1063">
        <v>0</v>
      </c>
      <c r="P392" s="1063">
        <v>1</v>
      </c>
      <c r="Q392" s="1063">
        <v>0</v>
      </c>
      <c r="R392" s="1063">
        <v>1</v>
      </c>
      <c r="S392" s="1063">
        <v>1</v>
      </c>
      <c r="T392" s="1063">
        <v>1</v>
      </c>
      <c r="U392" s="1063">
        <v>0</v>
      </c>
      <c r="V392" s="1063"/>
      <c r="W392" s="1049"/>
      <c r="X392" s="1049"/>
      <c r="Y392" s="1049"/>
      <c r="Z392" s="1049"/>
      <c r="AA392" s="1066"/>
    </row>
    <row r="393" spans="1:80" x14ac:dyDescent="0.3">
      <c r="A393" s="1052">
        <v>929</v>
      </c>
      <c r="B393" s="1053">
        <v>929</v>
      </c>
      <c r="C393" s="1095" t="s">
        <v>1868</v>
      </c>
      <c r="D393" s="1096" t="s">
        <v>925</v>
      </c>
      <c r="E393" s="1056"/>
      <c r="F393" s="1063">
        <v>2</v>
      </c>
      <c r="G393" s="1063">
        <v>0</v>
      </c>
      <c r="H393" s="1063">
        <v>0</v>
      </c>
      <c r="I393" s="1063">
        <v>2</v>
      </c>
      <c r="J393" s="1063">
        <v>0</v>
      </c>
      <c r="K393" s="1063">
        <v>0</v>
      </c>
      <c r="L393" s="1063">
        <v>0</v>
      </c>
      <c r="M393" s="1063">
        <v>0</v>
      </c>
      <c r="N393" s="1063">
        <v>2</v>
      </c>
      <c r="O393" s="1063">
        <v>0</v>
      </c>
      <c r="P393" s="1063">
        <v>2</v>
      </c>
      <c r="Q393" s="1063">
        <v>0</v>
      </c>
      <c r="R393" s="1063">
        <v>2</v>
      </c>
      <c r="S393" s="1063">
        <v>2</v>
      </c>
      <c r="T393" s="1063">
        <v>2</v>
      </c>
      <c r="U393" s="1063">
        <v>0</v>
      </c>
      <c r="V393" s="1063"/>
      <c r="W393" s="1049"/>
      <c r="X393" s="1049"/>
      <c r="Y393" s="1049"/>
      <c r="Z393" s="1049"/>
      <c r="AA393" s="1066"/>
    </row>
    <row r="394" spans="1:80" x14ac:dyDescent="0.3">
      <c r="A394" s="1052">
        <v>930</v>
      </c>
      <c r="B394" s="1053">
        <v>930</v>
      </c>
      <c r="C394" s="1095" t="s">
        <v>1868</v>
      </c>
      <c r="D394" s="1096" t="s">
        <v>926</v>
      </c>
      <c r="E394" s="1056"/>
      <c r="F394" s="1063">
        <v>2</v>
      </c>
      <c r="G394" s="1063">
        <v>0</v>
      </c>
      <c r="H394" s="1063">
        <v>0</v>
      </c>
      <c r="I394" s="1063">
        <v>2</v>
      </c>
      <c r="J394" s="1063">
        <v>0</v>
      </c>
      <c r="K394" s="1063">
        <v>0</v>
      </c>
      <c r="L394" s="1063">
        <v>0</v>
      </c>
      <c r="M394" s="1063">
        <v>0</v>
      </c>
      <c r="N394" s="1063">
        <v>2</v>
      </c>
      <c r="O394" s="1063">
        <v>0</v>
      </c>
      <c r="P394" s="1063">
        <v>2</v>
      </c>
      <c r="Q394" s="1063">
        <v>0</v>
      </c>
      <c r="R394" s="1063">
        <v>2</v>
      </c>
      <c r="S394" s="1063">
        <v>2</v>
      </c>
      <c r="T394" s="1063">
        <v>2</v>
      </c>
      <c r="U394" s="1063">
        <v>0</v>
      </c>
      <c r="V394" s="1063"/>
      <c r="W394" s="1049"/>
      <c r="X394" s="1049"/>
      <c r="Y394" s="1049"/>
      <c r="Z394" s="1049"/>
      <c r="AA394" s="1066"/>
    </row>
    <row r="395" spans="1:80" x14ac:dyDescent="0.3">
      <c r="A395" s="1049">
        <v>931</v>
      </c>
      <c r="B395" s="1049">
        <v>931</v>
      </c>
      <c r="C395" s="1049" t="s">
        <v>1868</v>
      </c>
      <c r="D395" s="1049" t="s">
        <v>927</v>
      </c>
      <c r="E395" s="1049"/>
      <c r="F395" s="1066">
        <v>2</v>
      </c>
      <c r="G395" s="1066">
        <v>0</v>
      </c>
      <c r="H395" s="1066">
        <v>0</v>
      </c>
      <c r="I395" s="1066">
        <v>2</v>
      </c>
      <c r="J395" s="1066">
        <v>0</v>
      </c>
      <c r="K395" s="1066">
        <v>0</v>
      </c>
      <c r="L395" s="1066">
        <v>0</v>
      </c>
      <c r="M395" s="1066">
        <v>0</v>
      </c>
      <c r="N395" s="1066">
        <v>2</v>
      </c>
      <c r="O395" s="1066">
        <v>0</v>
      </c>
      <c r="P395" s="1066">
        <v>2</v>
      </c>
      <c r="Q395" s="1066">
        <v>0</v>
      </c>
      <c r="R395" s="1066">
        <v>2</v>
      </c>
      <c r="S395" s="1066">
        <v>2</v>
      </c>
      <c r="T395" s="1066">
        <v>2</v>
      </c>
      <c r="U395" s="1066">
        <v>0</v>
      </c>
      <c r="V395" s="1066">
        <v>0</v>
      </c>
      <c r="W395" s="1049"/>
      <c r="X395" s="1049"/>
      <c r="Y395" s="1049"/>
      <c r="Z395" s="1049"/>
      <c r="AA395" s="1049"/>
    </row>
    <row r="396" spans="1:80" x14ac:dyDescent="0.3">
      <c r="A396" s="1049">
        <v>932</v>
      </c>
      <c r="B396" s="1049">
        <v>932</v>
      </c>
      <c r="C396" s="1049" t="s">
        <v>1868</v>
      </c>
      <c r="D396" s="1049" t="s">
        <v>928</v>
      </c>
      <c r="E396" s="1049"/>
      <c r="F396" s="1049">
        <v>2</v>
      </c>
      <c r="G396" s="1049">
        <v>0</v>
      </c>
      <c r="H396" s="1049">
        <v>0</v>
      </c>
      <c r="I396" s="1049">
        <v>2</v>
      </c>
      <c r="J396" s="1049">
        <v>0</v>
      </c>
      <c r="K396" s="1049">
        <v>0</v>
      </c>
      <c r="L396" s="1049">
        <v>0</v>
      </c>
      <c r="M396" s="1049">
        <v>0</v>
      </c>
      <c r="N396" s="1049">
        <v>2</v>
      </c>
      <c r="O396" s="1049">
        <v>0</v>
      </c>
      <c r="P396" s="1049">
        <v>2</v>
      </c>
      <c r="Q396" s="1049">
        <v>0</v>
      </c>
      <c r="R396" s="1049">
        <v>2</v>
      </c>
      <c r="S396" s="1049">
        <v>2</v>
      </c>
      <c r="T396" s="1049">
        <v>2</v>
      </c>
      <c r="U396" s="1049">
        <v>0</v>
      </c>
      <c r="V396" s="1049"/>
      <c r="W396" s="1049"/>
      <c r="X396" s="1049"/>
      <c r="Y396" s="1049"/>
      <c r="Z396" s="1049"/>
      <c r="AA396" s="1066"/>
    </row>
    <row r="397" spans="1:80" x14ac:dyDescent="0.3">
      <c r="A397" s="1049"/>
      <c r="B397" s="1049"/>
      <c r="C397" s="1049"/>
      <c r="D397" s="1056"/>
      <c r="E397" s="1049"/>
      <c r="F397" s="1066">
        <v>53955</v>
      </c>
      <c r="G397" s="1066">
        <v>53995</v>
      </c>
      <c r="H397" s="1066">
        <v>53898</v>
      </c>
      <c r="I397" s="1066">
        <v>1916215</v>
      </c>
      <c r="J397" s="1066">
        <v>0</v>
      </c>
      <c r="K397" s="1066">
        <v>0</v>
      </c>
      <c r="L397" s="1066">
        <v>0</v>
      </c>
      <c r="M397" s="1066">
        <v>0</v>
      </c>
      <c r="N397" s="1066">
        <v>53973</v>
      </c>
      <c r="O397" s="1066">
        <v>54040</v>
      </c>
      <c r="P397" s="1066">
        <v>10671357</v>
      </c>
      <c r="Q397" s="1066">
        <v>0</v>
      </c>
      <c r="R397" s="1066">
        <v>53981</v>
      </c>
      <c r="S397" s="1066">
        <v>54000</v>
      </c>
      <c r="T397" s="1066">
        <v>53985</v>
      </c>
      <c r="U397" s="1066">
        <v>53981</v>
      </c>
      <c r="V397" s="1066">
        <v>0</v>
      </c>
      <c r="W397" s="1049"/>
      <c r="X397" s="1049"/>
      <c r="Y397" s="1049"/>
      <c r="Z397" s="1049"/>
      <c r="AA397" s="1066"/>
    </row>
    <row r="398" spans="1:80" x14ac:dyDescent="0.3">
      <c r="A398" s="1049"/>
      <c r="B398" s="1049"/>
      <c r="C398" s="1049"/>
      <c r="D398" s="1049"/>
      <c r="E398" s="1049"/>
      <c r="F398" s="1049"/>
      <c r="G398" s="1049"/>
      <c r="H398" s="1049"/>
      <c r="I398" s="1049"/>
      <c r="J398" s="1049"/>
      <c r="K398" s="1049"/>
      <c r="L398" s="1049"/>
      <c r="M398" s="1049"/>
      <c r="N398" s="1049"/>
      <c r="O398" s="1049"/>
      <c r="P398" s="1049"/>
      <c r="Q398" s="1049"/>
      <c r="R398" s="1049"/>
      <c r="S398" s="1049"/>
      <c r="T398" s="1049"/>
      <c r="U398" s="1049"/>
      <c r="V398" s="1049"/>
      <c r="W398" s="1049"/>
      <c r="X398" s="1049"/>
      <c r="Y398" s="1049"/>
      <c r="Z398" s="1049"/>
      <c r="AA398" s="1066"/>
    </row>
    <row r="399" spans="1:80" x14ac:dyDescent="0.3">
      <c r="A399" s="1049"/>
      <c r="B399" s="1049"/>
      <c r="C399" s="1049"/>
      <c r="D399" s="1049" t="s">
        <v>1871</v>
      </c>
      <c r="E399" s="1049"/>
      <c r="F399" s="1047">
        <v>-61529</v>
      </c>
      <c r="G399" s="1047">
        <v>4027730880</v>
      </c>
      <c r="H399" s="1047">
        <v>1719641021</v>
      </c>
      <c r="I399" s="1047">
        <v>2603887573</v>
      </c>
      <c r="J399" s="1049">
        <v>0</v>
      </c>
      <c r="K399" s="1049">
        <v>0</v>
      </c>
      <c r="L399" s="1049">
        <v>0</v>
      </c>
      <c r="M399" s="1049">
        <v>0</v>
      </c>
      <c r="N399" s="1047">
        <v>1866880193</v>
      </c>
      <c r="O399" s="1047">
        <v>364357305</v>
      </c>
      <c r="P399" s="1047">
        <v>-10671357</v>
      </c>
      <c r="Q399" s="1049">
        <v>0</v>
      </c>
      <c r="R399" s="1047">
        <v>836435294</v>
      </c>
      <c r="S399" s="1047">
        <v>1019578134</v>
      </c>
      <c r="T399" s="1047">
        <v>487238734</v>
      </c>
      <c r="U399" s="1047">
        <v>1787560385</v>
      </c>
      <c r="V399" s="1049"/>
      <c r="W399" s="1049"/>
      <c r="X399" s="1049"/>
      <c r="Y399" s="1049"/>
      <c r="Z399" s="1049"/>
      <c r="AA399" s="1066"/>
      <c r="AB399" s="417"/>
      <c r="AC399" s="417"/>
      <c r="AD399" s="417"/>
      <c r="AE399" s="417"/>
      <c r="AF399" s="417"/>
      <c r="AG399" s="417"/>
      <c r="AH399" s="417"/>
      <c r="AI399" s="417"/>
      <c r="AJ399" s="417"/>
      <c r="AK399" s="417"/>
      <c r="AL399" s="417"/>
      <c r="AM399" s="417"/>
      <c r="AN399" s="417"/>
      <c r="AO399" s="417"/>
      <c r="AP399" s="417"/>
      <c r="AQ399" s="417"/>
      <c r="AR399" s="417"/>
      <c r="AS399" s="417"/>
      <c r="AT399" s="417">
        <v>39445176.779999994</v>
      </c>
      <c r="AU399" s="417">
        <v>122080119.18000001</v>
      </c>
      <c r="AV399" s="417">
        <v>592660935.70000005</v>
      </c>
      <c r="AW399" s="417">
        <v>18678565.740000002</v>
      </c>
      <c r="AX399" s="417">
        <v>42071312.769999996</v>
      </c>
      <c r="AY399" s="417">
        <v>155903871.10999998</v>
      </c>
      <c r="AZ399" s="417">
        <v>127534484.46000001</v>
      </c>
      <c r="BA399" s="417">
        <v>248492607.52000001</v>
      </c>
      <c r="BB399" s="417">
        <v>1576019.96</v>
      </c>
      <c r="BC399" s="417">
        <v>70270835.769999996</v>
      </c>
      <c r="BD399" s="417">
        <v>9.9999999999999992E-2</v>
      </c>
      <c r="BE399" s="417">
        <v>3539252.45</v>
      </c>
      <c r="BF399" s="417">
        <v>1079840787.5300002</v>
      </c>
      <c r="BG399" s="417">
        <v>9.9999999999999992E-2</v>
      </c>
      <c r="BH399" s="417">
        <v>1854805.9</v>
      </c>
      <c r="BI399" s="417">
        <v>110790692.17</v>
      </c>
      <c r="BJ399" s="417">
        <v>112690578.48</v>
      </c>
      <c r="BK399" s="417">
        <v>0.01</v>
      </c>
      <c r="BL399" s="417">
        <v>303639561.58999997</v>
      </c>
      <c r="BM399" s="417">
        <v>155900898.44</v>
      </c>
      <c r="BN399" s="417">
        <v>1514376</v>
      </c>
      <c r="BO399" s="417">
        <v>250217394.79999998</v>
      </c>
      <c r="BP399" s="417">
        <v>133707149.79000001</v>
      </c>
      <c r="BQ399" s="417">
        <v>70929674.940000013</v>
      </c>
      <c r="BR399" s="417">
        <v>84916797.150000006</v>
      </c>
      <c r="BS399" s="417">
        <v>59448838.159999996</v>
      </c>
      <c r="BT399" s="417">
        <v>1032784966.46</v>
      </c>
      <c r="BU399" s="417">
        <v>80149153.910000011</v>
      </c>
      <c r="BV399" s="417">
        <v>163234566.41999999</v>
      </c>
      <c r="BW399" s="417">
        <v>53953388.990000002</v>
      </c>
      <c r="BX399" s="417">
        <v>44775966.809999995</v>
      </c>
      <c r="BY399" s="417">
        <v>1653275.52</v>
      </c>
      <c r="BZ399" s="417">
        <v>1959376.27</v>
      </c>
      <c r="CA399" s="417">
        <v>782248469.95000005</v>
      </c>
      <c r="CB399" s="417">
        <v>2207035.62</v>
      </c>
    </row>
    <row r="400" spans="1:80" s="1052" customFormat="1" x14ac:dyDescent="0.3">
      <c r="A400" s="1049"/>
      <c r="B400" s="1049"/>
      <c r="C400" s="1049"/>
      <c r="D400" s="1049"/>
      <c r="E400" s="1049"/>
      <c r="F400" s="1047"/>
      <c r="G400" s="1047"/>
      <c r="H400" s="1047"/>
      <c r="I400" s="1047"/>
      <c r="J400" s="1049"/>
      <c r="K400" s="1049"/>
      <c r="L400" s="1049"/>
      <c r="M400" s="1049"/>
      <c r="N400" s="1047"/>
      <c r="O400" s="1047"/>
      <c r="P400" s="1047"/>
      <c r="Q400" s="1049"/>
      <c r="R400" s="1047"/>
      <c r="S400" s="1047"/>
      <c r="T400" s="1047"/>
      <c r="U400" s="1047"/>
      <c r="V400" s="1049"/>
      <c r="W400" s="1049"/>
      <c r="X400" s="1049"/>
      <c r="Y400" s="1049"/>
      <c r="Z400" s="1049"/>
      <c r="AA400" s="1066"/>
      <c r="AB400" s="417"/>
      <c r="AC400" s="417"/>
      <c r="AD400" s="417"/>
      <c r="AE400" s="417"/>
      <c r="AF400" s="417"/>
      <c r="AG400" s="417"/>
      <c r="AH400" s="417"/>
      <c r="AI400" s="417"/>
      <c r="AJ400" s="417"/>
      <c r="AK400" s="417"/>
      <c r="AL400" s="417"/>
      <c r="AM400" s="417"/>
      <c r="AN400" s="417"/>
      <c r="AO400" s="417"/>
      <c r="AP400" s="417"/>
      <c r="AQ400" s="417"/>
      <c r="AR400" s="417"/>
      <c r="AS400" s="417"/>
      <c r="AT400" s="417"/>
      <c r="AU400" s="417"/>
      <c r="AV400" s="417"/>
      <c r="AW400" s="417"/>
      <c r="AX400" s="417"/>
      <c r="AY400" s="417"/>
      <c r="AZ400" s="417"/>
      <c r="BA400" s="417"/>
      <c r="BB400" s="417"/>
      <c r="BC400" s="417"/>
      <c r="BD400" s="417"/>
      <c r="BE400" s="417"/>
      <c r="BF400" s="417"/>
      <c r="BG400" s="417"/>
      <c r="BH400" s="417"/>
      <c r="BI400" s="417"/>
      <c r="BJ400" s="417"/>
      <c r="BK400" s="417"/>
      <c r="BL400" s="417"/>
      <c r="BM400" s="417"/>
      <c r="BN400" s="417"/>
      <c r="BO400" s="417"/>
      <c r="BP400" s="417"/>
      <c r="BQ400" s="417"/>
      <c r="BR400" s="417"/>
      <c r="BS400" s="417"/>
      <c r="BT400" s="417"/>
      <c r="BU400" s="417"/>
      <c r="BV400" s="417"/>
      <c r="BW400" s="417"/>
      <c r="BX400" s="417"/>
      <c r="BY400" s="417"/>
      <c r="BZ400" s="417"/>
      <c r="CA400" s="417"/>
      <c r="CB400" s="417"/>
    </row>
    <row r="401" spans="1:80" s="1052" customFormat="1" x14ac:dyDescent="0.3">
      <c r="A401" s="1049"/>
      <c r="B401" s="1049"/>
      <c r="C401" s="1049"/>
      <c r="D401" s="1049"/>
      <c r="E401" s="1049"/>
      <c r="F401" s="1047"/>
      <c r="G401" s="1047"/>
      <c r="H401" s="1047"/>
      <c r="I401" s="1047"/>
      <c r="J401" s="1049"/>
      <c r="K401" s="1049"/>
      <c r="L401" s="1049"/>
      <c r="M401" s="1049"/>
      <c r="N401" s="1047"/>
      <c r="O401" s="1047"/>
      <c r="P401" s="1047"/>
      <c r="Q401" s="1049"/>
      <c r="R401" s="1047"/>
      <c r="S401" s="1047"/>
      <c r="T401" s="1047"/>
      <c r="U401" s="1047"/>
      <c r="V401" s="1049"/>
      <c r="W401" s="1049"/>
      <c r="X401" s="1049"/>
      <c r="Y401" s="1049"/>
      <c r="Z401" s="1049"/>
      <c r="AA401" s="1066"/>
      <c r="AB401" s="417"/>
      <c r="AC401" s="417"/>
      <c r="AD401" s="417"/>
      <c r="AE401" s="417"/>
      <c r="AF401" s="417"/>
      <c r="AG401" s="417"/>
      <c r="AH401" s="417"/>
      <c r="AI401" s="417"/>
      <c r="AJ401" s="417"/>
      <c r="AK401" s="417"/>
      <c r="AL401" s="417"/>
      <c r="AM401" s="417"/>
      <c r="AN401" s="417"/>
      <c r="AO401" s="417"/>
      <c r="AP401" s="417"/>
      <c r="AQ401" s="417"/>
      <c r="AR401" s="417"/>
      <c r="AS401" s="417"/>
      <c r="AT401" s="417"/>
      <c r="AU401" s="417"/>
      <c r="AV401" s="417"/>
      <c r="AW401" s="417"/>
      <c r="AX401" s="417"/>
      <c r="AY401" s="417"/>
      <c r="AZ401" s="417"/>
      <c r="BA401" s="417"/>
      <c r="BB401" s="417"/>
      <c r="BC401" s="417"/>
      <c r="BD401" s="417"/>
      <c r="BE401" s="417"/>
      <c r="BF401" s="417"/>
      <c r="BG401" s="417"/>
      <c r="BH401" s="417"/>
      <c r="BI401" s="417"/>
      <c r="BJ401" s="417"/>
      <c r="BK401" s="417"/>
      <c r="BL401" s="417"/>
      <c r="BM401" s="417"/>
      <c r="BN401" s="417"/>
      <c r="BO401" s="417"/>
      <c r="BP401" s="417"/>
      <c r="BQ401" s="417"/>
      <c r="BR401" s="417"/>
      <c r="BS401" s="417"/>
      <c r="BT401" s="417"/>
      <c r="BU401" s="417"/>
      <c r="BV401" s="417"/>
      <c r="BW401" s="417"/>
      <c r="BX401" s="417"/>
      <c r="BY401" s="417"/>
      <c r="BZ401" s="417"/>
      <c r="CA401" s="417"/>
      <c r="CB401" s="417"/>
    </row>
    <row r="402" spans="1:80" s="1052" customFormat="1" x14ac:dyDescent="0.3">
      <c r="A402" s="1049"/>
      <c r="B402" s="1049"/>
      <c r="C402" s="1049"/>
      <c r="D402" s="1049"/>
      <c r="E402" s="1049"/>
      <c r="F402" s="1047"/>
      <c r="G402" s="1047"/>
      <c r="H402" s="1047"/>
      <c r="I402" s="1047"/>
      <c r="J402" s="1049"/>
      <c r="K402" s="1049"/>
      <c r="L402" s="1049"/>
      <c r="M402" s="1049"/>
      <c r="N402" s="1047"/>
      <c r="O402" s="1047"/>
      <c r="P402" s="1047"/>
      <c r="Q402" s="1049"/>
      <c r="R402" s="1047"/>
      <c r="S402" s="1047"/>
      <c r="T402" s="1047"/>
      <c r="U402" s="1047"/>
      <c r="V402" s="1049"/>
      <c r="W402" s="1049"/>
      <c r="X402" s="1049"/>
      <c r="Y402" s="1049"/>
      <c r="Z402" s="1049"/>
      <c r="AA402" s="1066"/>
      <c r="AB402" s="417"/>
      <c r="AC402" s="417"/>
      <c r="AD402" s="417"/>
      <c r="AE402" s="417"/>
      <c r="AF402" s="417"/>
      <c r="AG402" s="417"/>
      <c r="AH402" s="417"/>
      <c r="AI402" s="417"/>
      <c r="AJ402" s="417"/>
      <c r="AK402" s="417"/>
      <c r="AL402" s="417"/>
      <c r="AM402" s="417"/>
      <c r="AN402" s="417"/>
      <c r="AO402" s="417"/>
      <c r="AP402" s="417"/>
      <c r="AQ402" s="417"/>
      <c r="AR402" s="417"/>
      <c r="AS402" s="417"/>
      <c r="AT402" s="417"/>
      <c r="AU402" s="417"/>
      <c r="AV402" s="417"/>
      <c r="AW402" s="417"/>
      <c r="AX402" s="417"/>
      <c r="AY402" s="417"/>
      <c r="AZ402" s="417"/>
      <c r="BA402" s="417"/>
      <c r="BB402" s="417"/>
      <c r="BC402" s="417"/>
      <c r="BD402" s="417"/>
      <c r="BE402" s="417"/>
      <c r="BF402" s="417"/>
      <c r="BG402" s="417"/>
      <c r="BH402" s="417"/>
      <c r="BI402" s="417"/>
      <c r="BJ402" s="417"/>
      <c r="BK402" s="417"/>
      <c r="BL402" s="417"/>
      <c r="BM402" s="417"/>
      <c r="BN402" s="417"/>
      <c r="BO402" s="417"/>
      <c r="BP402" s="417"/>
      <c r="BQ402" s="417"/>
      <c r="BR402" s="417"/>
      <c r="BS402" s="417"/>
      <c r="BT402" s="417"/>
      <c r="BU402" s="417"/>
      <c r="BV402" s="417"/>
      <c r="BW402" s="417"/>
      <c r="BX402" s="417"/>
      <c r="BY402" s="417"/>
      <c r="BZ402" s="417"/>
      <c r="CA402" s="417"/>
      <c r="CB402" s="417"/>
    </row>
    <row r="403" spans="1:80" x14ac:dyDescent="0.3">
      <c r="A403" s="1049"/>
      <c r="B403" s="1053" t="s">
        <v>1872</v>
      </c>
      <c r="C403" s="1049"/>
      <c r="D403" s="1049"/>
      <c r="E403" s="1049"/>
      <c r="F403" s="1049"/>
      <c r="G403" s="1049"/>
      <c r="H403" s="1049"/>
      <c r="I403" s="1049"/>
      <c r="J403" s="1049"/>
      <c r="K403" s="1049"/>
      <c r="L403" s="1049"/>
      <c r="M403" s="1049"/>
      <c r="N403" s="1049"/>
      <c r="O403" s="1049"/>
      <c r="P403" s="1049"/>
      <c r="Q403" s="1049"/>
      <c r="R403" s="1049"/>
      <c r="S403" s="1049"/>
      <c r="T403" s="1049"/>
      <c r="U403" s="1049"/>
      <c r="V403" s="1049"/>
      <c r="W403" s="1049"/>
      <c r="X403" s="1049"/>
      <c r="Y403" s="1049"/>
      <c r="Z403" s="1049"/>
      <c r="AA403" s="1066"/>
      <c r="AB403" s="417"/>
      <c r="AC403" s="417"/>
      <c r="AD403" s="417"/>
      <c r="AE403" s="417"/>
      <c r="AF403" s="417"/>
      <c r="AG403" s="417"/>
      <c r="AH403" s="417"/>
      <c r="AI403" s="417"/>
      <c r="AJ403" s="417"/>
      <c r="AK403" s="417"/>
      <c r="AL403" s="417"/>
      <c r="AM403" s="417"/>
      <c r="AN403" s="417"/>
      <c r="AO403" s="417"/>
      <c r="AP403" s="417"/>
      <c r="AQ403" s="417"/>
      <c r="AR403" s="417"/>
      <c r="AS403" s="417"/>
      <c r="AT403" s="417">
        <v>39445176.780000001</v>
      </c>
      <c r="AU403" s="417">
        <v>122080119.18000001</v>
      </c>
      <c r="AV403" s="417">
        <v>592660935.70000005</v>
      </c>
      <c r="AW403" s="417">
        <v>18678565.739999998</v>
      </c>
      <c r="AX403" s="417">
        <v>42071312.770000003</v>
      </c>
      <c r="AY403" s="417">
        <v>155903871.11000001</v>
      </c>
      <c r="AZ403" s="417">
        <v>127534484.45999999</v>
      </c>
      <c r="BA403" s="417">
        <v>248492607.52000001</v>
      </c>
      <c r="BB403" s="417">
        <v>1576019.96</v>
      </c>
      <c r="BC403" s="417">
        <v>70270835.769999996</v>
      </c>
      <c r="BD403" s="417">
        <v>0.1</v>
      </c>
      <c r="BE403" s="417">
        <v>3539252.45</v>
      </c>
      <c r="BF403" s="417">
        <v>1079840787.53</v>
      </c>
      <c r="BG403" s="417">
        <v>0.1</v>
      </c>
      <c r="BH403" s="417">
        <v>1854805.9</v>
      </c>
      <c r="BI403" s="417">
        <v>110790692.17</v>
      </c>
      <c r="BJ403" s="417">
        <v>112690578.48</v>
      </c>
      <c r="BK403" s="417">
        <v>0.01</v>
      </c>
      <c r="BL403" s="417">
        <v>303639561.58999997</v>
      </c>
      <c r="BM403" s="417">
        <v>155900898.44</v>
      </c>
      <c r="BN403" s="417">
        <v>1514376</v>
      </c>
      <c r="BO403" s="417">
        <v>250217394.80000001</v>
      </c>
      <c r="BP403" s="417">
        <v>133707149.79000001</v>
      </c>
      <c r="BQ403" s="417">
        <v>70929674.939999998</v>
      </c>
      <c r="BR403" s="417">
        <v>84916797.150000006</v>
      </c>
      <c r="BS403" s="417">
        <v>59448838.159999996</v>
      </c>
      <c r="BT403" s="417">
        <v>1032784966.46</v>
      </c>
      <c r="BU403" s="417">
        <v>80149153.909999996</v>
      </c>
      <c r="BV403" s="417">
        <v>163234566.41999999</v>
      </c>
      <c r="BW403" s="417">
        <v>53953388.990000002</v>
      </c>
      <c r="BX403" s="417">
        <v>44775966.810000002</v>
      </c>
      <c r="BY403" s="417">
        <v>1653275.52</v>
      </c>
      <c r="BZ403" s="417">
        <v>1959376.27</v>
      </c>
      <c r="CA403" s="417">
        <v>782248469.95000005</v>
      </c>
      <c r="CB403" s="417">
        <v>2207035.62</v>
      </c>
    </row>
    <row r="404" spans="1:80" x14ac:dyDescent="0.3">
      <c r="A404" s="1049"/>
      <c r="B404" s="1049"/>
      <c r="C404" s="1049"/>
      <c r="D404" s="1049"/>
      <c r="E404" s="1049"/>
      <c r="F404" s="1049"/>
      <c r="G404" s="1049"/>
      <c r="H404" s="1049"/>
      <c r="I404" s="1049"/>
      <c r="J404" s="1049"/>
      <c r="K404" s="1049"/>
      <c r="L404" s="1049"/>
      <c r="M404" s="1049"/>
      <c r="N404" s="1049"/>
      <c r="O404" s="1049"/>
      <c r="P404" s="1049"/>
      <c r="Q404" s="1049"/>
      <c r="R404" s="1049"/>
      <c r="S404" s="1049"/>
      <c r="T404" s="1049"/>
      <c r="U404" s="1049"/>
      <c r="V404" s="1049"/>
      <c r="W404" s="1049"/>
      <c r="X404" s="1049"/>
      <c r="Y404" s="1049"/>
      <c r="Z404" s="1049"/>
      <c r="AA404" s="1066"/>
      <c r="AB404" s="417"/>
      <c r="AC404" s="417"/>
      <c r="AD404" s="417"/>
      <c r="AE404" s="417"/>
      <c r="AF404" s="417"/>
      <c r="AG404" s="417"/>
      <c r="AH404" s="417"/>
      <c r="AI404" s="417"/>
      <c r="AJ404" s="417"/>
      <c r="AK404" s="417"/>
      <c r="AL404" s="417"/>
      <c r="AM404" s="417"/>
      <c r="AN404" s="417"/>
      <c r="AO404" s="417"/>
      <c r="AP404" s="417"/>
      <c r="AQ404" s="417"/>
      <c r="AR404" s="417"/>
      <c r="AS404" s="417"/>
      <c r="AT404" s="417">
        <v>0</v>
      </c>
      <c r="AU404" s="417">
        <v>0</v>
      </c>
      <c r="AV404" s="417">
        <v>0</v>
      </c>
      <c r="AW404" s="417">
        <v>0</v>
      </c>
      <c r="AX404" s="417">
        <v>0</v>
      </c>
      <c r="AY404" s="417">
        <v>0</v>
      </c>
      <c r="AZ404" s="417">
        <v>0</v>
      </c>
      <c r="BA404" s="417">
        <v>0</v>
      </c>
      <c r="BB404" s="417">
        <v>0</v>
      </c>
      <c r="BC404" s="417">
        <v>0</v>
      </c>
      <c r="BD404" s="417">
        <v>0</v>
      </c>
      <c r="BE404" s="417">
        <v>0</v>
      </c>
      <c r="BF404" s="417">
        <v>0</v>
      </c>
      <c r="BG404" s="417">
        <v>0</v>
      </c>
      <c r="BH404" s="417">
        <v>0</v>
      </c>
      <c r="BI404" s="417">
        <v>0</v>
      </c>
      <c r="BJ404" s="417">
        <v>0</v>
      </c>
      <c r="BK404" s="417">
        <v>0</v>
      </c>
      <c r="BL404" s="417">
        <v>0</v>
      </c>
      <c r="BM404" s="417">
        <v>0</v>
      </c>
      <c r="BN404" s="417">
        <v>0</v>
      </c>
      <c r="BO404" s="417">
        <v>0</v>
      </c>
      <c r="BP404" s="417">
        <v>0</v>
      </c>
      <c r="BQ404" s="417">
        <v>0</v>
      </c>
      <c r="BR404" s="417">
        <v>0</v>
      </c>
      <c r="BS404" s="417">
        <v>0</v>
      </c>
      <c r="BT404" s="417">
        <v>0</v>
      </c>
      <c r="BU404" s="417">
        <v>0</v>
      </c>
      <c r="BV404" s="417">
        <v>0</v>
      </c>
      <c r="BW404" s="417">
        <v>0</v>
      </c>
      <c r="BX404" s="417">
        <v>0</v>
      </c>
      <c r="BY404" s="417">
        <v>0</v>
      </c>
      <c r="BZ404" s="417">
        <v>0</v>
      </c>
      <c r="CA404" s="417">
        <v>0</v>
      </c>
      <c r="CB404" s="417">
        <v>0</v>
      </c>
    </row>
    <row r="405" spans="1:80" ht="72" x14ac:dyDescent="0.3">
      <c r="A405" s="1049"/>
      <c r="B405" s="1113">
        <v>947</v>
      </c>
      <c r="C405" s="1114" t="s">
        <v>773</v>
      </c>
      <c r="D405" s="1049"/>
      <c r="E405" s="1049"/>
      <c r="F405" s="1049"/>
      <c r="G405" s="1049"/>
      <c r="H405" s="1049"/>
      <c r="I405" s="1049"/>
      <c r="J405" s="1049"/>
      <c r="K405" s="1049"/>
      <c r="L405" s="1049"/>
      <c r="M405" s="1049"/>
      <c r="N405" s="1049"/>
      <c r="O405" s="1049"/>
      <c r="P405" s="1049"/>
      <c r="Q405" s="1049"/>
      <c r="R405" s="1049"/>
      <c r="S405" s="1049"/>
      <c r="T405" s="1049"/>
      <c r="U405" s="1049"/>
      <c r="V405" s="1049"/>
      <c r="W405" s="1049"/>
      <c r="X405" s="1049"/>
      <c r="Y405" s="1049"/>
      <c r="Z405" s="1049"/>
      <c r="AA405" s="1066"/>
    </row>
    <row r="406" spans="1:80" ht="72" x14ac:dyDescent="0.3">
      <c r="A406" s="1049"/>
      <c r="B406" s="1113">
        <v>948</v>
      </c>
      <c r="C406" s="1114" t="s">
        <v>774</v>
      </c>
      <c r="D406" s="1049"/>
      <c r="E406" s="1049"/>
      <c r="F406" s="1049"/>
      <c r="G406" s="1049"/>
      <c r="H406" s="1049"/>
      <c r="I406" s="1049"/>
      <c r="J406" s="1049"/>
      <c r="K406" s="1049"/>
      <c r="L406" s="1049"/>
      <c r="M406" s="1049"/>
      <c r="N406" s="1049"/>
      <c r="O406" s="1049"/>
      <c r="P406" s="1049"/>
      <c r="Q406" s="1049"/>
      <c r="R406" s="1049"/>
      <c r="S406" s="1049"/>
      <c r="T406" s="1049"/>
      <c r="U406" s="1049"/>
      <c r="V406" s="1049"/>
      <c r="W406" s="1049"/>
      <c r="X406" s="1049"/>
      <c r="Y406" s="1049"/>
      <c r="Z406" s="1049"/>
      <c r="AA406" s="1066"/>
    </row>
    <row r="407" spans="1:80" ht="57.6" x14ac:dyDescent="0.3">
      <c r="B407" s="1113">
        <v>949</v>
      </c>
      <c r="C407" s="1114" t="s">
        <v>802</v>
      </c>
      <c r="D407" s="1049"/>
      <c r="E407" s="1049"/>
      <c r="F407" s="1049"/>
      <c r="G407" s="1049"/>
      <c r="H407" s="1049"/>
      <c r="I407" s="1049"/>
      <c r="J407" s="1049"/>
      <c r="K407" s="1049"/>
      <c r="L407" s="1049"/>
      <c r="M407" s="1049"/>
      <c r="N407" s="1049"/>
      <c r="O407" s="1049"/>
      <c r="P407" s="1049"/>
      <c r="Q407" s="1049"/>
      <c r="R407" s="1049"/>
      <c r="S407" s="1049"/>
      <c r="T407" s="1049"/>
      <c r="U407" s="1049"/>
      <c r="V407" s="1049"/>
      <c r="W407" s="1049"/>
      <c r="X407" s="1049"/>
      <c r="Y407" s="1049"/>
      <c r="Z407" s="1049"/>
      <c r="AA407" s="1066"/>
    </row>
    <row r="408" spans="1:80" ht="57.6" x14ac:dyDescent="0.3">
      <c r="B408" s="1113">
        <v>950</v>
      </c>
      <c r="C408" s="1114" t="s">
        <v>803</v>
      </c>
      <c r="D408" s="1049"/>
      <c r="E408" s="1049"/>
      <c r="F408" s="1049"/>
      <c r="G408" s="1049"/>
      <c r="H408" s="1049"/>
      <c r="I408" s="1049"/>
      <c r="J408" s="1049"/>
      <c r="K408" s="1049"/>
      <c r="L408" s="1049"/>
      <c r="M408" s="1049"/>
      <c r="N408" s="1049"/>
      <c r="O408" s="1049"/>
      <c r="P408" s="1049"/>
      <c r="Q408" s="1049"/>
      <c r="R408" s="1049"/>
      <c r="S408" s="1049"/>
      <c r="T408" s="1049"/>
      <c r="U408" s="1049"/>
      <c r="V408" s="1049"/>
      <c r="W408" s="1049"/>
      <c r="X408" s="1049"/>
      <c r="Y408" s="1049"/>
      <c r="Z408" s="1049"/>
      <c r="AA408" s="1066"/>
    </row>
    <row r="409" spans="1:80" ht="115.2" x14ac:dyDescent="0.3">
      <c r="B409" s="1113">
        <v>952</v>
      </c>
      <c r="C409" s="1114" t="s">
        <v>804</v>
      </c>
      <c r="D409" s="1049"/>
      <c r="E409" s="1049"/>
      <c r="F409" s="1049"/>
      <c r="G409" s="1049"/>
      <c r="H409" s="1049"/>
      <c r="I409" s="1049"/>
      <c r="J409" s="1049"/>
      <c r="K409" s="1049"/>
      <c r="L409" s="1049"/>
      <c r="M409" s="1049"/>
      <c r="N409" s="1049"/>
      <c r="O409" s="1049"/>
      <c r="P409" s="1049"/>
      <c r="Q409" s="1049"/>
      <c r="R409" s="1049"/>
      <c r="S409" s="1049"/>
      <c r="T409" s="1049"/>
      <c r="U409" s="1049"/>
      <c r="V409" s="1049"/>
      <c r="W409" s="1049"/>
      <c r="X409" s="1049"/>
      <c r="Y409" s="1049"/>
      <c r="Z409" s="1049"/>
      <c r="AA409" s="1066"/>
    </row>
    <row r="410" spans="1:80" ht="100.8" x14ac:dyDescent="0.3">
      <c r="B410" s="1113">
        <v>954</v>
      </c>
      <c r="C410" s="1114" t="s">
        <v>805</v>
      </c>
      <c r="D410" s="1049"/>
      <c r="E410" s="1049"/>
      <c r="F410" s="1049"/>
      <c r="G410" s="1049"/>
      <c r="H410" s="1049"/>
      <c r="I410" s="1049"/>
      <c r="J410" s="1049"/>
      <c r="K410" s="1049"/>
      <c r="L410" s="1049"/>
      <c r="M410" s="1049"/>
      <c r="N410" s="1049"/>
      <c r="O410" s="1049"/>
      <c r="P410" s="1049"/>
      <c r="Q410" s="1049"/>
      <c r="R410" s="1049"/>
      <c r="S410" s="1049"/>
      <c r="T410" s="1049"/>
      <c r="U410" s="1049"/>
      <c r="V410" s="1049"/>
      <c r="W410" s="1049"/>
      <c r="X410" s="1049"/>
      <c r="Y410" s="1049"/>
      <c r="Z410" s="1049"/>
      <c r="AA410" s="1066"/>
    </row>
    <row r="411" spans="1:80" ht="115.2" x14ac:dyDescent="0.3">
      <c r="B411" s="1113">
        <v>956</v>
      </c>
      <c r="C411" s="1114" t="s">
        <v>806</v>
      </c>
      <c r="D411" s="1049"/>
      <c r="E411" s="1049"/>
      <c r="F411" s="1049"/>
      <c r="G411" s="1049"/>
      <c r="H411" s="1049"/>
      <c r="I411" s="1049"/>
      <c r="J411" s="1049"/>
      <c r="K411" s="1049"/>
      <c r="L411" s="1049"/>
      <c r="M411" s="1049"/>
      <c r="N411" s="1049"/>
      <c r="O411" s="1049"/>
      <c r="P411" s="1049"/>
      <c r="Q411" s="1049"/>
      <c r="R411" s="1049"/>
      <c r="S411" s="1049"/>
      <c r="T411" s="1049"/>
      <c r="U411" s="1049"/>
      <c r="V411" s="1049"/>
      <c r="W411" s="1049"/>
      <c r="X411" s="1049"/>
      <c r="Y411" s="1049"/>
      <c r="Z411" s="1049"/>
      <c r="AA411" s="1066"/>
    </row>
    <row r="412" spans="1:80" ht="230.4" x14ac:dyDescent="0.3">
      <c r="B412" s="1113">
        <v>958</v>
      </c>
      <c r="C412" s="1114" t="s">
        <v>807</v>
      </c>
      <c r="D412" s="1049"/>
      <c r="E412" s="1049"/>
      <c r="F412" s="1049"/>
      <c r="G412" s="1049"/>
      <c r="H412" s="1049"/>
      <c r="I412" s="1049"/>
      <c r="J412" s="1049"/>
      <c r="K412" s="1049"/>
      <c r="L412" s="1049"/>
      <c r="M412" s="1049"/>
      <c r="N412" s="1049"/>
      <c r="O412" s="1049"/>
      <c r="P412" s="1049"/>
      <c r="Q412" s="1049"/>
      <c r="R412" s="1049"/>
      <c r="S412" s="1049"/>
      <c r="T412" s="1049"/>
      <c r="U412" s="1049"/>
      <c r="V412" s="1049"/>
      <c r="W412" s="1049"/>
      <c r="X412" s="1049"/>
      <c r="Y412" s="1049"/>
      <c r="Z412" s="1049"/>
      <c r="AA412" s="1066"/>
    </row>
    <row r="413" spans="1:80" x14ac:dyDescent="0.3">
      <c r="B413" s="1113">
        <v>960</v>
      </c>
      <c r="C413" s="1114" t="s">
        <v>798</v>
      </c>
      <c r="D413" s="1049"/>
      <c r="E413" s="1049"/>
      <c r="F413" s="1049"/>
      <c r="G413" s="1049"/>
      <c r="H413" s="1049"/>
      <c r="I413" s="1049"/>
      <c r="J413" s="1049"/>
      <c r="K413" s="1049"/>
      <c r="L413" s="1049"/>
      <c r="M413" s="1049"/>
      <c r="N413" s="1049"/>
      <c r="O413" s="1049"/>
      <c r="P413" s="1049"/>
      <c r="Q413" s="1049"/>
      <c r="R413" s="1049"/>
      <c r="S413" s="1049"/>
      <c r="T413" s="1049"/>
      <c r="U413" s="1049"/>
      <c r="V413" s="1049"/>
      <c r="W413" s="1049"/>
      <c r="X413" s="1049"/>
      <c r="Y413" s="1049"/>
      <c r="Z413" s="1049"/>
      <c r="AA413" s="1066"/>
    </row>
    <row r="414" spans="1:80" x14ac:dyDescent="0.3">
      <c r="B414" s="1113">
        <v>962</v>
      </c>
      <c r="C414" s="1114" t="s">
        <v>759</v>
      </c>
      <c r="D414" s="1049"/>
      <c r="E414" s="1049"/>
      <c r="F414" s="1049"/>
      <c r="G414" s="1049"/>
      <c r="H414" s="1049"/>
      <c r="I414" s="1049"/>
      <c r="J414" s="1049"/>
      <c r="K414" s="1049"/>
      <c r="L414" s="1049"/>
      <c r="M414" s="1049"/>
      <c r="N414" s="1049"/>
      <c r="O414" s="1049"/>
      <c r="P414" s="1049"/>
      <c r="Q414" s="1049"/>
      <c r="R414" s="1049"/>
      <c r="S414" s="1049"/>
      <c r="T414" s="1049"/>
      <c r="U414" s="1049"/>
      <c r="V414" s="1049"/>
      <c r="W414" s="1049"/>
      <c r="X414" s="1049"/>
      <c r="Y414" s="1049"/>
      <c r="Z414" s="1049"/>
      <c r="AA414" s="1066"/>
    </row>
    <row r="415" spans="1:80" x14ac:dyDescent="0.3">
      <c r="B415" s="1113">
        <v>964</v>
      </c>
      <c r="C415" s="1114" t="s">
        <v>1873</v>
      </c>
      <c r="D415" s="1049"/>
      <c r="E415" s="1049"/>
      <c r="F415" s="1049"/>
      <c r="G415" s="1049"/>
      <c r="H415" s="1049"/>
      <c r="I415" s="1049"/>
      <c r="J415" s="1049"/>
      <c r="K415" s="1049"/>
      <c r="L415" s="1049"/>
      <c r="M415" s="1049"/>
      <c r="N415" s="1049"/>
      <c r="O415" s="1049"/>
      <c r="P415" s="1049"/>
      <c r="Q415" s="1049"/>
      <c r="R415" s="1049"/>
      <c r="S415" s="1049"/>
      <c r="T415" s="1049"/>
      <c r="U415" s="1049"/>
      <c r="V415" s="1049"/>
      <c r="W415" s="1049"/>
      <c r="X415" s="1049"/>
      <c r="Y415" s="1049"/>
      <c r="Z415" s="1049"/>
      <c r="AA415" s="1066"/>
    </row>
    <row r="416" spans="1:80" x14ac:dyDescent="0.3">
      <c r="B416" s="1113">
        <v>966</v>
      </c>
      <c r="C416" s="1114" t="s">
        <v>761</v>
      </c>
      <c r="D416" s="1049"/>
      <c r="E416" s="1049"/>
      <c r="F416" s="1049"/>
      <c r="G416" s="1049"/>
      <c r="H416" s="1049"/>
      <c r="I416" s="1049"/>
      <c r="J416" s="1049"/>
      <c r="K416" s="1049"/>
      <c r="L416" s="1049"/>
      <c r="M416" s="1049"/>
      <c r="N416" s="1049"/>
      <c r="O416" s="1049"/>
      <c r="P416" s="1049"/>
      <c r="Q416" s="1049"/>
      <c r="R416" s="1049"/>
      <c r="S416" s="1049"/>
      <c r="T416" s="1049"/>
      <c r="U416" s="1049"/>
      <c r="V416" s="1049"/>
      <c r="W416" s="1049"/>
      <c r="X416" s="1049"/>
      <c r="Y416" s="1049"/>
      <c r="Z416" s="1049"/>
      <c r="AA416" s="1066"/>
    </row>
    <row r="417" spans="2:27" x14ac:dyDescent="0.3">
      <c r="B417" s="1113">
        <v>968</v>
      </c>
      <c r="C417" s="1114" t="s">
        <v>762</v>
      </c>
      <c r="D417" s="1049"/>
      <c r="E417" s="1049"/>
      <c r="F417" s="1049"/>
      <c r="G417" s="1049"/>
      <c r="H417" s="1049"/>
      <c r="I417" s="1049"/>
      <c r="J417" s="1049"/>
      <c r="K417" s="1049"/>
      <c r="L417" s="1049"/>
      <c r="M417" s="1049"/>
      <c r="N417" s="1049"/>
      <c r="O417" s="1049"/>
      <c r="P417" s="1049"/>
      <c r="Q417" s="1049"/>
      <c r="R417" s="1049"/>
      <c r="S417" s="1049"/>
      <c r="T417" s="1049"/>
      <c r="U417" s="1049"/>
      <c r="V417" s="1049"/>
      <c r="W417" s="1049"/>
      <c r="X417" s="1049"/>
      <c r="Y417" s="1049"/>
      <c r="Z417" s="1049"/>
      <c r="AA417" s="1066"/>
    </row>
    <row r="418" spans="2:27" x14ac:dyDescent="0.3">
      <c r="B418" s="1049"/>
      <c r="C418" s="1049"/>
      <c r="D418" s="1049"/>
      <c r="E418" s="1049"/>
      <c r="F418" s="1049"/>
      <c r="G418" s="1049"/>
      <c r="H418" s="1049"/>
      <c r="I418" s="1049"/>
      <c r="J418" s="1049"/>
      <c r="K418" s="1049"/>
      <c r="L418" s="1049"/>
      <c r="M418" s="1049"/>
      <c r="N418" s="1049"/>
      <c r="O418" s="1049"/>
      <c r="P418" s="1049"/>
      <c r="Q418" s="1049"/>
      <c r="R418" s="1049"/>
      <c r="S418" s="1049"/>
      <c r="T418" s="1049"/>
      <c r="U418" s="1049"/>
      <c r="V418" s="1049"/>
      <c r="W418" s="1049"/>
      <c r="X418" s="1049"/>
      <c r="Y418" s="1049"/>
      <c r="Z418" s="1049"/>
      <c r="AA418" s="1066"/>
    </row>
    <row r="419" spans="2:27" x14ac:dyDescent="0.3">
      <c r="B419" s="1049"/>
      <c r="C419" s="1049"/>
      <c r="D419" s="1049"/>
      <c r="E419" s="1049"/>
      <c r="F419" s="1049"/>
      <c r="G419" s="1049"/>
      <c r="H419" s="1049"/>
      <c r="I419" s="1049"/>
      <c r="J419" s="1049"/>
      <c r="K419" s="1049"/>
      <c r="L419" s="1049"/>
      <c r="M419" s="1049"/>
      <c r="N419" s="1049"/>
      <c r="O419" s="1049"/>
      <c r="P419" s="1049"/>
      <c r="Q419" s="1049"/>
      <c r="R419" s="1049"/>
      <c r="S419" s="1049"/>
      <c r="T419" s="1049"/>
      <c r="U419" s="1049"/>
      <c r="V419" s="1049"/>
      <c r="W419" s="1049"/>
      <c r="X419" s="1049"/>
      <c r="Y419" s="1049"/>
      <c r="Z419" s="1049"/>
      <c r="AA419" s="1066"/>
    </row>
    <row r="420" spans="2:27" x14ac:dyDescent="0.3">
      <c r="B420" s="1049"/>
      <c r="C420" s="1049"/>
      <c r="D420" s="1049"/>
      <c r="E420" s="1049"/>
      <c r="F420" s="1049"/>
      <c r="G420" s="1049"/>
      <c r="H420" s="1049"/>
      <c r="I420" s="1049"/>
      <c r="J420" s="1049"/>
      <c r="K420" s="1049"/>
      <c r="L420" s="1049"/>
      <c r="M420" s="1049"/>
      <c r="N420" s="1049"/>
      <c r="O420" s="1049"/>
      <c r="P420" s="1049"/>
      <c r="Q420" s="1049"/>
      <c r="R420" s="1049"/>
      <c r="S420" s="1049"/>
      <c r="T420" s="1049"/>
      <c r="U420" s="1049"/>
      <c r="V420" s="1049"/>
      <c r="W420" s="1049"/>
      <c r="X420" s="1049"/>
      <c r="Y420" s="1049"/>
      <c r="Z420" s="1049"/>
      <c r="AA420" s="1066"/>
    </row>
    <row r="421" spans="2:27" x14ac:dyDescent="0.3">
      <c r="B421" s="1049"/>
      <c r="C421" s="1049"/>
      <c r="D421" s="1049"/>
      <c r="E421" s="1049"/>
      <c r="F421" s="1049"/>
      <c r="G421" s="1049"/>
      <c r="H421" s="1049"/>
      <c r="I421" s="1049"/>
      <c r="J421" s="1049"/>
      <c r="K421" s="1049"/>
      <c r="L421" s="1049"/>
      <c r="M421" s="1049"/>
      <c r="N421" s="1049"/>
      <c r="O421" s="1049"/>
      <c r="P421" s="1049"/>
      <c r="Q421" s="1049"/>
      <c r="R421" s="1049"/>
      <c r="S421" s="1049"/>
      <c r="T421" s="1049"/>
      <c r="U421" s="1049"/>
      <c r="V421" s="1049"/>
      <c r="W421" s="1049"/>
      <c r="X421" s="1049"/>
      <c r="Y421" s="1049"/>
      <c r="Z421" s="1049"/>
      <c r="AA421" s="1066"/>
    </row>
    <row r="422" spans="2:27" x14ac:dyDescent="0.3">
      <c r="B422" s="1049"/>
      <c r="C422" s="1049"/>
      <c r="D422" s="1049"/>
      <c r="E422" s="1049"/>
      <c r="F422" s="1049"/>
      <c r="G422" s="1049"/>
      <c r="H422" s="1049"/>
      <c r="I422" s="1049"/>
      <c r="J422" s="1049"/>
      <c r="K422" s="1049"/>
      <c r="L422" s="1049"/>
      <c r="M422" s="1049"/>
      <c r="N422" s="1049"/>
      <c r="O422" s="1049"/>
      <c r="P422" s="1049"/>
      <c r="Q422" s="1049"/>
      <c r="R422" s="1049"/>
      <c r="S422" s="1049"/>
      <c r="T422" s="1049"/>
      <c r="U422" s="1049"/>
      <c r="V422" s="1049"/>
      <c r="W422" s="1049"/>
      <c r="X422" s="1049"/>
      <c r="Y422" s="1049"/>
      <c r="Z422" s="1049"/>
      <c r="AA422" s="1066"/>
    </row>
    <row r="423" spans="2:27" x14ac:dyDescent="0.3">
      <c r="AA423" s="1066"/>
    </row>
    <row r="424" spans="2:27" x14ac:dyDescent="0.3">
      <c r="AA424" s="1066"/>
    </row>
    <row r="425" spans="2:27" x14ac:dyDescent="0.3">
      <c r="AA425" s="1066"/>
    </row>
    <row r="426" spans="2:27" x14ac:dyDescent="0.3">
      <c r="AA426" s="1066"/>
    </row>
    <row r="427" spans="2:27" x14ac:dyDescent="0.3">
      <c r="AA427" s="1066"/>
    </row>
    <row r="428" spans="2:27" x14ac:dyDescent="0.3">
      <c r="AA428" s="1066"/>
    </row>
    <row r="429" spans="2:27" x14ac:dyDescent="0.3">
      <c r="AA429" s="1066"/>
    </row>
    <row r="430" spans="2:27" x14ac:dyDescent="0.3">
      <c r="AA430" s="1066"/>
    </row>
    <row r="431" spans="2:27" x14ac:dyDescent="0.3">
      <c r="AA431" s="1066"/>
    </row>
    <row r="432" spans="2:27" x14ac:dyDescent="0.3">
      <c r="AA432" s="1066"/>
    </row>
    <row r="433" spans="27:27" x14ac:dyDescent="0.3">
      <c r="AA433" s="1066"/>
    </row>
    <row r="434" spans="27:27" x14ac:dyDescent="0.3">
      <c r="AA434" s="1066"/>
    </row>
    <row r="435" spans="27:27" x14ac:dyDescent="0.3">
      <c r="AA435" s="1066"/>
    </row>
    <row r="436" spans="27:27" x14ac:dyDescent="0.3">
      <c r="AA436" s="1066"/>
    </row>
    <row r="437" spans="27:27" x14ac:dyDescent="0.3">
      <c r="AA437" s="1066"/>
    </row>
    <row r="438" spans="27:27" x14ac:dyDescent="0.3">
      <c r="AA438" s="1066"/>
    </row>
    <row r="439" spans="27:27" x14ac:dyDescent="0.3">
      <c r="AA439" s="1066"/>
    </row>
    <row r="440" spans="27:27" x14ac:dyDescent="0.3">
      <c r="AA440" s="1066"/>
    </row>
    <row r="441" spans="27:27" x14ac:dyDescent="0.3">
      <c r="AA441" s="1066"/>
    </row>
    <row r="442" spans="27:27" x14ac:dyDescent="0.3">
      <c r="AA442" s="1066"/>
    </row>
    <row r="443" spans="27:27" x14ac:dyDescent="0.3">
      <c r="AA443" s="1066"/>
    </row>
    <row r="444" spans="27:27" x14ac:dyDescent="0.3">
      <c r="AA444" s="1066"/>
    </row>
    <row r="445" spans="27:27" x14ac:dyDescent="0.3">
      <c r="AA445" s="1066"/>
    </row>
    <row r="446" spans="27:27" x14ac:dyDescent="0.3">
      <c r="AA446" s="1066"/>
    </row>
    <row r="447" spans="27:27" x14ac:dyDescent="0.3">
      <c r="AA447" s="1066"/>
    </row>
    <row r="448" spans="27:27" x14ac:dyDescent="0.3">
      <c r="AA448" s="1066"/>
    </row>
    <row r="449" spans="27:27" x14ac:dyDescent="0.3">
      <c r="AA449" s="1066"/>
    </row>
    <row r="450" spans="27:27" x14ac:dyDescent="0.3">
      <c r="AA450" s="1066"/>
    </row>
    <row r="451" spans="27:27" x14ac:dyDescent="0.3">
      <c r="AA451" s="1066"/>
    </row>
    <row r="452" spans="27:27" x14ac:dyDescent="0.3">
      <c r="AA452" s="1066"/>
    </row>
    <row r="453" spans="27:27" x14ac:dyDescent="0.3">
      <c r="AA453" s="1066"/>
    </row>
    <row r="454" spans="27:27" x14ac:dyDescent="0.3">
      <c r="AA454" s="1066"/>
    </row>
    <row r="455" spans="27:27" x14ac:dyDescent="0.3">
      <c r="AA455" s="1066"/>
    </row>
    <row r="456" spans="27:27" x14ac:dyDescent="0.3">
      <c r="AA456" s="1066"/>
    </row>
    <row r="457" spans="27:27" x14ac:dyDescent="0.3">
      <c r="AA457" s="1066"/>
    </row>
    <row r="458" spans="27:27" x14ac:dyDescent="0.3">
      <c r="AA458" s="1066"/>
    </row>
    <row r="459" spans="27:27" x14ac:dyDescent="0.3">
      <c r="AA459" s="1066"/>
    </row>
  </sheetData>
  <sheetProtection algorithmName="SHA-512" hashValue="pfKBpYzVJQ8x+cX+rXRUYMPY2HVOjlmZvcwGB6dDha6CuSWi4qxJFIl6/tfdzc09octHCKFUQzbBjdNmvXo3lg==" saltValue="XPjtJoTjuZ8gGtMtbK3cxQ==" spinCount="100000" sheet="1" objects="1" scenarios="1"/>
  <printOptions headings="1" gridLines="1"/>
  <pageMargins left="0.25" right="0.25"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17550-04E5-49D9-B446-DDF9728A8EC8}">
  <sheetPr codeName="Sheet12"/>
  <dimension ref="A1:V97"/>
  <sheetViews>
    <sheetView zoomScale="120" zoomScaleNormal="120" workbookViewId="0">
      <selection activeCell="F1" sqref="F1"/>
    </sheetView>
  </sheetViews>
  <sheetFormatPr defaultColWidth="9.109375" defaultRowHeight="14.4" x14ac:dyDescent="0.3"/>
  <cols>
    <col min="1" max="2" width="9.109375" style="274"/>
    <col min="3" max="3" width="35.6640625" style="274" customWidth="1"/>
    <col min="4" max="4" width="9.109375" style="274"/>
    <col min="5" max="14" width="15.6640625" style="274" customWidth="1"/>
    <col min="15" max="16" width="23.109375" style="274" customWidth="1"/>
    <col min="17" max="17" width="24.33203125" style="274" customWidth="1"/>
    <col min="18" max="19" width="15.6640625" style="274" customWidth="1"/>
    <col min="20" max="20" width="19.5546875" style="274" customWidth="1"/>
    <col min="21" max="21" width="18.5546875" style="274" customWidth="1"/>
    <col min="22" max="22" width="18.88671875" style="274" customWidth="1"/>
    <col min="23" max="16384" width="9.109375" style="274"/>
  </cols>
  <sheetData>
    <row r="1" spans="1:22" ht="28.8" x14ac:dyDescent="0.3">
      <c r="A1" s="274" t="s">
        <v>1714</v>
      </c>
      <c r="B1" s="274" t="s">
        <v>1715</v>
      </c>
      <c r="D1" s="274" t="s">
        <v>1715</v>
      </c>
      <c r="E1" s="274" t="s">
        <v>1715</v>
      </c>
      <c r="F1" s="274" t="s">
        <v>1691</v>
      </c>
      <c r="G1" s="274" t="s">
        <v>1692</v>
      </c>
      <c r="H1" s="274" t="s">
        <v>1693</v>
      </c>
      <c r="I1" s="274" t="s">
        <v>1694</v>
      </c>
      <c r="J1" s="274" t="s">
        <v>1695</v>
      </c>
      <c r="K1" s="274" t="s">
        <v>1697</v>
      </c>
      <c r="L1" s="274" t="s">
        <v>1699</v>
      </c>
      <c r="M1" s="274" t="s">
        <v>1701</v>
      </c>
      <c r="N1" s="274" t="s">
        <v>1702</v>
      </c>
      <c r="O1" s="1004" t="s">
        <v>1703</v>
      </c>
      <c r="P1" s="274" t="s">
        <v>1705</v>
      </c>
      <c r="Q1" s="274" t="s">
        <v>1706</v>
      </c>
      <c r="R1" s="274" t="s">
        <v>1707</v>
      </c>
      <c r="S1" s="274" t="s">
        <v>1708</v>
      </c>
      <c r="T1" s="274" t="s">
        <v>1709</v>
      </c>
      <c r="U1" s="274" t="s">
        <v>1712</v>
      </c>
      <c r="V1" s="274" t="s">
        <v>1713</v>
      </c>
    </row>
    <row r="2" spans="1:22" x14ac:dyDescent="0.3">
      <c r="C2" s="274" t="s">
        <v>1716</v>
      </c>
      <c r="D2" s="274" t="s">
        <v>1717</v>
      </c>
      <c r="E2" s="274" t="s">
        <v>297</v>
      </c>
      <c r="F2" s="274">
        <v>53876</v>
      </c>
      <c r="G2" s="274">
        <v>53926</v>
      </c>
      <c r="H2" s="274">
        <v>53880</v>
      </c>
      <c r="I2" s="274">
        <v>53881</v>
      </c>
      <c r="J2" s="274">
        <v>53938</v>
      </c>
      <c r="K2" s="274">
        <v>53884</v>
      </c>
      <c r="L2" s="274">
        <v>53889</v>
      </c>
      <c r="M2" s="274">
        <v>53890</v>
      </c>
      <c r="N2" s="274">
        <v>53897</v>
      </c>
      <c r="O2" s="274">
        <v>53970</v>
      </c>
      <c r="P2" s="274">
        <v>53950</v>
      </c>
      <c r="Q2" s="274">
        <v>53901</v>
      </c>
      <c r="R2" s="274">
        <v>53902</v>
      </c>
      <c r="S2" s="274">
        <v>53923</v>
      </c>
      <c r="T2" s="274">
        <v>53908</v>
      </c>
      <c r="U2" s="274">
        <v>53913</v>
      </c>
      <c r="V2" s="274">
        <v>53915</v>
      </c>
    </row>
    <row r="3" spans="1:22" x14ac:dyDescent="0.3">
      <c r="A3" s="274">
        <v>13</v>
      </c>
      <c r="B3" s="274">
        <v>13</v>
      </c>
      <c r="C3" s="274" t="s">
        <v>1718</v>
      </c>
      <c r="D3" s="274" t="s">
        <v>1719</v>
      </c>
      <c r="E3" s="274" t="s">
        <v>305</v>
      </c>
      <c r="F3" s="274">
        <v>698994</v>
      </c>
      <c r="G3" s="274">
        <v>163952994</v>
      </c>
      <c r="H3" s="274">
        <v>0</v>
      </c>
      <c r="I3" s="274">
        <v>176928064</v>
      </c>
      <c r="J3" s="274">
        <v>0</v>
      </c>
      <c r="K3" s="274">
        <v>0</v>
      </c>
      <c r="L3" s="274">
        <v>0</v>
      </c>
      <c r="M3" s="274">
        <v>0</v>
      </c>
      <c r="N3" s="274">
        <v>61139316</v>
      </c>
      <c r="O3" s="274">
        <v>22900282</v>
      </c>
      <c r="P3" s="274">
        <v>63156577</v>
      </c>
      <c r="Q3" s="274">
        <v>379168000</v>
      </c>
      <c r="R3" s="274">
        <v>23198755</v>
      </c>
      <c r="S3" s="274">
        <v>33324090</v>
      </c>
      <c r="T3" s="274">
        <v>13620806</v>
      </c>
      <c r="U3" s="274">
        <v>123548844</v>
      </c>
      <c r="V3" s="274">
        <v>0</v>
      </c>
    </row>
    <row r="4" spans="1:22" x14ac:dyDescent="0.3">
      <c r="A4" s="274">
        <v>14</v>
      </c>
      <c r="B4" s="274">
        <v>14</v>
      </c>
      <c r="C4" s="274" t="s">
        <v>1720</v>
      </c>
      <c r="D4" s="274" t="s">
        <v>306</v>
      </c>
      <c r="E4" s="274" t="s">
        <v>307</v>
      </c>
      <c r="F4" s="274">
        <v>189828</v>
      </c>
      <c r="G4" s="274">
        <v>68153567</v>
      </c>
      <c r="H4" s="274">
        <v>0</v>
      </c>
      <c r="I4" s="274">
        <v>43578352</v>
      </c>
      <c r="J4" s="274">
        <v>0</v>
      </c>
      <c r="K4" s="274">
        <v>0</v>
      </c>
      <c r="L4" s="274">
        <v>0</v>
      </c>
      <c r="M4" s="274">
        <v>0</v>
      </c>
      <c r="N4" s="274">
        <v>21493081</v>
      </c>
      <c r="O4" s="274">
        <v>3206480</v>
      </c>
      <c r="P4" s="274">
        <v>33712893</v>
      </c>
      <c r="Q4" s="274">
        <v>173033000</v>
      </c>
      <c r="R4" s="274">
        <v>9370709</v>
      </c>
      <c r="S4" s="274">
        <v>17925060</v>
      </c>
      <c r="T4" s="274">
        <v>7795561</v>
      </c>
      <c r="U4" s="274">
        <v>17456587</v>
      </c>
      <c r="V4" s="274">
        <v>0</v>
      </c>
    </row>
    <row r="5" spans="1:22" x14ac:dyDescent="0.3">
      <c r="A5" s="274">
        <v>32</v>
      </c>
      <c r="B5" s="274">
        <v>32</v>
      </c>
      <c r="C5" s="274" t="s">
        <v>316</v>
      </c>
      <c r="D5" s="274" t="s">
        <v>316</v>
      </c>
      <c r="E5" s="274" t="s">
        <v>317</v>
      </c>
      <c r="F5" s="274">
        <v>0</v>
      </c>
      <c r="G5" s="274">
        <v>22655217</v>
      </c>
      <c r="H5" s="274">
        <v>0</v>
      </c>
      <c r="I5" s="274">
        <v>16434226</v>
      </c>
      <c r="J5" s="274">
        <v>0</v>
      </c>
      <c r="K5" s="274">
        <v>0</v>
      </c>
      <c r="L5" s="274">
        <v>0</v>
      </c>
      <c r="M5" s="274">
        <v>0</v>
      </c>
      <c r="N5" s="274">
        <v>10375605</v>
      </c>
      <c r="O5" s="274">
        <v>2797583</v>
      </c>
      <c r="P5" s="274">
        <v>15511821</v>
      </c>
      <c r="Q5" s="274">
        <v>52916000</v>
      </c>
      <c r="R5" s="274">
        <v>4572691</v>
      </c>
      <c r="S5" s="274">
        <v>7523713</v>
      </c>
      <c r="T5" s="274">
        <v>3649470</v>
      </c>
      <c r="U5" s="274">
        <v>11091619</v>
      </c>
      <c r="V5" s="274">
        <v>0</v>
      </c>
    </row>
    <row r="6" spans="1:22" x14ac:dyDescent="0.3">
      <c r="A6" s="274">
        <v>33</v>
      </c>
      <c r="B6" s="274">
        <v>33</v>
      </c>
      <c r="C6" s="274" t="s">
        <v>318</v>
      </c>
      <c r="D6" s="274" t="s">
        <v>318</v>
      </c>
      <c r="E6" s="274" t="s">
        <v>319</v>
      </c>
      <c r="F6" s="274">
        <v>-29351</v>
      </c>
      <c r="G6" s="274">
        <v>35261060</v>
      </c>
      <c r="H6" s="274">
        <v>0</v>
      </c>
      <c r="I6" s="274">
        <v>42779075</v>
      </c>
      <c r="J6" s="274">
        <v>0</v>
      </c>
      <c r="K6" s="274">
        <v>0</v>
      </c>
      <c r="L6" s="274">
        <v>0</v>
      </c>
      <c r="M6" s="274">
        <v>0</v>
      </c>
      <c r="N6" s="274">
        <v>14690113</v>
      </c>
      <c r="O6" s="274">
        <v>3046208</v>
      </c>
      <c r="P6" s="274">
        <v>-12753794</v>
      </c>
      <c r="Q6" s="274">
        <v>157686000</v>
      </c>
      <c r="R6" s="274">
        <v>5582347</v>
      </c>
      <c r="S6" s="274">
        <v>6567926</v>
      </c>
      <c r="T6" s="274">
        <v>5558717</v>
      </c>
      <c r="U6" s="274">
        <v>5643300</v>
      </c>
      <c r="V6" s="274">
        <v>0</v>
      </c>
    </row>
    <row r="7" spans="1:22" x14ac:dyDescent="0.3">
      <c r="A7" s="274">
        <v>34</v>
      </c>
      <c r="B7" s="274">
        <v>34</v>
      </c>
      <c r="C7" s="274" t="s">
        <v>320</v>
      </c>
      <c r="D7" s="274" t="s">
        <v>320</v>
      </c>
      <c r="E7" s="274" t="s">
        <v>321</v>
      </c>
      <c r="F7" s="274">
        <v>698994</v>
      </c>
      <c r="G7" s="274">
        <v>394213286</v>
      </c>
      <c r="H7" s="274">
        <v>0</v>
      </c>
      <c r="I7" s="274">
        <v>130421785</v>
      </c>
      <c r="J7" s="274">
        <v>0</v>
      </c>
      <c r="K7" s="274">
        <v>0</v>
      </c>
      <c r="L7" s="274">
        <v>0</v>
      </c>
      <c r="M7" s="274">
        <v>0</v>
      </c>
      <c r="N7" s="274">
        <v>37961561</v>
      </c>
      <c r="O7" s="274">
        <v>12292185</v>
      </c>
      <c r="P7" s="274">
        <v>133650607</v>
      </c>
      <c r="Q7" s="274">
        <v>800521000</v>
      </c>
      <c r="R7" s="274">
        <v>6324418</v>
      </c>
      <c r="S7" s="274">
        <v>12033722</v>
      </c>
      <c r="T7" s="274">
        <v>5543718</v>
      </c>
      <c r="U7" s="274">
        <v>88364429</v>
      </c>
      <c r="V7" s="274">
        <v>0</v>
      </c>
    </row>
    <row r="8" spans="1:22" x14ac:dyDescent="0.3">
      <c r="A8" s="274">
        <v>35</v>
      </c>
      <c r="B8" s="274">
        <v>35</v>
      </c>
      <c r="C8" s="274" t="s">
        <v>617</v>
      </c>
      <c r="D8" s="274" t="s">
        <v>1721</v>
      </c>
      <c r="E8" s="274" t="s">
        <v>322</v>
      </c>
      <c r="F8" s="274">
        <v>0</v>
      </c>
      <c r="G8" s="274">
        <v>55083671</v>
      </c>
      <c r="H8" s="274">
        <v>0</v>
      </c>
      <c r="I8" s="274">
        <v>31557963</v>
      </c>
      <c r="J8" s="274">
        <v>0</v>
      </c>
      <c r="K8" s="274">
        <v>0</v>
      </c>
      <c r="L8" s="274">
        <v>0</v>
      </c>
      <c r="M8" s="274">
        <v>0</v>
      </c>
      <c r="N8" s="274">
        <v>27550169</v>
      </c>
      <c r="O8" s="274">
        <v>8220550</v>
      </c>
      <c r="P8" s="274">
        <v>29998283</v>
      </c>
      <c r="Q8" s="274">
        <v>131513000</v>
      </c>
      <c r="R8" s="274">
        <v>10554078</v>
      </c>
      <c r="S8" s="274">
        <v>19842376</v>
      </c>
      <c r="T8" s="274">
        <v>5394572</v>
      </c>
      <c r="U8" s="274">
        <v>25985073</v>
      </c>
      <c r="V8" s="274">
        <v>0</v>
      </c>
    </row>
    <row r="9" spans="1:22" x14ac:dyDescent="0.3">
      <c r="A9" s="274">
        <v>36</v>
      </c>
      <c r="B9" s="274">
        <v>36</v>
      </c>
      <c r="C9" s="274" t="s">
        <v>618</v>
      </c>
      <c r="D9" s="274" t="s">
        <v>1444</v>
      </c>
      <c r="E9" s="274" t="s">
        <v>323</v>
      </c>
      <c r="F9" s="274">
        <v>0</v>
      </c>
      <c r="G9" s="274">
        <v>506010513</v>
      </c>
      <c r="H9" s="274">
        <v>0</v>
      </c>
      <c r="I9" s="274">
        <v>332179319</v>
      </c>
      <c r="J9" s="274">
        <v>0</v>
      </c>
      <c r="K9" s="274">
        <v>0</v>
      </c>
      <c r="L9" s="274">
        <v>0</v>
      </c>
      <c r="M9" s="274">
        <v>0</v>
      </c>
      <c r="N9" s="274">
        <v>265390383</v>
      </c>
      <c r="O9" s="274">
        <v>70717625</v>
      </c>
      <c r="P9" s="274">
        <v>397223918</v>
      </c>
      <c r="Q9" s="274">
        <v>1116743000</v>
      </c>
      <c r="R9" s="274">
        <v>119189467</v>
      </c>
      <c r="S9" s="274">
        <v>174098522</v>
      </c>
      <c r="T9" s="274">
        <v>104009930</v>
      </c>
      <c r="U9" s="274">
        <v>270375491</v>
      </c>
      <c r="V9" s="274">
        <v>0</v>
      </c>
    </row>
    <row r="10" spans="1:22" x14ac:dyDescent="0.3">
      <c r="A10" s="274">
        <v>37</v>
      </c>
      <c r="B10" s="274">
        <v>37</v>
      </c>
      <c r="C10" s="274" t="s">
        <v>324</v>
      </c>
      <c r="D10" s="274" t="s">
        <v>324</v>
      </c>
      <c r="E10" s="274" t="s">
        <v>325</v>
      </c>
      <c r="F10" s="274">
        <v>0</v>
      </c>
      <c r="G10" s="274">
        <v>55530000</v>
      </c>
      <c r="H10" s="274">
        <v>0</v>
      </c>
      <c r="I10" s="274">
        <v>37666804</v>
      </c>
      <c r="J10" s="274">
        <v>0</v>
      </c>
      <c r="K10" s="274">
        <v>0</v>
      </c>
      <c r="L10" s="274">
        <v>0</v>
      </c>
      <c r="M10" s="274">
        <v>0</v>
      </c>
      <c r="N10" s="274">
        <v>19714382</v>
      </c>
      <c r="O10" s="274">
        <v>9303637</v>
      </c>
      <c r="P10" s="274">
        <v>96588952</v>
      </c>
      <c r="Q10" s="274">
        <v>367183000</v>
      </c>
      <c r="R10" s="274">
        <v>22186222</v>
      </c>
      <c r="S10" s="274">
        <v>34426895</v>
      </c>
      <c r="T10" s="274">
        <v>4058680</v>
      </c>
      <c r="U10" s="274">
        <v>41014511</v>
      </c>
      <c r="V10" s="274">
        <v>0</v>
      </c>
    </row>
    <row r="11" spans="1:22" x14ac:dyDescent="0.3">
      <c r="A11" s="274">
        <v>38</v>
      </c>
      <c r="B11" s="274">
        <v>38</v>
      </c>
      <c r="C11" s="274" t="s">
        <v>619</v>
      </c>
      <c r="D11" s="274" t="s">
        <v>1722</v>
      </c>
      <c r="E11" s="274" t="s">
        <v>326</v>
      </c>
      <c r="F11" s="274">
        <v>509166</v>
      </c>
      <c r="G11" s="274">
        <v>398790598</v>
      </c>
      <c r="H11" s="274">
        <v>0</v>
      </c>
      <c r="I11" s="274">
        <v>132916716</v>
      </c>
      <c r="J11" s="274">
        <v>0</v>
      </c>
      <c r="K11" s="274">
        <v>0</v>
      </c>
      <c r="L11" s="274">
        <v>0</v>
      </c>
      <c r="M11" s="274">
        <v>0</v>
      </c>
      <c r="N11" s="274">
        <v>68749743</v>
      </c>
      <c r="O11" s="274">
        <v>17848689</v>
      </c>
      <c r="P11" s="274">
        <v>237756073</v>
      </c>
      <c r="Q11" s="274">
        <v>871201000</v>
      </c>
      <c r="R11" s="274">
        <v>79781708</v>
      </c>
      <c r="S11" s="274">
        <v>12658597</v>
      </c>
      <c r="T11" s="274">
        <v>14682401</v>
      </c>
      <c r="U11" s="274">
        <v>108782765</v>
      </c>
      <c r="V11" s="274">
        <v>0</v>
      </c>
    </row>
    <row r="12" spans="1:22" x14ac:dyDescent="0.3">
      <c r="A12" s="274">
        <v>39</v>
      </c>
      <c r="B12" s="274">
        <v>39</v>
      </c>
      <c r="C12" s="274" t="s">
        <v>327</v>
      </c>
      <c r="D12" s="274" t="s">
        <v>327</v>
      </c>
      <c r="E12" s="274" t="s">
        <v>328</v>
      </c>
      <c r="F12" s="274">
        <v>0</v>
      </c>
      <c r="G12" s="274">
        <v>1490000</v>
      </c>
      <c r="H12" s="274">
        <v>0</v>
      </c>
      <c r="I12" s="274">
        <v>3169003</v>
      </c>
      <c r="J12" s="274">
        <v>0</v>
      </c>
      <c r="K12" s="274">
        <v>0</v>
      </c>
      <c r="L12" s="274">
        <v>0</v>
      </c>
      <c r="M12" s="274">
        <v>0</v>
      </c>
      <c r="N12" s="274">
        <v>3280830</v>
      </c>
      <c r="O12" s="274">
        <v>631724</v>
      </c>
      <c r="P12" s="274">
        <v>2420000</v>
      </c>
      <c r="Q12" s="274">
        <v>18912000</v>
      </c>
      <c r="R12" s="274">
        <v>2281573</v>
      </c>
      <c r="S12" s="274">
        <v>5901916</v>
      </c>
      <c r="T12" s="274">
        <v>1010750</v>
      </c>
      <c r="U12" s="274">
        <v>33760484</v>
      </c>
      <c r="V12" s="274">
        <v>0</v>
      </c>
    </row>
    <row r="13" spans="1:22" x14ac:dyDescent="0.3">
      <c r="A13" s="274">
        <v>40</v>
      </c>
      <c r="B13" s="274">
        <v>40</v>
      </c>
      <c r="C13" s="274" t="s">
        <v>329</v>
      </c>
      <c r="D13" s="274" t="s">
        <v>329</v>
      </c>
      <c r="E13" s="274" t="s">
        <v>330</v>
      </c>
      <c r="F13" s="274">
        <v>0</v>
      </c>
      <c r="G13" s="274">
        <v>420241993</v>
      </c>
      <c r="H13" s="274">
        <v>0</v>
      </c>
      <c r="I13" s="274">
        <v>309483446</v>
      </c>
      <c r="J13" s="274">
        <v>0</v>
      </c>
      <c r="K13" s="274">
        <v>0</v>
      </c>
      <c r="L13" s="274">
        <v>0</v>
      </c>
      <c r="M13" s="274">
        <v>0</v>
      </c>
      <c r="N13" s="274">
        <v>246018309</v>
      </c>
      <c r="O13" s="274">
        <v>37209394</v>
      </c>
      <c r="P13" s="274">
        <v>232144556</v>
      </c>
      <c r="Q13" s="274">
        <v>112644000</v>
      </c>
      <c r="R13" s="274">
        <v>90856483</v>
      </c>
      <c r="S13" s="274">
        <v>145251166</v>
      </c>
      <c r="T13" s="274">
        <v>63029613</v>
      </c>
      <c r="U13" s="274">
        <v>200131483</v>
      </c>
      <c r="V13" s="274">
        <v>0</v>
      </c>
    </row>
    <row r="14" spans="1:22" x14ac:dyDescent="0.3">
      <c r="A14" s="274">
        <v>41</v>
      </c>
      <c r="B14" s="274">
        <v>41</v>
      </c>
      <c r="C14" s="274" t="s">
        <v>331</v>
      </c>
      <c r="D14" s="274" t="s">
        <v>331</v>
      </c>
      <c r="E14" s="274" t="s">
        <v>332</v>
      </c>
      <c r="F14" s="274">
        <v>0</v>
      </c>
      <c r="G14" s="274">
        <v>1563193</v>
      </c>
      <c r="H14" s="274">
        <v>0</v>
      </c>
      <c r="I14" s="274">
        <v>1095067</v>
      </c>
      <c r="J14" s="274">
        <v>0</v>
      </c>
      <c r="K14" s="274">
        <v>0</v>
      </c>
      <c r="L14" s="274">
        <v>0</v>
      </c>
      <c r="M14" s="274">
        <v>0</v>
      </c>
      <c r="N14" s="274">
        <v>698062</v>
      </c>
      <c r="O14" s="274">
        <v>287175</v>
      </c>
      <c r="P14" s="274">
        <v>4925372</v>
      </c>
      <c r="Q14" s="274">
        <v>14600000</v>
      </c>
      <c r="R14" s="274">
        <v>1248564</v>
      </c>
      <c r="S14" s="274">
        <v>1202757</v>
      </c>
      <c r="T14" s="274">
        <v>210159</v>
      </c>
      <c r="U14" s="274">
        <v>2527126</v>
      </c>
      <c r="V14" s="274">
        <v>0</v>
      </c>
    </row>
    <row r="15" spans="1:22" x14ac:dyDescent="0.3">
      <c r="A15" s="274">
        <v>104</v>
      </c>
      <c r="B15" s="274">
        <v>104</v>
      </c>
      <c r="C15" s="274" t="s">
        <v>368</v>
      </c>
      <c r="D15" s="274" t="s">
        <v>368</v>
      </c>
      <c r="E15" s="274" t="s">
        <v>369</v>
      </c>
      <c r="F15" s="274">
        <v>0</v>
      </c>
      <c r="G15" s="274">
        <v>58170464</v>
      </c>
      <c r="H15" s="274">
        <v>0</v>
      </c>
      <c r="I15" s="274">
        <v>11146060</v>
      </c>
      <c r="J15" s="274">
        <v>0</v>
      </c>
      <c r="K15" s="274">
        <v>0</v>
      </c>
      <c r="L15" s="274">
        <v>0</v>
      </c>
      <c r="M15" s="274">
        <v>0</v>
      </c>
      <c r="N15" s="274">
        <v>4045072</v>
      </c>
      <c r="O15" s="274">
        <v>1879132</v>
      </c>
      <c r="P15" s="274">
        <v>4063412</v>
      </c>
      <c r="Q15" s="274">
        <v>66535000</v>
      </c>
      <c r="R15" s="274">
        <v>3386747</v>
      </c>
      <c r="S15" s="274">
        <v>706948</v>
      </c>
      <c r="T15" s="274">
        <v>1739413</v>
      </c>
      <c r="U15" s="274">
        <v>14426283</v>
      </c>
      <c r="V15" s="274">
        <v>0</v>
      </c>
    </row>
    <row r="16" spans="1:22" x14ac:dyDescent="0.3">
      <c r="A16" s="274">
        <v>107</v>
      </c>
      <c r="B16" s="274">
        <v>107</v>
      </c>
      <c r="C16" s="274" t="s">
        <v>620</v>
      </c>
      <c r="D16" s="274" t="s">
        <v>1723</v>
      </c>
      <c r="E16" s="274" t="s">
        <v>370</v>
      </c>
      <c r="F16" s="274">
        <v>1404</v>
      </c>
      <c r="G16" s="274">
        <v>426649653</v>
      </c>
      <c r="H16" s="274">
        <v>0</v>
      </c>
      <c r="I16" s="274">
        <v>315840974</v>
      </c>
      <c r="J16" s="274">
        <v>0</v>
      </c>
      <c r="K16" s="274">
        <v>0</v>
      </c>
      <c r="L16" s="274">
        <v>0</v>
      </c>
      <c r="M16" s="274">
        <v>0</v>
      </c>
      <c r="N16" s="274">
        <v>250955628</v>
      </c>
      <c r="O16" s="274">
        <v>40066719</v>
      </c>
      <c r="P16" s="274">
        <v>237271584</v>
      </c>
      <c r="Q16" s="274">
        <v>1164389000</v>
      </c>
      <c r="R16" s="274">
        <v>99173838</v>
      </c>
      <c r="S16" s="274">
        <v>148578726</v>
      </c>
      <c r="T16" s="274">
        <v>64954823</v>
      </c>
      <c r="U16" s="274">
        <v>205081961</v>
      </c>
      <c r="V16" s="274">
        <v>0</v>
      </c>
    </row>
    <row r="17" spans="1:22" x14ac:dyDescent="0.3">
      <c r="A17" s="274">
        <v>108</v>
      </c>
      <c r="B17" s="274">
        <v>108</v>
      </c>
      <c r="C17" s="274" t="s">
        <v>621</v>
      </c>
      <c r="D17" s="274" t="s">
        <v>1724</v>
      </c>
      <c r="E17" s="274" t="s">
        <v>371</v>
      </c>
      <c r="F17" s="274">
        <v>26453</v>
      </c>
      <c r="G17" s="274">
        <v>421221515</v>
      </c>
      <c r="H17" s="274">
        <v>0</v>
      </c>
      <c r="I17" s="274">
        <v>293303614</v>
      </c>
      <c r="J17" s="274">
        <v>0</v>
      </c>
      <c r="K17" s="274">
        <v>0</v>
      </c>
      <c r="L17" s="274">
        <v>0</v>
      </c>
      <c r="M17" s="274">
        <v>0</v>
      </c>
      <c r="N17" s="274">
        <v>243139128</v>
      </c>
      <c r="O17" s="274">
        <v>42711331</v>
      </c>
      <c r="P17" s="274">
        <v>244189897</v>
      </c>
      <c r="Q17" s="274">
        <v>1053552000</v>
      </c>
      <c r="R17" s="274">
        <v>97048972</v>
      </c>
      <c r="S17" s="274">
        <v>150811218</v>
      </c>
      <c r="T17" s="274">
        <v>64422445</v>
      </c>
      <c r="U17" s="274">
        <v>205039097</v>
      </c>
      <c r="V17" s="274">
        <v>0</v>
      </c>
    </row>
    <row r="18" spans="1:22" x14ac:dyDescent="0.3">
      <c r="A18" s="274">
        <v>194</v>
      </c>
      <c r="B18" s="274">
        <v>194</v>
      </c>
      <c r="C18" s="274" t="s">
        <v>385</v>
      </c>
      <c r="D18" s="274" t="s">
        <v>385</v>
      </c>
      <c r="E18" s="274" t="s">
        <v>386</v>
      </c>
      <c r="F18" s="274">
        <v>0</v>
      </c>
      <c r="G18" s="274">
        <v>0</v>
      </c>
      <c r="H18" s="274">
        <v>0</v>
      </c>
      <c r="I18" s="274">
        <v>825500</v>
      </c>
      <c r="J18" s="274">
        <v>0</v>
      </c>
      <c r="K18" s="274">
        <v>0</v>
      </c>
      <c r="L18" s="274">
        <v>0</v>
      </c>
      <c r="M18" s="274">
        <v>0</v>
      </c>
      <c r="N18" s="274">
        <v>0</v>
      </c>
      <c r="O18" s="274">
        <v>302511</v>
      </c>
      <c r="P18" s="274">
        <v>0</v>
      </c>
      <c r="Q18" s="274">
        <v>838000</v>
      </c>
      <c r="R18" s="274">
        <v>0</v>
      </c>
      <c r="S18" s="274">
        <v>308865</v>
      </c>
      <c r="T18" s="274">
        <v>0</v>
      </c>
      <c r="U18" s="274">
        <v>895792</v>
      </c>
      <c r="V18" s="274">
        <v>0</v>
      </c>
    </row>
    <row r="19" spans="1:22" x14ac:dyDescent="0.3">
      <c r="A19" s="274">
        <v>294</v>
      </c>
      <c r="B19" s="274">
        <v>294</v>
      </c>
      <c r="C19" s="274" t="s">
        <v>844</v>
      </c>
      <c r="D19" s="274" t="s">
        <v>1725</v>
      </c>
      <c r="E19" s="274" t="s">
        <v>397</v>
      </c>
      <c r="F19" s="274">
        <v>-25049</v>
      </c>
      <c r="G19" s="274">
        <v>13624204</v>
      </c>
      <c r="H19" s="274">
        <v>0</v>
      </c>
      <c r="I19" s="274">
        <v>25748830</v>
      </c>
      <c r="J19" s="274">
        <v>0</v>
      </c>
      <c r="K19" s="274">
        <v>0</v>
      </c>
      <c r="L19" s="274">
        <v>0</v>
      </c>
      <c r="M19" s="274">
        <v>0</v>
      </c>
      <c r="N19" s="274">
        <v>8723027</v>
      </c>
      <c r="O19" s="274">
        <v>-110747</v>
      </c>
      <c r="P19" s="274">
        <v>1807550</v>
      </c>
      <c r="Q19" s="274">
        <v>107531000</v>
      </c>
      <c r="R19" s="274">
        <v>2885033</v>
      </c>
      <c r="S19" s="274">
        <v>-436416</v>
      </c>
      <c r="T19" s="274">
        <v>547510</v>
      </c>
      <c r="U19" s="274">
        <v>-4905748</v>
      </c>
      <c r="V19" s="274">
        <v>0</v>
      </c>
    </row>
    <row r="20" spans="1:22" x14ac:dyDescent="0.3">
      <c r="A20" s="274">
        <v>502</v>
      </c>
      <c r="B20" s="274">
        <v>502</v>
      </c>
      <c r="C20" s="274" t="s">
        <v>186</v>
      </c>
      <c r="D20" s="274" t="s">
        <v>186</v>
      </c>
      <c r="E20" s="274" t="s">
        <v>469</v>
      </c>
      <c r="F20" s="274">
        <v>698994</v>
      </c>
      <c r="G20" s="274">
        <v>394213286</v>
      </c>
      <c r="H20" s="274">
        <v>0</v>
      </c>
      <c r="I20" s="274">
        <v>130421785</v>
      </c>
      <c r="J20" s="274">
        <v>0</v>
      </c>
      <c r="K20" s="274">
        <v>0</v>
      </c>
      <c r="L20" s="274">
        <v>0</v>
      </c>
      <c r="M20" s="274">
        <v>0</v>
      </c>
      <c r="N20" s="274">
        <v>37961561</v>
      </c>
      <c r="O20" s="274">
        <v>12292185</v>
      </c>
      <c r="P20" s="274">
        <v>133650607</v>
      </c>
      <c r="Q20" s="274">
        <v>800521000</v>
      </c>
      <c r="R20" s="274">
        <v>6324418</v>
      </c>
      <c r="S20" s="274">
        <v>4836156</v>
      </c>
      <c r="T20" s="274">
        <v>5543718</v>
      </c>
      <c r="U20" s="274">
        <v>88364429</v>
      </c>
      <c r="V20" s="274">
        <v>0</v>
      </c>
    </row>
    <row r="21" spans="1:22" x14ac:dyDescent="0.3">
      <c r="A21" s="274">
        <v>503</v>
      </c>
      <c r="B21" s="274">
        <v>503</v>
      </c>
      <c r="C21" s="274" t="s">
        <v>187</v>
      </c>
      <c r="D21" s="274" t="s">
        <v>187</v>
      </c>
      <c r="E21" s="274" t="s">
        <v>470</v>
      </c>
      <c r="F21" s="274">
        <v>0</v>
      </c>
      <c r="G21" s="274">
        <v>0</v>
      </c>
      <c r="H21" s="274">
        <v>0</v>
      </c>
      <c r="I21" s="274">
        <v>15452027</v>
      </c>
      <c r="J21" s="274">
        <v>0</v>
      </c>
      <c r="K21" s="274">
        <v>0</v>
      </c>
      <c r="L21" s="274">
        <v>0</v>
      </c>
      <c r="M21" s="274">
        <v>0</v>
      </c>
      <c r="N21" s="274">
        <v>0</v>
      </c>
      <c r="O21" s="274">
        <v>378296</v>
      </c>
      <c r="P21" s="274">
        <v>114687025</v>
      </c>
      <c r="Q21" s="274">
        <v>53280000</v>
      </c>
      <c r="R21" s="274">
        <v>64161694</v>
      </c>
      <c r="S21" s="274">
        <v>13873248</v>
      </c>
      <c r="T21" s="274">
        <v>10352352</v>
      </c>
      <c r="U21" s="274">
        <v>4345432</v>
      </c>
      <c r="V21" s="274">
        <v>0</v>
      </c>
    </row>
    <row r="22" spans="1:22" x14ac:dyDescent="0.3">
      <c r="A22" s="274">
        <v>534</v>
      </c>
      <c r="B22" s="274">
        <v>534</v>
      </c>
      <c r="C22" s="274" t="s">
        <v>275</v>
      </c>
      <c r="D22" s="274" t="s">
        <v>275</v>
      </c>
      <c r="E22" s="274" t="s">
        <v>501</v>
      </c>
      <c r="F22" s="274">
        <v>0</v>
      </c>
      <c r="G22" s="274">
        <v>17692850</v>
      </c>
      <c r="H22" s="274">
        <v>0</v>
      </c>
      <c r="I22" s="274">
        <v>6241709</v>
      </c>
      <c r="J22" s="274">
        <v>0</v>
      </c>
      <c r="K22" s="274">
        <v>0</v>
      </c>
      <c r="L22" s="274">
        <v>0</v>
      </c>
      <c r="M22" s="274">
        <v>0</v>
      </c>
      <c r="N22" s="274">
        <v>13537907</v>
      </c>
      <c r="O22" s="274">
        <v>1573564</v>
      </c>
      <c r="P22" s="274">
        <v>7232188</v>
      </c>
      <c r="Q22" s="274">
        <v>50495000</v>
      </c>
      <c r="R22" s="274">
        <v>3684839</v>
      </c>
      <c r="S22" s="274">
        <v>6569113</v>
      </c>
      <c r="T22" s="274">
        <v>2204506</v>
      </c>
      <c r="U22" s="274">
        <v>7376697</v>
      </c>
      <c r="V22" s="274">
        <v>0</v>
      </c>
    </row>
    <row r="23" spans="1:22" ht="129.6" x14ac:dyDescent="0.3">
      <c r="A23" s="274">
        <v>547</v>
      </c>
      <c r="B23" s="274">
        <v>547</v>
      </c>
      <c r="C23" s="1004" t="s">
        <v>541</v>
      </c>
      <c r="D23" s="1004" t="s">
        <v>541</v>
      </c>
      <c r="E23" s="274" t="s">
        <v>514</v>
      </c>
      <c r="F23" s="274">
        <v>2</v>
      </c>
      <c r="G23" s="274">
        <v>3</v>
      </c>
      <c r="H23" s="274">
        <v>0</v>
      </c>
      <c r="I23" s="274">
        <v>2</v>
      </c>
      <c r="J23" s="274">
        <v>0</v>
      </c>
      <c r="K23" s="274">
        <v>0</v>
      </c>
      <c r="L23" s="274">
        <v>0</v>
      </c>
      <c r="M23" s="274">
        <v>0</v>
      </c>
      <c r="N23" s="274">
        <v>2</v>
      </c>
      <c r="O23" s="274">
        <v>2</v>
      </c>
      <c r="P23" s="274">
        <v>3</v>
      </c>
      <c r="Q23" s="274">
        <v>2</v>
      </c>
      <c r="R23" s="274">
        <v>2</v>
      </c>
      <c r="S23" s="274">
        <v>1</v>
      </c>
      <c r="T23" s="274">
        <v>2</v>
      </c>
      <c r="U23" s="274">
        <v>0</v>
      </c>
      <c r="V23" s="274">
        <v>0</v>
      </c>
    </row>
    <row r="24" spans="1:22" x14ac:dyDescent="0.3">
      <c r="A24" s="274">
        <v>554</v>
      </c>
      <c r="B24" s="274">
        <v>554</v>
      </c>
      <c r="C24" s="274" t="s">
        <v>577</v>
      </c>
      <c r="D24" s="274" t="s">
        <v>577</v>
      </c>
      <c r="E24" s="274" t="s">
        <v>578</v>
      </c>
      <c r="F24" s="274">
        <v>0</v>
      </c>
      <c r="G24" s="274">
        <v>0</v>
      </c>
      <c r="H24" s="274">
        <v>0</v>
      </c>
      <c r="I24" s="274">
        <v>960260</v>
      </c>
      <c r="J24" s="274">
        <v>0</v>
      </c>
      <c r="K24" s="274">
        <v>0</v>
      </c>
      <c r="L24" s="274">
        <v>0</v>
      </c>
      <c r="M24" s="274">
        <v>0</v>
      </c>
      <c r="N24" s="274">
        <v>0</v>
      </c>
      <c r="O24" s="274">
        <v>0</v>
      </c>
      <c r="P24" s="274">
        <v>0</v>
      </c>
      <c r="Q24" s="274">
        <v>1929891</v>
      </c>
      <c r="R24" s="274">
        <v>0</v>
      </c>
      <c r="S24" s="274">
        <v>38752673</v>
      </c>
      <c r="T24" s="274">
        <v>0</v>
      </c>
      <c r="U24" s="274">
        <v>0</v>
      </c>
      <c r="V24" s="274">
        <v>0</v>
      </c>
    </row>
    <row r="25" spans="1:22" x14ac:dyDescent="0.3">
      <c r="A25" s="274">
        <v>555</v>
      </c>
      <c r="B25" s="274">
        <v>555</v>
      </c>
      <c r="C25" s="274" t="s">
        <v>579</v>
      </c>
      <c r="D25" s="274" t="s">
        <v>579</v>
      </c>
      <c r="E25" s="274" t="s">
        <v>580</v>
      </c>
      <c r="F25" s="274">
        <v>0</v>
      </c>
      <c r="G25" s="274">
        <v>0</v>
      </c>
      <c r="H25" s="274">
        <v>0</v>
      </c>
      <c r="I25" s="274">
        <v>616952</v>
      </c>
      <c r="J25" s="274">
        <v>0</v>
      </c>
      <c r="K25" s="274">
        <v>0</v>
      </c>
      <c r="L25" s="274">
        <v>0</v>
      </c>
      <c r="M25" s="274">
        <v>0</v>
      </c>
      <c r="N25" s="274">
        <v>0</v>
      </c>
      <c r="O25" s="274">
        <v>0</v>
      </c>
      <c r="P25" s="274">
        <v>0</v>
      </c>
      <c r="Q25" s="274">
        <v>406844</v>
      </c>
      <c r="R25" s="274">
        <v>0</v>
      </c>
      <c r="S25" s="274">
        <v>38752673</v>
      </c>
      <c r="T25" s="274">
        <v>0</v>
      </c>
      <c r="U25" s="274">
        <v>0</v>
      </c>
      <c r="V25" s="274">
        <v>0</v>
      </c>
    </row>
    <row r="26" spans="1:22" x14ac:dyDescent="0.3">
      <c r="A26" s="274">
        <v>556</v>
      </c>
      <c r="B26" s="274">
        <v>556</v>
      </c>
      <c r="C26" s="274" t="s">
        <v>581</v>
      </c>
      <c r="D26" s="274" t="s">
        <v>581</v>
      </c>
      <c r="E26" s="274" t="s">
        <v>582</v>
      </c>
      <c r="F26" s="274">
        <v>0</v>
      </c>
      <c r="G26" s="274">
        <v>0</v>
      </c>
      <c r="H26" s="274">
        <v>0</v>
      </c>
      <c r="I26" s="274">
        <v>0</v>
      </c>
      <c r="J26" s="274">
        <v>0</v>
      </c>
      <c r="K26" s="274">
        <v>0</v>
      </c>
      <c r="L26" s="274">
        <v>0</v>
      </c>
      <c r="M26" s="274">
        <v>0</v>
      </c>
      <c r="N26" s="274">
        <v>0</v>
      </c>
      <c r="O26" s="274">
        <v>0</v>
      </c>
      <c r="P26" s="274">
        <v>0</v>
      </c>
      <c r="Q26" s="274">
        <v>3788537</v>
      </c>
      <c r="R26" s="274">
        <v>0</v>
      </c>
      <c r="S26" s="274">
        <v>0</v>
      </c>
      <c r="T26" s="274">
        <v>0</v>
      </c>
      <c r="U26" s="274">
        <v>0</v>
      </c>
      <c r="V26" s="274">
        <v>0</v>
      </c>
    </row>
    <row r="27" spans="1:22" x14ac:dyDescent="0.3">
      <c r="A27" s="274">
        <v>557</v>
      </c>
      <c r="B27" s="274">
        <v>557</v>
      </c>
      <c r="C27" s="274" t="s">
        <v>583</v>
      </c>
      <c r="D27" s="274" t="s">
        <v>583</v>
      </c>
      <c r="E27" s="274" t="s">
        <v>584</v>
      </c>
      <c r="F27" s="274">
        <v>0</v>
      </c>
      <c r="G27" s="274">
        <v>0</v>
      </c>
      <c r="H27" s="274">
        <v>0</v>
      </c>
      <c r="I27" s="274">
        <v>0</v>
      </c>
      <c r="J27" s="274">
        <v>0</v>
      </c>
      <c r="K27" s="274">
        <v>0</v>
      </c>
      <c r="L27" s="274">
        <v>0</v>
      </c>
      <c r="M27" s="274">
        <v>0</v>
      </c>
      <c r="N27" s="274">
        <v>0</v>
      </c>
      <c r="O27" s="274">
        <v>0</v>
      </c>
      <c r="P27" s="274">
        <v>0</v>
      </c>
      <c r="Q27" s="274">
        <v>3270890</v>
      </c>
      <c r="R27" s="274">
        <v>0</v>
      </c>
      <c r="S27" s="274">
        <v>0</v>
      </c>
      <c r="T27" s="274">
        <v>0</v>
      </c>
      <c r="U27" s="274">
        <v>0</v>
      </c>
      <c r="V27" s="274">
        <v>0</v>
      </c>
    </row>
    <row r="28" spans="1:22" x14ac:dyDescent="0.3">
      <c r="A28" s="274">
        <v>577</v>
      </c>
      <c r="B28" s="274">
        <v>577</v>
      </c>
      <c r="C28" s="274" t="s">
        <v>1726</v>
      </c>
      <c r="D28" s="274" t="s">
        <v>624</v>
      </c>
      <c r="E28" s="274" t="s">
        <v>625</v>
      </c>
      <c r="F28" s="274">
        <v>0</v>
      </c>
      <c r="G28" s="274">
        <v>0</v>
      </c>
      <c r="H28" s="274">
        <v>0</v>
      </c>
      <c r="I28" s="274">
        <v>1</v>
      </c>
      <c r="J28" s="274">
        <v>0</v>
      </c>
      <c r="K28" s="274">
        <v>0</v>
      </c>
      <c r="L28" s="274">
        <v>0</v>
      </c>
      <c r="M28" s="274">
        <v>0</v>
      </c>
      <c r="N28" s="274">
        <v>0</v>
      </c>
      <c r="O28" s="274">
        <v>0</v>
      </c>
      <c r="P28" s="274">
        <v>1</v>
      </c>
      <c r="Q28" s="274">
        <v>1</v>
      </c>
      <c r="R28" s="274">
        <v>1</v>
      </c>
      <c r="S28" s="274">
        <v>0</v>
      </c>
      <c r="T28" s="274">
        <v>0</v>
      </c>
      <c r="U28" s="274">
        <v>0</v>
      </c>
      <c r="V28" s="274">
        <v>0</v>
      </c>
    </row>
    <row r="29" spans="1:22" x14ac:dyDescent="0.3">
      <c r="A29" s="274">
        <v>591</v>
      </c>
      <c r="B29" s="274">
        <v>591</v>
      </c>
      <c r="C29" s="274" t="s">
        <v>609</v>
      </c>
      <c r="D29" s="274" t="s">
        <v>609</v>
      </c>
      <c r="E29" s="274" t="s">
        <v>1727</v>
      </c>
      <c r="F29" s="274">
        <v>26453</v>
      </c>
      <c r="G29" s="274">
        <v>421221505</v>
      </c>
      <c r="H29" s="274">
        <v>0</v>
      </c>
      <c r="I29" s="274">
        <v>294398681</v>
      </c>
      <c r="J29" s="274">
        <v>0</v>
      </c>
      <c r="K29" s="274">
        <v>0</v>
      </c>
      <c r="L29" s="274">
        <v>0</v>
      </c>
      <c r="M29" s="274">
        <v>0</v>
      </c>
      <c r="N29" s="274">
        <v>244227206</v>
      </c>
      <c r="O29" s="274">
        <v>42711331</v>
      </c>
      <c r="P29" s="274">
        <v>244189897</v>
      </c>
      <c r="Q29" s="274">
        <v>1073377000</v>
      </c>
      <c r="R29" s="274">
        <v>98297536</v>
      </c>
      <c r="S29" s="274">
        <v>150811218</v>
      </c>
      <c r="T29" s="274">
        <v>64697763</v>
      </c>
      <c r="U29" s="274">
        <v>205039097</v>
      </c>
      <c r="V29" s="274">
        <v>0</v>
      </c>
    </row>
    <row r="30" spans="1:22" x14ac:dyDescent="0.3">
      <c r="A30" s="274">
        <v>592</v>
      </c>
      <c r="B30" s="274">
        <v>592</v>
      </c>
      <c r="C30" s="274" t="s">
        <v>610</v>
      </c>
      <c r="D30" s="274" t="s">
        <v>610</v>
      </c>
      <c r="E30" s="274" t="s">
        <v>1728</v>
      </c>
      <c r="F30" s="274">
        <v>-25049</v>
      </c>
      <c r="G30" s="274">
        <v>13624204</v>
      </c>
      <c r="H30" s="274">
        <v>0</v>
      </c>
      <c r="I30" s="274">
        <v>25748830</v>
      </c>
      <c r="J30" s="274">
        <v>0</v>
      </c>
      <c r="K30" s="274">
        <v>0</v>
      </c>
      <c r="L30" s="274">
        <v>0</v>
      </c>
      <c r="M30" s="274">
        <v>0</v>
      </c>
      <c r="N30" s="274">
        <v>8723027</v>
      </c>
      <c r="O30" s="274">
        <v>-110747</v>
      </c>
      <c r="P30" s="274">
        <v>1807550</v>
      </c>
      <c r="Q30" s="274">
        <v>107531000</v>
      </c>
      <c r="R30" s="274">
        <v>2885033</v>
      </c>
      <c r="S30" s="274">
        <v>-436416</v>
      </c>
      <c r="T30" s="274">
        <v>547510</v>
      </c>
      <c r="U30" s="274">
        <v>-4905748</v>
      </c>
      <c r="V30" s="274">
        <v>0</v>
      </c>
    </row>
    <row r="31" spans="1:22" ht="409.6" x14ac:dyDescent="0.3">
      <c r="A31" s="274">
        <v>603</v>
      </c>
      <c r="B31" s="274">
        <v>603</v>
      </c>
      <c r="C31" s="1004" t="s">
        <v>670</v>
      </c>
      <c r="D31" s="1004" t="s">
        <v>670</v>
      </c>
      <c r="E31" s="274" t="s">
        <v>1729</v>
      </c>
      <c r="F31" s="274">
        <v>1</v>
      </c>
      <c r="G31" s="274">
        <v>1</v>
      </c>
      <c r="H31" s="274">
        <v>0</v>
      </c>
      <c r="I31" s="274">
        <v>1</v>
      </c>
      <c r="J31" s="274">
        <v>0</v>
      </c>
      <c r="K31" s="274">
        <v>0</v>
      </c>
      <c r="L31" s="274">
        <v>0</v>
      </c>
      <c r="M31" s="274">
        <v>0</v>
      </c>
      <c r="N31" s="274">
        <v>1</v>
      </c>
      <c r="O31" s="274">
        <v>1</v>
      </c>
      <c r="P31" s="274">
        <v>1</v>
      </c>
      <c r="Q31" s="274">
        <v>1</v>
      </c>
      <c r="R31" s="274">
        <v>1</v>
      </c>
      <c r="S31" s="274">
        <v>2</v>
      </c>
      <c r="T31" s="274">
        <v>1</v>
      </c>
      <c r="U31" s="274">
        <v>1</v>
      </c>
      <c r="V31" s="274">
        <v>0</v>
      </c>
    </row>
    <row r="32" spans="1:22" x14ac:dyDescent="0.3">
      <c r="A32" s="274">
        <v>605</v>
      </c>
      <c r="B32" s="274">
        <v>605</v>
      </c>
      <c r="C32" s="274" t="s">
        <v>673</v>
      </c>
      <c r="D32" s="274" t="s">
        <v>673</v>
      </c>
      <c r="E32" s="274" t="s">
        <v>1730</v>
      </c>
      <c r="F32" s="274">
        <v>1</v>
      </c>
      <c r="G32" s="274">
        <v>1</v>
      </c>
      <c r="H32" s="274">
        <v>0</v>
      </c>
      <c r="I32" s="274">
        <v>1</v>
      </c>
      <c r="J32" s="274">
        <v>0</v>
      </c>
      <c r="K32" s="274">
        <v>0</v>
      </c>
      <c r="L32" s="274">
        <v>0</v>
      </c>
      <c r="M32" s="274">
        <v>0</v>
      </c>
      <c r="N32" s="274">
        <v>1</v>
      </c>
      <c r="O32" s="274">
        <v>1</v>
      </c>
      <c r="P32" s="274">
        <v>1</v>
      </c>
      <c r="Q32" s="274">
        <v>1</v>
      </c>
      <c r="R32" s="274">
        <v>1</v>
      </c>
      <c r="S32" s="274">
        <v>1</v>
      </c>
      <c r="T32" s="274">
        <v>1</v>
      </c>
      <c r="U32" s="274">
        <v>1</v>
      </c>
      <c r="V32" s="274">
        <v>0</v>
      </c>
    </row>
    <row r="33" spans="1:22" x14ac:dyDescent="0.3">
      <c r="A33" s="274">
        <v>606</v>
      </c>
      <c r="B33" s="274">
        <v>606</v>
      </c>
      <c r="C33" s="274" t="s">
        <v>688</v>
      </c>
      <c r="D33" s="274" t="s">
        <v>688</v>
      </c>
      <c r="E33" s="274" t="s">
        <v>1731</v>
      </c>
      <c r="F33" s="274">
        <v>0</v>
      </c>
      <c r="G33" s="274">
        <v>0</v>
      </c>
      <c r="H33" s="274">
        <v>0</v>
      </c>
      <c r="I33" s="274">
        <v>1</v>
      </c>
      <c r="J33" s="274">
        <v>0</v>
      </c>
      <c r="K33" s="274">
        <v>0</v>
      </c>
      <c r="L33" s="274">
        <v>0</v>
      </c>
      <c r="M33" s="274">
        <v>0</v>
      </c>
      <c r="N33" s="274">
        <v>0</v>
      </c>
      <c r="O33" s="274">
        <v>0</v>
      </c>
      <c r="P33" s="274">
        <v>0</v>
      </c>
      <c r="Q33" s="274">
        <v>1</v>
      </c>
      <c r="R33" s="274">
        <v>0</v>
      </c>
      <c r="S33" s="274">
        <v>1</v>
      </c>
      <c r="T33" s="274">
        <v>0</v>
      </c>
      <c r="U33" s="274">
        <v>0</v>
      </c>
      <c r="V33" s="274">
        <v>0</v>
      </c>
    </row>
    <row r="34" spans="1:22" x14ac:dyDescent="0.3">
      <c r="A34" s="274">
        <v>607</v>
      </c>
      <c r="B34" s="274">
        <v>607</v>
      </c>
      <c r="C34" s="274" t="s">
        <v>663</v>
      </c>
      <c r="D34" s="274" t="s">
        <v>663</v>
      </c>
      <c r="E34" s="274" t="s">
        <v>1732</v>
      </c>
      <c r="F34" s="274">
        <v>0</v>
      </c>
      <c r="G34" s="274">
        <v>5992320</v>
      </c>
      <c r="H34" s="274">
        <v>0</v>
      </c>
      <c r="I34" s="274">
        <v>0</v>
      </c>
      <c r="J34" s="274">
        <v>0</v>
      </c>
      <c r="K34" s="274">
        <v>0</v>
      </c>
      <c r="L34" s="274">
        <v>0</v>
      </c>
      <c r="M34" s="274">
        <v>0</v>
      </c>
      <c r="N34" s="274">
        <v>0</v>
      </c>
      <c r="O34" s="274">
        <v>0</v>
      </c>
      <c r="P34" s="274">
        <v>1156141</v>
      </c>
      <c r="Q34" s="274">
        <v>0</v>
      </c>
      <c r="R34" s="274">
        <v>0</v>
      </c>
      <c r="S34" s="274">
        <v>15153534</v>
      </c>
      <c r="T34" s="274">
        <v>0</v>
      </c>
      <c r="U34" s="274">
        <v>0</v>
      </c>
      <c r="V34" s="274">
        <v>0</v>
      </c>
    </row>
    <row r="35" spans="1:22" x14ac:dyDescent="0.3">
      <c r="A35" s="274">
        <v>608</v>
      </c>
      <c r="B35" s="274">
        <v>608</v>
      </c>
      <c r="C35" s="274" t="s">
        <v>664</v>
      </c>
      <c r="D35" s="274" t="s">
        <v>664</v>
      </c>
      <c r="E35" s="274" t="s">
        <v>1733</v>
      </c>
      <c r="F35" s="274">
        <v>0</v>
      </c>
      <c r="G35" s="274">
        <v>6707794</v>
      </c>
      <c r="H35" s="274">
        <v>0</v>
      </c>
      <c r="I35" s="274">
        <v>0</v>
      </c>
      <c r="J35" s="274">
        <v>0</v>
      </c>
      <c r="K35" s="274">
        <v>0</v>
      </c>
      <c r="L35" s="274">
        <v>0</v>
      </c>
      <c r="M35" s="274">
        <v>0</v>
      </c>
      <c r="N35" s="274">
        <v>0</v>
      </c>
      <c r="O35" s="274">
        <v>0</v>
      </c>
      <c r="P35" s="274">
        <v>1813608</v>
      </c>
      <c r="Q35" s="274">
        <v>0</v>
      </c>
      <c r="R35" s="274">
        <v>0</v>
      </c>
      <c r="S35" s="274">
        <v>0</v>
      </c>
      <c r="T35" s="274">
        <v>0</v>
      </c>
      <c r="U35" s="274">
        <v>0</v>
      </c>
      <c r="V35" s="274">
        <v>0</v>
      </c>
    </row>
    <row r="36" spans="1:22" x14ac:dyDescent="0.3">
      <c r="A36" s="274">
        <v>609</v>
      </c>
      <c r="B36" s="274">
        <v>609</v>
      </c>
      <c r="C36" s="274" t="s">
        <v>682</v>
      </c>
      <c r="D36" s="274" t="s">
        <v>682</v>
      </c>
      <c r="E36" s="274" t="s">
        <v>1734</v>
      </c>
      <c r="F36" s="274">
        <v>0</v>
      </c>
      <c r="G36" s="274">
        <v>111.9</v>
      </c>
      <c r="H36" s="274">
        <v>0</v>
      </c>
      <c r="I36" s="274">
        <v>0</v>
      </c>
      <c r="J36" s="274">
        <v>0</v>
      </c>
      <c r="K36" s="274">
        <v>0</v>
      </c>
      <c r="L36" s="274">
        <v>0</v>
      </c>
      <c r="M36" s="274">
        <v>0</v>
      </c>
      <c r="N36" s="274">
        <v>0</v>
      </c>
      <c r="O36" s="274">
        <v>0</v>
      </c>
      <c r="P36" s="274">
        <v>156.80000000000001</v>
      </c>
      <c r="Q36" s="274">
        <v>0</v>
      </c>
      <c r="R36" s="274">
        <v>0</v>
      </c>
      <c r="S36" s="274">
        <v>0</v>
      </c>
      <c r="T36" s="274">
        <v>0</v>
      </c>
      <c r="U36" s="274">
        <v>0</v>
      </c>
      <c r="V36" s="274">
        <v>0</v>
      </c>
    </row>
    <row r="37" spans="1:22" x14ac:dyDescent="0.3">
      <c r="A37" s="274">
        <v>610</v>
      </c>
      <c r="B37" s="274">
        <v>610</v>
      </c>
      <c r="C37" s="274" t="s">
        <v>665</v>
      </c>
      <c r="D37" s="274" t="s">
        <v>665</v>
      </c>
      <c r="E37" s="274" t="s">
        <v>1735</v>
      </c>
      <c r="F37" s="274">
        <v>0</v>
      </c>
      <c r="G37" s="274">
        <v>0</v>
      </c>
      <c r="H37" s="274">
        <v>0</v>
      </c>
      <c r="I37" s="274">
        <v>0</v>
      </c>
      <c r="J37" s="274">
        <v>0</v>
      </c>
      <c r="K37" s="274">
        <v>0</v>
      </c>
      <c r="L37" s="274">
        <v>0</v>
      </c>
      <c r="M37" s="274">
        <v>0</v>
      </c>
      <c r="N37" s="274">
        <v>0</v>
      </c>
      <c r="O37" s="274">
        <v>0</v>
      </c>
      <c r="P37" s="274">
        <v>0</v>
      </c>
      <c r="Q37" s="274">
        <v>0</v>
      </c>
      <c r="R37" s="274">
        <v>0</v>
      </c>
      <c r="S37" s="274">
        <v>0</v>
      </c>
      <c r="T37" s="274">
        <v>0</v>
      </c>
      <c r="U37" s="274">
        <v>0</v>
      </c>
      <c r="V37" s="274">
        <v>0</v>
      </c>
    </row>
    <row r="38" spans="1:22" x14ac:dyDescent="0.3">
      <c r="A38" s="274">
        <v>611</v>
      </c>
      <c r="B38" s="274">
        <v>611</v>
      </c>
      <c r="C38" s="274" t="s">
        <v>666</v>
      </c>
      <c r="D38" s="274" t="s">
        <v>666</v>
      </c>
      <c r="E38" s="274" t="s">
        <v>1736</v>
      </c>
      <c r="F38" s="274">
        <v>0</v>
      </c>
      <c r="G38" s="274">
        <v>0</v>
      </c>
      <c r="H38" s="274">
        <v>0</v>
      </c>
      <c r="I38" s="274">
        <v>0</v>
      </c>
      <c r="J38" s="274">
        <v>0</v>
      </c>
      <c r="K38" s="274">
        <v>0</v>
      </c>
      <c r="L38" s="274">
        <v>0</v>
      </c>
      <c r="M38" s="274">
        <v>0</v>
      </c>
      <c r="N38" s="274">
        <v>0</v>
      </c>
      <c r="O38" s="274">
        <v>0</v>
      </c>
      <c r="P38" s="274">
        <v>0</v>
      </c>
      <c r="Q38" s="274">
        <v>0</v>
      </c>
      <c r="R38" s="274">
        <v>0</v>
      </c>
      <c r="S38" s="274">
        <v>0</v>
      </c>
      <c r="T38" s="274">
        <v>0</v>
      </c>
      <c r="U38" s="274">
        <v>0</v>
      </c>
      <c r="V38" s="274">
        <v>0</v>
      </c>
    </row>
    <row r="39" spans="1:22" x14ac:dyDescent="0.3">
      <c r="A39" s="274">
        <v>612</v>
      </c>
      <c r="B39" s="274">
        <v>612</v>
      </c>
      <c r="C39" s="274" t="s">
        <v>683</v>
      </c>
      <c r="D39" s="274" t="s">
        <v>683</v>
      </c>
      <c r="E39" s="274" t="s">
        <v>1737</v>
      </c>
      <c r="F39" s="274">
        <v>0</v>
      </c>
      <c r="G39" s="274">
        <v>0</v>
      </c>
      <c r="H39" s="274">
        <v>0</v>
      </c>
      <c r="I39" s="274">
        <v>0</v>
      </c>
      <c r="J39" s="274">
        <v>0</v>
      </c>
      <c r="K39" s="274">
        <v>0</v>
      </c>
      <c r="L39" s="274">
        <v>0</v>
      </c>
      <c r="M39" s="274">
        <v>0</v>
      </c>
      <c r="N39" s="274">
        <v>0</v>
      </c>
      <c r="O39" s="274">
        <v>0</v>
      </c>
      <c r="P39" s="274">
        <v>0</v>
      </c>
      <c r="Q39" s="274">
        <v>0</v>
      </c>
      <c r="R39" s="274">
        <v>0</v>
      </c>
      <c r="S39" s="274">
        <v>0</v>
      </c>
      <c r="T39" s="274">
        <v>0</v>
      </c>
      <c r="U39" s="274">
        <v>0</v>
      </c>
      <c r="V39" s="274">
        <v>0</v>
      </c>
    </row>
    <row r="40" spans="1:22" x14ac:dyDescent="0.3">
      <c r="A40" s="274">
        <v>613</v>
      </c>
      <c r="B40" s="274">
        <v>613</v>
      </c>
      <c r="C40" s="274" t="s">
        <v>674</v>
      </c>
      <c r="D40" s="274" t="s">
        <v>674</v>
      </c>
      <c r="E40" s="274" t="s">
        <v>1738</v>
      </c>
      <c r="F40" s="274">
        <v>0</v>
      </c>
      <c r="G40" s="274">
        <v>0</v>
      </c>
      <c r="H40" s="274">
        <v>0</v>
      </c>
      <c r="I40" s="274">
        <v>0</v>
      </c>
      <c r="J40" s="274">
        <v>0</v>
      </c>
      <c r="K40" s="274">
        <v>0</v>
      </c>
      <c r="L40" s="274">
        <v>0</v>
      </c>
      <c r="M40" s="274">
        <v>0</v>
      </c>
      <c r="N40" s="274">
        <v>0</v>
      </c>
      <c r="O40" s="274">
        <v>0</v>
      </c>
      <c r="P40" s="274">
        <v>0</v>
      </c>
      <c r="Q40" s="274">
        <v>0</v>
      </c>
      <c r="R40" s="274">
        <v>0</v>
      </c>
      <c r="S40" s="274">
        <v>0</v>
      </c>
      <c r="T40" s="274">
        <v>0</v>
      </c>
      <c r="U40" s="274">
        <v>0</v>
      </c>
      <c r="V40" s="274">
        <v>0</v>
      </c>
    </row>
    <row r="41" spans="1:22" x14ac:dyDescent="0.3">
      <c r="A41" s="274">
        <v>614</v>
      </c>
      <c r="B41" s="274">
        <v>614</v>
      </c>
      <c r="C41" s="274" t="s">
        <v>667</v>
      </c>
      <c r="D41" s="274" t="s">
        <v>667</v>
      </c>
      <c r="E41" s="274" t="s">
        <v>1739</v>
      </c>
      <c r="F41" s="274">
        <v>0</v>
      </c>
      <c r="G41" s="274">
        <v>0</v>
      </c>
      <c r="H41" s="274">
        <v>0</v>
      </c>
      <c r="I41" s="274">
        <v>0</v>
      </c>
      <c r="J41" s="274">
        <v>0</v>
      </c>
      <c r="K41" s="274">
        <v>0</v>
      </c>
      <c r="L41" s="274">
        <v>0</v>
      </c>
      <c r="M41" s="274">
        <v>0</v>
      </c>
      <c r="N41" s="274">
        <v>0</v>
      </c>
      <c r="O41" s="274">
        <v>0</v>
      </c>
      <c r="P41" s="274">
        <v>0</v>
      </c>
      <c r="Q41" s="274">
        <v>0</v>
      </c>
      <c r="R41" s="274">
        <v>0</v>
      </c>
      <c r="S41" s="274">
        <v>0</v>
      </c>
      <c r="T41" s="274">
        <v>0</v>
      </c>
      <c r="U41" s="274">
        <v>0</v>
      </c>
      <c r="V41" s="274">
        <v>0</v>
      </c>
    </row>
    <row r="42" spans="1:22" x14ac:dyDescent="0.3">
      <c r="A42" s="274">
        <v>615</v>
      </c>
      <c r="B42" s="274">
        <v>615</v>
      </c>
      <c r="C42" s="274" t="s">
        <v>684</v>
      </c>
      <c r="D42" s="274" t="s">
        <v>684</v>
      </c>
      <c r="E42" s="274" t="s">
        <v>1740</v>
      </c>
      <c r="F42" s="274">
        <v>0</v>
      </c>
      <c r="G42" s="274">
        <v>0</v>
      </c>
      <c r="H42" s="274">
        <v>0</v>
      </c>
      <c r="I42" s="274">
        <v>0</v>
      </c>
      <c r="J42" s="274">
        <v>0</v>
      </c>
      <c r="K42" s="274">
        <v>0</v>
      </c>
      <c r="L42" s="274">
        <v>0</v>
      </c>
      <c r="M42" s="274">
        <v>0</v>
      </c>
      <c r="N42" s="274">
        <v>0</v>
      </c>
      <c r="O42" s="274">
        <v>0</v>
      </c>
      <c r="P42" s="274">
        <v>0</v>
      </c>
      <c r="Q42" s="274">
        <v>0</v>
      </c>
      <c r="R42" s="274">
        <v>0</v>
      </c>
      <c r="S42" s="274">
        <v>0</v>
      </c>
      <c r="T42" s="274">
        <v>0</v>
      </c>
      <c r="U42" s="274">
        <v>0</v>
      </c>
      <c r="V42" s="274">
        <v>0</v>
      </c>
    </row>
    <row r="43" spans="1:22" x14ac:dyDescent="0.3">
      <c r="A43" s="274">
        <v>616</v>
      </c>
      <c r="B43" s="274">
        <v>616</v>
      </c>
      <c r="C43" s="274" t="s">
        <v>668</v>
      </c>
      <c r="D43" s="274" t="s">
        <v>668</v>
      </c>
      <c r="E43" s="274" t="s">
        <v>1741</v>
      </c>
      <c r="F43" s="274">
        <v>0</v>
      </c>
      <c r="G43" s="274">
        <v>0</v>
      </c>
      <c r="H43" s="274">
        <v>0</v>
      </c>
      <c r="I43" s="274">
        <v>0</v>
      </c>
      <c r="J43" s="274">
        <v>0</v>
      </c>
      <c r="K43" s="274">
        <v>0</v>
      </c>
      <c r="L43" s="274">
        <v>0</v>
      </c>
      <c r="M43" s="274">
        <v>0</v>
      </c>
      <c r="N43" s="274">
        <v>0</v>
      </c>
      <c r="O43" s="274">
        <v>0</v>
      </c>
      <c r="P43" s="274">
        <v>0</v>
      </c>
      <c r="Q43" s="274">
        <v>0</v>
      </c>
      <c r="R43" s="274">
        <v>0</v>
      </c>
      <c r="S43" s="274">
        <v>0</v>
      </c>
      <c r="T43" s="274">
        <v>0</v>
      </c>
      <c r="U43" s="274">
        <v>0</v>
      </c>
      <c r="V43" s="274">
        <v>0</v>
      </c>
    </row>
    <row r="44" spans="1:22" x14ac:dyDescent="0.3">
      <c r="A44" s="274">
        <v>617</v>
      </c>
      <c r="B44" s="274">
        <v>617</v>
      </c>
      <c r="C44" s="274" t="s">
        <v>669</v>
      </c>
      <c r="D44" s="274" t="s">
        <v>669</v>
      </c>
      <c r="E44" s="274" t="s">
        <v>1742</v>
      </c>
      <c r="F44" s="274">
        <v>0</v>
      </c>
      <c r="G44" s="274">
        <v>0</v>
      </c>
      <c r="H44" s="274">
        <v>0</v>
      </c>
      <c r="I44" s="274">
        <v>0</v>
      </c>
      <c r="J44" s="274">
        <v>0</v>
      </c>
      <c r="K44" s="274">
        <v>0</v>
      </c>
      <c r="L44" s="274">
        <v>0</v>
      </c>
      <c r="M44" s="274">
        <v>0</v>
      </c>
      <c r="N44" s="274">
        <v>0</v>
      </c>
      <c r="O44" s="274">
        <v>0</v>
      </c>
      <c r="P44" s="274">
        <v>0</v>
      </c>
      <c r="Q44" s="274">
        <v>0</v>
      </c>
      <c r="R44" s="274">
        <v>0</v>
      </c>
      <c r="S44" s="274">
        <v>0</v>
      </c>
      <c r="T44" s="274">
        <v>0</v>
      </c>
      <c r="U44" s="274">
        <v>0</v>
      </c>
      <c r="V44" s="274">
        <v>0</v>
      </c>
    </row>
    <row r="45" spans="1:22" x14ac:dyDescent="0.3">
      <c r="A45" s="274">
        <v>618</v>
      </c>
      <c r="B45" s="274">
        <v>618</v>
      </c>
      <c r="C45" s="274" t="s">
        <v>685</v>
      </c>
      <c r="D45" s="274" t="s">
        <v>685</v>
      </c>
      <c r="E45" s="274" t="s">
        <v>1743</v>
      </c>
      <c r="F45" s="274">
        <v>0</v>
      </c>
      <c r="G45" s="274">
        <v>0</v>
      </c>
      <c r="H45" s="274">
        <v>0</v>
      </c>
      <c r="I45" s="274">
        <v>0</v>
      </c>
      <c r="J45" s="274">
        <v>0</v>
      </c>
      <c r="K45" s="274">
        <v>0</v>
      </c>
      <c r="L45" s="274">
        <v>0</v>
      </c>
      <c r="M45" s="274">
        <v>0</v>
      </c>
      <c r="N45" s="274">
        <v>0</v>
      </c>
      <c r="O45" s="274">
        <v>0</v>
      </c>
      <c r="P45" s="274">
        <v>0</v>
      </c>
      <c r="Q45" s="274">
        <v>0</v>
      </c>
      <c r="R45" s="274">
        <v>0</v>
      </c>
      <c r="S45" s="274">
        <v>0</v>
      </c>
      <c r="T45" s="274">
        <v>0</v>
      </c>
      <c r="U45" s="274">
        <v>0</v>
      </c>
      <c r="V45" s="274">
        <v>0</v>
      </c>
    </row>
    <row r="46" spans="1:22" x14ac:dyDescent="0.3">
      <c r="A46" s="274">
        <v>620</v>
      </c>
      <c r="B46" s="274">
        <v>620</v>
      </c>
      <c r="C46" s="274" t="s">
        <v>678</v>
      </c>
      <c r="D46" s="274" t="s">
        <v>678</v>
      </c>
      <c r="E46" s="274" t="s">
        <v>1744</v>
      </c>
      <c r="F46" s="274">
        <v>2</v>
      </c>
      <c r="G46" s="274">
        <v>2</v>
      </c>
      <c r="H46" s="274">
        <v>0</v>
      </c>
      <c r="I46" s="274">
        <v>2</v>
      </c>
      <c r="J46" s="274">
        <v>0</v>
      </c>
      <c r="K46" s="274">
        <v>0</v>
      </c>
      <c r="L46" s="274">
        <v>0</v>
      </c>
      <c r="M46" s="274">
        <v>0</v>
      </c>
      <c r="N46" s="274">
        <v>0</v>
      </c>
      <c r="O46" s="274">
        <v>2</v>
      </c>
      <c r="P46" s="274">
        <v>1</v>
      </c>
      <c r="Q46" s="274">
        <v>2</v>
      </c>
      <c r="R46" s="274">
        <v>2</v>
      </c>
      <c r="S46" s="274">
        <v>2</v>
      </c>
      <c r="T46" s="274">
        <v>2</v>
      </c>
      <c r="U46" s="274">
        <v>1</v>
      </c>
      <c r="V46" s="274">
        <v>0</v>
      </c>
    </row>
    <row r="47" spans="1:22" x14ac:dyDescent="0.3">
      <c r="A47" s="274">
        <v>621</v>
      </c>
      <c r="B47" s="274">
        <v>621</v>
      </c>
      <c r="C47" s="274" t="s">
        <v>1745</v>
      </c>
      <c r="D47" s="274" t="s">
        <v>1745</v>
      </c>
      <c r="E47" s="274" t="s">
        <v>1746</v>
      </c>
      <c r="F47" s="274">
        <v>0</v>
      </c>
      <c r="G47" s="274">
        <v>0</v>
      </c>
      <c r="H47" s="274">
        <v>0</v>
      </c>
      <c r="I47" s="274">
        <v>0</v>
      </c>
      <c r="J47" s="274">
        <v>0</v>
      </c>
      <c r="K47" s="274">
        <v>0</v>
      </c>
      <c r="L47" s="274">
        <v>0</v>
      </c>
      <c r="M47" s="274">
        <v>0</v>
      </c>
      <c r="N47" s="274">
        <v>0</v>
      </c>
      <c r="O47" s="274">
        <v>0</v>
      </c>
      <c r="P47" s="274">
        <v>0</v>
      </c>
      <c r="Q47" s="274">
        <v>0</v>
      </c>
      <c r="R47" s="274">
        <v>0</v>
      </c>
      <c r="S47" s="274">
        <v>0</v>
      </c>
      <c r="T47" s="274">
        <v>0</v>
      </c>
      <c r="U47" s="274">
        <v>0</v>
      </c>
      <c r="V47" s="274">
        <v>0</v>
      </c>
    </row>
    <row r="48" spans="1:22" x14ac:dyDescent="0.3">
      <c r="A48" s="274">
        <v>622</v>
      </c>
      <c r="B48" s="274">
        <v>622</v>
      </c>
      <c r="C48" s="274" t="s">
        <v>1747</v>
      </c>
      <c r="D48" s="274" t="s">
        <v>1747</v>
      </c>
      <c r="E48" s="274" t="s">
        <v>1748</v>
      </c>
      <c r="F48" s="274">
        <v>0</v>
      </c>
      <c r="G48" s="274">
        <v>0</v>
      </c>
      <c r="H48" s="274">
        <v>0</v>
      </c>
      <c r="I48" s="274">
        <v>0</v>
      </c>
      <c r="J48" s="274">
        <v>0</v>
      </c>
      <c r="K48" s="274">
        <v>0</v>
      </c>
      <c r="L48" s="274">
        <v>0</v>
      </c>
      <c r="M48" s="274">
        <v>0</v>
      </c>
      <c r="N48" s="274">
        <v>0</v>
      </c>
      <c r="O48" s="274">
        <v>0</v>
      </c>
      <c r="P48" s="274">
        <v>0</v>
      </c>
      <c r="Q48" s="274">
        <v>0</v>
      </c>
      <c r="R48" s="274">
        <v>2176509</v>
      </c>
      <c r="S48" s="274">
        <v>0</v>
      </c>
      <c r="T48" s="274">
        <v>0</v>
      </c>
      <c r="U48" s="274">
        <v>0</v>
      </c>
      <c r="V48" s="274">
        <v>0</v>
      </c>
    </row>
    <row r="49" spans="1:22" ht="259.2" x14ac:dyDescent="0.3">
      <c r="A49" s="274">
        <v>625</v>
      </c>
      <c r="B49" s="274">
        <v>625</v>
      </c>
      <c r="C49" s="1004" t="s">
        <v>787</v>
      </c>
      <c r="D49" s="1004" t="s">
        <v>787</v>
      </c>
      <c r="E49" s="274" t="s">
        <v>1749</v>
      </c>
      <c r="F49" s="274">
        <v>1</v>
      </c>
      <c r="G49" s="274">
        <v>1</v>
      </c>
      <c r="H49" s="274">
        <v>0</v>
      </c>
      <c r="I49" s="274">
        <v>1</v>
      </c>
      <c r="J49" s="274">
        <v>0</v>
      </c>
      <c r="K49" s="274">
        <v>0</v>
      </c>
      <c r="L49" s="274">
        <v>0</v>
      </c>
      <c r="M49" s="274">
        <v>0</v>
      </c>
      <c r="N49" s="274">
        <v>1</v>
      </c>
      <c r="O49" s="274">
        <v>1</v>
      </c>
      <c r="P49" s="274">
        <v>1</v>
      </c>
      <c r="Q49" s="274">
        <v>1</v>
      </c>
      <c r="R49" s="274">
        <v>1</v>
      </c>
      <c r="S49" s="274">
        <v>1</v>
      </c>
      <c r="T49" s="274">
        <v>1</v>
      </c>
      <c r="U49" s="274">
        <v>1</v>
      </c>
      <c r="V49" s="274">
        <v>0</v>
      </c>
    </row>
    <row r="50" spans="1:22" x14ac:dyDescent="0.3">
      <c r="A50" s="274">
        <v>992</v>
      </c>
      <c r="B50" s="274">
        <v>992</v>
      </c>
      <c r="C50" s="274" t="s">
        <v>1750</v>
      </c>
      <c r="D50" s="274" t="s">
        <v>1750</v>
      </c>
      <c r="E50" s="274" t="s">
        <v>602</v>
      </c>
      <c r="F50" s="274">
        <v>0</v>
      </c>
      <c r="G50" s="274">
        <v>2</v>
      </c>
      <c r="H50" s="274">
        <v>0</v>
      </c>
      <c r="I50" s="274">
        <v>1</v>
      </c>
      <c r="J50" s="274">
        <v>0</v>
      </c>
      <c r="K50" s="274">
        <v>0</v>
      </c>
      <c r="L50" s="274">
        <v>0</v>
      </c>
      <c r="M50" s="274">
        <v>0</v>
      </c>
      <c r="N50" s="274">
        <v>1</v>
      </c>
      <c r="O50" s="274">
        <v>3</v>
      </c>
      <c r="P50" s="274">
        <v>2</v>
      </c>
      <c r="Q50" s="274">
        <v>1</v>
      </c>
      <c r="R50" s="274">
        <v>3</v>
      </c>
      <c r="S50" s="274">
        <v>2</v>
      </c>
      <c r="T50" s="274">
        <v>1</v>
      </c>
      <c r="U50" s="274">
        <v>1</v>
      </c>
      <c r="V50" s="274">
        <v>0</v>
      </c>
    </row>
    <row r="51" spans="1:22" x14ac:dyDescent="0.3">
      <c r="A51" s="274">
        <v>993</v>
      </c>
      <c r="B51" s="274">
        <v>993</v>
      </c>
      <c r="C51" s="274" t="s">
        <v>515</v>
      </c>
      <c r="D51" s="274" t="s">
        <v>1751</v>
      </c>
      <c r="E51" s="274" t="s">
        <v>516</v>
      </c>
      <c r="F51" s="274">
        <v>0</v>
      </c>
      <c r="G51" s="274">
        <v>0</v>
      </c>
      <c r="H51" s="274">
        <v>0</v>
      </c>
      <c r="I51" s="274">
        <v>0</v>
      </c>
      <c r="J51" s="274">
        <v>0</v>
      </c>
      <c r="K51" s="274">
        <v>0</v>
      </c>
      <c r="L51" s="274">
        <v>0</v>
      </c>
      <c r="M51" s="274">
        <v>0</v>
      </c>
      <c r="N51" s="274">
        <v>0</v>
      </c>
      <c r="O51" s="274">
        <v>0</v>
      </c>
      <c r="P51" s="274">
        <v>0</v>
      </c>
      <c r="Q51" s="274">
        <v>0</v>
      </c>
      <c r="R51" s="274">
        <v>0</v>
      </c>
      <c r="S51" s="274">
        <v>0</v>
      </c>
      <c r="T51" s="274">
        <v>0</v>
      </c>
      <c r="U51" s="274">
        <v>0</v>
      </c>
      <c r="V51" s="274">
        <v>0</v>
      </c>
    </row>
    <row r="52" spans="1:22" x14ac:dyDescent="0.3">
      <c r="A52" s="274">
        <v>994</v>
      </c>
      <c r="B52" s="274">
        <v>994</v>
      </c>
      <c r="C52" s="274" t="s">
        <v>517</v>
      </c>
      <c r="D52" s="274" t="s">
        <v>1752</v>
      </c>
      <c r="E52" s="274" t="s">
        <v>518</v>
      </c>
      <c r="F52" s="274">
        <v>0</v>
      </c>
      <c r="G52" s="274">
        <v>0</v>
      </c>
      <c r="H52" s="274">
        <v>0</v>
      </c>
      <c r="I52" s="274">
        <v>0</v>
      </c>
      <c r="J52" s="274">
        <v>0</v>
      </c>
      <c r="K52" s="274">
        <v>0</v>
      </c>
      <c r="L52" s="274">
        <v>0</v>
      </c>
      <c r="M52" s="274">
        <v>0</v>
      </c>
      <c r="N52" s="274">
        <v>0</v>
      </c>
      <c r="O52" s="274">
        <v>0</v>
      </c>
      <c r="P52" s="274">
        <v>0</v>
      </c>
      <c r="Q52" s="274">
        <v>0</v>
      </c>
      <c r="R52" s="274">
        <v>0</v>
      </c>
      <c r="S52" s="274">
        <v>0</v>
      </c>
      <c r="T52" s="274">
        <v>0</v>
      </c>
      <c r="U52" s="274">
        <v>0</v>
      </c>
      <c r="V52" s="274">
        <v>0</v>
      </c>
    </row>
    <row r="53" spans="1:22" x14ac:dyDescent="0.3">
      <c r="A53" s="274">
        <v>998</v>
      </c>
      <c r="B53" s="274">
        <v>998</v>
      </c>
      <c r="C53" s="274" t="s">
        <v>292</v>
      </c>
      <c r="D53" s="274" t="s">
        <v>292</v>
      </c>
      <c r="E53" s="274" t="s">
        <v>523</v>
      </c>
      <c r="F53" s="274">
        <v>53</v>
      </c>
      <c r="G53" s="274">
        <v>53</v>
      </c>
      <c r="H53" s="274">
        <v>0</v>
      </c>
      <c r="I53" s="274">
        <v>53</v>
      </c>
      <c r="J53" s="274">
        <v>0</v>
      </c>
      <c r="K53" s="274">
        <v>0</v>
      </c>
      <c r="L53" s="274">
        <v>0</v>
      </c>
      <c r="M53" s="274">
        <v>0</v>
      </c>
      <c r="N53" s="274">
        <v>53</v>
      </c>
      <c r="O53" s="274">
        <v>53</v>
      </c>
      <c r="P53" s="274">
        <v>53</v>
      </c>
      <c r="Q53" s="274">
        <v>53</v>
      </c>
      <c r="R53" s="274">
        <v>53</v>
      </c>
      <c r="S53" s="274">
        <v>53</v>
      </c>
      <c r="T53" s="274">
        <v>53</v>
      </c>
      <c r="U53" s="274">
        <v>53</v>
      </c>
      <c r="V53" s="274">
        <v>0</v>
      </c>
    </row>
    <row r="54" spans="1:22" x14ac:dyDescent="0.3">
      <c r="A54" s="274">
        <v>999</v>
      </c>
      <c r="B54" s="274">
        <v>999</v>
      </c>
      <c r="C54" s="274" t="s">
        <v>293</v>
      </c>
      <c r="D54" s="274" t="s">
        <v>293</v>
      </c>
      <c r="E54" s="274" t="s">
        <v>524</v>
      </c>
      <c r="F54" s="274">
        <v>53876</v>
      </c>
      <c r="G54" s="274">
        <v>53926</v>
      </c>
      <c r="H54" s="274">
        <v>0</v>
      </c>
      <c r="I54" s="274">
        <v>53881</v>
      </c>
      <c r="J54" s="274">
        <v>0</v>
      </c>
      <c r="K54" s="274">
        <v>0</v>
      </c>
      <c r="L54" s="274">
        <v>0</v>
      </c>
      <c r="M54" s="274">
        <v>0</v>
      </c>
      <c r="N54" s="274">
        <v>53897</v>
      </c>
      <c r="O54" s="274">
        <v>53970</v>
      </c>
      <c r="P54" s="274">
        <v>53950</v>
      </c>
      <c r="Q54" s="274">
        <v>53901</v>
      </c>
      <c r="R54" s="274">
        <v>53902</v>
      </c>
      <c r="S54" s="274">
        <v>53923</v>
      </c>
      <c r="T54" s="274">
        <v>53908</v>
      </c>
      <c r="U54" s="274">
        <v>53913</v>
      </c>
      <c r="V54" s="274">
        <v>0</v>
      </c>
    </row>
    <row r="56" spans="1:22" x14ac:dyDescent="0.3">
      <c r="D56" s="274" t="s">
        <v>1753</v>
      </c>
      <c r="F56" s="1047">
        <f>SUM(F3:F55)</f>
        <v>2824773</v>
      </c>
      <c r="G56" s="1047">
        <f t="shared" ref="G56:V56" si="0">SUM(G3:G55)</f>
        <v>3902117987.9000001</v>
      </c>
      <c r="H56" s="1047">
        <f t="shared" si="0"/>
        <v>0</v>
      </c>
      <c r="I56" s="1047">
        <f t="shared" si="0"/>
        <v>2378968986</v>
      </c>
      <c r="J56" s="1047">
        <f t="shared" si="0"/>
        <v>0</v>
      </c>
      <c r="K56" s="1047">
        <f t="shared" si="0"/>
        <v>0</v>
      </c>
      <c r="L56" s="1047">
        <f t="shared" si="0"/>
        <v>0</v>
      </c>
      <c r="M56" s="1047">
        <f t="shared" si="0"/>
        <v>0</v>
      </c>
      <c r="N56" s="1047">
        <f t="shared" si="0"/>
        <v>1588428066</v>
      </c>
      <c r="O56" s="1047">
        <f t="shared" si="0"/>
        <v>330209140</v>
      </c>
      <c r="P56" s="1047">
        <v>2226258886.8000002</v>
      </c>
      <c r="Q56" s="1047">
        <f t="shared" si="0"/>
        <v>8683619126</v>
      </c>
      <c r="R56" s="1047">
        <f t="shared" si="0"/>
        <v>755225600</v>
      </c>
      <c r="S56" s="1047">
        <f t="shared" si="0"/>
        <v>1039092266</v>
      </c>
      <c r="T56" s="1047">
        <f t="shared" si="0"/>
        <v>443628386</v>
      </c>
      <c r="U56" s="1047">
        <f t="shared" si="0"/>
        <v>1649492975</v>
      </c>
      <c r="V56" s="1047">
        <f t="shared" si="0"/>
        <v>0</v>
      </c>
    </row>
    <row r="57" spans="1:22" x14ac:dyDescent="0.3">
      <c r="D57" s="274" t="s">
        <v>1754</v>
      </c>
      <c r="F57" s="1047">
        <v>2824773</v>
      </c>
      <c r="G57" s="1047">
        <v>3902117987.9000001</v>
      </c>
      <c r="H57" s="274" t="s">
        <v>1755</v>
      </c>
      <c r="I57" s="1047">
        <v>2378968986</v>
      </c>
      <c r="J57" s="274" t="s">
        <v>1755</v>
      </c>
      <c r="K57" s="274" t="s">
        <v>1755</v>
      </c>
      <c r="L57" s="274" t="s">
        <v>1755</v>
      </c>
      <c r="M57" s="274" t="s">
        <v>1755</v>
      </c>
      <c r="N57" s="1047">
        <v>1588428066.05</v>
      </c>
      <c r="O57" s="1047">
        <v>330209140</v>
      </c>
      <c r="P57" s="1047"/>
      <c r="Q57" s="1047">
        <v>8683619126</v>
      </c>
      <c r="R57" s="1047">
        <v>755225600</v>
      </c>
      <c r="S57" s="1047">
        <v>1039092266</v>
      </c>
      <c r="T57" s="1047">
        <v>443628386</v>
      </c>
      <c r="U57" s="1047">
        <v>1649492975</v>
      </c>
      <c r="V57" s="274" t="s">
        <v>1755</v>
      </c>
    </row>
    <row r="58" spans="1:22" x14ac:dyDescent="0.3">
      <c r="D58" s="274" t="s">
        <v>1756</v>
      </c>
      <c r="F58" s="1047">
        <f>F56-F57</f>
        <v>0</v>
      </c>
      <c r="G58" s="1047">
        <f t="shared" ref="G58:V58" si="1">G56-G57</f>
        <v>0</v>
      </c>
      <c r="H58" s="1047" t="e">
        <f t="shared" si="1"/>
        <v>#VALUE!</v>
      </c>
      <c r="I58" s="1047">
        <f t="shared" si="1"/>
        <v>0</v>
      </c>
      <c r="J58" s="1047" t="e">
        <f t="shared" si="1"/>
        <v>#VALUE!</v>
      </c>
      <c r="K58" s="1047" t="e">
        <f t="shared" si="1"/>
        <v>#VALUE!</v>
      </c>
      <c r="L58" s="1047" t="e">
        <f t="shared" si="1"/>
        <v>#VALUE!</v>
      </c>
      <c r="M58" s="1047" t="e">
        <f t="shared" si="1"/>
        <v>#VALUE!</v>
      </c>
      <c r="N58" s="1047">
        <f t="shared" si="1"/>
        <v>-4.999995231628418E-2</v>
      </c>
      <c r="O58" s="1047">
        <f t="shared" si="1"/>
        <v>0</v>
      </c>
      <c r="P58" s="1047"/>
      <c r="Q58" s="1047">
        <f t="shared" si="1"/>
        <v>0</v>
      </c>
      <c r="R58" s="1047">
        <f t="shared" si="1"/>
        <v>0</v>
      </c>
      <c r="S58" s="1047">
        <f t="shared" si="1"/>
        <v>0</v>
      </c>
      <c r="T58" s="1047">
        <f t="shared" si="1"/>
        <v>0</v>
      </c>
      <c r="U58" s="1047">
        <f t="shared" si="1"/>
        <v>0</v>
      </c>
      <c r="V58" s="1047" t="e">
        <f t="shared" si="1"/>
        <v>#VALUE!</v>
      </c>
    </row>
    <row r="60" spans="1:22" x14ac:dyDescent="0.3">
      <c r="D60" s="274" t="s">
        <v>1757</v>
      </c>
      <c r="G60" s="274" t="s">
        <v>1758</v>
      </c>
      <c r="M60" s="274" t="s">
        <v>1759</v>
      </c>
      <c r="V60" s="274" t="s">
        <v>1760</v>
      </c>
    </row>
    <row r="61" spans="1:22" x14ac:dyDescent="0.3">
      <c r="G61" s="274" t="s">
        <v>1761</v>
      </c>
      <c r="M61" s="274" t="s">
        <v>1762</v>
      </c>
      <c r="V61" s="274" t="s">
        <v>1763</v>
      </c>
    </row>
    <row r="62" spans="1:22" x14ac:dyDescent="0.3">
      <c r="G62" s="274" t="s">
        <v>1764</v>
      </c>
      <c r="M62" s="1048">
        <v>41851</v>
      </c>
      <c r="V62" s="274" t="s">
        <v>1765</v>
      </c>
    </row>
    <row r="69" spans="1:22" x14ac:dyDescent="0.3">
      <c r="A69" s="274">
        <v>554</v>
      </c>
      <c r="F69" s="274">
        <f>F24</f>
        <v>0</v>
      </c>
      <c r="G69" s="274">
        <f t="shared" ref="G69:V73" si="2">G24</f>
        <v>0</v>
      </c>
      <c r="H69" s="274">
        <f t="shared" si="2"/>
        <v>0</v>
      </c>
      <c r="I69" s="274">
        <f t="shared" si="2"/>
        <v>960260</v>
      </c>
      <c r="J69" s="274">
        <f t="shared" si="2"/>
        <v>0</v>
      </c>
      <c r="K69" s="274">
        <f t="shared" si="2"/>
        <v>0</v>
      </c>
      <c r="L69" s="274">
        <f t="shared" si="2"/>
        <v>0</v>
      </c>
      <c r="M69" s="274">
        <f t="shared" si="2"/>
        <v>0</v>
      </c>
      <c r="N69" s="274">
        <f t="shared" si="2"/>
        <v>0</v>
      </c>
      <c r="O69" s="274">
        <f t="shared" si="2"/>
        <v>0</v>
      </c>
      <c r="P69" s="274">
        <f t="shared" si="2"/>
        <v>0</v>
      </c>
      <c r="Q69" s="274">
        <f t="shared" si="2"/>
        <v>1929891</v>
      </c>
      <c r="R69" s="274">
        <f t="shared" si="2"/>
        <v>0</v>
      </c>
      <c r="S69" s="274">
        <f t="shared" si="2"/>
        <v>38752673</v>
      </c>
      <c r="T69" s="274">
        <f t="shared" si="2"/>
        <v>0</v>
      </c>
      <c r="U69" s="274">
        <f t="shared" si="2"/>
        <v>0</v>
      </c>
      <c r="V69" s="274">
        <f t="shared" si="2"/>
        <v>0</v>
      </c>
    </row>
    <row r="70" spans="1:22" x14ac:dyDescent="0.3">
      <c r="A70" s="274">
        <v>555</v>
      </c>
      <c r="F70" s="274">
        <f t="shared" ref="F70:V73" si="3">F25</f>
        <v>0</v>
      </c>
      <c r="G70" s="274">
        <f t="shared" si="3"/>
        <v>0</v>
      </c>
      <c r="H70" s="274">
        <f t="shared" si="3"/>
        <v>0</v>
      </c>
      <c r="I70" s="274">
        <f t="shared" si="3"/>
        <v>616952</v>
      </c>
      <c r="J70" s="274">
        <f t="shared" si="3"/>
        <v>0</v>
      </c>
      <c r="K70" s="274">
        <f t="shared" si="3"/>
        <v>0</v>
      </c>
      <c r="L70" s="274">
        <f t="shared" si="3"/>
        <v>0</v>
      </c>
      <c r="M70" s="274">
        <f t="shared" si="3"/>
        <v>0</v>
      </c>
      <c r="N70" s="274">
        <f t="shared" si="3"/>
        <v>0</v>
      </c>
      <c r="O70" s="274">
        <f t="shared" si="3"/>
        <v>0</v>
      </c>
      <c r="P70" s="274">
        <f t="shared" si="2"/>
        <v>0</v>
      </c>
      <c r="Q70" s="274">
        <f t="shared" si="3"/>
        <v>406844</v>
      </c>
      <c r="R70" s="274">
        <f t="shared" si="3"/>
        <v>0</v>
      </c>
      <c r="S70" s="274">
        <f t="shared" si="3"/>
        <v>38752673</v>
      </c>
      <c r="T70" s="274">
        <f t="shared" si="3"/>
        <v>0</v>
      </c>
      <c r="U70" s="274">
        <f t="shared" si="3"/>
        <v>0</v>
      </c>
      <c r="V70" s="274">
        <f t="shared" si="3"/>
        <v>0</v>
      </c>
    </row>
    <row r="71" spans="1:22" x14ac:dyDescent="0.3">
      <c r="A71" s="274">
        <v>556</v>
      </c>
      <c r="F71" s="274">
        <f t="shared" si="3"/>
        <v>0</v>
      </c>
      <c r="G71" s="274">
        <f t="shared" si="3"/>
        <v>0</v>
      </c>
      <c r="H71" s="274">
        <f t="shared" si="3"/>
        <v>0</v>
      </c>
      <c r="I71" s="274">
        <f t="shared" si="3"/>
        <v>0</v>
      </c>
      <c r="J71" s="274">
        <f t="shared" si="3"/>
        <v>0</v>
      </c>
      <c r="K71" s="274">
        <f t="shared" si="3"/>
        <v>0</v>
      </c>
      <c r="L71" s="274">
        <f t="shared" si="3"/>
        <v>0</v>
      </c>
      <c r="M71" s="274">
        <f t="shared" si="3"/>
        <v>0</v>
      </c>
      <c r="N71" s="274">
        <f t="shared" si="3"/>
        <v>0</v>
      </c>
      <c r="O71" s="274">
        <f t="shared" si="3"/>
        <v>0</v>
      </c>
      <c r="P71" s="274">
        <f t="shared" si="2"/>
        <v>0</v>
      </c>
      <c r="Q71" s="274">
        <f t="shared" si="3"/>
        <v>3788537</v>
      </c>
      <c r="R71" s="274">
        <f t="shared" si="3"/>
        <v>0</v>
      </c>
      <c r="S71" s="274">
        <f t="shared" si="3"/>
        <v>0</v>
      </c>
      <c r="T71" s="274">
        <f t="shared" si="3"/>
        <v>0</v>
      </c>
      <c r="U71" s="274">
        <f t="shared" si="3"/>
        <v>0</v>
      </c>
      <c r="V71" s="274">
        <f t="shared" si="3"/>
        <v>0</v>
      </c>
    </row>
    <row r="72" spans="1:22" x14ac:dyDescent="0.3">
      <c r="A72" s="274">
        <v>557</v>
      </c>
      <c r="F72" s="274">
        <f t="shared" si="3"/>
        <v>0</v>
      </c>
      <c r="G72" s="274">
        <f t="shared" si="3"/>
        <v>0</v>
      </c>
      <c r="H72" s="274">
        <f t="shared" si="3"/>
        <v>0</v>
      </c>
      <c r="I72" s="274">
        <f t="shared" si="3"/>
        <v>0</v>
      </c>
      <c r="J72" s="274">
        <f t="shared" si="3"/>
        <v>0</v>
      </c>
      <c r="K72" s="274">
        <f t="shared" si="3"/>
        <v>0</v>
      </c>
      <c r="L72" s="274">
        <f t="shared" si="3"/>
        <v>0</v>
      </c>
      <c r="M72" s="274">
        <f t="shared" si="3"/>
        <v>0</v>
      </c>
      <c r="N72" s="274">
        <f t="shared" si="3"/>
        <v>0</v>
      </c>
      <c r="O72" s="274">
        <f t="shared" si="3"/>
        <v>0</v>
      </c>
      <c r="P72" s="274">
        <f t="shared" si="2"/>
        <v>0</v>
      </c>
      <c r="Q72" s="274">
        <f t="shared" si="3"/>
        <v>3270890</v>
      </c>
      <c r="R72" s="274">
        <f t="shared" si="3"/>
        <v>0</v>
      </c>
      <c r="S72" s="274">
        <f t="shared" si="3"/>
        <v>0</v>
      </c>
      <c r="T72" s="274">
        <f t="shared" si="3"/>
        <v>0</v>
      </c>
      <c r="U72" s="274">
        <f t="shared" si="3"/>
        <v>0</v>
      </c>
      <c r="V72" s="274">
        <f t="shared" si="3"/>
        <v>0</v>
      </c>
    </row>
    <row r="73" spans="1:22" x14ac:dyDescent="0.3">
      <c r="A73" s="274">
        <v>577</v>
      </c>
      <c r="F73" s="274">
        <f>F28</f>
        <v>0</v>
      </c>
      <c r="G73" s="274">
        <f t="shared" si="3"/>
        <v>0</v>
      </c>
      <c r="H73" s="274">
        <f t="shared" si="3"/>
        <v>0</v>
      </c>
      <c r="I73" s="274">
        <f t="shared" si="3"/>
        <v>1</v>
      </c>
      <c r="J73" s="274">
        <f t="shared" si="3"/>
        <v>0</v>
      </c>
      <c r="K73" s="274">
        <f t="shared" si="3"/>
        <v>0</v>
      </c>
      <c r="L73" s="274">
        <f t="shared" si="3"/>
        <v>0</v>
      </c>
      <c r="M73" s="274">
        <f t="shared" si="3"/>
        <v>0</v>
      </c>
      <c r="N73" s="274">
        <f t="shared" si="3"/>
        <v>0</v>
      </c>
      <c r="O73" s="274">
        <f t="shared" si="3"/>
        <v>0</v>
      </c>
      <c r="P73" s="274">
        <f t="shared" si="2"/>
        <v>1</v>
      </c>
      <c r="Q73" s="274">
        <f t="shared" si="3"/>
        <v>1</v>
      </c>
      <c r="R73" s="274">
        <f t="shared" si="3"/>
        <v>1</v>
      </c>
      <c r="S73" s="274">
        <f t="shared" si="3"/>
        <v>0</v>
      </c>
      <c r="T73" s="274">
        <f t="shared" si="3"/>
        <v>0</v>
      </c>
      <c r="U73" s="274">
        <f t="shared" si="3"/>
        <v>0</v>
      </c>
      <c r="V73" s="274">
        <f t="shared" si="3"/>
        <v>0</v>
      </c>
    </row>
    <row r="74" spans="1:22" x14ac:dyDescent="0.3">
      <c r="A74" s="274">
        <v>603</v>
      </c>
      <c r="F74" s="274">
        <f>F31</f>
        <v>1</v>
      </c>
      <c r="G74" s="274">
        <f t="shared" ref="G74:V89" si="4">G31</f>
        <v>1</v>
      </c>
      <c r="H74" s="274">
        <f t="shared" si="4"/>
        <v>0</v>
      </c>
      <c r="I74" s="274">
        <f t="shared" si="4"/>
        <v>1</v>
      </c>
      <c r="J74" s="274">
        <f t="shared" si="4"/>
        <v>0</v>
      </c>
      <c r="K74" s="274">
        <f t="shared" si="4"/>
        <v>0</v>
      </c>
      <c r="L74" s="274">
        <f t="shared" si="4"/>
        <v>0</v>
      </c>
      <c r="M74" s="274">
        <f t="shared" si="4"/>
        <v>0</v>
      </c>
      <c r="N74" s="274">
        <f t="shared" si="4"/>
        <v>1</v>
      </c>
      <c r="O74" s="274">
        <f t="shared" si="4"/>
        <v>1</v>
      </c>
      <c r="P74" s="274">
        <f t="shared" si="4"/>
        <v>1</v>
      </c>
      <c r="Q74" s="274">
        <f t="shared" si="4"/>
        <v>1</v>
      </c>
      <c r="R74" s="274">
        <f t="shared" si="4"/>
        <v>1</v>
      </c>
      <c r="S74" s="274">
        <f t="shared" si="4"/>
        <v>2</v>
      </c>
      <c r="T74" s="274">
        <f t="shared" si="4"/>
        <v>1</v>
      </c>
      <c r="U74" s="274">
        <f t="shared" si="4"/>
        <v>1</v>
      </c>
      <c r="V74" s="274">
        <f t="shared" si="4"/>
        <v>0</v>
      </c>
    </row>
    <row r="75" spans="1:22" x14ac:dyDescent="0.3">
      <c r="A75" s="274">
        <v>605</v>
      </c>
      <c r="F75" s="274">
        <f>F32</f>
        <v>1</v>
      </c>
      <c r="G75" s="274">
        <f t="shared" si="4"/>
        <v>1</v>
      </c>
      <c r="H75" s="274">
        <f t="shared" si="4"/>
        <v>0</v>
      </c>
      <c r="I75" s="274">
        <f t="shared" si="4"/>
        <v>1</v>
      </c>
      <c r="J75" s="274">
        <f t="shared" si="4"/>
        <v>0</v>
      </c>
      <c r="K75" s="274">
        <f t="shared" si="4"/>
        <v>0</v>
      </c>
      <c r="L75" s="274">
        <f t="shared" si="4"/>
        <v>0</v>
      </c>
      <c r="M75" s="274">
        <f t="shared" si="4"/>
        <v>0</v>
      </c>
      <c r="N75" s="274">
        <f t="shared" si="4"/>
        <v>1</v>
      </c>
      <c r="O75" s="274">
        <f t="shared" si="4"/>
        <v>1</v>
      </c>
      <c r="P75" s="274">
        <f t="shared" si="4"/>
        <v>1</v>
      </c>
      <c r="Q75" s="274">
        <f t="shared" si="4"/>
        <v>1</v>
      </c>
      <c r="R75" s="274">
        <f t="shared" si="4"/>
        <v>1</v>
      </c>
      <c r="S75" s="274">
        <f t="shared" si="4"/>
        <v>1</v>
      </c>
      <c r="T75" s="274">
        <f t="shared" si="4"/>
        <v>1</v>
      </c>
      <c r="U75" s="274">
        <f t="shared" si="4"/>
        <v>1</v>
      </c>
      <c r="V75" s="274">
        <f t="shared" si="4"/>
        <v>0</v>
      </c>
    </row>
    <row r="76" spans="1:22" x14ac:dyDescent="0.3">
      <c r="A76" s="274">
        <v>606</v>
      </c>
      <c r="F76" s="274">
        <f t="shared" ref="F76:V89" si="5">F33</f>
        <v>0</v>
      </c>
      <c r="G76" s="274">
        <f t="shared" si="5"/>
        <v>0</v>
      </c>
      <c r="H76" s="274">
        <f t="shared" si="5"/>
        <v>0</v>
      </c>
      <c r="I76" s="274">
        <f t="shared" si="5"/>
        <v>1</v>
      </c>
      <c r="J76" s="274">
        <f t="shared" si="5"/>
        <v>0</v>
      </c>
      <c r="K76" s="274">
        <f t="shared" si="5"/>
        <v>0</v>
      </c>
      <c r="L76" s="274">
        <f t="shared" si="5"/>
        <v>0</v>
      </c>
      <c r="M76" s="274">
        <f t="shared" si="5"/>
        <v>0</v>
      </c>
      <c r="N76" s="274">
        <f t="shared" si="5"/>
        <v>0</v>
      </c>
      <c r="O76" s="274">
        <f t="shared" si="5"/>
        <v>0</v>
      </c>
      <c r="P76" s="274">
        <f t="shared" si="4"/>
        <v>0</v>
      </c>
      <c r="Q76" s="274">
        <f t="shared" si="5"/>
        <v>1</v>
      </c>
      <c r="R76" s="274">
        <f t="shared" si="5"/>
        <v>0</v>
      </c>
      <c r="S76" s="274">
        <f t="shared" si="5"/>
        <v>1</v>
      </c>
      <c r="T76" s="274">
        <f t="shared" si="5"/>
        <v>0</v>
      </c>
      <c r="U76" s="274">
        <f t="shared" si="5"/>
        <v>0</v>
      </c>
      <c r="V76" s="274">
        <f t="shared" si="5"/>
        <v>0</v>
      </c>
    </row>
    <row r="77" spans="1:22" x14ac:dyDescent="0.3">
      <c r="A77" s="274">
        <v>607</v>
      </c>
      <c r="F77" s="274">
        <f t="shared" si="5"/>
        <v>0</v>
      </c>
      <c r="G77" s="274">
        <f t="shared" si="5"/>
        <v>5992320</v>
      </c>
      <c r="H77" s="274">
        <f t="shared" si="5"/>
        <v>0</v>
      </c>
      <c r="I77" s="274">
        <f t="shared" si="5"/>
        <v>0</v>
      </c>
      <c r="J77" s="274">
        <f t="shared" si="5"/>
        <v>0</v>
      </c>
      <c r="K77" s="274">
        <f t="shared" si="5"/>
        <v>0</v>
      </c>
      <c r="L77" s="274">
        <f t="shared" si="5"/>
        <v>0</v>
      </c>
      <c r="M77" s="274">
        <f t="shared" si="5"/>
        <v>0</v>
      </c>
      <c r="N77" s="274">
        <f t="shared" si="5"/>
        <v>0</v>
      </c>
      <c r="O77" s="274">
        <f t="shared" si="5"/>
        <v>0</v>
      </c>
      <c r="P77" s="274">
        <f t="shared" si="4"/>
        <v>1156141</v>
      </c>
      <c r="Q77" s="274">
        <f t="shared" si="5"/>
        <v>0</v>
      </c>
      <c r="R77" s="274">
        <f t="shared" si="5"/>
        <v>0</v>
      </c>
      <c r="S77" s="274">
        <f t="shared" si="5"/>
        <v>15153534</v>
      </c>
      <c r="T77" s="274">
        <f t="shared" si="5"/>
        <v>0</v>
      </c>
      <c r="U77" s="274">
        <f t="shared" si="5"/>
        <v>0</v>
      </c>
      <c r="V77" s="274">
        <f t="shared" si="5"/>
        <v>0</v>
      </c>
    </row>
    <row r="78" spans="1:22" x14ac:dyDescent="0.3">
      <c r="A78" s="274">
        <v>608</v>
      </c>
      <c r="F78" s="274">
        <f t="shared" si="5"/>
        <v>0</v>
      </c>
      <c r="G78" s="274">
        <f t="shared" si="5"/>
        <v>6707794</v>
      </c>
      <c r="H78" s="274">
        <f t="shared" si="5"/>
        <v>0</v>
      </c>
      <c r="I78" s="274">
        <f t="shared" si="5"/>
        <v>0</v>
      </c>
      <c r="J78" s="274">
        <f t="shared" si="5"/>
        <v>0</v>
      </c>
      <c r="K78" s="274">
        <f t="shared" si="5"/>
        <v>0</v>
      </c>
      <c r="L78" s="274">
        <f t="shared" si="5"/>
        <v>0</v>
      </c>
      <c r="M78" s="274">
        <f t="shared" si="5"/>
        <v>0</v>
      </c>
      <c r="N78" s="274">
        <f t="shared" si="5"/>
        <v>0</v>
      </c>
      <c r="O78" s="274">
        <f t="shared" si="5"/>
        <v>0</v>
      </c>
      <c r="P78" s="274">
        <f t="shared" si="4"/>
        <v>1813608</v>
      </c>
      <c r="Q78" s="274">
        <f t="shared" si="5"/>
        <v>0</v>
      </c>
      <c r="R78" s="274">
        <f t="shared" si="5"/>
        <v>0</v>
      </c>
      <c r="S78" s="274">
        <f t="shared" si="5"/>
        <v>0</v>
      </c>
      <c r="T78" s="274">
        <f t="shared" si="5"/>
        <v>0</v>
      </c>
      <c r="U78" s="274">
        <f t="shared" si="5"/>
        <v>0</v>
      </c>
      <c r="V78" s="274">
        <f t="shared" si="5"/>
        <v>0</v>
      </c>
    </row>
    <row r="79" spans="1:22" x14ac:dyDescent="0.3">
      <c r="A79" s="274">
        <v>609</v>
      </c>
      <c r="F79" s="274">
        <f t="shared" si="5"/>
        <v>0</v>
      </c>
      <c r="G79" s="274">
        <f t="shared" si="5"/>
        <v>111.9</v>
      </c>
      <c r="H79" s="274">
        <f t="shared" si="5"/>
        <v>0</v>
      </c>
      <c r="I79" s="274">
        <f t="shared" si="5"/>
        <v>0</v>
      </c>
      <c r="J79" s="274">
        <f t="shared" si="5"/>
        <v>0</v>
      </c>
      <c r="K79" s="274">
        <f t="shared" si="5"/>
        <v>0</v>
      </c>
      <c r="L79" s="274">
        <f t="shared" si="5"/>
        <v>0</v>
      </c>
      <c r="M79" s="274">
        <f t="shared" si="5"/>
        <v>0</v>
      </c>
      <c r="N79" s="274">
        <f t="shared" si="5"/>
        <v>0</v>
      </c>
      <c r="O79" s="274">
        <f t="shared" si="5"/>
        <v>0</v>
      </c>
      <c r="P79" s="274">
        <f t="shared" si="4"/>
        <v>156.80000000000001</v>
      </c>
      <c r="Q79" s="274">
        <f t="shared" si="5"/>
        <v>0</v>
      </c>
      <c r="R79" s="274">
        <f t="shared" si="5"/>
        <v>0</v>
      </c>
      <c r="S79" s="274">
        <f t="shared" si="5"/>
        <v>0</v>
      </c>
      <c r="T79" s="274">
        <f t="shared" si="5"/>
        <v>0</v>
      </c>
      <c r="U79" s="274">
        <f t="shared" si="5"/>
        <v>0</v>
      </c>
      <c r="V79" s="274">
        <f t="shared" si="5"/>
        <v>0</v>
      </c>
    </row>
    <row r="80" spans="1:22" x14ac:dyDescent="0.3">
      <c r="A80" s="274">
        <v>610</v>
      </c>
      <c r="F80" s="274">
        <f t="shared" si="5"/>
        <v>0</v>
      </c>
      <c r="G80" s="274">
        <f t="shared" si="5"/>
        <v>0</v>
      </c>
      <c r="H80" s="274">
        <f t="shared" si="5"/>
        <v>0</v>
      </c>
      <c r="I80" s="274">
        <f t="shared" si="5"/>
        <v>0</v>
      </c>
      <c r="J80" s="274">
        <f t="shared" si="5"/>
        <v>0</v>
      </c>
      <c r="K80" s="274">
        <f t="shared" si="5"/>
        <v>0</v>
      </c>
      <c r="L80" s="274">
        <f t="shared" si="5"/>
        <v>0</v>
      </c>
      <c r="M80" s="274">
        <f t="shared" si="5"/>
        <v>0</v>
      </c>
      <c r="N80" s="274">
        <f t="shared" si="5"/>
        <v>0</v>
      </c>
      <c r="O80" s="274">
        <f t="shared" si="5"/>
        <v>0</v>
      </c>
      <c r="P80" s="274">
        <f t="shared" si="4"/>
        <v>0</v>
      </c>
      <c r="Q80" s="274">
        <f t="shared" si="5"/>
        <v>0</v>
      </c>
      <c r="R80" s="274">
        <f t="shared" si="5"/>
        <v>0</v>
      </c>
      <c r="S80" s="274">
        <f t="shared" si="5"/>
        <v>0</v>
      </c>
      <c r="T80" s="274">
        <f t="shared" si="5"/>
        <v>0</v>
      </c>
      <c r="U80" s="274">
        <f t="shared" si="5"/>
        <v>0</v>
      </c>
      <c r="V80" s="274">
        <f t="shared" si="5"/>
        <v>0</v>
      </c>
    </row>
    <row r="81" spans="1:22" x14ac:dyDescent="0.3">
      <c r="A81" s="274">
        <v>611</v>
      </c>
      <c r="F81" s="274">
        <f t="shared" si="5"/>
        <v>0</v>
      </c>
      <c r="G81" s="274">
        <f t="shared" si="5"/>
        <v>0</v>
      </c>
      <c r="H81" s="274">
        <f t="shared" si="5"/>
        <v>0</v>
      </c>
      <c r="I81" s="274">
        <f t="shared" si="5"/>
        <v>0</v>
      </c>
      <c r="J81" s="274">
        <f t="shared" si="5"/>
        <v>0</v>
      </c>
      <c r="K81" s="274">
        <f t="shared" si="5"/>
        <v>0</v>
      </c>
      <c r="L81" s="274">
        <f t="shared" si="5"/>
        <v>0</v>
      </c>
      <c r="M81" s="274">
        <f t="shared" si="5"/>
        <v>0</v>
      </c>
      <c r="N81" s="274">
        <f t="shared" si="5"/>
        <v>0</v>
      </c>
      <c r="O81" s="274">
        <f t="shared" si="5"/>
        <v>0</v>
      </c>
      <c r="P81" s="274">
        <f t="shared" si="4"/>
        <v>0</v>
      </c>
      <c r="Q81" s="274">
        <f t="shared" si="5"/>
        <v>0</v>
      </c>
      <c r="R81" s="274">
        <f t="shared" si="5"/>
        <v>0</v>
      </c>
      <c r="S81" s="274">
        <f t="shared" si="5"/>
        <v>0</v>
      </c>
      <c r="T81" s="274">
        <f t="shared" si="5"/>
        <v>0</v>
      </c>
      <c r="U81" s="274">
        <f t="shared" si="5"/>
        <v>0</v>
      </c>
      <c r="V81" s="274">
        <f t="shared" si="5"/>
        <v>0</v>
      </c>
    </row>
    <row r="82" spans="1:22" x14ac:dyDescent="0.3">
      <c r="A82" s="274">
        <v>612</v>
      </c>
      <c r="F82" s="274">
        <f t="shared" si="5"/>
        <v>0</v>
      </c>
      <c r="G82" s="274">
        <f t="shared" si="5"/>
        <v>0</v>
      </c>
      <c r="H82" s="274">
        <f t="shared" si="5"/>
        <v>0</v>
      </c>
      <c r="I82" s="274">
        <f t="shared" si="5"/>
        <v>0</v>
      </c>
      <c r="J82" s="274">
        <f t="shared" si="5"/>
        <v>0</v>
      </c>
      <c r="K82" s="274">
        <f t="shared" si="5"/>
        <v>0</v>
      </c>
      <c r="L82" s="274">
        <f t="shared" si="5"/>
        <v>0</v>
      </c>
      <c r="M82" s="274">
        <f t="shared" si="5"/>
        <v>0</v>
      </c>
      <c r="N82" s="274">
        <f t="shared" si="5"/>
        <v>0</v>
      </c>
      <c r="O82" s="274">
        <f t="shared" si="5"/>
        <v>0</v>
      </c>
      <c r="P82" s="274">
        <f t="shared" si="4"/>
        <v>0</v>
      </c>
      <c r="Q82" s="274">
        <f t="shared" si="5"/>
        <v>0</v>
      </c>
      <c r="R82" s="274">
        <f t="shared" si="5"/>
        <v>0</v>
      </c>
      <c r="S82" s="274">
        <f t="shared" si="5"/>
        <v>0</v>
      </c>
      <c r="T82" s="274">
        <f t="shared" si="5"/>
        <v>0</v>
      </c>
      <c r="U82" s="274">
        <f t="shared" si="5"/>
        <v>0</v>
      </c>
      <c r="V82" s="274">
        <f t="shared" si="5"/>
        <v>0</v>
      </c>
    </row>
    <row r="83" spans="1:22" x14ac:dyDescent="0.3">
      <c r="A83" s="274">
        <v>613</v>
      </c>
      <c r="F83" s="274">
        <f t="shared" si="5"/>
        <v>0</v>
      </c>
      <c r="G83" s="274">
        <f t="shared" si="5"/>
        <v>0</v>
      </c>
      <c r="H83" s="274">
        <f t="shared" si="5"/>
        <v>0</v>
      </c>
      <c r="I83" s="274">
        <f t="shared" si="5"/>
        <v>0</v>
      </c>
      <c r="J83" s="274">
        <f t="shared" si="5"/>
        <v>0</v>
      </c>
      <c r="K83" s="274">
        <f t="shared" si="5"/>
        <v>0</v>
      </c>
      <c r="L83" s="274">
        <f t="shared" si="5"/>
        <v>0</v>
      </c>
      <c r="M83" s="274">
        <f t="shared" si="5"/>
        <v>0</v>
      </c>
      <c r="N83" s="274">
        <f t="shared" si="5"/>
        <v>0</v>
      </c>
      <c r="O83" s="274">
        <f t="shared" si="5"/>
        <v>0</v>
      </c>
      <c r="P83" s="274">
        <f t="shared" si="4"/>
        <v>0</v>
      </c>
      <c r="Q83" s="274">
        <f t="shared" si="5"/>
        <v>0</v>
      </c>
      <c r="R83" s="274">
        <f t="shared" si="5"/>
        <v>0</v>
      </c>
      <c r="S83" s="274">
        <f t="shared" si="5"/>
        <v>0</v>
      </c>
      <c r="T83" s="274">
        <f t="shared" si="5"/>
        <v>0</v>
      </c>
      <c r="U83" s="274">
        <f t="shared" si="5"/>
        <v>0</v>
      </c>
      <c r="V83" s="274">
        <f t="shared" si="5"/>
        <v>0</v>
      </c>
    </row>
    <row r="84" spans="1:22" x14ac:dyDescent="0.3">
      <c r="A84" s="274">
        <v>614</v>
      </c>
      <c r="F84" s="274">
        <f t="shared" si="5"/>
        <v>0</v>
      </c>
      <c r="G84" s="274">
        <f t="shared" si="5"/>
        <v>0</v>
      </c>
      <c r="H84" s="274">
        <f t="shared" si="5"/>
        <v>0</v>
      </c>
      <c r="I84" s="274">
        <f t="shared" si="5"/>
        <v>0</v>
      </c>
      <c r="J84" s="274">
        <f t="shared" si="5"/>
        <v>0</v>
      </c>
      <c r="K84" s="274">
        <f t="shared" si="5"/>
        <v>0</v>
      </c>
      <c r="L84" s="274">
        <f t="shared" si="5"/>
        <v>0</v>
      </c>
      <c r="M84" s="274">
        <f t="shared" si="5"/>
        <v>0</v>
      </c>
      <c r="N84" s="274">
        <f t="shared" si="5"/>
        <v>0</v>
      </c>
      <c r="O84" s="274">
        <f t="shared" si="5"/>
        <v>0</v>
      </c>
      <c r="P84" s="274">
        <f t="shared" si="4"/>
        <v>0</v>
      </c>
      <c r="Q84" s="274">
        <f t="shared" si="5"/>
        <v>0</v>
      </c>
      <c r="R84" s="274">
        <f t="shared" si="5"/>
        <v>0</v>
      </c>
      <c r="S84" s="274">
        <f t="shared" si="5"/>
        <v>0</v>
      </c>
      <c r="T84" s="274">
        <f t="shared" si="5"/>
        <v>0</v>
      </c>
      <c r="U84" s="274">
        <f t="shared" si="5"/>
        <v>0</v>
      </c>
      <c r="V84" s="274">
        <f t="shared" si="5"/>
        <v>0</v>
      </c>
    </row>
    <row r="85" spans="1:22" x14ac:dyDescent="0.3">
      <c r="A85" s="274">
        <v>615</v>
      </c>
      <c r="F85" s="274">
        <f t="shared" si="5"/>
        <v>0</v>
      </c>
      <c r="G85" s="274">
        <f t="shared" si="5"/>
        <v>0</v>
      </c>
      <c r="H85" s="274">
        <f t="shared" si="5"/>
        <v>0</v>
      </c>
      <c r="I85" s="274">
        <f t="shared" si="5"/>
        <v>0</v>
      </c>
      <c r="J85" s="274">
        <f t="shared" si="5"/>
        <v>0</v>
      </c>
      <c r="K85" s="274">
        <f t="shared" si="5"/>
        <v>0</v>
      </c>
      <c r="L85" s="274">
        <f t="shared" si="5"/>
        <v>0</v>
      </c>
      <c r="M85" s="274">
        <f t="shared" si="5"/>
        <v>0</v>
      </c>
      <c r="N85" s="274">
        <f t="shared" si="5"/>
        <v>0</v>
      </c>
      <c r="O85" s="274">
        <f t="shared" si="5"/>
        <v>0</v>
      </c>
      <c r="P85" s="274">
        <f t="shared" si="4"/>
        <v>0</v>
      </c>
      <c r="Q85" s="274">
        <f t="shared" si="5"/>
        <v>0</v>
      </c>
      <c r="R85" s="274">
        <f t="shared" si="5"/>
        <v>0</v>
      </c>
      <c r="S85" s="274">
        <f t="shared" si="5"/>
        <v>0</v>
      </c>
      <c r="T85" s="274">
        <f t="shared" si="5"/>
        <v>0</v>
      </c>
      <c r="U85" s="274">
        <f t="shared" si="5"/>
        <v>0</v>
      </c>
      <c r="V85" s="274">
        <f t="shared" si="5"/>
        <v>0</v>
      </c>
    </row>
    <row r="86" spans="1:22" x14ac:dyDescent="0.3">
      <c r="A86" s="274">
        <v>616</v>
      </c>
      <c r="F86" s="274">
        <f t="shared" si="5"/>
        <v>0</v>
      </c>
      <c r="G86" s="274">
        <f t="shared" si="5"/>
        <v>0</v>
      </c>
      <c r="H86" s="274">
        <f t="shared" si="5"/>
        <v>0</v>
      </c>
      <c r="I86" s="274">
        <f t="shared" si="5"/>
        <v>0</v>
      </c>
      <c r="J86" s="274">
        <f t="shared" si="5"/>
        <v>0</v>
      </c>
      <c r="K86" s="274">
        <f t="shared" si="5"/>
        <v>0</v>
      </c>
      <c r="L86" s="274">
        <f t="shared" si="5"/>
        <v>0</v>
      </c>
      <c r="M86" s="274">
        <f t="shared" si="5"/>
        <v>0</v>
      </c>
      <c r="N86" s="274">
        <f t="shared" si="5"/>
        <v>0</v>
      </c>
      <c r="O86" s="274">
        <f t="shared" si="5"/>
        <v>0</v>
      </c>
      <c r="P86" s="274">
        <f t="shared" si="4"/>
        <v>0</v>
      </c>
      <c r="Q86" s="274">
        <f t="shared" si="5"/>
        <v>0</v>
      </c>
      <c r="R86" s="274">
        <f t="shared" si="5"/>
        <v>0</v>
      </c>
      <c r="S86" s="274">
        <f t="shared" si="5"/>
        <v>0</v>
      </c>
      <c r="T86" s="274">
        <f t="shared" si="5"/>
        <v>0</v>
      </c>
      <c r="U86" s="274">
        <f t="shared" si="5"/>
        <v>0</v>
      </c>
      <c r="V86" s="274">
        <f t="shared" si="5"/>
        <v>0</v>
      </c>
    </row>
    <row r="87" spans="1:22" x14ac:dyDescent="0.3">
      <c r="A87" s="274">
        <v>617</v>
      </c>
      <c r="F87" s="274">
        <f t="shared" si="5"/>
        <v>0</v>
      </c>
      <c r="G87" s="274">
        <f t="shared" si="5"/>
        <v>0</v>
      </c>
      <c r="H87" s="274">
        <f t="shared" si="5"/>
        <v>0</v>
      </c>
      <c r="I87" s="274">
        <f t="shared" si="5"/>
        <v>0</v>
      </c>
      <c r="J87" s="274">
        <f t="shared" si="5"/>
        <v>0</v>
      </c>
      <c r="K87" s="274">
        <f t="shared" si="5"/>
        <v>0</v>
      </c>
      <c r="L87" s="274">
        <f t="shared" si="5"/>
        <v>0</v>
      </c>
      <c r="M87" s="274">
        <f t="shared" si="5"/>
        <v>0</v>
      </c>
      <c r="N87" s="274">
        <f t="shared" si="5"/>
        <v>0</v>
      </c>
      <c r="O87" s="274">
        <f t="shared" si="5"/>
        <v>0</v>
      </c>
      <c r="P87" s="274">
        <f t="shared" si="4"/>
        <v>0</v>
      </c>
      <c r="Q87" s="274">
        <f t="shared" si="5"/>
        <v>0</v>
      </c>
      <c r="R87" s="274">
        <f t="shared" si="5"/>
        <v>0</v>
      </c>
      <c r="S87" s="274">
        <f t="shared" si="5"/>
        <v>0</v>
      </c>
      <c r="T87" s="274">
        <f t="shared" si="5"/>
        <v>0</v>
      </c>
      <c r="U87" s="274">
        <f t="shared" si="5"/>
        <v>0</v>
      </c>
      <c r="V87" s="274">
        <f t="shared" si="5"/>
        <v>0</v>
      </c>
    </row>
    <row r="88" spans="1:22" x14ac:dyDescent="0.3">
      <c r="A88" s="274">
        <v>618</v>
      </c>
      <c r="F88" s="274">
        <f t="shared" si="5"/>
        <v>0</v>
      </c>
      <c r="G88" s="274">
        <f t="shared" si="5"/>
        <v>0</v>
      </c>
      <c r="H88" s="274">
        <f t="shared" si="5"/>
        <v>0</v>
      </c>
      <c r="I88" s="274">
        <f t="shared" si="5"/>
        <v>0</v>
      </c>
      <c r="J88" s="274">
        <f t="shared" si="5"/>
        <v>0</v>
      </c>
      <c r="K88" s="274">
        <f t="shared" si="5"/>
        <v>0</v>
      </c>
      <c r="L88" s="274">
        <f t="shared" si="5"/>
        <v>0</v>
      </c>
      <c r="M88" s="274">
        <f t="shared" si="5"/>
        <v>0</v>
      </c>
      <c r="N88" s="274">
        <f t="shared" si="5"/>
        <v>0</v>
      </c>
      <c r="O88" s="274">
        <f t="shared" si="5"/>
        <v>0</v>
      </c>
      <c r="P88" s="274">
        <f t="shared" si="4"/>
        <v>0</v>
      </c>
      <c r="Q88" s="274">
        <f t="shared" si="5"/>
        <v>0</v>
      </c>
      <c r="R88" s="274">
        <f t="shared" si="5"/>
        <v>0</v>
      </c>
      <c r="S88" s="274">
        <f t="shared" si="5"/>
        <v>0</v>
      </c>
      <c r="T88" s="274">
        <f t="shared" si="5"/>
        <v>0</v>
      </c>
      <c r="U88" s="274">
        <f t="shared" si="5"/>
        <v>0</v>
      </c>
      <c r="V88" s="274">
        <f t="shared" si="5"/>
        <v>0</v>
      </c>
    </row>
    <row r="89" spans="1:22" x14ac:dyDescent="0.3">
      <c r="A89" s="274">
        <v>620</v>
      </c>
      <c r="F89" s="274">
        <f>F46</f>
        <v>2</v>
      </c>
      <c r="G89" s="274">
        <f t="shared" si="5"/>
        <v>2</v>
      </c>
      <c r="H89" s="274">
        <f t="shared" si="5"/>
        <v>0</v>
      </c>
      <c r="I89" s="274">
        <f t="shared" si="5"/>
        <v>2</v>
      </c>
      <c r="J89" s="274">
        <f t="shared" si="5"/>
        <v>0</v>
      </c>
      <c r="K89" s="274">
        <f t="shared" si="5"/>
        <v>0</v>
      </c>
      <c r="L89" s="274">
        <f t="shared" si="5"/>
        <v>0</v>
      </c>
      <c r="M89" s="274">
        <f t="shared" si="5"/>
        <v>0</v>
      </c>
      <c r="N89" s="274">
        <f t="shared" si="5"/>
        <v>0</v>
      </c>
      <c r="O89" s="274">
        <f t="shared" si="5"/>
        <v>2</v>
      </c>
      <c r="P89" s="274">
        <f t="shared" si="4"/>
        <v>1</v>
      </c>
      <c r="Q89" s="274">
        <f t="shared" si="5"/>
        <v>2</v>
      </c>
      <c r="R89" s="274">
        <f t="shared" si="5"/>
        <v>2</v>
      </c>
      <c r="S89" s="274">
        <f t="shared" si="5"/>
        <v>2</v>
      </c>
      <c r="T89" s="274">
        <f t="shared" si="5"/>
        <v>2</v>
      </c>
      <c r="U89" s="274">
        <f t="shared" si="5"/>
        <v>1</v>
      </c>
      <c r="V89" s="274">
        <f t="shared" si="5"/>
        <v>0</v>
      </c>
    </row>
    <row r="90" spans="1:22" x14ac:dyDescent="0.3">
      <c r="A90" s="274">
        <v>625</v>
      </c>
      <c r="F90" s="274">
        <f>F49</f>
        <v>1</v>
      </c>
      <c r="G90" s="274">
        <f t="shared" ref="G90:V91" si="6">G49</f>
        <v>1</v>
      </c>
      <c r="H90" s="274">
        <f t="shared" si="6"/>
        <v>0</v>
      </c>
      <c r="I90" s="274">
        <f t="shared" si="6"/>
        <v>1</v>
      </c>
      <c r="J90" s="274">
        <f t="shared" si="6"/>
        <v>0</v>
      </c>
      <c r="K90" s="274">
        <f t="shared" si="6"/>
        <v>0</v>
      </c>
      <c r="L90" s="274">
        <f t="shared" si="6"/>
        <v>0</v>
      </c>
      <c r="M90" s="274">
        <f t="shared" si="6"/>
        <v>0</v>
      </c>
      <c r="N90" s="274">
        <f t="shared" si="6"/>
        <v>1</v>
      </c>
      <c r="O90" s="274">
        <f t="shared" si="6"/>
        <v>1</v>
      </c>
      <c r="P90" s="274">
        <f t="shared" si="6"/>
        <v>1</v>
      </c>
      <c r="Q90" s="274">
        <f t="shared" si="6"/>
        <v>1</v>
      </c>
      <c r="R90" s="274">
        <f t="shared" si="6"/>
        <v>1</v>
      </c>
      <c r="S90" s="274">
        <f t="shared" si="6"/>
        <v>1</v>
      </c>
      <c r="T90" s="274">
        <f t="shared" si="6"/>
        <v>1</v>
      </c>
      <c r="U90" s="274">
        <f t="shared" si="6"/>
        <v>1</v>
      </c>
      <c r="V90" s="274">
        <f t="shared" si="6"/>
        <v>0</v>
      </c>
    </row>
    <row r="91" spans="1:22" x14ac:dyDescent="0.3">
      <c r="A91" s="274">
        <v>992</v>
      </c>
      <c r="F91" s="274">
        <f>F50</f>
        <v>0</v>
      </c>
      <c r="G91" s="274">
        <f t="shared" si="6"/>
        <v>2</v>
      </c>
      <c r="H91" s="274">
        <f t="shared" si="6"/>
        <v>0</v>
      </c>
      <c r="I91" s="274">
        <f t="shared" si="6"/>
        <v>1</v>
      </c>
      <c r="J91" s="274">
        <f t="shared" si="6"/>
        <v>0</v>
      </c>
      <c r="K91" s="274">
        <f t="shared" si="6"/>
        <v>0</v>
      </c>
      <c r="L91" s="274">
        <f t="shared" si="6"/>
        <v>0</v>
      </c>
      <c r="M91" s="274">
        <f t="shared" si="6"/>
        <v>0</v>
      </c>
      <c r="N91" s="274">
        <f t="shared" si="6"/>
        <v>1</v>
      </c>
      <c r="O91" s="274">
        <f t="shared" si="6"/>
        <v>3</v>
      </c>
      <c r="P91" s="274">
        <f t="shared" si="6"/>
        <v>2</v>
      </c>
      <c r="Q91" s="274">
        <f t="shared" si="6"/>
        <v>1</v>
      </c>
      <c r="R91" s="274">
        <f t="shared" si="6"/>
        <v>3</v>
      </c>
      <c r="S91" s="274">
        <f t="shared" si="6"/>
        <v>2</v>
      </c>
      <c r="T91" s="274">
        <f t="shared" si="6"/>
        <v>1</v>
      </c>
      <c r="U91" s="274">
        <f t="shared" si="6"/>
        <v>1</v>
      </c>
      <c r="V91" s="274">
        <f t="shared" si="6"/>
        <v>0</v>
      </c>
    </row>
    <row r="92" spans="1:22" x14ac:dyDescent="0.3">
      <c r="A92" s="274">
        <v>998</v>
      </c>
      <c r="F92" s="274">
        <f>F53</f>
        <v>53</v>
      </c>
      <c r="G92" s="274">
        <f t="shared" ref="G92:V93" si="7">G53</f>
        <v>53</v>
      </c>
      <c r="H92" s="274">
        <f t="shared" si="7"/>
        <v>0</v>
      </c>
      <c r="I92" s="274">
        <f t="shared" si="7"/>
        <v>53</v>
      </c>
      <c r="J92" s="274">
        <f t="shared" si="7"/>
        <v>0</v>
      </c>
      <c r="K92" s="274">
        <f t="shared" si="7"/>
        <v>0</v>
      </c>
      <c r="L92" s="274">
        <f t="shared" si="7"/>
        <v>0</v>
      </c>
      <c r="M92" s="274">
        <f t="shared" si="7"/>
        <v>0</v>
      </c>
      <c r="N92" s="274">
        <f t="shared" si="7"/>
        <v>53</v>
      </c>
      <c r="O92" s="274">
        <f t="shared" si="7"/>
        <v>53</v>
      </c>
      <c r="P92" s="274">
        <f t="shared" si="7"/>
        <v>53</v>
      </c>
      <c r="Q92" s="274">
        <f t="shared" si="7"/>
        <v>53</v>
      </c>
      <c r="R92" s="274">
        <f t="shared" si="7"/>
        <v>53</v>
      </c>
      <c r="S92" s="274">
        <f t="shared" si="7"/>
        <v>53</v>
      </c>
      <c r="T92" s="274">
        <f t="shared" si="7"/>
        <v>53</v>
      </c>
      <c r="U92" s="274">
        <f t="shared" si="7"/>
        <v>53</v>
      </c>
      <c r="V92" s="274">
        <f t="shared" si="7"/>
        <v>0</v>
      </c>
    </row>
    <row r="93" spans="1:22" x14ac:dyDescent="0.3">
      <c r="A93" s="274">
        <v>999</v>
      </c>
      <c r="F93" s="274">
        <f>F54</f>
        <v>53876</v>
      </c>
      <c r="G93" s="274">
        <f t="shared" si="7"/>
        <v>53926</v>
      </c>
      <c r="H93" s="274">
        <f t="shared" si="7"/>
        <v>0</v>
      </c>
      <c r="I93" s="274">
        <f t="shared" si="7"/>
        <v>53881</v>
      </c>
      <c r="J93" s="274">
        <f t="shared" si="7"/>
        <v>0</v>
      </c>
      <c r="K93" s="274">
        <f t="shared" si="7"/>
        <v>0</v>
      </c>
      <c r="L93" s="274">
        <f t="shared" si="7"/>
        <v>0</v>
      </c>
      <c r="M93" s="274">
        <f t="shared" si="7"/>
        <v>0</v>
      </c>
      <c r="N93" s="274">
        <f t="shared" si="7"/>
        <v>53897</v>
      </c>
      <c r="O93" s="274">
        <f t="shared" si="7"/>
        <v>53970</v>
      </c>
      <c r="P93" s="274">
        <f t="shared" si="7"/>
        <v>53950</v>
      </c>
      <c r="Q93" s="274">
        <f t="shared" si="7"/>
        <v>53901</v>
      </c>
      <c r="R93" s="274">
        <f t="shared" si="7"/>
        <v>53902</v>
      </c>
      <c r="S93" s="274">
        <f t="shared" si="7"/>
        <v>53923</v>
      </c>
      <c r="T93" s="274">
        <f t="shared" si="7"/>
        <v>53908</v>
      </c>
      <c r="U93" s="274">
        <f t="shared" si="7"/>
        <v>53913</v>
      </c>
      <c r="V93" s="274">
        <f t="shared" si="7"/>
        <v>0</v>
      </c>
    </row>
    <row r="95" spans="1:22" x14ac:dyDescent="0.3">
      <c r="F95" s="274">
        <f>SUM(F69:F94)</f>
        <v>53934</v>
      </c>
      <c r="G95" s="274">
        <f t="shared" ref="G95:V95" si="8">SUM(G69:G94)</f>
        <v>12754211.9</v>
      </c>
      <c r="H95" s="274">
        <f t="shared" si="8"/>
        <v>0</v>
      </c>
      <c r="I95" s="274">
        <f t="shared" si="8"/>
        <v>1631154</v>
      </c>
      <c r="J95" s="274">
        <f t="shared" si="8"/>
        <v>0</v>
      </c>
      <c r="K95" s="274">
        <f t="shared" si="8"/>
        <v>0</v>
      </c>
      <c r="L95" s="274">
        <f t="shared" si="8"/>
        <v>0</v>
      </c>
      <c r="M95" s="274">
        <f t="shared" si="8"/>
        <v>0</v>
      </c>
      <c r="N95" s="274">
        <f t="shared" si="8"/>
        <v>53954</v>
      </c>
      <c r="O95" s="274">
        <f t="shared" si="8"/>
        <v>54031</v>
      </c>
      <c r="P95" s="274">
        <f t="shared" si="8"/>
        <v>3023915.8</v>
      </c>
      <c r="Q95" s="274">
        <f t="shared" si="8"/>
        <v>9450124</v>
      </c>
      <c r="R95" s="274">
        <f t="shared" si="8"/>
        <v>53964</v>
      </c>
      <c r="S95" s="274">
        <f t="shared" si="8"/>
        <v>92712865</v>
      </c>
      <c r="T95" s="274">
        <f t="shared" si="8"/>
        <v>53967</v>
      </c>
      <c r="U95" s="274">
        <f t="shared" si="8"/>
        <v>53971</v>
      </c>
      <c r="V95" s="274">
        <f t="shared" si="8"/>
        <v>0</v>
      </c>
    </row>
    <row r="97" spans="6:22" x14ac:dyDescent="0.3">
      <c r="F97" s="1047">
        <f>F56-F95</f>
        <v>2770839</v>
      </c>
      <c r="G97" s="1047">
        <f t="shared" ref="G97:V97" si="9">G56-G95</f>
        <v>3889363776</v>
      </c>
      <c r="H97" s="1047">
        <f t="shared" si="9"/>
        <v>0</v>
      </c>
      <c r="I97" s="1047">
        <f t="shared" si="9"/>
        <v>2377337832</v>
      </c>
      <c r="J97" s="1047">
        <f t="shared" si="9"/>
        <v>0</v>
      </c>
      <c r="K97" s="1047">
        <f t="shared" si="9"/>
        <v>0</v>
      </c>
      <c r="L97" s="1047">
        <f t="shared" si="9"/>
        <v>0</v>
      </c>
      <c r="M97" s="1047">
        <f t="shared" si="9"/>
        <v>0</v>
      </c>
      <c r="N97" s="1047">
        <f t="shared" si="9"/>
        <v>1588374112</v>
      </c>
      <c r="O97" s="1047">
        <f t="shared" si="9"/>
        <v>330155109</v>
      </c>
      <c r="P97" s="1047">
        <f t="shared" si="9"/>
        <v>2223234971</v>
      </c>
      <c r="Q97" s="1047">
        <f t="shared" si="9"/>
        <v>8674169002</v>
      </c>
      <c r="R97" s="1047">
        <f t="shared" si="9"/>
        <v>755171636</v>
      </c>
      <c r="S97" s="1047">
        <f t="shared" si="9"/>
        <v>946379401</v>
      </c>
      <c r="T97" s="1047">
        <f t="shared" si="9"/>
        <v>443574419</v>
      </c>
      <c r="U97" s="1047">
        <f t="shared" si="9"/>
        <v>1649439004</v>
      </c>
      <c r="V97" s="1047">
        <f t="shared" si="9"/>
        <v>0</v>
      </c>
    </row>
  </sheetData>
  <sheetProtection algorithmName="SHA-512" hashValue="PBu4LrGtySAygFPBTiOdTkgLnSZ7uHu7kH8UrCMigbSEDMv7v2K95RrcxQCPKW1gmhmM7psjoYiDJ5OzGK2lKQ==" saltValue="51vyvduV6yqKmKIkl9sm7w==" spinCount="100000" sheet="1" objects="1" scenarios="1"/>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859C7-D101-4FF8-B13C-F4FADB068718}">
  <sheetPr codeName="Sheet13"/>
  <dimension ref="A1:K119"/>
  <sheetViews>
    <sheetView workbookViewId="0">
      <selection activeCell="C8" sqref="C8"/>
    </sheetView>
  </sheetViews>
  <sheetFormatPr defaultColWidth="9.109375" defaultRowHeight="14.4" x14ac:dyDescent="0.3"/>
  <cols>
    <col min="1" max="1" width="31.5546875" style="312" customWidth="1"/>
    <col min="2" max="2" width="8" style="312" customWidth="1"/>
    <col min="3" max="3" width="14.88671875" style="312" customWidth="1"/>
    <col min="4" max="4" width="16" style="312" customWidth="1"/>
    <col min="5" max="7" width="9.109375" style="312"/>
    <col min="8" max="8" width="21.33203125" style="312" customWidth="1"/>
    <col min="9" max="16384" width="9.109375" style="312"/>
  </cols>
  <sheetData>
    <row r="1" spans="1:11" ht="15.75" customHeight="1" x14ac:dyDescent="0.3">
      <c r="A1" s="1286" t="s">
        <v>1050</v>
      </c>
      <c r="B1" s="1286"/>
      <c r="C1" s="1286"/>
      <c r="D1" s="1286"/>
    </row>
    <row r="2" spans="1:11" ht="15.75" customHeight="1" x14ac:dyDescent="0.3">
      <c r="A2" s="1287" t="s">
        <v>1158</v>
      </c>
      <c r="B2" s="1287"/>
      <c r="C2" s="1287"/>
      <c r="D2" s="1287"/>
    </row>
    <row r="3" spans="1:11" ht="21.9" customHeight="1" x14ac:dyDescent="0.3">
      <c r="A3" s="1286" t="s">
        <v>1159</v>
      </c>
      <c r="B3" s="1286"/>
      <c r="C3" s="1286"/>
      <c r="D3" s="1286"/>
    </row>
    <row r="4" spans="1:11" ht="21" customHeight="1" x14ac:dyDescent="0.3">
      <c r="A4" s="740"/>
      <c r="B4" s="740"/>
      <c r="C4" s="739" t="s">
        <v>1160</v>
      </c>
      <c r="D4" s="739" t="s">
        <v>1161</v>
      </c>
      <c r="I4" s="740"/>
      <c r="J4" s="739"/>
      <c r="K4" s="739"/>
    </row>
    <row r="5" spans="1:11" ht="15.75" customHeight="1" x14ac:dyDescent="0.3">
      <c r="A5" s="740"/>
      <c r="B5" s="735" t="s">
        <v>1162</v>
      </c>
      <c r="C5" s="739" t="s">
        <v>1163</v>
      </c>
      <c r="D5" s="739" t="s">
        <v>1164</v>
      </c>
      <c r="I5" s="735"/>
      <c r="J5" s="739"/>
      <c r="K5" s="739"/>
    </row>
    <row r="6" spans="1:11" ht="21" customHeight="1" x14ac:dyDescent="0.3">
      <c r="A6" s="719" t="s">
        <v>1165</v>
      </c>
      <c r="B6" s="735" t="s">
        <v>1166</v>
      </c>
      <c r="C6" s="739" t="s">
        <v>1167</v>
      </c>
      <c r="D6" s="739" t="s">
        <v>1167</v>
      </c>
      <c r="I6" s="735"/>
      <c r="J6" s="739"/>
      <c r="K6" s="739"/>
    </row>
    <row r="7" spans="1:11" ht="21.9" customHeight="1" x14ac:dyDescent="0.3">
      <c r="A7" s="719" t="s">
        <v>1168</v>
      </c>
      <c r="B7" s="724">
        <v>0.59699999999999998</v>
      </c>
      <c r="C7" s="720">
        <v>2015</v>
      </c>
      <c r="D7" s="720">
        <v>2021</v>
      </c>
      <c r="H7" s="726"/>
      <c r="I7" s="722"/>
      <c r="J7" s="733"/>
      <c r="K7" s="733"/>
    </row>
    <row r="8" spans="1:11" ht="15.75" customHeight="1" x14ac:dyDescent="0.3">
      <c r="A8" s="719" t="s">
        <v>1169</v>
      </c>
      <c r="B8" s="724">
        <v>0.52900000000000003</v>
      </c>
      <c r="C8" s="720">
        <v>2017</v>
      </c>
      <c r="D8" s="720">
        <v>2021</v>
      </c>
      <c r="H8" s="726"/>
      <c r="I8" s="722"/>
      <c r="J8" s="733"/>
      <c r="K8" s="733"/>
    </row>
    <row r="9" spans="1:11" ht="15.75" customHeight="1" x14ac:dyDescent="0.3">
      <c r="A9" s="719" t="s">
        <v>1170</v>
      </c>
      <c r="B9" s="724">
        <v>0.63</v>
      </c>
      <c r="C9" s="720">
        <v>2013</v>
      </c>
      <c r="D9" s="720">
        <v>2021</v>
      </c>
      <c r="H9" s="726"/>
      <c r="I9" s="722"/>
      <c r="J9" s="733"/>
      <c r="K9" s="733"/>
    </row>
    <row r="10" spans="1:11" ht="15.75" customHeight="1" x14ac:dyDescent="0.3">
      <c r="A10" s="719" t="s">
        <v>1171</v>
      </c>
      <c r="B10" s="724">
        <v>0.73499999999999999</v>
      </c>
      <c r="C10" s="720">
        <v>2016</v>
      </c>
      <c r="D10" s="720">
        <v>2021</v>
      </c>
      <c r="H10" s="726"/>
      <c r="I10" s="722"/>
      <c r="J10" s="733"/>
      <c r="K10" s="733"/>
    </row>
    <row r="11" spans="1:11" ht="21.9" customHeight="1" x14ac:dyDescent="0.3">
      <c r="A11" s="719" t="s">
        <v>1172</v>
      </c>
      <c r="B11" s="724">
        <v>0.67</v>
      </c>
      <c r="C11" s="720">
        <v>2017</v>
      </c>
      <c r="D11" s="720">
        <v>2021</v>
      </c>
      <c r="H11" s="726"/>
      <c r="I11" s="722"/>
      <c r="J11" s="733"/>
      <c r="K11" s="733"/>
    </row>
    <row r="12" spans="1:11" ht="21" customHeight="1" x14ac:dyDescent="0.3">
      <c r="A12" s="719" t="s">
        <v>1173</v>
      </c>
      <c r="B12" s="724">
        <v>0.72</v>
      </c>
      <c r="C12" s="720">
        <v>2016</v>
      </c>
      <c r="D12" s="720">
        <v>2021</v>
      </c>
      <c r="H12" s="726"/>
      <c r="I12" s="722"/>
      <c r="J12" s="733"/>
      <c r="K12" s="733"/>
    </row>
    <row r="13" spans="1:11" ht="15.75" customHeight="1" x14ac:dyDescent="0.3">
      <c r="A13" s="719" t="s">
        <v>1174</v>
      </c>
      <c r="B13" s="724">
        <v>0.80500000000000005</v>
      </c>
      <c r="C13" s="720">
        <v>2013</v>
      </c>
      <c r="D13" s="720">
        <v>2021</v>
      </c>
      <c r="H13" s="726"/>
      <c r="I13" s="722"/>
      <c r="J13" s="733"/>
      <c r="K13" s="733"/>
    </row>
    <row r="14" spans="1:11" ht="15.75" customHeight="1" x14ac:dyDescent="0.3">
      <c r="A14" s="719" t="s">
        <v>1175</v>
      </c>
      <c r="B14" s="724">
        <v>0.48</v>
      </c>
      <c r="C14" s="720">
        <v>2013</v>
      </c>
      <c r="D14" s="720">
        <v>2021</v>
      </c>
      <c r="H14" s="726"/>
      <c r="I14" s="722"/>
      <c r="J14" s="733"/>
      <c r="K14" s="733"/>
    </row>
    <row r="15" spans="1:11" ht="15.75" customHeight="1" x14ac:dyDescent="0.3">
      <c r="A15" s="719" t="s">
        <v>1176</v>
      </c>
      <c r="B15" s="724">
        <v>0.54</v>
      </c>
      <c r="C15" s="720">
        <v>2015</v>
      </c>
      <c r="D15" s="720">
        <v>2021</v>
      </c>
      <c r="H15" s="726"/>
      <c r="I15" s="722"/>
      <c r="J15" s="733"/>
      <c r="K15" s="725"/>
    </row>
    <row r="16" spans="1:11" ht="21" customHeight="1" x14ac:dyDescent="0.3">
      <c r="A16" s="719" t="s">
        <v>1177</v>
      </c>
      <c r="B16" s="724">
        <v>0.73799999999999999</v>
      </c>
      <c r="C16" s="720">
        <v>2017</v>
      </c>
      <c r="D16" s="720">
        <v>2021</v>
      </c>
      <c r="H16" s="726"/>
      <c r="I16" s="722"/>
      <c r="J16" s="733"/>
      <c r="K16" s="725"/>
    </row>
    <row r="17" spans="1:11" ht="21.9" customHeight="1" x14ac:dyDescent="0.3">
      <c r="A17" s="719" t="s">
        <v>1178</v>
      </c>
      <c r="B17" s="724">
        <v>0.74350000000000005</v>
      </c>
      <c r="C17" s="720">
        <v>2017</v>
      </c>
      <c r="D17" s="720">
        <v>2021</v>
      </c>
      <c r="H17" s="726"/>
      <c r="I17" s="722"/>
      <c r="J17" s="733"/>
      <c r="K17" s="725"/>
    </row>
    <row r="18" spans="1:11" ht="15.75" customHeight="1" x14ac:dyDescent="0.3">
      <c r="A18" s="719" t="s">
        <v>1179</v>
      </c>
      <c r="B18" s="724">
        <v>0.78600000000000003</v>
      </c>
      <c r="C18" s="720">
        <v>2013</v>
      </c>
      <c r="D18" s="720">
        <v>2021</v>
      </c>
      <c r="H18" s="726"/>
      <c r="I18" s="722"/>
      <c r="J18" s="733"/>
      <c r="K18" s="725"/>
    </row>
    <row r="19" spans="1:11" ht="15.75" customHeight="1" x14ac:dyDescent="0.3">
      <c r="A19" s="719" t="s">
        <v>1180</v>
      </c>
      <c r="B19" s="724">
        <v>0.58499999999999996</v>
      </c>
      <c r="C19" s="720">
        <v>2017</v>
      </c>
      <c r="D19" s="720">
        <v>2021</v>
      </c>
      <c r="H19" s="726"/>
      <c r="I19" s="722"/>
      <c r="J19" s="733"/>
      <c r="K19" s="725"/>
    </row>
    <row r="20" spans="1:11" ht="15.75" customHeight="1" x14ac:dyDescent="0.3">
      <c r="A20" s="719" t="s">
        <v>1181</v>
      </c>
      <c r="B20" s="724">
        <v>0.38</v>
      </c>
      <c r="C20" s="720">
        <v>2016</v>
      </c>
      <c r="D20" s="720">
        <v>2021</v>
      </c>
    </row>
    <row r="21" spans="1:11" ht="21.9" customHeight="1" x14ac:dyDescent="0.3">
      <c r="A21" s="728" t="s">
        <v>1182</v>
      </c>
      <c r="B21" s="724">
        <v>0.55500000000000005</v>
      </c>
      <c r="C21" s="720">
        <v>2017</v>
      </c>
      <c r="D21" s="738">
        <v>2021</v>
      </c>
    </row>
    <row r="22" spans="1:11" ht="21" customHeight="1" x14ac:dyDescent="0.3">
      <c r="A22" s="728" t="s">
        <v>1183</v>
      </c>
      <c r="B22" s="724">
        <v>0.8679</v>
      </c>
      <c r="C22" s="720">
        <v>2017</v>
      </c>
      <c r="D22" s="738">
        <v>2021</v>
      </c>
    </row>
    <row r="23" spans="1:11" ht="15.75" customHeight="1" x14ac:dyDescent="0.3">
      <c r="A23" s="728" t="s">
        <v>1184</v>
      </c>
      <c r="B23" s="724">
        <v>0.72</v>
      </c>
      <c r="C23" s="720">
        <v>2013</v>
      </c>
      <c r="D23" s="738">
        <v>2021</v>
      </c>
    </row>
    <row r="24" spans="1:11" ht="15.75" customHeight="1" x14ac:dyDescent="0.3">
      <c r="A24" s="728" t="s">
        <v>1185</v>
      </c>
      <c r="B24" s="724">
        <v>0.5494</v>
      </c>
      <c r="C24" s="720">
        <v>2017</v>
      </c>
      <c r="D24" s="738">
        <v>2021</v>
      </c>
    </row>
    <row r="25" spans="1:11" ht="15.75" customHeight="1" x14ac:dyDescent="0.3">
      <c r="A25" s="728" t="s">
        <v>1186</v>
      </c>
      <c r="B25" s="724">
        <v>0.67</v>
      </c>
      <c r="C25" s="720">
        <v>2017</v>
      </c>
      <c r="D25" s="738">
        <v>2021</v>
      </c>
    </row>
    <row r="26" spans="1:11" ht="21.9" customHeight="1" x14ac:dyDescent="0.3">
      <c r="A26" s="728" t="s">
        <v>1187</v>
      </c>
      <c r="B26" s="724">
        <v>0.66</v>
      </c>
      <c r="C26" s="720">
        <v>2017</v>
      </c>
      <c r="D26" s="738">
        <v>2021</v>
      </c>
    </row>
    <row r="27" spans="1:11" ht="21.9" customHeight="1" x14ac:dyDescent="0.3">
      <c r="A27" s="728" t="s">
        <v>1188</v>
      </c>
      <c r="B27" s="724">
        <v>0.58199999999999996</v>
      </c>
      <c r="C27" s="720">
        <v>2016</v>
      </c>
      <c r="D27" s="738">
        <v>2021</v>
      </c>
    </row>
    <row r="28" spans="1:11" ht="15.75" customHeight="1" x14ac:dyDescent="0.3">
      <c r="A28" s="728" t="s">
        <v>1189</v>
      </c>
      <c r="B28" s="724">
        <v>0.36</v>
      </c>
      <c r="C28" s="720">
        <v>2013</v>
      </c>
      <c r="D28" s="738">
        <v>2021</v>
      </c>
    </row>
    <row r="29" spans="1:11" ht="15.75" customHeight="1" x14ac:dyDescent="0.3">
      <c r="A29" s="728" t="s">
        <v>1190</v>
      </c>
      <c r="B29" s="724">
        <v>0.63600000000000001</v>
      </c>
      <c r="C29" s="720">
        <v>2016</v>
      </c>
      <c r="D29" s="738">
        <v>2021</v>
      </c>
    </row>
    <row r="30" spans="1:11" ht="15.75" customHeight="1" x14ac:dyDescent="0.3">
      <c r="A30" s="728" t="s">
        <v>1191</v>
      </c>
      <c r="B30" s="724">
        <v>0.73089999999999999</v>
      </c>
      <c r="C30" s="720">
        <v>2015</v>
      </c>
      <c r="D30" s="738">
        <v>2021</v>
      </c>
    </row>
    <row r="31" spans="1:11" ht="21" customHeight="1" x14ac:dyDescent="0.3">
      <c r="A31" s="728" t="s">
        <v>1192</v>
      </c>
      <c r="B31" s="724">
        <v>0.85499999999999998</v>
      </c>
      <c r="C31" s="720">
        <v>2013</v>
      </c>
      <c r="D31" s="738">
        <v>2021</v>
      </c>
    </row>
    <row r="32" spans="1:11" ht="21.9" customHeight="1" x14ac:dyDescent="0.3">
      <c r="A32" s="741" t="s">
        <v>1193</v>
      </c>
      <c r="B32" s="718">
        <v>0.55000000000000004</v>
      </c>
      <c r="C32" s="737">
        <v>2018</v>
      </c>
      <c r="D32" s="737">
        <v>2022</v>
      </c>
    </row>
    <row r="33" spans="1:4" ht="15.75" customHeight="1" x14ac:dyDescent="0.3">
      <c r="A33" s="741" t="s">
        <v>1194</v>
      </c>
      <c r="B33" s="718">
        <v>0.82</v>
      </c>
      <c r="C33" s="737">
        <v>2015</v>
      </c>
      <c r="D33" s="737">
        <v>2022</v>
      </c>
    </row>
    <row r="34" spans="1:4" ht="15.75" customHeight="1" x14ac:dyDescent="0.3">
      <c r="A34" s="741" t="s">
        <v>1195</v>
      </c>
      <c r="B34" s="718">
        <v>0.755</v>
      </c>
      <c r="C34" s="737">
        <v>2014</v>
      </c>
      <c r="D34" s="737">
        <v>2022</v>
      </c>
    </row>
    <row r="35" spans="1:4" ht="15.75" customHeight="1" x14ac:dyDescent="0.3">
      <c r="A35" s="741" t="s">
        <v>1196</v>
      </c>
      <c r="B35" s="718">
        <v>0.5494</v>
      </c>
      <c r="C35" s="737">
        <v>2016</v>
      </c>
      <c r="D35" s="737">
        <v>2022</v>
      </c>
    </row>
    <row r="36" spans="1:4" ht="21.9" customHeight="1" x14ac:dyDescent="0.3">
      <c r="A36" s="741" t="s">
        <v>1197</v>
      </c>
      <c r="B36" s="718">
        <v>0.73499999999999999</v>
      </c>
      <c r="C36" s="737">
        <v>2017</v>
      </c>
      <c r="D36" s="737">
        <v>2022</v>
      </c>
    </row>
    <row r="37" spans="1:4" ht="21" customHeight="1" x14ac:dyDescent="0.3">
      <c r="A37" s="741" t="s">
        <v>1198</v>
      </c>
      <c r="B37" s="718">
        <v>0.73050000000000004</v>
      </c>
      <c r="C37" s="737">
        <v>2017</v>
      </c>
      <c r="D37" s="737">
        <v>2022</v>
      </c>
    </row>
    <row r="38" spans="1:4" ht="15.75" customHeight="1" x14ac:dyDescent="0.3">
      <c r="A38" s="741" t="s">
        <v>1199</v>
      </c>
      <c r="B38" s="718">
        <v>0.75</v>
      </c>
      <c r="C38" s="737">
        <v>2017</v>
      </c>
      <c r="D38" s="737">
        <v>2022</v>
      </c>
    </row>
    <row r="39" spans="1:4" ht="15.75" customHeight="1" x14ac:dyDescent="0.3">
      <c r="A39" s="741" t="s">
        <v>1200</v>
      </c>
      <c r="B39" s="718">
        <v>0.75</v>
      </c>
      <c r="C39" s="737">
        <v>2014</v>
      </c>
      <c r="D39" s="737">
        <v>2022</v>
      </c>
    </row>
    <row r="40" spans="1:4" ht="15.75" customHeight="1" x14ac:dyDescent="0.3">
      <c r="A40" s="742" t="s">
        <v>1201</v>
      </c>
      <c r="B40" s="718">
        <v>0.77</v>
      </c>
      <c r="C40" s="737">
        <v>2014</v>
      </c>
      <c r="D40" s="723">
        <v>2022</v>
      </c>
    </row>
    <row r="41" spans="1:4" ht="21" customHeight="1" x14ac:dyDescent="0.3">
      <c r="A41" s="742" t="s">
        <v>1202</v>
      </c>
      <c r="B41" s="718">
        <v>0.57999999999999996</v>
      </c>
      <c r="C41" s="737">
        <v>2018</v>
      </c>
      <c r="D41" s="723">
        <v>2022</v>
      </c>
    </row>
    <row r="42" spans="1:4" ht="21.9" customHeight="1" x14ac:dyDescent="0.3">
      <c r="A42" s="742" t="s">
        <v>1203</v>
      </c>
      <c r="B42" s="718">
        <v>0.70499999999999996</v>
      </c>
      <c r="C42" s="737">
        <v>2018</v>
      </c>
      <c r="D42" s="723">
        <v>2022</v>
      </c>
    </row>
    <row r="43" spans="1:4" ht="15.75" customHeight="1" x14ac:dyDescent="0.3">
      <c r="A43" s="742" t="s">
        <v>1204</v>
      </c>
      <c r="B43" s="718">
        <v>0.77</v>
      </c>
      <c r="C43" s="737">
        <v>2014</v>
      </c>
      <c r="D43" s="723">
        <v>2022</v>
      </c>
    </row>
    <row r="44" spans="1:4" ht="15.75" customHeight="1" x14ac:dyDescent="0.3">
      <c r="A44" s="742" t="s">
        <v>1205</v>
      </c>
      <c r="B44" s="718">
        <v>0.40300000000000002</v>
      </c>
      <c r="C44" s="737">
        <v>2014</v>
      </c>
      <c r="D44" s="723">
        <v>2022</v>
      </c>
    </row>
    <row r="45" spans="1:4" ht="15.75" customHeight="1" x14ac:dyDescent="0.3">
      <c r="A45" s="719" t="s">
        <v>1206</v>
      </c>
      <c r="B45" s="724">
        <v>0.79</v>
      </c>
      <c r="C45" s="720">
        <v>2015</v>
      </c>
      <c r="D45" s="720">
        <v>2023</v>
      </c>
    </row>
    <row r="46" spans="1:4" ht="21.9" customHeight="1" x14ac:dyDescent="0.3">
      <c r="A46" s="719" t="s">
        <v>1207</v>
      </c>
      <c r="B46" s="724">
        <v>0.443</v>
      </c>
      <c r="C46" s="720">
        <v>2019</v>
      </c>
      <c r="D46" s="720">
        <v>2023</v>
      </c>
    </row>
    <row r="47" spans="1:4" ht="21" customHeight="1" x14ac:dyDescent="0.3">
      <c r="A47" s="719" t="s">
        <v>1208</v>
      </c>
      <c r="B47" s="724">
        <v>0.48499999999999999</v>
      </c>
      <c r="C47" s="720">
        <v>2019</v>
      </c>
      <c r="D47" s="720">
        <v>2023</v>
      </c>
    </row>
    <row r="48" spans="1:4" ht="15.75" customHeight="1" x14ac:dyDescent="0.3">
      <c r="A48" s="719" t="s">
        <v>1209</v>
      </c>
      <c r="B48" s="724">
        <v>0.74</v>
      </c>
      <c r="C48" s="720">
        <v>2015</v>
      </c>
      <c r="D48" s="720">
        <v>2023</v>
      </c>
    </row>
    <row r="49" spans="1:4" ht="15.75" customHeight="1" x14ac:dyDescent="0.3">
      <c r="A49" s="719" t="s">
        <v>1210</v>
      </c>
      <c r="B49" s="724">
        <v>0.57499999999999996</v>
      </c>
      <c r="C49" s="720">
        <v>2019</v>
      </c>
      <c r="D49" s="720">
        <v>2023</v>
      </c>
    </row>
    <row r="50" spans="1:4" ht="15.75" customHeight="1" x14ac:dyDescent="0.3">
      <c r="A50" s="719" t="s">
        <v>1211</v>
      </c>
      <c r="B50" s="724">
        <v>0.71220000000000006</v>
      </c>
      <c r="C50" s="720">
        <v>2019</v>
      </c>
      <c r="D50" s="720">
        <v>2023</v>
      </c>
    </row>
    <row r="51" spans="1:4" ht="21.9" customHeight="1" x14ac:dyDescent="0.3">
      <c r="A51" s="719" t="s">
        <v>1212</v>
      </c>
      <c r="B51" s="724">
        <v>0.83</v>
      </c>
      <c r="C51" s="720">
        <v>2019</v>
      </c>
      <c r="D51" s="720">
        <v>2023</v>
      </c>
    </row>
    <row r="52" spans="1:4" ht="21.9" customHeight="1" x14ac:dyDescent="0.3">
      <c r="A52" s="719" t="s">
        <v>1213</v>
      </c>
      <c r="B52" s="724">
        <v>0.65</v>
      </c>
      <c r="C52" s="720">
        <v>2019</v>
      </c>
      <c r="D52" s="720">
        <v>2023</v>
      </c>
    </row>
    <row r="53" spans="1:4" ht="15.75" customHeight="1" x14ac:dyDescent="0.3">
      <c r="A53" s="719" t="s">
        <v>1214</v>
      </c>
      <c r="B53" s="724">
        <v>0.56100000000000005</v>
      </c>
      <c r="C53" s="720">
        <v>2019</v>
      </c>
      <c r="D53" s="720">
        <v>2023</v>
      </c>
    </row>
    <row r="54" spans="1:4" ht="15.75" customHeight="1" x14ac:dyDescent="0.3">
      <c r="A54" s="719" t="s">
        <v>1215</v>
      </c>
      <c r="B54" s="724">
        <v>0.77</v>
      </c>
      <c r="C54" s="720">
        <v>2017</v>
      </c>
      <c r="D54" s="720">
        <v>2023</v>
      </c>
    </row>
    <row r="55" spans="1:4" ht="15.75" customHeight="1" x14ac:dyDescent="0.3">
      <c r="A55" s="719" t="s">
        <v>1216</v>
      </c>
      <c r="B55" s="724">
        <v>0.53749999999999998</v>
      </c>
      <c r="C55" s="720">
        <v>2019</v>
      </c>
      <c r="D55" s="720">
        <v>2023</v>
      </c>
    </row>
    <row r="56" spans="1:4" ht="36" customHeight="1" x14ac:dyDescent="0.3">
      <c r="A56" s="728" t="s">
        <v>1217</v>
      </c>
      <c r="B56" s="724">
        <v>0.77500000000000002</v>
      </c>
      <c r="C56" s="720">
        <v>2019</v>
      </c>
      <c r="D56" s="738">
        <v>2023</v>
      </c>
    </row>
    <row r="57" spans="1:4" ht="36" customHeight="1" x14ac:dyDescent="0.3">
      <c r="A57" s="728" t="s">
        <v>1218</v>
      </c>
      <c r="B57" s="724">
        <v>0.59899999999999998</v>
      </c>
      <c r="C57" s="720">
        <v>2019</v>
      </c>
      <c r="D57" s="738">
        <v>2023</v>
      </c>
    </row>
    <row r="58" spans="1:4" ht="36" customHeight="1" x14ac:dyDescent="0.3">
      <c r="A58" s="728" t="s">
        <v>1219</v>
      </c>
      <c r="B58" s="724">
        <v>0.37469999999999998</v>
      </c>
      <c r="C58" s="720">
        <v>2019</v>
      </c>
      <c r="D58" s="738">
        <v>2023</v>
      </c>
    </row>
    <row r="59" spans="1:4" ht="36" customHeight="1" x14ac:dyDescent="0.3">
      <c r="A59" s="728" t="s">
        <v>1220</v>
      </c>
      <c r="B59" s="724">
        <v>0.58750000000000002</v>
      </c>
      <c r="C59" s="720">
        <v>2019</v>
      </c>
      <c r="D59" s="738">
        <v>2023</v>
      </c>
    </row>
    <row r="60" spans="1:4" ht="36" customHeight="1" x14ac:dyDescent="0.3">
      <c r="A60" s="728" t="s">
        <v>1221</v>
      </c>
      <c r="B60" s="724">
        <v>0.6169</v>
      </c>
      <c r="C60" s="720">
        <v>2019</v>
      </c>
      <c r="D60" s="738">
        <v>2023</v>
      </c>
    </row>
    <row r="61" spans="1:4" ht="36" customHeight="1" x14ac:dyDescent="0.3">
      <c r="A61" s="728" t="s">
        <v>1222</v>
      </c>
      <c r="B61" s="724">
        <v>0.51</v>
      </c>
      <c r="C61" s="720">
        <v>2019</v>
      </c>
      <c r="D61" s="738">
        <v>2023</v>
      </c>
    </row>
    <row r="62" spans="1:4" ht="36" customHeight="1" x14ac:dyDescent="0.3">
      <c r="A62" s="728" t="s">
        <v>1223</v>
      </c>
      <c r="B62" s="724">
        <v>0.91</v>
      </c>
      <c r="C62" s="720">
        <v>2015</v>
      </c>
      <c r="D62" s="738">
        <v>2023</v>
      </c>
    </row>
    <row r="63" spans="1:4" ht="36" customHeight="1" x14ac:dyDescent="0.3">
      <c r="A63" s="728" t="s">
        <v>1224</v>
      </c>
      <c r="B63" s="724">
        <v>0.65749999999999997</v>
      </c>
      <c r="C63" s="720">
        <v>2019</v>
      </c>
      <c r="D63" s="738">
        <v>2023</v>
      </c>
    </row>
    <row r="64" spans="1:4" ht="36" customHeight="1" x14ac:dyDescent="0.3">
      <c r="A64" s="728" t="s">
        <v>1225</v>
      </c>
      <c r="B64" s="724">
        <v>0.59699999999999998</v>
      </c>
      <c r="C64" s="720">
        <v>2019</v>
      </c>
      <c r="D64" s="738">
        <v>2023</v>
      </c>
    </row>
    <row r="65" spans="1:4" ht="36" customHeight="1" x14ac:dyDescent="0.3">
      <c r="A65" s="728" t="s">
        <v>1226</v>
      </c>
      <c r="B65" s="724">
        <v>0.66</v>
      </c>
      <c r="C65" s="720">
        <v>2019</v>
      </c>
      <c r="D65" s="738">
        <v>2023</v>
      </c>
    </row>
    <row r="66" spans="1:4" ht="36" customHeight="1" x14ac:dyDescent="0.3">
      <c r="A66" s="728" t="s">
        <v>1227</v>
      </c>
      <c r="B66" s="724">
        <v>0.66</v>
      </c>
      <c r="C66" s="720">
        <v>2017</v>
      </c>
      <c r="D66" s="738">
        <v>2023</v>
      </c>
    </row>
    <row r="67" spans="1:4" ht="36" customHeight="1" x14ac:dyDescent="0.3">
      <c r="A67" s="719" t="s">
        <v>1228</v>
      </c>
      <c r="B67" s="724">
        <v>0.74</v>
      </c>
      <c r="C67" s="720">
        <v>2020</v>
      </c>
      <c r="D67" s="720">
        <v>2024</v>
      </c>
    </row>
    <row r="68" spans="1:4" ht="36" customHeight="1" x14ac:dyDescent="0.3">
      <c r="A68" s="719" t="s">
        <v>1229</v>
      </c>
      <c r="B68" s="724">
        <v>0.33</v>
      </c>
      <c r="C68" s="720">
        <v>2020</v>
      </c>
      <c r="D68" s="720">
        <v>2024</v>
      </c>
    </row>
    <row r="69" spans="1:4" ht="36" customHeight="1" x14ac:dyDescent="0.3">
      <c r="A69" s="719" t="s">
        <v>1230</v>
      </c>
      <c r="B69" s="724">
        <v>0.80500000000000005</v>
      </c>
      <c r="C69" s="720">
        <v>2018</v>
      </c>
      <c r="D69" s="720">
        <v>2024</v>
      </c>
    </row>
    <row r="70" spans="1:4" ht="36" customHeight="1" x14ac:dyDescent="0.3">
      <c r="A70" s="719" t="s">
        <v>1231</v>
      </c>
      <c r="B70" s="724">
        <v>0.76</v>
      </c>
      <c r="C70" s="720">
        <v>2020</v>
      </c>
      <c r="D70" s="720">
        <v>2024</v>
      </c>
    </row>
    <row r="71" spans="1:4" ht="36" customHeight="1" x14ac:dyDescent="0.3">
      <c r="A71" s="728" t="s">
        <v>1232</v>
      </c>
      <c r="B71" s="724">
        <v>0.59</v>
      </c>
      <c r="C71" s="720">
        <v>2016</v>
      </c>
      <c r="D71" s="738">
        <v>2024</v>
      </c>
    </row>
    <row r="72" spans="1:4" ht="36" customHeight="1" x14ac:dyDescent="0.3">
      <c r="A72" s="728" t="s">
        <v>1233</v>
      </c>
      <c r="B72" s="724">
        <v>0.67969999999999997</v>
      </c>
      <c r="C72" s="720">
        <v>2020</v>
      </c>
      <c r="D72" s="738">
        <v>2024</v>
      </c>
    </row>
    <row r="73" spans="1:4" ht="36" customHeight="1" x14ac:dyDescent="0.3">
      <c r="A73" s="728" t="s">
        <v>1234</v>
      </c>
      <c r="B73" s="724">
        <v>0.83</v>
      </c>
      <c r="C73" s="720">
        <v>2016</v>
      </c>
      <c r="D73" s="738">
        <v>2024</v>
      </c>
    </row>
    <row r="74" spans="1:4" ht="36" customHeight="1" x14ac:dyDescent="0.3">
      <c r="A74" s="728" t="s">
        <v>1235</v>
      </c>
      <c r="B74" s="724">
        <v>0.77</v>
      </c>
      <c r="C74" s="720">
        <v>2018</v>
      </c>
      <c r="D74" s="738">
        <v>2024</v>
      </c>
    </row>
    <row r="75" spans="1:4" ht="36" customHeight="1" x14ac:dyDescent="0.3">
      <c r="A75" s="728" t="s">
        <v>1236</v>
      </c>
      <c r="B75" s="724">
        <v>0.89</v>
      </c>
      <c r="C75" s="720">
        <v>2016</v>
      </c>
      <c r="D75" s="738">
        <v>2024</v>
      </c>
    </row>
    <row r="76" spans="1:4" ht="36" customHeight="1" x14ac:dyDescent="0.3">
      <c r="A76" s="728" t="s">
        <v>1237</v>
      </c>
      <c r="B76" s="724">
        <v>0.6</v>
      </c>
      <c r="C76" s="720">
        <v>2020</v>
      </c>
      <c r="D76" s="738">
        <v>2024</v>
      </c>
    </row>
    <row r="77" spans="1:4" ht="36" customHeight="1" x14ac:dyDescent="0.3">
      <c r="A77" s="728" t="s">
        <v>1238</v>
      </c>
      <c r="B77" s="724">
        <v>0.73</v>
      </c>
      <c r="C77" s="720">
        <v>2016</v>
      </c>
      <c r="D77" s="738">
        <v>2024</v>
      </c>
    </row>
    <row r="78" spans="1:4" ht="36" customHeight="1" x14ac:dyDescent="0.3">
      <c r="A78" s="728" t="s">
        <v>1239</v>
      </c>
      <c r="B78" s="724">
        <v>0.6</v>
      </c>
      <c r="C78" s="720">
        <v>2016</v>
      </c>
      <c r="D78" s="738">
        <v>2024</v>
      </c>
    </row>
    <row r="79" spans="1:4" ht="36" customHeight="1" x14ac:dyDescent="0.3">
      <c r="A79" s="719" t="s">
        <v>1240</v>
      </c>
      <c r="B79" s="724">
        <v>0.67</v>
      </c>
      <c r="C79" s="720">
        <v>2017</v>
      </c>
      <c r="D79" s="720">
        <v>2025</v>
      </c>
    </row>
    <row r="80" spans="1:4" ht="36" customHeight="1" x14ac:dyDescent="0.3">
      <c r="A80" s="719" t="s">
        <v>1241</v>
      </c>
      <c r="B80" s="724">
        <v>0.69499999999999995</v>
      </c>
      <c r="C80" s="720">
        <v>2019</v>
      </c>
      <c r="D80" s="720">
        <v>2025</v>
      </c>
    </row>
    <row r="81" spans="1:4" ht="36" customHeight="1" x14ac:dyDescent="0.3">
      <c r="A81" s="719" t="s">
        <v>1242</v>
      </c>
      <c r="B81" s="724">
        <v>0.79900000000000004</v>
      </c>
      <c r="C81" s="720">
        <v>2017</v>
      </c>
      <c r="D81" s="720">
        <v>2025</v>
      </c>
    </row>
    <row r="82" spans="1:4" ht="36" customHeight="1" x14ac:dyDescent="0.3">
      <c r="A82" s="719" t="s">
        <v>1243</v>
      </c>
      <c r="B82" s="724">
        <v>0.40050000000000002</v>
      </c>
      <c r="C82" s="720">
        <v>2020</v>
      </c>
      <c r="D82" s="720">
        <v>2025</v>
      </c>
    </row>
    <row r="83" spans="1:4" ht="36" customHeight="1" x14ac:dyDescent="0.3">
      <c r="A83" s="719" t="s">
        <v>1244</v>
      </c>
      <c r="B83" s="724">
        <v>0.95</v>
      </c>
      <c r="C83" s="720">
        <v>2017</v>
      </c>
      <c r="D83" s="720">
        <v>2025</v>
      </c>
    </row>
    <row r="84" spans="1:4" ht="36" customHeight="1" x14ac:dyDescent="0.3">
      <c r="A84" s="719" t="s">
        <v>1245</v>
      </c>
      <c r="B84" s="724">
        <v>0.79</v>
      </c>
      <c r="C84" s="720">
        <v>2017</v>
      </c>
      <c r="D84" s="720">
        <v>2025</v>
      </c>
    </row>
    <row r="85" spans="1:4" ht="36" customHeight="1" x14ac:dyDescent="0.3">
      <c r="A85" s="728" t="s">
        <v>1246</v>
      </c>
      <c r="B85" s="724">
        <v>0.76</v>
      </c>
      <c r="C85" s="720">
        <v>2019</v>
      </c>
      <c r="D85" s="738">
        <v>2025</v>
      </c>
    </row>
    <row r="86" spans="1:4" ht="36" customHeight="1" x14ac:dyDescent="0.3">
      <c r="A86" s="728" t="s">
        <v>1247</v>
      </c>
      <c r="B86" s="724">
        <v>0.84499999999999997</v>
      </c>
      <c r="C86" s="720">
        <v>2017</v>
      </c>
      <c r="D86" s="738">
        <v>2025</v>
      </c>
    </row>
    <row r="87" spans="1:4" ht="36" customHeight="1" x14ac:dyDescent="0.3">
      <c r="A87" s="728" t="s">
        <v>1248</v>
      </c>
      <c r="B87" s="724">
        <v>0.81</v>
      </c>
      <c r="C87" s="720">
        <v>2017</v>
      </c>
      <c r="D87" s="738">
        <v>2025</v>
      </c>
    </row>
    <row r="88" spans="1:4" ht="36" customHeight="1" x14ac:dyDescent="0.3">
      <c r="A88" s="728" t="s">
        <v>1249</v>
      </c>
      <c r="B88" s="724">
        <v>0.67</v>
      </c>
      <c r="C88" s="720">
        <v>2017</v>
      </c>
      <c r="D88" s="738">
        <v>2025</v>
      </c>
    </row>
    <row r="89" spans="1:4" ht="36" customHeight="1" x14ac:dyDescent="0.3">
      <c r="A89" s="728" t="s">
        <v>1250</v>
      </c>
      <c r="B89" s="724">
        <v>0.63270000000000004</v>
      </c>
      <c r="C89" s="720">
        <v>2019</v>
      </c>
      <c r="D89" s="738">
        <v>2025</v>
      </c>
    </row>
    <row r="90" spans="1:4" ht="36" customHeight="1" x14ac:dyDescent="0.3">
      <c r="A90" s="728" t="s">
        <v>1251</v>
      </c>
      <c r="B90" s="724">
        <v>0.94</v>
      </c>
      <c r="C90" s="720">
        <v>2017</v>
      </c>
      <c r="D90" s="738">
        <v>2025</v>
      </c>
    </row>
    <row r="91" spans="1:4" ht="36" customHeight="1" x14ac:dyDescent="0.3">
      <c r="A91" s="728" t="s">
        <v>1252</v>
      </c>
      <c r="B91" s="724">
        <v>0.81</v>
      </c>
      <c r="C91" s="720">
        <v>2017</v>
      </c>
      <c r="D91" s="738">
        <v>2025</v>
      </c>
    </row>
    <row r="92" spans="1:4" ht="36" customHeight="1" x14ac:dyDescent="0.3">
      <c r="A92" s="719" t="s">
        <v>1253</v>
      </c>
      <c r="B92" s="724">
        <v>0.77700000000000002</v>
      </c>
      <c r="C92" s="720">
        <v>2018</v>
      </c>
      <c r="D92" s="720">
        <v>2026</v>
      </c>
    </row>
    <row r="93" spans="1:4" ht="36" customHeight="1" x14ac:dyDescent="0.3">
      <c r="A93" s="719" t="s">
        <v>1254</v>
      </c>
      <c r="B93" s="724">
        <v>0.63500000000000001</v>
      </c>
      <c r="C93" s="720">
        <v>2018</v>
      </c>
      <c r="D93" s="720">
        <v>2026</v>
      </c>
    </row>
    <row r="94" spans="1:4" ht="36" customHeight="1" x14ac:dyDescent="0.3">
      <c r="A94" s="719" t="s">
        <v>1255</v>
      </c>
      <c r="B94" s="724">
        <v>0.43</v>
      </c>
      <c r="C94" s="720">
        <v>2018</v>
      </c>
      <c r="D94" s="720">
        <v>2026</v>
      </c>
    </row>
    <row r="95" spans="1:4" ht="36" customHeight="1" x14ac:dyDescent="0.3">
      <c r="A95" s="719" t="s">
        <v>1256</v>
      </c>
      <c r="B95" s="724">
        <v>0.84</v>
      </c>
      <c r="C95" s="720">
        <v>2018</v>
      </c>
      <c r="D95" s="720">
        <v>2026</v>
      </c>
    </row>
    <row r="96" spans="1:4" ht="36" customHeight="1" x14ac:dyDescent="0.3">
      <c r="A96" s="719" t="s">
        <v>1257</v>
      </c>
      <c r="B96" s="724">
        <v>0.84</v>
      </c>
      <c r="C96" s="720">
        <v>2019</v>
      </c>
      <c r="D96" s="720">
        <v>2027</v>
      </c>
    </row>
    <row r="97" spans="1:4" ht="36" customHeight="1" x14ac:dyDescent="0.3">
      <c r="A97" s="728" t="s">
        <v>1258</v>
      </c>
      <c r="B97" s="724">
        <v>0.64500000000000002</v>
      </c>
      <c r="C97" s="720">
        <v>2019</v>
      </c>
      <c r="D97" s="738">
        <v>2027</v>
      </c>
    </row>
    <row r="98" spans="1:4" ht="36" customHeight="1" x14ac:dyDescent="0.3">
      <c r="A98" s="728" t="s">
        <v>1259</v>
      </c>
      <c r="B98" s="724">
        <v>0.69499999999999995</v>
      </c>
      <c r="C98" s="720">
        <v>2019</v>
      </c>
      <c r="D98" s="738">
        <v>2027</v>
      </c>
    </row>
    <row r="99" spans="1:4" ht="36" customHeight="1" x14ac:dyDescent="0.3">
      <c r="A99" s="728" t="s">
        <v>1260</v>
      </c>
      <c r="B99" s="724">
        <v>0.82499999999999996</v>
      </c>
      <c r="C99" s="720">
        <v>2019</v>
      </c>
      <c r="D99" s="738">
        <v>2027</v>
      </c>
    </row>
    <row r="100" spans="1:4" ht="36" customHeight="1" x14ac:dyDescent="0.3">
      <c r="A100" s="728" t="s">
        <v>1261</v>
      </c>
      <c r="B100" s="724">
        <v>1</v>
      </c>
      <c r="C100" s="720">
        <v>2019</v>
      </c>
      <c r="D100" s="738">
        <v>2027</v>
      </c>
    </row>
    <row r="101" spans="1:4" ht="36" customHeight="1" x14ac:dyDescent="0.3">
      <c r="A101" s="728" t="s">
        <v>1262</v>
      </c>
      <c r="B101" s="724">
        <v>0.66349999999999998</v>
      </c>
      <c r="C101" s="720">
        <v>2019</v>
      </c>
      <c r="D101" s="738">
        <v>2027</v>
      </c>
    </row>
    <row r="102" spans="1:4" ht="36" customHeight="1" x14ac:dyDescent="0.3">
      <c r="A102" s="719" t="s">
        <v>1263</v>
      </c>
      <c r="B102" s="724">
        <v>0.86499999999999999</v>
      </c>
      <c r="C102" s="720">
        <v>2020</v>
      </c>
      <c r="D102" s="720">
        <v>2028</v>
      </c>
    </row>
    <row r="103" spans="1:4" ht="36" customHeight="1" x14ac:dyDescent="0.3">
      <c r="A103" s="719" t="s">
        <v>1264</v>
      </c>
      <c r="B103" s="724">
        <v>0.46</v>
      </c>
      <c r="C103" s="720">
        <v>2020</v>
      </c>
      <c r="D103" s="720">
        <v>2028</v>
      </c>
    </row>
    <row r="104" spans="1:4" ht="36" customHeight="1" x14ac:dyDescent="0.3">
      <c r="A104" s="728" t="s">
        <v>1265</v>
      </c>
      <c r="B104" s="724">
        <v>0.5</v>
      </c>
      <c r="C104" s="720">
        <v>2020</v>
      </c>
      <c r="D104" s="738">
        <v>2028</v>
      </c>
    </row>
    <row r="105" spans="1:4" ht="36" customHeight="1" x14ac:dyDescent="0.3">
      <c r="A105" s="728" t="s">
        <v>1266</v>
      </c>
      <c r="B105" s="724">
        <v>0.62</v>
      </c>
      <c r="C105" s="720">
        <v>2020</v>
      </c>
      <c r="D105" s="738">
        <v>2028</v>
      </c>
    </row>
    <row r="106" spans="1:4" ht="36" customHeight="1" x14ac:dyDescent="0.3">
      <c r="A106" s="728" t="s">
        <v>1267</v>
      </c>
      <c r="B106" s="724">
        <v>0.625</v>
      </c>
      <c r="C106" s="720">
        <v>2020</v>
      </c>
      <c r="D106" s="738">
        <v>2028</v>
      </c>
    </row>
    <row r="107" spans="1:4" ht="36" customHeight="1" x14ac:dyDescent="0.3">
      <c r="A107" s="719"/>
      <c r="B107" s="724"/>
      <c r="C107" s="720"/>
      <c r="D107" s="720"/>
    </row>
    <row r="108" spans="1:4" ht="36" customHeight="1" x14ac:dyDescent="0.3">
      <c r="A108" s="719"/>
      <c r="B108" s="724"/>
      <c r="C108" s="720"/>
      <c r="D108" s="720"/>
    </row>
    <row r="109" spans="1:4" ht="36" customHeight="1" x14ac:dyDescent="0.3">
      <c r="A109" s="719"/>
      <c r="B109" s="724"/>
      <c r="C109" s="720"/>
      <c r="D109" s="720"/>
    </row>
    <row r="110" spans="1:4" ht="36" customHeight="1" x14ac:dyDescent="0.3">
      <c r="A110" s="719"/>
      <c r="B110" s="724"/>
      <c r="C110" s="720"/>
      <c r="D110" s="720"/>
    </row>
    <row r="111" spans="1:4" ht="36" customHeight="1" x14ac:dyDescent="0.3">
      <c r="A111" s="719"/>
      <c r="B111" s="724"/>
      <c r="C111" s="720"/>
      <c r="D111" s="720"/>
    </row>
    <row r="112" spans="1:4" ht="36" customHeight="1" x14ac:dyDescent="0.3">
      <c r="A112" s="1288" t="s">
        <v>1268</v>
      </c>
      <c r="B112" s="1288"/>
      <c r="C112" s="1288"/>
      <c r="D112" s="1288"/>
    </row>
    <row r="113" spans="1:4" ht="15.75" customHeight="1" x14ac:dyDescent="0.3">
      <c r="A113" s="1289" t="s">
        <v>1269</v>
      </c>
      <c r="B113" s="1289"/>
      <c r="C113" s="1289"/>
      <c r="D113" s="1289"/>
    </row>
    <row r="114" spans="1:4" ht="15.75" customHeight="1" x14ac:dyDescent="0.3">
      <c r="A114" s="1285" t="s">
        <v>1270</v>
      </c>
      <c r="B114" s="1285"/>
      <c r="C114" s="1285"/>
      <c r="D114" s="1285"/>
    </row>
    <row r="115" spans="1:4" ht="15.75" customHeight="1" x14ac:dyDescent="0.3">
      <c r="A115" s="1289" t="s">
        <v>1271</v>
      </c>
      <c r="B115" s="1289"/>
      <c r="C115" s="1289"/>
      <c r="D115" s="1289"/>
    </row>
    <row r="116" spans="1:4" ht="21.9" customHeight="1" x14ac:dyDescent="0.3">
      <c r="A116" s="1290" t="s">
        <v>1272</v>
      </c>
      <c r="B116" s="1290"/>
      <c r="C116" s="1290"/>
      <c r="D116" s="1290"/>
    </row>
    <row r="117" spans="1:4" ht="21" customHeight="1" x14ac:dyDescent="0.3">
      <c r="A117" s="1286" t="s">
        <v>1273</v>
      </c>
      <c r="B117" s="1286"/>
      <c r="C117" s="1286"/>
      <c r="D117" s="1286"/>
    </row>
    <row r="118" spans="1:4" ht="15.75" customHeight="1" x14ac:dyDescent="0.3">
      <c r="A118" s="1286" t="s">
        <v>1274</v>
      </c>
      <c r="B118" s="1286"/>
      <c r="C118" s="1286"/>
      <c r="D118" s="1286"/>
    </row>
    <row r="119" spans="1:4" ht="15.75" customHeight="1" x14ac:dyDescent="0.3">
      <c r="A119" s="1286" t="s">
        <v>1275</v>
      </c>
      <c r="B119" s="1286"/>
      <c r="C119" s="1286"/>
      <c r="D119" s="1286"/>
    </row>
  </sheetData>
  <sheetProtection algorithmName="SHA-512" hashValue="JUv3hmo8GmNafP2C3cSb4PgSBLmWwf4yXEdhgi59i6CWTqxCf+qalfkg5TodjzDQw2B6s940/O+iXmOv8r5p4w==" saltValue="zet0ItdJrJNLuGLCnL0msw==" spinCount="100000" sheet="1" objects="1" scenarios="1"/>
  <sortState xmlns:xlrd2="http://schemas.microsoft.com/office/spreadsheetml/2017/richdata2" ref="A7:D106">
    <sortCondition ref="D7:D106"/>
  </sortState>
  <mergeCells count="11">
    <mergeCell ref="A115:D115"/>
    <mergeCell ref="A116:D116"/>
    <mergeCell ref="A117:D117"/>
    <mergeCell ref="A118:D118"/>
    <mergeCell ref="A119:D119"/>
    <mergeCell ref="A114:D114"/>
    <mergeCell ref="A1:D1"/>
    <mergeCell ref="A2:D2"/>
    <mergeCell ref="A3:D3"/>
    <mergeCell ref="A112:D112"/>
    <mergeCell ref="A113:D113"/>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dimension ref="A1:U71"/>
  <sheetViews>
    <sheetView workbookViewId="0">
      <selection activeCell="N26" sqref="N26"/>
    </sheetView>
  </sheetViews>
  <sheetFormatPr defaultColWidth="9.109375" defaultRowHeight="14.4" x14ac:dyDescent="0.3"/>
  <cols>
    <col min="1" max="1" width="28.5546875" style="746" customWidth="1"/>
    <col min="2" max="12" width="9.109375" style="746"/>
    <col min="13" max="13" width="9.109375" style="1124"/>
    <col min="14" max="16384" width="9.109375" style="746"/>
  </cols>
  <sheetData>
    <row r="1" spans="1:21" x14ac:dyDescent="0.3">
      <c r="A1" s="746" t="s">
        <v>1621</v>
      </c>
      <c r="M1" s="1122" t="s">
        <v>1875</v>
      </c>
      <c r="N1" s="1049"/>
      <c r="O1" s="1049"/>
      <c r="P1" s="1049"/>
      <c r="Q1" s="1049"/>
      <c r="R1" s="1049" t="s">
        <v>1876</v>
      </c>
    </row>
    <row r="2" spans="1:21" x14ac:dyDescent="0.3">
      <c r="A2" s="1004" t="s">
        <v>1691</v>
      </c>
      <c r="B2" s="1044">
        <v>53876</v>
      </c>
      <c r="C2" s="732"/>
      <c r="D2" s="56"/>
      <c r="E2" s="56"/>
      <c r="G2" s="746">
        <v>100</v>
      </c>
      <c r="I2" s="746" t="s">
        <v>613</v>
      </c>
      <c r="M2" s="1123" t="s">
        <v>1691</v>
      </c>
      <c r="N2" s="1059">
        <v>53876</v>
      </c>
      <c r="O2" s="1049" t="b">
        <f>EXACT(A2,M2)</f>
        <v>1</v>
      </c>
      <c r="P2" s="1049" t="b">
        <f>EXACT(B2,N2)</f>
        <v>1</v>
      </c>
      <c r="R2" s="1049" t="s">
        <v>1691</v>
      </c>
      <c r="S2" s="1049">
        <v>53876</v>
      </c>
      <c r="T2" s="1049" t="b">
        <f>EXACT(M2,R2)</f>
        <v>1</v>
      </c>
      <c r="U2" s="1049" t="b">
        <f>EXACT(N2,S2)</f>
        <v>1</v>
      </c>
    </row>
    <row r="3" spans="1:21" ht="15" customHeight="1" x14ac:dyDescent="0.3">
      <c r="A3" s="1004" t="s">
        <v>1692</v>
      </c>
      <c r="B3" s="1044">
        <v>53926</v>
      </c>
      <c r="C3" s="732"/>
      <c r="D3" s="55"/>
      <c r="E3" s="56"/>
      <c r="G3" s="746">
        <v>200</v>
      </c>
      <c r="I3" s="746" t="s">
        <v>614</v>
      </c>
      <c r="M3" s="1123" t="s">
        <v>1692</v>
      </c>
      <c r="N3" s="1059">
        <v>53926</v>
      </c>
      <c r="O3" s="1049" t="b">
        <f t="shared" ref="O3:O5" si="0">EXACT(A3,M3)</f>
        <v>1</v>
      </c>
      <c r="P3" s="1049" t="b">
        <f t="shared" ref="P3:P5" si="1">EXACT(B3,N3)</f>
        <v>1</v>
      </c>
      <c r="R3" s="1049" t="s">
        <v>1692</v>
      </c>
      <c r="S3" s="1049">
        <v>53926</v>
      </c>
      <c r="T3" s="1049" t="b">
        <f t="shared" ref="T3:T5" si="2">EXACT(M3,R3)</f>
        <v>1</v>
      </c>
      <c r="U3" s="1049" t="b">
        <f t="shared" ref="U3:U5" si="3">EXACT(N3,S3)</f>
        <v>1</v>
      </c>
    </row>
    <row r="4" spans="1:21" ht="15" customHeight="1" x14ac:dyDescent="0.3">
      <c r="A4" s="1004" t="s">
        <v>1693</v>
      </c>
      <c r="B4" s="1044">
        <v>53880</v>
      </c>
      <c r="C4" s="732"/>
      <c r="D4" s="55"/>
      <c r="E4" s="56"/>
      <c r="G4" s="746">
        <v>300</v>
      </c>
      <c r="I4" s="746" t="s">
        <v>615</v>
      </c>
      <c r="M4" s="1123" t="s">
        <v>1693</v>
      </c>
      <c r="N4" s="1059">
        <v>53880</v>
      </c>
      <c r="O4" s="1049" t="b">
        <f t="shared" si="0"/>
        <v>1</v>
      </c>
      <c r="P4" s="1049" t="b">
        <f t="shared" si="1"/>
        <v>1</v>
      </c>
      <c r="R4" s="1049" t="s">
        <v>1693</v>
      </c>
      <c r="S4" s="1049">
        <v>53880</v>
      </c>
      <c r="T4" s="1049" t="b">
        <f t="shared" si="2"/>
        <v>1</v>
      </c>
      <c r="U4" s="1049" t="b">
        <f t="shared" si="3"/>
        <v>1</v>
      </c>
    </row>
    <row r="5" spans="1:21" x14ac:dyDescent="0.3">
      <c r="A5" s="1004" t="s">
        <v>1694</v>
      </c>
      <c r="B5" s="1044">
        <v>53881</v>
      </c>
      <c r="C5" s="732"/>
      <c r="D5" s="55"/>
      <c r="E5" s="56"/>
      <c r="G5" s="746">
        <v>400</v>
      </c>
      <c r="M5" s="1123" t="s">
        <v>1694</v>
      </c>
      <c r="N5" s="1059">
        <v>53881</v>
      </c>
      <c r="O5" s="1049" t="b">
        <f t="shared" si="0"/>
        <v>1</v>
      </c>
      <c r="P5" s="1049" t="b">
        <f t="shared" si="1"/>
        <v>1</v>
      </c>
      <c r="R5" s="1049" t="s">
        <v>1694</v>
      </c>
      <c r="S5" s="1049">
        <v>53881</v>
      </c>
      <c r="T5" s="1049" t="b">
        <f t="shared" si="2"/>
        <v>1</v>
      </c>
      <c r="U5" s="1049" t="b">
        <f t="shared" si="3"/>
        <v>1</v>
      </c>
    </row>
    <row r="6" spans="1:21" ht="28.8" x14ac:dyDescent="0.3">
      <c r="A6" s="1004" t="s">
        <v>1695</v>
      </c>
      <c r="B6" s="1044">
        <v>53938</v>
      </c>
      <c r="C6" s="732"/>
      <c r="D6" s="55"/>
      <c r="E6" s="56"/>
      <c r="G6" s="746">
        <v>500</v>
      </c>
      <c r="M6" s="1123" t="s">
        <v>1695</v>
      </c>
      <c r="N6" s="1059">
        <v>53938</v>
      </c>
      <c r="O6" s="1049" t="b">
        <f t="shared" ref="O6:O8" si="4">EXACT(A6,M6)</f>
        <v>1</v>
      </c>
      <c r="P6" s="1049" t="b">
        <f t="shared" ref="P6:P8" si="5">EXACT(B6,N6)</f>
        <v>1</v>
      </c>
      <c r="R6" s="1049" t="s">
        <v>1695</v>
      </c>
      <c r="S6" s="1049">
        <v>53938</v>
      </c>
      <c r="T6" s="1049" t="b">
        <f t="shared" ref="T6:T8" si="6">EXACT(M6,R6)</f>
        <v>1</v>
      </c>
      <c r="U6" s="1049" t="b">
        <f t="shared" ref="U6:U8" si="7">EXACT(N6,S6)</f>
        <v>1</v>
      </c>
    </row>
    <row r="7" spans="1:21" ht="28.8" x14ac:dyDescent="0.3">
      <c r="A7" s="1004" t="s">
        <v>1697</v>
      </c>
      <c r="B7" s="1044">
        <v>53884</v>
      </c>
      <c r="D7" s="55"/>
      <c r="E7" s="56"/>
      <c r="M7" s="1123" t="s">
        <v>1697</v>
      </c>
      <c r="N7" s="1059">
        <v>53884</v>
      </c>
      <c r="O7" s="1049" t="b">
        <f t="shared" si="4"/>
        <v>1</v>
      </c>
      <c r="P7" s="1049" t="b">
        <f t="shared" si="5"/>
        <v>1</v>
      </c>
      <c r="R7" s="1049" t="s">
        <v>1697</v>
      </c>
      <c r="S7" s="1049">
        <v>53884</v>
      </c>
      <c r="T7" s="1049" t="b">
        <f t="shared" si="6"/>
        <v>1</v>
      </c>
      <c r="U7" s="1049" t="b">
        <f t="shared" si="7"/>
        <v>1</v>
      </c>
    </row>
    <row r="8" spans="1:21" x14ac:dyDescent="0.3">
      <c r="A8" s="1004" t="s">
        <v>1699</v>
      </c>
      <c r="B8" s="1044">
        <v>53889</v>
      </c>
      <c r="C8" s="732"/>
      <c r="D8" s="55"/>
      <c r="E8" s="56"/>
      <c r="M8" s="1123" t="s">
        <v>1699</v>
      </c>
      <c r="N8" s="1059">
        <v>53889</v>
      </c>
      <c r="O8" s="1049" t="b">
        <f t="shared" si="4"/>
        <v>1</v>
      </c>
      <c r="P8" s="1049" t="b">
        <f t="shared" si="5"/>
        <v>1</v>
      </c>
      <c r="R8" s="1049" t="s">
        <v>1699</v>
      </c>
      <c r="S8" s="1049">
        <v>53889</v>
      </c>
      <c r="T8" s="1049" t="b">
        <f t="shared" si="6"/>
        <v>1</v>
      </c>
      <c r="U8" s="1049" t="b">
        <f t="shared" si="7"/>
        <v>1</v>
      </c>
    </row>
    <row r="9" spans="1:21" ht="28.8" x14ac:dyDescent="0.3">
      <c r="A9" s="1004" t="s">
        <v>1701</v>
      </c>
      <c r="B9" s="1044">
        <v>53890</v>
      </c>
      <c r="C9" s="732"/>
      <c r="D9" s="55"/>
      <c r="E9" s="56"/>
      <c r="M9" s="1123" t="s">
        <v>1701</v>
      </c>
      <c r="N9" s="1059">
        <v>53890</v>
      </c>
      <c r="O9" s="1049" t="b">
        <f t="shared" ref="O9:O10" si="8">EXACT(A9,M9)</f>
        <v>1</v>
      </c>
      <c r="P9" s="1049" t="b">
        <f t="shared" ref="P9:P10" si="9">EXACT(B9,N9)</f>
        <v>1</v>
      </c>
      <c r="R9" s="1049" t="s">
        <v>1701</v>
      </c>
      <c r="S9" s="1049">
        <v>53890</v>
      </c>
      <c r="T9" s="1049" t="b">
        <f t="shared" ref="T9:T10" si="10">EXACT(M9,R9)</f>
        <v>1</v>
      </c>
      <c r="U9" s="1049" t="b">
        <f t="shared" ref="U9:U10" si="11">EXACT(N9,S9)</f>
        <v>1</v>
      </c>
    </row>
    <row r="10" spans="1:21" ht="28.8" x14ac:dyDescent="0.3">
      <c r="A10" s="1004" t="s">
        <v>1702</v>
      </c>
      <c r="B10" s="1044">
        <v>53897</v>
      </c>
      <c r="C10" s="732"/>
      <c r="D10" s="55"/>
      <c r="E10" s="56"/>
      <c r="M10" s="1123" t="s">
        <v>1702</v>
      </c>
      <c r="N10" s="1059">
        <v>53897</v>
      </c>
      <c r="O10" s="1049" t="b">
        <f t="shared" si="8"/>
        <v>1</v>
      </c>
      <c r="P10" s="1049" t="b">
        <f t="shared" si="9"/>
        <v>1</v>
      </c>
      <c r="R10" s="1049" t="s">
        <v>1702</v>
      </c>
      <c r="S10" s="1049">
        <v>53897</v>
      </c>
      <c r="T10" s="1049" t="b">
        <f t="shared" si="10"/>
        <v>1</v>
      </c>
      <c r="U10" s="1049" t="b">
        <f t="shared" si="11"/>
        <v>1</v>
      </c>
    </row>
    <row r="11" spans="1:21" ht="28.8" x14ac:dyDescent="0.3">
      <c r="A11" s="1004" t="s">
        <v>1703</v>
      </c>
      <c r="B11" s="1044">
        <v>53970</v>
      </c>
      <c r="C11" s="732"/>
      <c r="D11" s="55"/>
      <c r="E11" s="56"/>
      <c r="M11" s="1123" t="s">
        <v>1703</v>
      </c>
      <c r="N11" s="1059">
        <v>53970</v>
      </c>
      <c r="O11" s="1049" t="b">
        <f t="shared" ref="O11" si="12">EXACT(A11,M11)</f>
        <v>1</v>
      </c>
      <c r="P11" s="1049" t="b">
        <f t="shared" ref="P11" si="13">EXACT(B11,N11)</f>
        <v>1</v>
      </c>
      <c r="R11" s="1122" t="s">
        <v>1703</v>
      </c>
      <c r="S11" s="1049">
        <v>53970</v>
      </c>
      <c r="T11" s="1049" t="b">
        <f t="shared" ref="T11:T17" si="14">EXACT(M11,R11)</f>
        <v>1</v>
      </c>
      <c r="U11" s="1049" t="b">
        <f t="shared" ref="U11:U17" si="15">EXACT(N11,S11)</f>
        <v>1</v>
      </c>
    </row>
    <row r="12" spans="1:21" ht="25.2" customHeight="1" x14ac:dyDescent="0.3">
      <c r="A12" s="1123" t="s">
        <v>1768</v>
      </c>
      <c r="B12" s="1044">
        <v>53950</v>
      </c>
      <c r="C12" s="732"/>
      <c r="M12" s="1123" t="s">
        <v>1768</v>
      </c>
      <c r="N12" s="1059" t="s">
        <v>1769</v>
      </c>
      <c r="O12" s="1049" t="b">
        <f t="shared" ref="O12:O17" si="16">EXACT(A12,M12)</f>
        <v>1</v>
      </c>
      <c r="P12" s="1049" t="b">
        <f t="shared" ref="P12:P17" si="17">EXACT(B12,N12)</f>
        <v>1</v>
      </c>
      <c r="R12" s="1049" t="s">
        <v>1705</v>
      </c>
      <c r="S12" s="1049">
        <v>53950</v>
      </c>
      <c r="T12" s="1049" t="b">
        <f t="shared" si="14"/>
        <v>0</v>
      </c>
      <c r="U12" s="1049" t="b">
        <f t="shared" si="15"/>
        <v>1</v>
      </c>
    </row>
    <row r="13" spans="1:21" ht="33.6" customHeight="1" x14ac:dyDescent="0.3">
      <c r="A13" s="1004" t="s">
        <v>1706</v>
      </c>
      <c r="B13" s="1044">
        <v>53901</v>
      </c>
      <c r="C13" s="732"/>
      <c r="D13" s="55"/>
      <c r="E13" s="56"/>
      <c r="M13" s="1123" t="s">
        <v>1706</v>
      </c>
      <c r="N13" s="1059">
        <v>53901</v>
      </c>
      <c r="O13" s="1049" t="b">
        <f t="shared" si="16"/>
        <v>1</v>
      </c>
      <c r="P13" s="1049" t="b">
        <f t="shared" si="17"/>
        <v>1</v>
      </c>
      <c r="R13" s="1049" t="s">
        <v>1706</v>
      </c>
      <c r="S13" s="1049">
        <v>53901</v>
      </c>
      <c r="T13" s="1049" t="b">
        <f t="shared" si="14"/>
        <v>1</v>
      </c>
      <c r="U13" s="1049" t="b">
        <f t="shared" si="15"/>
        <v>1</v>
      </c>
    </row>
    <row r="14" spans="1:21" ht="28.8" x14ac:dyDescent="0.3">
      <c r="A14" s="1004" t="s">
        <v>1707</v>
      </c>
      <c r="B14" s="1044">
        <v>53902</v>
      </c>
      <c r="C14" s="732"/>
      <c r="D14" s="55"/>
      <c r="E14" s="56"/>
      <c r="M14" s="1123" t="s">
        <v>1707</v>
      </c>
      <c r="N14" s="1059">
        <v>53902</v>
      </c>
      <c r="O14" s="1049" t="b">
        <f t="shared" si="16"/>
        <v>1</v>
      </c>
      <c r="P14" s="1049" t="b">
        <f t="shared" si="17"/>
        <v>1</v>
      </c>
      <c r="R14" s="1049" t="s">
        <v>1707</v>
      </c>
      <c r="S14" s="1049">
        <v>53902</v>
      </c>
      <c r="T14" s="1049" t="b">
        <f t="shared" si="14"/>
        <v>1</v>
      </c>
      <c r="U14" s="1049" t="b">
        <f t="shared" si="15"/>
        <v>1</v>
      </c>
    </row>
    <row r="15" spans="1:21" x14ac:dyDescent="0.3">
      <c r="A15" s="1004" t="s">
        <v>1708</v>
      </c>
      <c r="B15" s="1044">
        <v>53923</v>
      </c>
      <c r="C15" s="732"/>
      <c r="D15" s="55"/>
      <c r="E15" s="56"/>
      <c r="M15" s="1123" t="s">
        <v>1708</v>
      </c>
      <c r="N15" s="1059">
        <v>53923</v>
      </c>
      <c r="O15" s="1049" t="b">
        <f t="shared" si="16"/>
        <v>1</v>
      </c>
      <c r="P15" s="1049" t="b">
        <f t="shared" si="17"/>
        <v>1</v>
      </c>
      <c r="R15" s="1049" t="s">
        <v>1708</v>
      </c>
      <c r="S15" s="1049">
        <v>53923</v>
      </c>
      <c r="T15" s="1049" t="b">
        <f t="shared" si="14"/>
        <v>1</v>
      </c>
      <c r="U15" s="1049" t="b">
        <f t="shared" si="15"/>
        <v>1</v>
      </c>
    </row>
    <row r="16" spans="1:21" ht="28.8" x14ac:dyDescent="0.3">
      <c r="A16" s="1004" t="s">
        <v>1709</v>
      </c>
      <c r="B16" s="1044">
        <v>53908</v>
      </c>
      <c r="C16" s="732"/>
      <c r="D16" s="55"/>
      <c r="E16" s="56"/>
      <c r="M16" s="1123" t="s">
        <v>1709</v>
      </c>
      <c r="N16" s="1059">
        <v>53908</v>
      </c>
      <c r="O16" s="1049" t="b">
        <f t="shared" si="16"/>
        <v>1</v>
      </c>
      <c r="P16" s="1049" t="b">
        <f t="shared" si="17"/>
        <v>1</v>
      </c>
      <c r="R16" s="1049" t="s">
        <v>1709</v>
      </c>
      <c r="S16" s="1049">
        <v>53908</v>
      </c>
      <c r="T16" s="1049" t="b">
        <f t="shared" si="14"/>
        <v>1</v>
      </c>
      <c r="U16" s="1049" t="b">
        <f t="shared" si="15"/>
        <v>1</v>
      </c>
    </row>
    <row r="17" spans="1:21" ht="43.2" x14ac:dyDescent="0.3">
      <c r="A17" s="1004" t="s">
        <v>1712</v>
      </c>
      <c r="B17" s="1044">
        <v>53913</v>
      </c>
      <c r="C17" s="732"/>
      <c r="D17" s="55"/>
      <c r="E17" s="56"/>
      <c r="M17" s="1123" t="s">
        <v>1712</v>
      </c>
      <c r="N17" s="1059">
        <v>53913</v>
      </c>
      <c r="O17" s="1049" t="b">
        <f t="shared" si="16"/>
        <v>1</v>
      </c>
      <c r="P17" s="1049" t="b">
        <f t="shared" si="17"/>
        <v>1</v>
      </c>
      <c r="R17" s="1049" t="s">
        <v>1712</v>
      </c>
      <c r="S17" s="1049">
        <v>53913</v>
      </c>
      <c r="T17" s="1049" t="b">
        <f t="shared" si="14"/>
        <v>1</v>
      </c>
      <c r="U17" s="1049" t="b">
        <f t="shared" si="15"/>
        <v>1</v>
      </c>
    </row>
    <row r="18" spans="1:21" x14ac:dyDescent="0.3">
      <c r="D18" s="55"/>
      <c r="E18" s="56"/>
    </row>
    <row r="19" spans="1:21" x14ac:dyDescent="0.3">
      <c r="A19" s="1045"/>
      <c r="B19" s="1046"/>
      <c r="C19" s="732"/>
    </row>
    <row r="20" spans="1:21" x14ac:dyDescent="0.3">
      <c r="A20" s="1045"/>
      <c r="B20" s="1046"/>
      <c r="C20" s="732"/>
      <c r="D20" s="55"/>
      <c r="E20" s="56"/>
    </row>
    <row r="21" spans="1:21" x14ac:dyDescent="0.3">
      <c r="A21" s="1045"/>
      <c r="B21" s="1046"/>
      <c r="C21" s="732"/>
      <c r="D21" s="55"/>
      <c r="E21" s="56"/>
    </row>
    <row r="22" spans="1:21" x14ac:dyDescent="0.3">
      <c r="A22" s="1045"/>
      <c r="B22" s="1046"/>
      <c r="C22" s="732"/>
      <c r="D22" s="55"/>
      <c r="E22" s="56"/>
    </row>
    <row r="23" spans="1:21" x14ac:dyDescent="0.3">
      <c r="A23" s="1045"/>
      <c r="B23" s="1046"/>
      <c r="C23" s="732"/>
      <c r="D23" s="55"/>
      <c r="E23" s="56"/>
    </row>
    <row r="24" spans="1:21" x14ac:dyDescent="0.3">
      <c r="A24" s="1045"/>
      <c r="B24" s="1046"/>
      <c r="D24" s="1122" t="s">
        <v>1704</v>
      </c>
      <c r="E24" s="55"/>
      <c r="F24" s="56"/>
    </row>
    <row r="25" spans="1:21" x14ac:dyDescent="0.3">
      <c r="A25" s="1045"/>
      <c r="B25" s="1046"/>
      <c r="D25" s="732"/>
      <c r="E25" s="1044">
        <v>53893</v>
      </c>
      <c r="F25" s="1126" t="s">
        <v>1878</v>
      </c>
    </row>
    <row r="26" spans="1:21" x14ac:dyDescent="0.3">
      <c r="A26" s="1045"/>
      <c r="B26" s="1046"/>
      <c r="C26" s="732"/>
      <c r="D26" s="55"/>
      <c r="E26" s="56"/>
    </row>
    <row r="27" spans="1:21" x14ac:dyDescent="0.3">
      <c r="A27" s="1045"/>
      <c r="B27" s="1046"/>
      <c r="C27" s="732"/>
      <c r="D27" s="55"/>
      <c r="E27" s="56"/>
    </row>
    <row r="28" spans="1:21" x14ac:dyDescent="0.3">
      <c r="A28" s="1045"/>
      <c r="B28" s="1046"/>
      <c r="C28" s="732"/>
      <c r="D28" s="55"/>
      <c r="E28" s="56"/>
    </row>
    <row r="29" spans="1:21" x14ac:dyDescent="0.3">
      <c r="A29" s="1045"/>
      <c r="B29" s="1046"/>
      <c r="C29" s="732"/>
      <c r="D29" s="55"/>
      <c r="E29" s="56"/>
    </row>
    <row r="30" spans="1:21" x14ac:dyDescent="0.3">
      <c r="A30" s="1045"/>
      <c r="B30" s="1046"/>
      <c r="C30" s="732"/>
      <c r="D30" s="1122" t="s">
        <v>1696</v>
      </c>
      <c r="E30" s="1044">
        <v>53883</v>
      </c>
      <c r="F30" s="1125" t="s">
        <v>1877</v>
      </c>
    </row>
    <row r="31" spans="1:21" x14ac:dyDescent="0.3">
      <c r="A31" s="1045"/>
      <c r="B31" s="1046"/>
      <c r="C31" s="732"/>
      <c r="D31" s="1122" t="s">
        <v>1698</v>
      </c>
      <c r="E31" s="1044">
        <v>53887</v>
      </c>
      <c r="F31" s="1126" t="s">
        <v>1879</v>
      </c>
    </row>
    <row r="32" spans="1:21" x14ac:dyDescent="0.3">
      <c r="A32" s="1045"/>
      <c r="B32" s="1046"/>
      <c r="C32" s="732"/>
      <c r="D32" s="1122" t="s">
        <v>1700</v>
      </c>
      <c r="E32" s="1044">
        <v>53878</v>
      </c>
      <c r="F32" s="746" t="s">
        <v>1877</v>
      </c>
    </row>
    <row r="33" spans="1:21" x14ac:dyDescent="0.3">
      <c r="A33" s="1045"/>
      <c r="B33" s="1046"/>
      <c r="C33" s="732"/>
      <c r="D33" s="1122" t="s">
        <v>1710</v>
      </c>
      <c r="E33" s="1044">
        <v>53909</v>
      </c>
      <c r="F33" s="1126" t="s">
        <v>1879</v>
      </c>
    </row>
    <row r="34" spans="1:21" x14ac:dyDescent="0.3">
      <c r="A34" s="1045"/>
      <c r="B34" s="1046"/>
      <c r="C34" s="732"/>
      <c r="D34" s="1122" t="s">
        <v>1711</v>
      </c>
      <c r="E34" s="1044">
        <v>53910</v>
      </c>
      <c r="F34" s="1126" t="s">
        <v>1879</v>
      </c>
    </row>
    <row r="35" spans="1:21" x14ac:dyDescent="0.3">
      <c r="A35" s="1045"/>
      <c r="B35" s="1046"/>
      <c r="C35" s="732"/>
      <c r="D35" s="1122" t="s">
        <v>1713</v>
      </c>
      <c r="E35" s="1044">
        <v>53915</v>
      </c>
      <c r="F35" s="732" t="s">
        <v>1877</v>
      </c>
      <c r="G35" s="55"/>
      <c r="H35" s="56"/>
      <c r="M35" s="1123" t="s">
        <v>1713</v>
      </c>
      <c r="N35" s="1059"/>
      <c r="O35" s="1049" t="b">
        <f>EXACT(D35,M35)</f>
        <v>1</v>
      </c>
      <c r="P35" s="1049" t="b">
        <f>EXACT(E35,N35)</f>
        <v>0</v>
      </c>
      <c r="R35" s="1049" t="s">
        <v>1713</v>
      </c>
      <c r="S35" s="1049">
        <v>53915</v>
      </c>
      <c r="T35" s="1049" t="b">
        <f>EXACT(M35,R35)</f>
        <v>1</v>
      </c>
      <c r="U35" s="1049" t="b">
        <f>EXACT(N35,S35)</f>
        <v>0</v>
      </c>
    </row>
    <row r="36" spans="1:21" x14ac:dyDescent="0.3">
      <c r="A36" s="1045"/>
      <c r="B36" s="1046"/>
      <c r="C36" s="732"/>
      <c r="D36" s="55"/>
      <c r="E36" s="56"/>
    </row>
    <row r="37" spans="1:21" x14ac:dyDescent="0.3">
      <c r="A37" s="1045"/>
      <c r="B37" s="1046"/>
      <c r="C37" s="732"/>
      <c r="D37" s="55"/>
      <c r="E37" s="56"/>
    </row>
    <row r="38" spans="1:21" x14ac:dyDescent="0.3">
      <c r="A38" s="1045"/>
      <c r="B38" s="1046"/>
      <c r="C38" s="732"/>
      <c r="D38" s="55"/>
      <c r="E38" s="56"/>
    </row>
    <row r="39" spans="1:21" x14ac:dyDescent="0.3">
      <c r="A39" s="1045"/>
      <c r="B39" s="1046"/>
      <c r="C39" s="732"/>
      <c r="D39" s="55"/>
      <c r="E39" s="56"/>
    </row>
    <row r="40" spans="1:21" x14ac:dyDescent="0.3">
      <c r="A40" s="1045"/>
      <c r="B40" s="1046"/>
      <c r="C40" s="732"/>
      <c r="D40" s="55"/>
      <c r="E40" s="56"/>
    </row>
    <row r="41" spans="1:21" x14ac:dyDescent="0.3">
      <c r="A41" s="1045"/>
      <c r="B41" s="1046"/>
      <c r="C41" s="732"/>
      <c r="D41" s="55"/>
      <c r="E41" s="56"/>
    </row>
    <row r="42" spans="1:21" x14ac:dyDescent="0.3">
      <c r="A42" s="1045"/>
      <c r="B42" s="1046"/>
      <c r="C42" s="732"/>
      <c r="D42" s="55"/>
      <c r="E42" s="56"/>
    </row>
    <row r="43" spans="1:21" x14ac:dyDescent="0.3">
      <c r="A43" s="1045"/>
      <c r="B43" s="1046"/>
      <c r="C43" s="732"/>
      <c r="D43" s="55"/>
      <c r="E43" s="56"/>
    </row>
    <row r="44" spans="1:21" x14ac:dyDescent="0.3">
      <c r="A44" s="1045"/>
      <c r="B44" s="1046"/>
      <c r="C44" s="732"/>
      <c r="D44" s="55"/>
      <c r="E44" s="56"/>
    </row>
    <row r="45" spans="1:21" x14ac:dyDescent="0.3">
      <c r="A45" s="1045"/>
      <c r="B45" s="1046"/>
      <c r="C45" s="732"/>
      <c r="D45" s="55"/>
      <c r="E45" s="56"/>
    </row>
    <row r="46" spans="1:21" x14ac:dyDescent="0.3">
      <c r="A46" s="1045"/>
      <c r="B46" s="1046"/>
      <c r="C46" s="732"/>
      <c r="D46" s="55"/>
      <c r="E46" s="56"/>
    </row>
    <row r="47" spans="1:21" x14ac:dyDescent="0.3">
      <c r="A47" s="1045"/>
      <c r="B47" s="1046"/>
      <c r="C47" s="732"/>
      <c r="D47" s="55"/>
      <c r="E47" s="56"/>
    </row>
    <row r="48" spans="1:21" x14ac:dyDescent="0.3">
      <c r="A48" s="1045"/>
      <c r="B48" s="1046"/>
      <c r="C48" s="732"/>
      <c r="D48" s="55"/>
      <c r="E48" s="56"/>
    </row>
    <row r="49" spans="1:5" x14ac:dyDescent="0.3">
      <c r="A49" s="1045"/>
      <c r="B49" s="1046"/>
      <c r="C49" s="732"/>
      <c r="D49" s="55"/>
      <c r="E49" s="56"/>
    </row>
    <row r="50" spans="1:5" x14ac:dyDescent="0.3">
      <c r="A50" s="1045"/>
      <c r="B50" s="1046"/>
      <c r="C50" s="732"/>
      <c r="D50" s="55"/>
      <c r="E50" s="56"/>
    </row>
    <row r="51" spans="1:5" x14ac:dyDescent="0.3">
      <c r="A51" s="1045"/>
      <c r="B51" s="1046"/>
      <c r="C51" s="732"/>
      <c r="D51" s="55"/>
      <c r="E51" s="56"/>
    </row>
    <row r="52" spans="1:5" x14ac:dyDescent="0.3">
      <c r="A52" s="1045"/>
      <c r="B52" s="1046"/>
      <c r="C52" s="732"/>
      <c r="D52" s="55"/>
      <c r="E52" s="56"/>
    </row>
    <row r="53" spans="1:5" x14ac:dyDescent="0.3">
      <c r="A53" s="1045"/>
      <c r="B53" s="1046"/>
      <c r="C53" s="732"/>
      <c r="D53" s="55"/>
      <c r="E53" s="56"/>
    </row>
    <row r="54" spans="1:5" x14ac:dyDescent="0.3">
      <c r="A54" s="1045"/>
      <c r="B54" s="1046"/>
      <c r="C54" s="732"/>
      <c r="D54" s="55"/>
      <c r="E54" s="56"/>
    </row>
    <row r="55" spans="1:5" x14ac:dyDescent="0.3">
      <c r="A55" s="1045"/>
      <c r="B55" s="1046"/>
      <c r="C55" s="732"/>
      <c r="D55" s="55"/>
      <c r="E55" s="56"/>
    </row>
    <row r="56" spans="1:5" x14ac:dyDescent="0.3">
      <c r="A56" s="1045"/>
      <c r="B56" s="1046"/>
      <c r="C56" s="732"/>
      <c r="D56" s="55"/>
      <c r="E56" s="56"/>
    </row>
    <row r="57" spans="1:5" x14ac:dyDescent="0.3">
      <c r="A57" s="1045"/>
      <c r="B57" s="1046"/>
      <c r="C57" s="732"/>
      <c r="D57" s="55"/>
      <c r="E57" s="56"/>
    </row>
    <row r="58" spans="1:5" x14ac:dyDescent="0.3">
      <c r="A58" s="1045"/>
      <c r="B58" s="1046"/>
      <c r="C58" s="732"/>
      <c r="D58" s="55"/>
      <c r="E58" s="56"/>
    </row>
    <row r="59" spans="1:5" x14ac:dyDescent="0.3">
      <c r="A59" s="1045"/>
      <c r="B59" s="1046"/>
      <c r="C59" s="732"/>
      <c r="D59" s="55"/>
      <c r="E59" s="56"/>
    </row>
    <row r="60" spans="1:5" x14ac:dyDescent="0.3">
      <c r="A60" s="1045"/>
      <c r="B60" s="1046"/>
      <c r="C60" s="732"/>
      <c r="D60" s="55"/>
      <c r="E60" s="56"/>
    </row>
    <row r="61" spans="1:5" x14ac:dyDescent="0.3">
      <c r="A61" s="1045"/>
      <c r="B61" s="1046"/>
      <c r="C61" s="732"/>
      <c r="D61" s="55"/>
      <c r="E61" s="56"/>
    </row>
    <row r="62" spans="1:5" x14ac:dyDescent="0.3">
      <c r="A62" s="1045"/>
      <c r="B62" s="1046"/>
      <c r="C62" s="732"/>
      <c r="D62" s="55"/>
      <c r="E62" s="56"/>
    </row>
    <row r="63" spans="1:5" x14ac:dyDescent="0.3">
      <c r="A63" s="1045"/>
      <c r="B63" s="1046"/>
      <c r="C63" s="732"/>
      <c r="D63" s="55"/>
      <c r="E63" s="56"/>
    </row>
    <row r="64" spans="1:5" x14ac:dyDescent="0.3">
      <c r="A64" s="1045"/>
      <c r="B64" s="1046"/>
      <c r="C64" s="732"/>
      <c r="D64" s="55"/>
      <c r="E64" s="56"/>
    </row>
    <row r="65" spans="1:5" x14ac:dyDescent="0.3">
      <c r="A65" s="1045"/>
      <c r="B65" s="1046"/>
      <c r="C65" s="732"/>
      <c r="D65" s="55"/>
      <c r="E65" s="56"/>
    </row>
    <row r="66" spans="1:5" x14ac:dyDescent="0.3">
      <c r="A66" s="1045"/>
      <c r="B66" s="1046"/>
      <c r="C66" s="732"/>
      <c r="D66" s="55"/>
      <c r="E66" s="56"/>
    </row>
    <row r="67" spans="1:5" x14ac:dyDescent="0.3">
      <c r="A67" s="1045"/>
      <c r="B67" s="1046"/>
      <c r="C67" s="732"/>
      <c r="D67" s="55"/>
      <c r="E67" s="56"/>
    </row>
    <row r="68" spans="1:5" x14ac:dyDescent="0.3">
      <c r="A68" s="1045"/>
      <c r="B68" s="1046"/>
      <c r="D68" s="55"/>
      <c r="E68" s="56"/>
    </row>
    <row r="69" spans="1:5" x14ac:dyDescent="0.3">
      <c r="A69" s="1045"/>
      <c r="B69" s="1046"/>
      <c r="D69" s="55"/>
      <c r="E69" s="56"/>
    </row>
    <row r="70" spans="1:5" x14ac:dyDescent="0.3">
      <c r="A70" s="1045"/>
      <c r="B70" s="1046"/>
      <c r="D70" s="55"/>
      <c r="E70" s="56"/>
    </row>
    <row r="71" spans="1:5" x14ac:dyDescent="0.3">
      <c r="D71" s="55"/>
      <c r="E71" s="56"/>
    </row>
  </sheetData>
  <sheetProtection algorithmName="SHA-512" hashValue="6SidJJZoGmS4xIlyvXTMUyvZlxndbHpeGeIOv9HouKwYT3lHsMgyzdzoFAKE/bdMqP6Y0wxdEyWydBgkEuGVsA==" saltValue="qufiARwRepXCzMohCJEhSg==" spinCount="100000"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5DD6BC-D915-4DB1-A21C-7A0CCB10E5C2}">
  <sheetPr codeName="Sheet16">
    <tabColor theme="3" tint="0.79998168889431442"/>
  </sheetPr>
  <dimension ref="A1:H56"/>
  <sheetViews>
    <sheetView workbookViewId="0">
      <selection activeCell="B13" sqref="B13"/>
    </sheetView>
  </sheetViews>
  <sheetFormatPr defaultColWidth="9.109375" defaultRowHeight="14.4" x14ac:dyDescent="0.3"/>
  <cols>
    <col min="1" max="1" width="45.109375" style="424" customWidth="1"/>
    <col min="2" max="2" width="36.44140625" style="424" customWidth="1"/>
    <col min="3" max="3" width="9.109375" style="424"/>
    <col min="4" max="4" width="1.33203125" style="424" customWidth="1"/>
    <col min="5" max="5" width="37.5546875" style="424" customWidth="1"/>
    <col min="6" max="6" width="18.109375" style="424" customWidth="1"/>
    <col min="7" max="7" width="16.109375" style="424" customWidth="1"/>
    <col min="8" max="8" width="3.109375" style="424" customWidth="1"/>
    <col min="9" max="16384" width="9.109375" style="424"/>
  </cols>
  <sheetData>
    <row r="1" spans="1:8" x14ac:dyDescent="0.3">
      <c r="A1" s="425"/>
      <c r="B1" s="426"/>
      <c r="C1" s="427"/>
      <c r="D1" s="427"/>
      <c r="E1" s="428"/>
      <c r="F1" s="427"/>
      <c r="G1" s="427"/>
      <c r="H1" s="427"/>
    </row>
    <row r="2" spans="1:8" x14ac:dyDescent="0.3">
      <c r="A2" s="429" t="s">
        <v>1028</v>
      </c>
      <c r="B2" s="430" t="str">
        <f>+'Unit Data from Audit Worksheet'!D2</f>
        <v>Select Unit Name from Drop Down List</v>
      </c>
      <c r="C2" s="427"/>
      <c r="D2" s="427"/>
      <c r="E2" s="428"/>
      <c r="F2" s="427"/>
      <c r="G2" s="427"/>
      <c r="H2" s="427"/>
    </row>
    <row r="3" spans="1:8" x14ac:dyDescent="0.3">
      <c r="A3" s="429" t="s">
        <v>1138</v>
      </c>
      <c r="B3" s="427" t="e">
        <f>+'Unit Data from Audit Worksheet'!D3</f>
        <v>#N/A</v>
      </c>
      <c r="C3" s="427"/>
      <c r="D3" s="427"/>
      <c r="E3" s="428"/>
      <c r="F3" s="427"/>
      <c r="G3" s="427"/>
      <c r="H3" s="427"/>
    </row>
    <row r="4" spans="1:8" x14ac:dyDescent="0.3">
      <c r="A4" s="427"/>
      <c r="B4" s="427"/>
      <c r="C4" s="427"/>
      <c r="D4" s="427"/>
      <c r="E4" s="428"/>
      <c r="F4" s="427"/>
      <c r="G4" s="427"/>
      <c r="H4" s="427"/>
    </row>
    <row r="5" spans="1:8" x14ac:dyDescent="0.3">
      <c r="A5" s="1300" t="s">
        <v>1029</v>
      </c>
      <c r="B5" s="1300"/>
      <c r="C5" s="1300"/>
      <c r="D5" s="427"/>
      <c r="E5" s="1301" t="s">
        <v>1030</v>
      </c>
      <c r="F5" s="1301"/>
      <c r="G5" s="427"/>
      <c r="H5" s="427"/>
    </row>
    <row r="6" spans="1:8" ht="15" thickBot="1" x14ac:dyDescent="0.35">
      <c r="A6" s="431"/>
      <c r="B6" s="432"/>
      <c r="C6" s="431"/>
      <c r="D6" s="425"/>
      <c r="E6" s="431"/>
      <c r="F6" s="432"/>
      <c r="G6" s="432"/>
      <c r="H6" s="427"/>
    </row>
    <row r="7" spans="1:8" ht="15" thickBot="1" x14ac:dyDescent="0.35">
      <c r="A7" s="433" t="s">
        <v>1031</v>
      </c>
      <c r="B7" s="434">
        <v>0.03</v>
      </c>
      <c r="C7" s="434"/>
      <c r="D7" s="434"/>
      <c r="E7" s="434"/>
      <c r="F7" s="434"/>
      <c r="G7" s="434"/>
      <c r="H7" s="434"/>
    </row>
    <row r="8" spans="1:8" ht="15" thickBot="1" x14ac:dyDescent="0.35">
      <c r="A8" s="427" t="s">
        <v>1404</v>
      </c>
      <c r="B8" s="435" t="e">
        <f>HLOOKUP(B2,'2020 Data(H)'!F1:CC398,353,FALSE)</f>
        <v>#N/A</v>
      </c>
      <c r="C8" s="436"/>
      <c r="D8" s="436"/>
      <c r="E8" s="436"/>
      <c r="F8" s="427"/>
      <c r="G8" s="427"/>
      <c r="H8" s="427"/>
    </row>
    <row r="9" spans="1:8" ht="15" thickBot="1" x14ac:dyDescent="0.35">
      <c r="A9" s="427" t="s">
        <v>1033</v>
      </c>
      <c r="B9" s="437" t="e">
        <f>B8*B7</f>
        <v>#N/A</v>
      </c>
      <c r="C9" s="438"/>
      <c r="D9" s="438"/>
      <c r="E9" s="438"/>
      <c r="F9" s="427"/>
      <c r="G9" s="427"/>
      <c r="H9" s="427"/>
    </row>
    <row r="10" spans="1:8" ht="15" thickBot="1" x14ac:dyDescent="0.35">
      <c r="A10" s="427"/>
      <c r="B10" s="427"/>
      <c r="C10" s="427"/>
      <c r="D10" s="427"/>
      <c r="E10" s="427"/>
      <c r="F10" s="427"/>
      <c r="G10" s="427"/>
      <c r="H10" s="427"/>
    </row>
    <row r="11" spans="1:8" ht="15" thickBot="1" x14ac:dyDescent="0.35">
      <c r="A11" s="433" t="s">
        <v>1034</v>
      </c>
      <c r="B11" s="434">
        <v>0.05</v>
      </c>
      <c r="C11" s="434"/>
      <c r="D11" s="434"/>
      <c r="E11" s="434"/>
      <c r="F11" s="434"/>
      <c r="G11" s="434"/>
      <c r="H11" s="434"/>
    </row>
    <row r="12" spans="1:8" ht="15" thickBot="1" x14ac:dyDescent="0.35">
      <c r="A12" s="427" t="s">
        <v>1405</v>
      </c>
      <c r="B12" s="439" t="e">
        <f>HLOOKUP(B2,'2020 Data(H)'!F1:CC398,55,FALSE)</f>
        <v>#N/A</v>
      </c>
      <c r="C12" s="440"/>
      <c r="D12" s="440"/>
      <c r="E12" s="440"/>
      <c r="F12" s="427"/>
      <c r="G12" s="427"/>
      <c r="H12" s="427"/>
    </row>
    <row r="13" spans="1:8" ht="15" thickBot="1" x14ac:dyDescent="0.35">
      <c r="A13" s="427" t="s">
        <v>1033</v>
      </c>
      <c r="B13" s="437" t="e">
        <f>B12*B11</f>
        <v>#N/A</v>
      </c>
      <c r="C13" s="438"/>
      <c r="D13" s="438"/>
      <c r="E13" s="438"/>
      <c r="F13" s="427"/>
      <c r="G13" s="427"/>
      <c r="H13" s="427"/>
    </row>
    <row r="14" spans="1:8" ht="15" thickBot="1" x14ac:dyDescent="0.35">
      <c r="A14" s="427"/>
      <c r="B14" s="427"/>
      <c r="C14" s="427"/>
      <c r="D14" s="427"/>
      <c r="E14" s="441" t="s">
        <v>1035</v>
      </c>
      <c r="F14" s="442">
        <f>+Import!L177</f>
        <v>0</v>
      </c>
      <c r="G14" s="443"/>
      <c r="H14" s="427"/>
    </row>
    <row r="15" spans="1:8" x14ac:dyDescent="0.3">
      <c r="A15" s="427"/>
      <c r="B15" s="427"/>
      <c r="C15" s="427"/>
      <c r="D15" s="427"/>
      <c r="E15" s="427"/>
      <c r="F15" s="427"/>
      <c r="G15" s="427"/>
      <c r="H15" s="444"/>
    </row>
    <row r="16" spans="1:8" x14ac:dyDescent="0.3">
      <c r="A16" s="427"/>
      <c r="B16" s="441"/>
      <c r="C16" s="427"/>
      <c r="D16" s="427"/>
      <c r="E16" s="427"/>
      <c r="F16" s="427"/>
      <c r="G16" s="427"/>
      <c r="H16" s="427"/>
    </row>
    <row r="17" spans="1:8" x14ac:dyDescent="0.3">
      <c r="A17" s="431"/>
      <c r="B17" s="432"/>
      <c r="C17" s="431"/>
      <c r="D17" s="425"/>
      <c r="E17" s="431"/>
      <c r="F17" s="432"/>
      <c r="G17" s="432"/>
      <c r="H17" s="427"/>
    </row>
    <row r="18" spans="1:8" ht="15" thickBot="1" x14ac:dyDescent="0.35">
      <c r="A18" s="445" t="s">
        <v>1036</v>
      </c>
      <c r="B18" s="427"/>
      <c r="C18" s="427"/>
      <c r="D18" s="427"/>
      <c r="E18" s="445" t="s">
        <v>1036</v>
      </c>
      <c r="F18" s="429" t="s">
        <v>1037</v>
      </c>
      <c r="G18" s="429" t="s">
        <v>1038</v>
      </c>
      <c r="H18" s="427"/>
    </row>
    <row r="19" spans="1:8" ht="15" thickBot="1" x14ac:dyDescent="0.35">
      <c r="A19" s="427" t="s">
        <v>1032</v>
      </c>
      <c r="B19" s="435" t="e">
        <f>+B8</f>
        <v>#N/A</v>
      </c>
      <c r="C19" s="436"/>
      <c r="D19" s="436"/>
      <c r="E19" s="427" t="s">
        <v>1039</v>
      </c>
      <c r="F19" s="446">
        <f>+Import!L229</f>
        <v>0</v>
      </c>
      <c r="G19" s="447" t="e">
        <f>+B21</f>
        <v>#N/A</v>
      </c>
      <c r="H19" s="427"/>
    </row>
    <row r="20" spans="1:8" ht="15" thickBot="1" x14ac:dyDescent="0.35">
      <c r="A20" s="427" t="s">
        <v>1040</v>
      </c>
      <c r="B20" s="448">
        <f>+Import!L243</f>
        <v>0</v>
      </c>
      <c r="C20" s="427"/>
      <c r="D20" s="427"/>
      <c r="E20" s="427"/>
      <c r="F20" s="449"/>
      <c r="G20" s="427"/>
      <c r="H20" s="427"/>
    </row>
    <row r="21" spans="1:8" ht="15" thickBot="1" x14ac:dyDescent="0.35">
      <c r="A21" s="427" t="s">
        <v>1033</v>
      </c>
      <c r="B21" s="437" t="e">
        <f>ROUND((B19/100)*B20,0)</f>
        <v>#N/A</v>
      </c>
      <c r="C21" s="450"/>
      <c r="D21" s="438"/>
      <c r="E21" s="427"/>
      <c r="F21" s="427"/>
      <c r="G21" s="427"/>
      <c r="H21" s="427"/>
    </row>
    <row r="22" spans="1:8" ht="15" thickBot="1" x14ac:dyDescent="0.35">
      <c r="A22" s="427"/>
      <c r="B22" s="427"/>
      <c r="C22" s="451"/>
      <c r="D22" s="451"/>
      <c r="E22" s="427"/>
      <c r="F22" s="427"/>
      <c r="G22" s="427"/>
      <c r="H22" s="427"/>
    </row>
    <row r="23" spans="1:8" ht="15" thickBot="1" x14ac:dyDescent="0.35">
      <c r="A23" s="441"/>
      <c r="B23" s="452"/>
      <c r="C23" s="427"/>
      <c r="D23" s="427"/>
      <c r="E23" s="453" t="s">
        <v>1041</v>
      </c>
      <c r="F23" s="437">
        <f>IF(F19=0,F14-F19,F14-MAX(F19,G19))</f>
        <v>0</v>
      </c>
      <c r="G23" s="454"/>
      <c r="H23" s="438"/>
    </row>
    <row r="24" spans="1:8" x14ac:dyDescent="0.3">
      <c r="A24" s="427"/>
      <c r="B24" s="427"/>
      <c r="C24" s="427"/>
      <c r="D24" s="427"/>
      <c r="E24" s="427"/>
      <c r="F24" s="450"/>
      <c r="G24" s="450"/>
      <c r="H24" s="438"/>
    </row>
    <row r="25" spans="1:8" x14ac:dyDescent="0.3">
      <c r="A25" s="431"/>
      <c r="B25" s="432"/>
      <c r="C25" s="431"/>
      <c r="D25" s="425"/>
      <c r="E25" s="431"/>
      <c r="F25" s="432"/>
      <c r="G25" s="432"/>
      <c r="H25" s="427"/>
    </row>
    <row r="26" spans="1:8" ht="15" thickBot="1" x14ac:dyDescent="0.35">
      <c r="A26" s="427"/>
      <c r="B26" s="427"/>
      <c r="C26" s="427"/>
      <c r="D26" s="445"/>
      <c r="E26" s="445" t="s">
        <v>1042</v>
      </c>
      <c r="F26" s="445"/>
      <c r="G26" s="445"/>
      <c r="H26" s="445"/>
    </row>
    <row r="27" spans="1:8" ht="15" thickBot="1" x14ac:dyDescent="0.35">
      <c r="A27" s="427"/>
      <c r="B27" s="427"/>
      <c r="C27" s="427"/>
      <c r="D27" s="451"/>
      <c r="E27" s="427" t="s">
        <v>1043</v>
      </c>
      <c r="F27" s="455" t="e">
        <f>MAX(B9,B13)</f>
        <v>#N/A</v>
      </c>
      <c r="G27" s="451"/>
      <c r="H27" s="427"/>
    </row>
    <row r="28" spans="1:8" ht="15" thickBot="1" x14ac:dyDescent="0.35">
      <c r="A28" s="427"/>
      <c r="B28" s="427"/>
      <c r="C28" s="427"/>
      <c r="D28" s="451"/>
      <c r="E28" s="427"/>
      <c r="F28" s="451"/>
      <c r="G28" s="451"/>
      <c r="H28" s="427"/>
    </row>
    <row r="29" spans="1:8" ht="33.75" customHeight="1" x14ac:dyDescent="0.3">
      <c r="A29" s="427"/>
      <c r="B29" s="427"/>
      <c r="C29" s="427"/>
      <c r="D29" s="456"/>
      <c r="E29" s="427" t="s">
        <v>1044</v>
      </c>
      <c r="F29" s="457" t="e">
        <f>IF(F23&lt;=F27,"Yes", "No, unit exceeds limit by:")</f>
        <v>#N/A</v>
      </c>
      <c r="G29" s="427"/>
      <c r="H29" s="427"/>
    </row>
    <row r="30" spans="1:8" ht="15" thickBot="1" x14ac:dyDescent="0.35">
      <c r="A30" s="427"/>
      <c r="B30" s="427"/>
      <c r="C30" s="427"/>
      <c r="D30" s="456"/>
      <c r="E30" s="427"/>
      <c r="F30" s="458" t="e">
        <f>IF(F23-F27&lt;=0,0,F23-F27)</f>
        <v>#N/A</v>
      </c>
      <c r="G30" s="459"/>
      <c r="H30" s="427"/>
    </row>
    <row r="31" spans="1:8" ht="15" thickBot="1" x14ac:dyDescent="0.35">
      <c r="A31" s="427"/>
      <c r="B31" s="427"/>
      <c r="C31" s="427"/>
      <c r="D31" s="427"/>
      <c r="E31" s="427"/>
      <c r="F31" s="427"/>
      <c r="G31" s="427"/>
      <c r="H31" s="427"/>
    </row>
    <row r="32" spans="1:8" x14ac:dyDescent="0.3">
      <c r="A32" s="427"/>
      <c r="B32" s="427"/>
      <c r="C32" s="427"/>
      <c r="D32" s="427"/>
      <c r="E32" s="453" t="s">
        <v>1045</v>
      </c>
      <c r="F32" s="460">
        <f>IF(F19=0,0,F19-G19)</f>
        <v>0</v>
      </c>
      <c r="G32" s="427"/>
      <c r="H32" s="427"/>
    </row>
    <row r="33" spans="1:7" ht="15" thickBot="1" x14ac:dyDescent="0.35">
      <c r="A33" s="427"/>
      <c r="B33" s="427"/>
      <c r="C33" s="427"/>
      <c r="D33" s="427"/>
      <c r="E33" s="427"/>
      <c r="F33" s="461" t="s">
        <v>681</v>
      </c>
      <c r="G33" s="427"/>
    </row>
    <row r="34" spans="1:7" x14ac:dyDescent="0.3">
      <c r="A34" s="425"/>
      <c r="B34" s="427"/>
      <c r="C34" s="427"/>
      <c r="D34" s="427"/>
      <c r="E34" s="425" t="s">
        <v>1046</v>
      </c>
      <c r="F34" s="427"/>
      <c r="G34" s="427"/>
    </row>
    <row r="35" spans="1:7" x14ac:dyDescent="0.3">
      <c r="A35" s="462"/>
      <c r="B35" s="462"/>
      <c r="C35" s="462"/>
      <c r="D35" s="427"/>
      <c r="E35" s="1302" t="s">
        <v>1406</v>
      </c>
      <c r="F35" s="1303"/>
      <c r="G35" s="1304"/>
    </row>
    <row r="36" spans="1:7" x14ac:dyDescent="0.3">
      <c r="A36" s="462"/>
      <c r="B36" s="462"/>
      <c r="C36" s="462"/>
      <c r="D36" s="427"/>
      <c r="E36" s="1305"/>
      <c r="F36" s="1306"/>
      <c r="G36" s="1307"/>
    </row>
    <row r="37" spans="1:7" x14ac:dyDescent="0.3">
      <c r="A37" s="462"/>
      <c r="B37" s="462"/>
      <c r="C37" s="462"/>
      <c r="D37" s="427"/>
      <c r="E37" s="1305"/>
      <c r="F37" s="1306"/>
      <c r="G37" s="1307"/>
    </row>
    <row r="38" spans="1:7" x14ac:dyDescent="0.3">
      <c r="A38" s="462"/>
      <c r="B38" s="462"/>
      <c r="C38" s="462"/>
      <c r="D38" s="427"/>
      <c r="E38" s="1308"/>
      <c r="F38" s="1309"/>
      <c r="G38" s="1310"/>
    </row>
    <row r="39" spans="1:7" x14ac:dyDescent="0.3">
      <c r="A39" s="462"/>
      <c r="B39" s="462"/>
      <c r="C39" s="462"/>
      <c r="D39" s="427"/>
      <c r="E39" s="463"/>
      <c r="F39" s="463"/>
      <c r="G39" s="463"/>
    </row>
    <row r="40" spans="1:7" x14ac:dyDescent="0.3">
      <c r="A40" s="462"/>
      <c r="B40" s="462"/>
      <c r="C40" s="462"/>
      <c r="D40" s="427"/>
      <c r="E40" s="1302" t="s">
        <v>1407</v>
      </c>
      <c r="F40" s="1303"/>
      <c r="G40" s="1304"/>
    </row>
    <row r="41" spans="1:7" x14ac:dyDescent="0.3">
      <c r="A41" s="427"/>
      <c r="B41" s="427"/>
      <c r="C41" s="427"/>
      <c r="D41" s="427"/>
      <c r="E41" s="1305"/>
      <c r="F41" s="1306"/>
      <c r="G41" s="1307"/>
    </row>
    <row r="42" spans="1:7" x14ac:dyDescent="0.3">
      <c r="A42" s="427"/>
      <c r="B42" s="427"/>
      <c r="C42" s="427"/>
      <c r="D42" s="427"/>
      <c r="E42" s="1308"/>
      <c r="F42" s="1309"/>
      <c r="G42" s="1310"/>
    </row>
    <row r="43" spans="1:7" x14ac:dyDescent="0.3">
      <c r="A43" s="427"/>
      <c r="B43" s="427"/>
      <c r="C43" s="427"/>
      <c r="D43" s="427"/>
      <c r="E43" s="427"/>
      <c r="F43" s="427"/>
      <c r="G43" s="427"/>
    </row>
    <row r="44" spans="1:7" ht="15" thickBot="1" x14ac:dyDescent="0.35">
      <c r="A44" s="427"/>
      <c r="B44" s="427"/>
      <c r="C44" s="427"/>
      <c r="D44" s="427"/>
      <c r="E44" s="1311" t="s">
        <v>1047</v>
      </c>
      <c r="F44" s="1311"/>
      <c r="G44" s="1311"/>
    </row>
    <row r="45" spans="1:7" x14ac:dyDescent="0.3">
      <c r="A45" s="427"/>
      <c r="B45" s="427"/>
      <c r="C45" s="427"/>
      <c r="D45" s="427"/>
      <c r="E45" s="1291"/>
      <c r="F45" s="1292"/>
      <c r="G45" s="1293"/>
    </row>
    <row r="46" spans="1:7" x14ac:dyDescent="0.3">
      <c r="A46" s="427"/>
      <c r="B46" s="427"/>
      <c r="C46" s="427"/>
      <c r="D46" s="427"/>
      <c r="E46" s="1294"/>
      <c r="F46" s="1295"/>
      <c r="G46" s="1296"/>
    </row>
    <row r="47" spans="1:7" x14ac:dyDescent="0.3">
      <c r="A47" s="427"/>
      <c r="B47" s="427"/>
      <c r="C47" s="427"/>
      <c r="D47" s="427"/>
      <c r="E47" s="1294"/>
      <c r="F47" s="1295"/>
      <c r="G47" s="1296"/>
    </row>
    <row r="48" spans="1:7" x14ac:dyDescent="0.3">
      <c r="A48" s="427"/>
      <c r="B48" s="427"/>
      <c r="C48" s="427"/>
      <c r="D48" s="427"/>
      <c r="E48" s="1294"/>
      <c r="F48" s="1295"/>
      <c r="G48" s="1296"/>
    </row>
    <row r="49" spans="5:7" x14ac:dyDescent="0.3">
      <c r="E49" s="1294"/>
      <c r="F49" s="1295"/>
      <c r="G49" s="1296"/>
    </row>
    <row r="50" spans="5:7" x14ac:dyDescent="0.3">
      <c r="E50" s="1294"/>
      <c r="F50" s="1295"/>
      <c r="G50" s="1296"/>
    </row>
    <row r="51" spans="5:7" x14ac:dyDescent="0.3">
      <c r="E51" s="1294"/>
      <c r="F51" s="1295"/>
      <c r="G51" s="1296"/>
    </row>
    <row r="52" spans="5:7" x14ac:dyDescent="0.3">
      <c r="E52" s="1294"/>
      <c r="F52" s="1295"/>
      <c r="G52" s="1296"/>
    </row>
    <row r="53" spans="5:7" x14ac:dyDescent="0.3">
      <c r="E53" s="1294"/>
      <c r="F53" s="1295"/>
      <c r="G53" s="1296"/>
    </row>
    <row r="54" spans="5:7" x14ac:dyDescent="0.3">
      <c r="E54" s="1294"/>
      <c r="F54" s="1295"/>
      <c r="G54" s="1296"/>
    </row>
    <row r="55" spans="5:7" x14ac:dyDescent="0.3">
      <c r="E55" s="1294"/>
      <c r="F55" s="1295"/>
      <c r="G55" s="1296"/>
    </row>
    <row r="56" spans="5:7" ht="15" thickBot="1" x14ac:dyDescent="0.35">
      <c r="E56" s="1297"/>
      <c r="F56" s="1298"/>
      <c r="G56" s="1299"/>
    </row>
  </sheetData>
  <sheetProtection algorithmName="SHA-512" hashValue="3vfzdkMQ/j/5Ez1LPUfJs7Oq97mMPspNSPxPIv58T3XG7teIfYieY+coQOc8SI3yaPWTzhmaFurjDohcB/jDmQ==" saltValue="mi9yBVloMQdHuHImasvn7A==" spinCount="100000" sheet="1" objects="1" scenarios="1"/>
  <mergeCells count="6">
    <mergeCell ref="E45:G56"/>
    <mergeCell ref="A5:C5"/>
    <mergeCell ref="E5:F5"/>
    <mergeCell ref="E35:G38"/>
    <mergeCell ref="E40:G42"/>
    <mergeCell ref="E44:G44"/>
  </mergeCells>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4" tint="0.79998168889431442"/>
    <pageSetUpPr fitToPage="1"/>
  </sheetPr>
  <dimension ref="A1:BTI443"/>
  <sheetViews>
    <sheetView zoomScaleNormal="100" workbookViewId="0">
      <pane ySplit="5" topLeftCell="A6" activePane="bottomLeft" state="frozen"/>
      <selection activeCell="K179" sqref="K179"/>
      <selection pane="bottomLeft" activeCell="D2" sqref="D2"/>
    </sheetView>
  </sheetViews>
  <sheetFormatPr defaultColWidth="9.109375" defaultRowHeight="14.4" x14ac:dyDescent="0.3"/>
  <cols>
    <col min="1" max="1" width="8.5546875" style="18" customWidth="1"/>
    <col min="2" max="2" width="16.33203125" style="5" customWidth="1"/>
    <col min="3" max="3" width="17.44140625" style="5" customWidth="1"/>
    <col min="4" max="4" width="46.33203125" style="750" customWidth="1"/>
    <col min="5" max="5" width="17.109375" style="18" customWidth="1"/>
    <col min="6" max="6" width="21.5546875" style="750" customWidth="1"/>
    <col min="7" max="7" width="26.6640625" style="844" customWidth="1"/>
    <col min="8" max="8" width="25.109375" style="634" customWidth="1"/>
    <col min="9" max="9" width="24" style="750" customWidth="1"/>
    <col min="10" max="10" width="13.5546875" style="18" hidden="1" customWidth="1"/>
    <col min="11" max="11" width="11.6640625" style="18" hidden="1" customWidth="1"/>
    <col min="12" max="12" width="15.6640625" style="18" hidden="1" customWidth="1"/>
    <col min="13" max="13" width="11" style="18" hidden="1" customWidth="1"/>
    <col min="14" max="14" width="3.33203125" style="308" hidden="1" customWidth="1"/>
    <col min="15" max="15" width="2.109375" style="18" hidden="1" customWidth="1"/>
    <col min="16" max="16" width="0" style="18" hidden="1" customWidth="1"/>
    <col min="17" max="17" width="15.109375" style="18" hidden="1" customWidth="1"/>
    <col min="18" max="25" width="9.109375" style="18"/>
    <col min="26" max="26" width="30.6640625" style="676" customWidth="1"/>
    <col min="27" max="1881" width="9.109375" style="18"/>
    <col min="1882" max="16384" width="9.109375" style="750"/>
  </cols>
  <sheetData>
    <row r="1" spans="1:44" ht="15" thickBot="1" x14ac:dyDescent="0.35">
      <c r="B1" s="846" t="s">
        <v>731</v>
      </c>
      <c r="C1" s="846"/>
      <c r="E1" s="753" t="s">
        <v>36</v>
      </c>
      <c r="F1" s="754">
        <v>2021</v>
      </c>
      <c r="G1" s="123" t="s">
        <v>126</v>
      </c>
      <c r="H1" s="755"/>
      <c r="I1" s="756"/>
      <c r="J1" s="757" t="s">
        <v>1322</v>
      </c>
      <c r="M1" s="18" t="s">
        <v>51</v>
      </c>
      <c r="O1" s="18">
        <v>1</v>
      </c>
    </row>
    <row r="2" spans="1:44" ht="44.25" customHeight="1" thickBot="1" x14ac:dyDescent="0.35">
      <c r="B2" s="1173" t="s">
        <v>525</v>
      </c>
      <c r="C2" s="1174"/>
      <c r="D2" s="758" t="s">
        <v>1621</v>
      </c>
      <c r="E2" s="1171" t="s">
        <v>539</v>
      </c>
      <c r="F2" s="1171"/>
      <c r="G2" s="1172"/>
      <c r="H2" s="1154" t="s">
        <v>2078</v>
      </c>
      <c r="M2" s="18" t="s">
        <v>52</v>
      </c>
      <c r="N2" s="308">
        <v>50</v>
      </c>
      <c r="O2" s="18">
        <v>2</v>
      </c>
    </row>
    <row r="3" spans="1:44" ht="15" thickBot="1" x14ac:dyDescent="0.35">
      <c r="B3" s="847" t="s">
        <v>0</v>
      </c>
      <c r="C3" s="848"/>
      <c r="D3" s="760" t="e">
        <f>VLOOKUP(D2,'Unit Names(H)'!A2:B144,2,FALSE)</f>
        <v>#N/A</v>
      </c>
      <c r="E3" s="957"/>
      <c r="F3" s="761"/>
      <c r="G3" s="762"/>
      <c r="H3" s="759"/>
      <c r="N3" s="308">
        <v>51</v>
      </c>
      <c r="O3" s="18">
        <v>3</v>
      </c>
    </row>
    <row r="4" spans="1:44" ht="15" thickBot="1" x14ac:dyDescent="0.35">
      <c r="B4" s="849" t="s">
        <v>1453</v>
      </c>
      <c r="C4" s="850"/>
      <c r="D4" s="763"/>
      <c r="E4" s="763"/>
      <c r="F4" s="764"/>
      <c r="G4" s="765"/>
      <c r="H4" s="759"/>
      <c r="I4" s="2"/>
      <c r="M4" s="18" t="s">
        <v>604</v>
      </c>
      <c r="N4" s="308">
        <v>52</v>
      </c>
      <c r="O4" s="18">
        <v>4</v>
      </c>
    </row>
    <row r="5" spans="1:44" ht="37.5" customHeight="1" x14ac:dyDescent="0.3">
      <c r="A5" s="712" t="s">
        <v>728</v>
      </c>
      <c r="B5" s="601" t="s">
        <v>111</v>
      </c>
      <c r="C5" s="601" t="s">
        <v>128</v>
      </c>
      <c r="D5" s="766" t="s">
        <v>1</v>
      </c>
      <c r="E5" s="766">
        <v>2020</v>
      </c>
      <c r="F5" s="767">
        <v>2021</v>
      </c>
      <c r="G5" s="768" t="s">
        <v>1575</v>
      </c>
      <c r="H5" s="769" t="s">
        <v>545</v>
      </c>
      <c r="I5" s="754" t="s">
        <v>13</v>
      </c>
      <c r="M5" s="18" t="s">
        <v>799</v>
      </c>
    </row>
    <row r="6" spans="1:44" ht="22.5" customHeight="1" x14ac:dyDescent="0.3">
      <c r="A6" s="600"/>
      <c r="B6" s="896" t="s">
        <v>127</v>
      </c>
      <c r="C6" s="897"/>
      <c r="D6" s="898"/>
      <c r="E6" s="899"/>
      <c r="F6" s="900"/>
      <c r="G6" s="892"/>
      <c r="H6" s="17"/>
      <c r="M6" s="18" t="s">
        <v>778</v>
      </c>
    </row>
    <row r="7" spans="1:44" s="18" customFormat="1" ht="63.75" hidden="1" customHeight="1" thickBot="1" x14ac:dyDescent="0.35">
      <c r="A7" s="108">
        <v>333</v>
      </c>
      <c r="B7" s="676" t="s">
        <v>67</v>
      </c>
      <c r="C7" s="676" t="s">
        <v>129</v>
      </c>
      <c r="D7" s="749" t="s">
        <v>1454</v>
      </c>
      <c r="E7" s="710" t="e">
        <f>HLOOKUP($D$2,'2020 Data(H)'!$C$1:$CZ$432,99,FALSE)</f>
        <v>#N/A</v>
      </c>
      <c r="F7" s="307">
        <v>0</v>
      </c>
      <c r="G7" s="771">
        <f>IF(F7&lt;0,"Note: Number is normally positive.",)</f>
        <v>0</v>
      </c>
      <c r="H7" s="772"/>
      <c r="I7" s="773"/>
      <c r="J7" s="616" t="s">
        <v>1301</v>
      </c>
      <c r="L7" s="736"/>
      <c r="M7" s="18" t="s">
        <v>800</v>
      </c>
      <c r="N7" s="308"/>
      <c r="Q7" s="307">
        <v>475882</v>
      </c>
      <c r="Z7" s="108"/>
      <c r="AA7" s="108"/>
      <c r="AB7" s="108"/>
      <c r="AC7" s="108"/>
      <c r="AD7" s="108"/>
      <c r="AE7" s="108"/>
      <c r="AF7" s="108"/>
      <c r="AG7" s="108"/>
      <c r="AH7" s="108"/>
      <c r="AI7" s="108"/>
      <c r="AJ7" s="108"/>
      <c r="AK7" s="108"/>
      <c r="AL7" s="108"/>
      <c r="AM7" s="108"/>
      <c r="AN7" s="108"/>
      <c r="AO7" s="108"/>
      <c r="AP7" s="108"/>
      <c r="AQ7" s="108"/>
      <c r="AR7" s="108"/>
    </row>
    <row r="8" spans="1:44" s="18" customFormat="1" ht="51" hidden="1" customHeight="1" thickBot="1" x14ac:dyDescent="0.35">
      <c r="A8" s="108">
        <v>500</v>
      </c>
      <c r="B8" s="676" t="s">
        <v>55</v>
      </c>
      <c r="C8" s="676" t="s">
        <v>129</v>
      </c>
      <c r="D8" s="749" t="s">
        <v>1455</v>
      </c>
      <c r="E8" s="710" t="e">
        <f>HLOOKUP($D$2,'2020 Data(H)'!$C$1:$CZ$432,150,FALSE)</f>
        <v>#N/A</v>
      </c>
      <c r="F8" s="307">
        <v>0</v>
      </c>
      <c r="G8" s="771">
        <f>IF(F8&lt;0,"Note: Number is normally positive.",)</f>
        <v>0</v>
      </c>
      <c r="H8" s="772"/>
      <c r="I8" s="772"/>
      <c r="J8" s="616"/>
      <c r="L8" s="745"/>
      <c r="M8" s="18" t="s">
        <v>801</v>
      </c>
      <c r="N8" s="308"/>
      <c r="Q8" s="307">
        <v>1528687</v>
      </c>
      <c r="Z8" s="108"/>
      <c r="AA8" s="108"/>
      <c r="AB8" s="108"/>
      <c r="AC8" s="108"/>
      <c r="AD8" s="108"/>
      <c r="AE8" s="108"/>
      <c r="AF8" s="108"/>
      <c r="AG8" s="108"/>
      <c r="AH8" s="108"/>
      <c r="AI8" s="108"/>
      <c r="AJ8" s="108"/>
      <c r="AK8" s="108"/>
      <c r="AL8" s="108"/>
      <c r="AM8" s="108"/>
      <c r="AN8" s="108"/>
      <c r="AO8" s="108"/>
      <c r="AP8" s="108"/>
      <c r="AQ8" s="108"/>
      <c r="AR8" s="108"/>
    </row>
    <row r="9" spans="1:44" ht="51" hidden="1" customHeight="1" thickBot="1" x14ac:dyDescent="0.35">
      <c r="A9" s="108">
        <v>385</v>
      </c>
      <c r="B9" s="634" t="s">
        <v>60</v>
      </c>
      <c r="C9" s="676" t="s">
        <v>129</v>
      </c>
      <c r="D9" s="107" t="s">
        <v>130</v>
      </c>
      <c r="E9" s="710" t="e">
        <f>HLOOKUP($D$2,'2020 Data(H)'!$C$1:$CZ$432,144,FALSE)</f>
        <v>#N/A</v>
      </c>
      <c r="F9" s="307">
        <v>0</v>
      </c>
      <c r="G9" s="771">
        <f>IF((F7+F8)&gt;F9,"Error: Please review Account numbers (333+500)&gt;385",)</f>
        <v>0</v>
      </c>
      <c r="H9" s="17"/>
      <c r="I9" s="772"/>
      <c r="J9" s="616"/>
      <c r="L9" s="745"/>
      <c r="Q9" s="307">
        <v>4566372</v>
      </c>
      <c r="Z9" s="108"/>
      <c r="AA9" s="108"/>
      <c r="AB9" s="108"/>
      <c r="AC9" s="108"/>
      <c r="AD9" s="108"/>
      <c r="AE9" s="108"/>
      <c r="AF9" s="108"/>
      <c r="AG9" s="108"/>
      <c r="AH9" s="108"/>
      <c r="AI9" s="108"/>
      <c r="AJ9" s="108"/>
      <c r="AK9" s="108"/>
      <c r="AL9" s="108"/>
      <c r="AM9" s="108"/>
      <c r="AN9" s="108"/>
      <c r="AO9" s="108"/>
      <c r="AP9" s="108"/>
      <c r="AQ9" s="108"/>
      <c r="AR9" s="108"/>
    </row>
    <row r="10" spans="1:44" s="18" customFormat="1" ht="90" hidden="1" customHeight="1" thickBot="1" x14ac:dyDescent="0.35">
      <c r="A10" s="108">
        <v>575</v>
      </c>
      <c r="B10" s="676" t="s">
        <v>70</v>
      </c>
      <c r="C10" s="676" t="s">
        <v>129</v>
      </c>
      <c r="D10" s="851" t="s">
        <v>1456</v>
      </c>
      <c r="E10" s="710" t="e">
        <f>HLOOKUP($D$2,'2020 Data(H)'!$C$1:$CZ$432,225,FALSE)</f>
        <v>#N/A</v>
      </c>
      <c r="F10" s="307">
        <v>0</v>
      </c>
      <c r="G10" s="771">
        <f>IF(F10&lt;0,"Note: Number is normally positive.",)</f>
        <v>0</v>
      </c>
      <c r="H10" s="774"/>
      <c r="I10" s="775"/>
      <c r="L10" s="745"/>
      <c r="N10" s="308"/>
      <c r="Q10" s="307">
        <v>0</v>
      </c>
      <c r="Z10" s="108"/>
      <c r="AA10" s="108"/>
      <c r="AB10" s="108"/>
      <c r="AC10" s="108"/>
      <c r="AD10" s="108"/>
      <c r="AE10" s="108"/>
      <c r="AF10" s="108"/>
      <c r="AG10" s="108"/>
      <c r="AH10" s="108"/>
      <c r="AI10" s="108"/>
      <c r="AJ10" s="108"/>
      <c r="AK10" s="108"/>
      <c r="AL10" s="108"/>
      <c r="AM10" s="108"/>
      <c r="AN10" s="108"/>
      <c r="AO10" s="108"/>
      <c r="AP10" s="108"/>
      <c r="AQ10" s="108"/>
      <c r="AR10" s="108"/>
    </row>
    <row r="11" spans="1:44" s="18" customFormat="1" ht="93.75" hidden="1" customHeight="1" thickBot="1" x14ac:dyDescent="0.35">
      <c r="A11" s="108">
        <v>576</v>
      </c>
      <c r="B11" s="676" t="s">
        <v>70</v>
      </c>
      <c r="C11" s="676" t="s">
        <v>129</v>
      </c>
      <c r="D11" s="851" t="s">
        <v>1457</v>
      </c>
      <c r="E11" s="710" t="e">
        <f>HLOOKUP($D$2,'2020 Data(H)'!$C$1:$CZ$432,226,FALSE)</f>
        <v>#N/A</v>
      </c>
      <c r="F11" s="307">
        <v>0</v>
      </c>
      <c r="G11" s="771">
        <f>IF(F11&lt;0,"Error: Enter as positive.",)</f>
        <v>0</v>
      </c>
      <c r="H11" s="774"/>
      <c r="I11" s="775"/>
      <c r="J11" s="616"/>
      <c r="L11" s="745"/>
      <c r="N11" s="308"/>
      <c r="Q11" s="307">
        <v>0</v>
      </c>
      <c r="Z11" s="108"/>
      <c r="AA11" s="108"/>
      <c r="AB11" s="108"/>
      <c r="AC11" s="108"/>
      <c r="AD11" s="108"/>
      <c r="AE11" s="108"/>
      <c r="AF11" s="108"/>
      <c r="AG11" s="108"/>
      <c r="AH11" s="108"/>
      <c r="AI11" s="108"/>
      <c r="AJ11" s="108"/>
      <c r="AK11" s="108"/>
      <c r="AL11" s="108"/>
      <c r="AM11" s="108"/>
      <c r="AN11" s="108"/>
      <c r="AO11" s="108"/>
      <c r="AP11" s="108"/>
      <c r="AQ11" s="108"/>
      <c r="AR11" s="108"/>
    </row>
    <row r="12" spans="1:44" ht="85.5" hidden="1" customHeight="1" thickBot="1" x14ac:dyDescent="0.35">
      <c r="A12" s="320">
        <v>626</v>
      </c>
      <c r="B12" s="852" t="s">
        <v>851</v>
      </c>
      <c r="C12" s="852" t="s">
        <v>129</v>
      </c>
      <c r="D12" s="350" t="s">
        <v>1458</v>
      </c>
      <c r="E12" s="710" t="e">
        <f>HLOOKUP($D$2,'2020 Data(H)'!$C$1:$CZ$432,285,FALSE)</f>
        <v>#N/A</v>
      </c>
      <c r="F12" s="307">
        <v>0</v>
      </c>
      <c r="G12" s="771">
        <f>IF(F12&lt;0,"Error: Enter as positive.",)</f>
        <v>0</v>
      </c>
      <c r="H12" s="776"/>
      <c r="I12" s="776"/>
      <c r="J12" s="616"/>
      <c r="L12" s="745"/>
      <c r="Q12" s="307">
        <v>136667</v>
      </c>
      <c r="Z12" s="320"/>
      <c r="AA12" s="320"/>
      <c r="AB12" s="320"/>
      <c r="AC12" s="320"/>
      <c r="AD12" s="320"/>
      <c r="AE12" s="320"/>
      <c r="AF12" s="320"/>
      <c r="AG12" s="320"/>
      <c r="AH12" s="320"/>
      <c r="AI12" s="320"/>
      <c r="AJ12" s="320"/>
      <c r="AK12" s="320"/>
      <c r="AL12" s="320"/>
      <c r="AM12" s="320"/>
      <c r="AN12" s="320"/>
      <c r="AO12" s="320"/>
      <c r="AP12" s="320"/>
      <c r="AQ12" s="320"/>
      <c r="AR12" s="320"/>
    </row>
    <row r="13" spans="1:44" ht="89.25" hidden="1" customHeight="1" thickBot="1" x14ac:dyDescent="0.35">
      <c r="A13" s="319">
        <v>627</v>
      </c>
      <c r="B13" s="853" t="s">
        <v>696</v>
      </c>
      <c r="C13" s="852" t="s">
        <v>129</v>
      </c>
      <c r="D13" s="350" t="s">
        <v>1459</v>
      </c>
      <c r="E13" s="710" t="e">
        <f>HLOOKUP($D$2,'2020 Data(H)'!$C$1:$CZ$432,286,FALSE)</f>
        <v>#N/A</v>
      </c>
      <c r="F13" s="307">
        <v>0</v>
      </c>
      <c r="G13" s="771">
        <f>IF(F13&gt;F12,"Please review account numbers 627 &gt;626",)</f>
        <v>0</v>
      </c>
      <c r="H13" s="776"/>
      <c r="I13" s="776"/>
      <c r="J13" s="616"/>
      <c r="L13" s="745"/>
      <c r="Q13" s="307">
        <v>0</v>
      </c>
      <c r="Z13" s="319"/>
      <c r="AA13" s="319"/>
      <c r="AB13" s="319"/>
      <c r="AC13" s="319"/>
      <c r="AD13" s="319"/>
      <c r="AE13" s="319"/>
      <c r="AF13" s="319"/>
      <c r="AG13" s="319"/>
      <c r="AH13" s="319"/>
      <c r="AI13" s="319"/>
      <c r="AJ13" s="319"/>
      <c r="AK13" s="319"/>
      <c r="AL13" s="319"/>
      <c r="AM13" s="319"/>
      <c r="AN13" s="319"/>
      <c r="AO13" s="319"/>
      <c r="AP13" s="319"/>
      <c r="AQ13" s="319"/>
      <c r="AR13" s="319"/>
    </row>
    <row r="14" spans="1:44" ht="105" hidden="1" customHeight="1" thickBot="1" x14ac:dyDescent="0.35">
      <c r="A14" s="319">
        <v>628</v>
      </c>
      <c r="B14" s="853" t="s">
        <v>696</v>
      </c>
      <c r="C14" s="852" t="s">
        <v>129</v>
      </c>
      <c r="D14" s="350" t="s">
        <v>1460</v>
      </c>
      <c r="E14" s="710" t="e">
        <f>HLOOKUP($D$2,'2020 Data(H)'!$C$1:$CZ$432,287,FALSE)</f>
        <v>#N/A</v>
      </c>
      <c r="F14" s="307">
        <v>0</v>
      </c>
      <c r="G14" s="771">
        <f>IF(F14&gt;F12,"Please review account numbers 628 &gt; 626",)</f>
        <v>0</v>
      </c>
      <c r="H14" s="776"/>
      <c r="I14" s="776"/>
      <c r="J14" s="616"/>
      <c r="L14" s="745"/>
      <c r="Q14" s="307">
        <v>56141</v>
      </c>
      <c r="Z14" s="319"/>
      <c r="AA14" s="319"/>
      <c r="AB14" s="319"/>
      <c r="AC14" s="319"/>
      <c r="AD14" s="319"/>
      <c r="AE14" s="319"/>
      <c r="AF14" s="319"/>
      <c r="AG14" s="319"/>
      <c r="AH14" s="319"/>
      <c r="AI14" s="319"/>
      <c r="AJ14" s="319"/>
      <c r="AK14" s="319"/>
      <c r="AL14" s="319"/>
      <c r="AM14" s="319"/>
      <c r="AN14" s="319"/>
      <c r="AO14" s="319"/>
      <c r="AP14" s="319"/>
      <c r="AQ14" s="319"/>
      <c r="AR14" s="319"/>
    </row>
    <row r="15" spans="1:44" ht="95.25" hidden="1" customHeight="1" thickBot="1" x14ac:dyDescent="0.35">
      <c r="A15" s="319">
        <v>629</v>
      </c>
      <c r="B15" s="853" t="s">
        <v>696</v>
      </c>
      <c r="C15" s="852" t="s">
        <v>129</v>
      </c>
      <c r="D15" s="350" t="s">
        <v>1461</v>
      </c>
      <c r="E15" s="710" t="e">
        <f>HLOOKUP($D$2,'2020 Data(H)'!$C$1:$CZ$432,288,FALSE)</f>
        <v>#N/A</v>
      </c>
      <c r="F15" s="307">
        <v>0</v>
      </c>
      <c r="G15" s="771">
        <f>IF(F15&gt;F12,"Please review account numbers 629 &gt; 626",)</f>
        <v>0</v>
      </c>
      <c r="H15" s="776"/>
      <c r="I15" s="776"/>
      <c r="J15" s="616"/>
      <c r="L15" s="745"/>
      <c r="Q15" s="307">
        <v>0</v>
      </c>
      <c r="Z15" s="319"/>
      <c r="AA15" s="319"/>
      <c r="AB15" s="319"/>
      <c r="AC15" s="319"/>
      <c r="AD15" s="319"/>
      <c r="AE15" s="319"/>
      <c r="AF15" s="319"/>
      <c r="AG15" s="319"/>
      <c r="AH15" s="319"/>
      <c r="AI15" s="319"/>
      <c r="AJ15" s="319"/>
      <c r="AK15" s="319"/>
      <c r="AL15" s="319"/>
      <c r="AM15" s="319"/>
      <c r="AN15" s="319"/>
      <c r="AO15" s="319"/>
      <c r="AP15" s="319"/>
      <c r="AQ15" s="319"/>
      <c r="AR15" s="319"/>
    </row>
    <row r="16" spans="1:44" ht="69" hidden="1" customHeight="1" thickBot="1" x14ac:dyDescent="0.35">
      <c r="A16" s="319">
        <v>630</v>
      </c>
      <c r="B16" s="853" t="s">
        <v>696</v>
      </c>
      <c r="C16" s="852" t="s">
        <v>129</v>
      </c>
      <c r="D16" s="350" t="s">
        <v>794</v>
      </c>
      <c r="E16" s="710" t="e">
        <f>HLOOKUP($D$2,'2020 Data(H)'!$C$1:$CZ$432,289,FALSE)</f>
        <v>#N/A</v>
      </c>
      <c r="F16" s="307">
        <v>0</v>
      </c>
      <c r="G16" s="771">
        <f>IF(F16&gt;F12,"Please review account numbers 630 &gt; 626",)</f>
        <v>0</v>
      </c>
      <c r="H16" s="776"/>
      <c r="I16" s="776"/>
      <c r="J16" s="616"/>
      <c r="L16" s="745"/>
      <c r="Q16" s="307">
        <v>0</v>
      </c>
      <c r="Z16" s="319"/>
      <c r="AA16" s="319"/>
      <c r="AB16" s="319"/>
      <c r="AC16" s="319"/>
      <c r="AD16" s="319"/>
      <c r="AE16" s="319"/>
      <c r="AF16" s="319"/>
      <c r="AG16" s="319"/>
      <c r="AH16" s="319"/>
      <c r="AI16" s="319"/>
      <c r="AJ16" s="319"/>
      <c r="AK16" s="319"/>
      <c r="AL16" s="319"/>
      <c r="AM16" s="319"/>
      <c r="AN16" s="319"/>
      <c r="AO16" s="319"/>
      <c r="AP16" s="319"/>
      <c r="AQ16" s="319"/>
      <c r="AR16" s="319"/>
    </row>
    <row r="17" spans="1:44" ht="95.25" hidden="1" customHeight="1" thickBot="1" x14ac:dyDescent="0.35">
      <c r="A17" s="319">
        <v>631</v>
      </c>
      <c r="B17" s="853" t="s">
        <v>696</v>
      </c>
      <c r="C17" s="852" t="s">
        <v>129</v>
      </c>
      <c r="D17" s="350" t="s">
        <v>1462</v>
      </c>
      <c r="E17" s="710" t="e">
        <f>HLOOKUP($D$2,'2020 Data(H)'!$C$1:$CZ$432,290,FALSE)</f>
        <v>#N/A</v>
      </c>
      <c r="F17" s="307">
        <v>0</v>
      </c>
      <c r="G17" s="771">
        <f>IF(F17&gt;F12,"Please review account numbers 631 &gt; 626",)</f>
        <v>0</v>
      </c>
      <c r="H17" s="776"/>
      <c r="I17" s="776"/>
      <c r="J17" s="616"/>
      <c r="L17" s="745"/>
      <c r="Q17" s="307">
        <v>0</v>
      </c>
      <c r="Z17" s="319"/>
      <c r="AA17" s="319"/>
      <c r="AB17" s="319"/>
      <c r="AC17" s="319"/>
      <c r="AD17" s="319"/>
      <c r="AE17" s="319"/>
      <c r="AF17" s="319"/>
      <c r="AG17" s="319"/>
      <c r="AH17" s="319"/>
      <c r="AI17" s="319"/>
      <c r="AJ17" s="319"/>
      <c r="AK17" s="319"/>
      <c r="AL17" s="319"/>
      <c r="AM17" s="319"/>
      <c r="AN17" s="319"/>
      <c r="AO17" s="319"/>
      <c r="AP17" s="319"/>
      <c r="AQ17" s="319"/>
      <c r="AR17" s="319"/>
    </row>
    <row r="18" spans="1:44" ht="111.75" hidden="1" customHeight="1" thickBot="1" x14ac:dyDescent="0.35">
      <c r="A18" s="319">
        <v>632</v>
      </c>
      <c r="B18" s="853" t="s">
        <v>696</v>
      </c>
      <c r="C18" s="852" t="s">
        <v>129</v>
      </c>
      <c r="D18" s="350" t="s">
        <v>1463</v>
      </c>
      <c r="E18" s="710" t="e">
        <f>HLOOKUP($D$2,'2020 Data(H)'!$C$1:$CZ$432,291,FALSE)</f>
        <v>#N/A</v>
      </c>
      <c r="F18" s="307">
        <v>0</v>
      </c>
      <c r="G18" s="771">
        <f>IF(F18&gt;F12,"Please review account numbers 632 &gt; 626",)</f>
        <v>0</v>
      </c>
      <c r="H18" s="776"/>
      <c r="I18" s="776"/>
      <c r="J18" s="616"/>
      <c r="L18" s="745"/>
      <c r="Q18" s="307">
        <v>0</v>
      </c>
      <c r="Z18" s="319"/>
      <c r="AA18" s="319"/>
      <c r="AB18" s="319"/>
      <c r="AC18" s="319"/>
      <c r="AD18" s="319"/>
      <c r="AE18" s="319"/>
      <c r="AF18" s="319"/>
      <c r="AG18" s="319"/>
      <c r="AH18" s="319"/>
      <c r="AI18" s="319"/>
      <c r="AJ18" s="319"/>
      <c r="AK18" s="319"/>
      <c r="AL18" s="319"/>
      <c r="AM18" s="319"/>
      <c r="AN18" s="319"/>
      <c r="AO18" s="319"/>
      <c r="AP18" s="319"/>
      <c r="AQ18" s="319"/>
      <c r="AR18" s="319"/>
    </row>
    <row r="19" spans="1:44" ht="55.5" hidden="1" customHeight="1" thickBot="1" x14ac:dyDescent="0.35">
      <c r="A19" s="108">
        <v>338</v>
      </c>
      <c r="B19" s="634" t="s">
        <v>56</v>
      </c>
      <c r="C19" s="676" t="s">
        <v>129</v>
      </c>
      <c r="D19" s="107" t="s">
        <v>131</v>
      </c>
      <c r="E19" s="710" t="e">
        <f>HLOOKUP($D$2,'2020 Data(H)'!$C$1:$CZ$432,104,FALSE)</f>
        <v>#N/A</v>
      </c>
      <c r="F19" s="307">
        <v>0</v>
      </c>
      <c r="G19" s="771" t="str">
        <f>IF(F12&gt;F19,"Error: Please review accts 626 &gt; 338","")</f>
        <v/>
      </c>
      <c r="H19" s="17"/>
      <c r="I19" s="772"/>
      <c r="J19" s="616"/>
      <c r="L19" s="745"/>
      <c r="Q19" s="307">
        <v>1131889</v>
      </c>
      <c r="Z19" s="108"/>
      <c r="AA19" s="108"/>
      <c r="AB19" s="108"/>
      <c r="AC19" s="108"/>
      <c r="AD19" s="108"/>
      <c r="AE19" s="108"/>
      <c r="AF19" s="108"/>
      <c r="AG19" s="108"/>
      <c r="AH19" s="108"/>
      <c r="AI19" s="108"/>
      <c r="AJ19" s="108"/>
      <c r="AK19" s="108"/>
      <c r="AL19" s="108"/>
      <c r="AM19" s="108"/>
      <c r="AN19" s="108"/>
      <c r="AO19" s="108"/>
      <c r="AP19" s="108"/>
      <c r="AQ19" s="108"/>
      <c r="AR19" s="108"/>
    </row>
    <row r="20" spans="1:44" ht="89.25" hidden="1" customHeight="1" thickBot="1" x14ac:dyDescent="0.35">
      <c r="A20" s="108">
        <v>335</v>
      </c>
      <c r="B20" s="634" t="s">
        <v>56</v>
      </c>
      <c r="C20" s="676" t="s">
        <v>129</v>
      </c>
      <c r="D20" s="749" t="s">
        <v>1464</v>
      </c>
      <c r="E20" s="710" t="e">
        <f>HLOOKUP($D$2,'2020 Data(H)'!$C$1:$CZ$432,101,FALSE)</f>
        <v>#N/A</v>
      </c>
      <c r="F20" s="307">
        <v>0</v>
      </c>
      <c r="G20" s="771">
        <f>IF(F20&lt;0,"Error: Enter as positive.",)</f>
        <v>0</v>
      </c>
      <c r="H20" s="17"/>
      <c r="I20" s="385"/>
      <c r="J20" s="616"/>
      <c r="L20" s="745"/>
      <c r="Q20" s="307">
        <v>0</v>
      </c>
      <c r="Z20" s="108"/>
      <c r="AA20" s="108"/>
      <c r="AB20" s="108"/>
      <c r="AC20" s="108"/>
      <c r="AD20" s="108"/>
      <c r="AE20" s="108"/>
      <c r="AF20" s="108"/>
      <c r="AG20" s="108"/>
      <c r="AH20" s="108"/>
      <c r="AI20" s="108"/>
      <c r="AJ20" s="108"/>
      <c r="AK20" s="108"/>
      <c r="AL20" s="108"/>
      <c r="AM20" s="108"/>
      <c r="AN20" s="108"/>
      <c r="AO20" s="108"/>
      <c r="AP20" s="108"/>
      <c r="AQ20" s="108"/>
      <c r="AR20" s="108"/>
    </row>
    <row r="21" spans="1:44" ht="48.75" hidden="1" customHeight="1" thickBot="1" x14ac:dyDescent="0.35">
      <c r="A21" s="108">
        <v>252</v>
      </c>
      <c r="B21" s="634" t="s">
        <v>56</v>
      </c>
      <c r="C21" s="676" t="s">
        <v>129</v>
      </c>
      <c r="D21" s="107" t="s">
        <v>132</v>
      </c>
      <c r="E21" s="710" t="e">
        <f>HLOOKUP($D$2,'2020 Data(H)'!$C$1:$CZ$432,78,FALSE)</f>
        <v>#N/A</v>
      </c>
      <c r="F21" s="307">
        <v>0</v>
      </c>
      <c r="G21" s="777"/>
      <c r="H21" s="17"/>
      <c r="I21" s="79"/>
      <c r="J21" s="616"/>
      <c r="L21" s="745"/>
      <c r="Q21" s="307">
        <v>1656465</v>
      </c>
      <c r="Z21" s="108"/>
      <c r="AA21" s="108"/>
      <c r="AB21" s="108"/>
      <c r="AC21" s="108"/>
      <c r="AD21" s="108"/>
      <c r="AE21" s="108"/>
      <c r="AF21" s="108"/>
      <c r="AG21" s="108"/>
      <c r="AH21" s="108"/>
      <c r="AI21" s="108"/>
      <c r="AJ21" s="108"/>
      <c r="AK21" s="108"/>
      <c r="AL21" s="108"/>
      <c r="AM21" s="108"/>
      <c r="AN21" s="108"/>
      <c r="AO21" s="108"/>
      <c r="AP21" s="108"/>
      <c r="AQ21" s="108"/>
      <c r="AR21" s="108"/>
    </row>
    <row r="22" spans="1:44" ht="43.8" hidden="1" thickBot="1" x14ac:dyDescent="0.35">
      <c r="A22" s="108">
        <v>253</v>
      </c>
      <c r="B22" s="634" t="s">
        <v>56</v>
      </c>
      <c r="C22" s="676" t="s">
        <v>129</v>
      </c>
      <c r="D22" s="107" t="s">
        <v>133</v>
      </c>
      <c r="E22" s="710" t="e">
        <f>HLOOKUP($D$2,'2020 Data(H)'!$C$1:$CZ$432,79,FALSE)</f>
        <v>#N/A</v>
      </c>
      <c r="F22" s="307">
        <v>0</v>
      </c>
      <c r="G22" s="771"/>
      <c r="H22" s="17"/>
      <c r="I22" s="79"/>
      <c r="J22" s="616"/>
      <c r="L22" s="745"/>
      <c r="Q22" s="307">
        <v>172269</v>
      </c>
      <c r="Z22" s="108"/>
      <c r="AA22" s="108"/>
      <c r="AB22" s="108"/>
      <c r="AC22" s="108"/>
      <c r="AD22" s="108"/>
      <c r="AE22" s="108"/>
      <c r="AF22" s="108"/>
      <c r="AG22" s="108"/>
      <c r="AH22" s="108"/>
      <c r="AI22" s="108"/>
      <c r="AJ22" s="108"/>
      <c r="AK22" s="108"/>
      <c r="AL22" s="108"/>
      <c r="AM22" s="108"/>
      <c r="AN22" s="108"/>
      <c r="AO22" s="108"/>
      <c r="AP22" s="108"/>
      <c r="AQ22" s="108"/>
      <c r="AR22" s="108"/>
    </row>
    <row r="23" spans="1:44" ht="73.5" hidden="1" customHeight="1" thickBot="1" x14ac:dyDescent="0.35">
      <c r="A23" s="108">
        <v>254</v>
      </c>
      <c r="B23" s="634" t="s">
        <v>56</v>
      </c>
      <c r="C23" s="676" t="s">
        <v>129</v>
      </c>
      <c r="D23" s="107" t="s">
        <v>1465</v>
      </c>
      <c r="E23" s="710" t="e">
        <f>HLOOKUP($D$2,'2020 Data(H)'!$C$1:$CZ$432,80,FALSE)</f>
        <v>#N/A</v>
      </c>
      <c r="F23" s="307">
        <v>0</v>
      </c>
      <c r="G23" s="771">
        <f>IF(H23=0,,"Error: Total assets and deferred outflows less total liabilities and deferred inflows do not equal total net position. Account numbers  385-338-252-253-254 = 0.  The amount the formula is off is located in the cell to the right")</f>
        <v>0</v>
      </c>
      <c r="H23" s="774">
        <f>F9-F19-F21-F22-F23</f>
        <v>0</v>
      </c>
      <c r="I23" s="79"/>
      <c r="J23" s="616"/>
      <c r="L23" s="745"/>
      <c r="Q23" s="307">
        <v>1605749</v>
      </c>
      <c r="Z23" s="108"/>
      <c r="AA23" s="108"/>
      <c r="AB23" s="108"/>
      <c r="AC23" s="108"/>
      <c r="AD23" s="108"/>
      <c r="AE23" s="108"/>
      <c r="AF23" s="108"/>
      <c r="AG23" s="108"/>
      <c r="AH23" s="108"/>
      <c r="AI23" s="108"/>
      <c r="AJ23" s="108"/>
      <c r="AK23" s="108"/>
      <c r="AL23" s="108"/>
      <c r="AM23" s="108"/>
      <c r="AN23" s="108"/>
      <c r="AO23" s="108"/>
      <c r="AP23" s="108"/>
      <c r="AQ23" s="108"/>
      <c r="AR23" s="108"/>
    </row>
    <row r="24" spans="1:44" ht="21.75" customHeight="1" thickBot="1" x14ac:dyDescent="0.35">
      <c r="A24" s="108"/>
      <c r="B24" s="884" t="s">
        <v>134</v>
      </c>
      <c r="C24" s="885"/>
      <c r="D24" s="889"/>
      <c r="E24" s="890"/>
      <c r="F24" s="901"/>
      <c r="G24" s="902"/>
      <c r="H24" s="17"/>
      <c r="I24" s="79"/>
      <c r="L24" s="745"/>
      <c r="Z24" s="108"/>
      <c r="AA24" s="108"/>
      <c r="AB24" s="108"/>
      <c r="AC24" s="108"/>
      <c r="AD24" s="108"/>
      <c r="AE24" s="108"/>
      <c r="AF24" s="108"/>
      <c r="AG24" s="108"/>
      <c r="AH24" s="108"/>
      <c r="AI24" s="108"/>
      <c r="AJ24" s="108"/>
      <c r="AK24" s="108"/>
      <c r="AL24" s="108"/>
      <c r="AM24" s="108"/>
      <c r="AN24" s="108"/>
      <c r="AO24" s="108"/>
      <c r="AP24" s="108"/>
      <c r="AQ24" s="108"/>
      <c r="AR24" s="108"/>
    </row>
    <row r="25" spans="1:44" ht="59.25" customHeight="1" thickBot="1" x14ac:dyDescent="0.35">
      <c r="A25" s="108">
        <v>502</v>
      </c>
      <c r="B25" s="634" t="s">
        <v>55</v>
      </c>
      <c r="C25" s="676" t="s">
        <v>136</v>
      </c>
      <c r="D25" s="749" t="s">
        <v>1466</v>
      </c>
      <c r="E25" s="710" t="e">
        <f>HLOOKUP($D$2,'2020 Data(H)'!$C$1:$CZ$432,152,FALSE)</f>
        <v>#N/A</v>
      </c>
      <c r="F25" s="307">
        <v>0</v>
      </c>
      <c r="G25" s="771">
        <f>IF(F25&lt;0,"Note: Number is normally positive.",)</f>
        <v>0</v>
      </c>
      <c r="H25" s="17"/>
      <c r="I25" s="79"/>
      <c r="L25" s="745"/>
      <c r="Z25" s="108"/>
      <c r="AA25" s="108"/>
      <c r="AB25" s="108"/>
      <c r="AC25" s="108"/>
      <c r="AD25" s="108"/>
      <c r="AE25" s="108"/>
      <c r="AF25" s="108"/>
      <c r="AG25" s="108"/>
      <c r="AH25" s="108"/>
      <c r="AI25" s="108"/>
      <c r="AJ25" s="108"/>
      <c r="AK25" s="108"/>
      <c r="AL25" s="108"/>
      <c r="AM25" s="108"/>
      <c r="AN25" s="108"/>
      <c r="AO25" s="108"/>
      <c r="AP25" s="108"/>
      <c r="AQ25" s="108"/>
      <c r="AR25" s="108"/>
    </row>
    <row r="26" spans="1:44" ht="59.25" customHeight="1" thickBot="1" x14ac:dyDescent="0.35">
      <c r="A26" s="108">
        <v>503</v>
      </c>
      <c r="B26" s="634" t="s">
        <v>55</v>
      </c>
      <c r="C26" s="676" t="s">
        <v>136</v>
      </c>
      <c r="D26" s="107" t="s">
        <v>135</v>
      </c>
      <c r="E26" s="710" t="e">
        <f>HLOOKUP($D$2,'2020 Data(H)'!$C$1:$CZ$432,153,FALSE)</f>
        <v>#N/A</v>
      </c>
      <c r="F26" s="278">
        <v>0</v>
      </c>
      <c r="G26" s="771">
        <f>IF(F26&lt;0,"Note: Number is normally positive.",)</f>
        <v>0</v>
      </c>
      <c r="H26" s="17"/>
      <c r="I26" s="79"/>
      <c r="L26" s="745"/>
      <c r="Z26" s="108"/>
      <c r="AA26" s="108"/>
      <c r="AB26" s="108"/>
      <c r="AC26" s="108"/>
      <c r="AD26" s="108"/>
      <c r="AE26" s="108"/>
      <c r="AF26" s="108"/>
      <c r="AG26" s="108"/>
      <c r="AH26" s="108"/>
      <c r="AI26" s="108"/>
      <c r="AJ26" s="108"/>
      <c r="AK26" s="108"/>
      <c r="AL26" s="108"/>
      <c r="AM26" s="108"/>
      <c r="AN26" s="108"/>
      <c r="AO26" s="108"/>
      <c r="AP26" s="108"/>
      <c r="AQ26" s="108"/>
      <c r="AR26" s="108"/>
    </row>
    <row r="27" spans="1:44" ht="27" hidden="1" customHeight="1" thickBot="1" x14ac:dyDescent="0.35">
      <c r="A27" s="108"/>
      <c r="B27" s="884" t="s">
        <v>137</v>
      </c>
      <c r="C27" s="885"/>
      <c r="D27" s="889"/>
      <c r="E27" s="890"/>
      <c r="F27" s="891"/>
      <c r="G27" s="892"/>
      <c r="H27" s="17"/>
      <c r="I27" s="79"/>
      <c r="L27" s="745"/>
      <c r="Z27" s="108"/>
      <c r="AA27" s="108"/>
      <c r="AB27" s="108"/>
      <c r="AC27" s="108"/>
      <c r="AD27" s="108"/>
      <c r="AE27" s="108"/>
      <c r="AF27" s="108"/>
      <c r="AG27" s="108"/>
      <c r="AH27" s="108"/>
      <c r="AI27" s="108"/>
      <c r="AJ27" s="108"/>
      <c r="AK27" s="108"/>
      <c r="AL27" s="108"/>
      <c r="AM27" s="108"/>
      <c r="AN27" s="108"/>
      <c r="AO27" s="108"/>
      <c r="AP27" s="108"/>
      <c r="AQ27" s="108"/>
      <c r="AR27" s="108"/>
    </row>
    <row r="28" spans="1:44" ht="49.5" hidden="1" customHeight="1" thickBot="1" x14ac:dyDescent="0.35">
      <c r="A28" s="108">
        <v>344</v>
      </c>
      <c r="B28" s="634" t="s">
        <v>56</v>
      </c>
      <c r="C28" s="634" t="s">
        <v>144</v>
      </c>
      <c r="D28" s="107" t="s">
        <v>138</v>
      </c>
      <c r="E28" s="710" t="e">
        <f>HLOOKUP($D$2,'2020 Data(H)'!$C$1:$CZ$432,110,FALSE)</f>
        <v>#N/A</v>
      </c>
      <c r="F28" s="307">
        <v>0</v>
      </c>
      <c r="G28" s="771">
        <f t="shared" ref="G28:G35" si="0">IF(F28&lt;0,"Error: Enter as positive.",)</f>
        <v>0</v>
      </c>
      <c r="H28" s="17"/>
      <c r="I28" s="79"/>
      <c r="L28" s="745"/>
      <c r="Z28" s="108"/>
      <c r="AA28" s="108"/>
      <c r="AB28" s="108"/>
      <c r="AC28" s="108"/>
      <c r="AD28" s="108"/>
      <c r="AE28" s="108"/>
      <c r="AF28" s="108"/>
      <c r="AG28" s="108"/>
      <c r="AH28" s="108"/>
      <c r="AI28" s="108"/>
      <c r="AJ28" s="108"/>
      <c r="AK28" s="108"/>
      <c r="AL28" s="108"/>
      <c r="AM28" s="108"/>
      <c r="AN28" s="108"/>
      <c r="AO28" s="108"/>
      <c r="AP28" s="108"/>
      <c r="AQ28" s="108"/>
      <c r="AR28" s="108"/>
    </row>
    <row r="29" spans="1:44" ht="49.5" hidden="1" customHeight="1" thickBot="1" x14ac:dyDescent="0.35">
      <c r="A29" s="108">
        <v>388</v>
      </c>
      <c r="B29" s="634" t="s">
        <v>60</v>
      </c>
      <c r="C29" s="634" t="s">
        <v>144</v>
      </c>
      <c r="D29" s="107" t="s">
        <v>139</v>
      </c>
      <c r="E29" s="710" t="e">
        <f>HLOOKUP($D$2,'2020 Data(H)'!$C$1:$CZ$432,147,FALSE)</f>
        <v>#N/A</v>
      </c>
      <c r="F29" s="307">
        <v>0</v>
      </c>
      <c r="G29" s="771">
        <f t="shared" si="0"/>
        <v>0</v>
      </c>
      <c r="H29" s="17"/>
      <c r="I29" s="79"/>
      <c r="J29" s="616"/>
      <c r="L29" s="745"/>
      <c r="Z29" s="108"/>
      <c r="AA29" s="108"/>
      <c r="AB29" s="108"/>
      <c r="AC29" s="108"/>
      <c r="AD29" s="108"/>
      <c r="AE29" s="108"/>
      <c r="AF29" s="108"/>
      <c r="AG29" s="108"/>
      <c r="AH29" s="108"/>
      <c r="AI29" s="108"/>
      <c r="AJ29" s="108"/>
      <c r="AK29" s="108"/>
      <c r="AL29" s="108"/>
      <c r="AM29" s="108"/>
      <c r="AN29" s="108"/>
      <c r="AO29" s="108"/>
      <c r="AP29" s="108"/>
      <c r="AQ29" s="108"/>
      <c r="AR29" s="108"/>
    </row>
    <row r="30" spans="1:44" ht="51.75" hidden="1" customHeight="1" thickBot="1" x14ac:dyDescent="0.35">
      <c r="A30" s="108">
        <v>339</v>
      </c>
      <c r="B30" s="634" t="s">
        <v>56</v>
      </c>
      <c r="C30" s="634" t="s">
        <v>144</v>
      </c>
      <c r="D30" s="107" t="s">
        <v>140</v>
      </c>
      <c r="E30" s="710" t="e">
        <f>HLOOKUP($D$2,'2020 Data(H)'!$C$1:$CZ$432,105,FALSE)</f>
        <v>#N/A</v>
      </c>
      <c r="F30" s="307">
        <v>0</v>
      </c>
      <c r="G30" s="771">
        <f t="shared" si="0"/>
        <v>0</v>
      </c>
      <c r="H30" s="17"/>
      <c r="I30" s="79"/>
      <c r="J30" s="616"/>
      <c r="L30" s="745"/>
      <c r="Z30" s="108"/>
      <c r="AA30" s="108"/>
      <c r="AB30" s="108"/>
      <c r="AC30" s="108"/>
      <c r="AD30" s="108"/>
      <c r="AE30" s="108"/>
      <c r="AF30" s="108"/>
      <c r="AG30" s="108"/>
      <c r="AH30" s="108"/>
      <c r="AI30" s="108"/>
      <c r="AJ30" s="108"/>
      <c r="AK30" s="108"/>
      <c r="AL30" s="108"/>
      <c r="AM30" s="108"/>
      <c r="AN30" s="108"/>
      <c r="AO30" s="108"/>
      <c r="AP30" s="108"/>
      <c r="AQ30" s="108"/>
      <c r="AR30" s="108"/>
    </row>
    <row r="31" spans="1:44" ht="50.25" hidden="1" customHeight="1" thickBot="1" x14ac:dyDescent="0.35">
      <c r="A31" s="108">
        <v>504</v>
      </c>
      <c r="B31" s="634" t="s">
        <v>56</v>
      </c>
      <c r="C31" s="634" t="s">
        <v>144</v>
      </c>
      <c r="D31" s="107" t="s">
        <v>141</v>
      </c>
      <c r="E31" s="710" t="e">
        <f>HLOOKUP($D$2,'2020 Data(H)'!$C$1:$CZ$432,154,FALSE)</f>
        <v>#N/A</v>
      </c>
      <c r="F31" s="307">
        <v>0</v>
      </c>
      <c r="G31" s="771">
        <f t="shared" si="0"/>
        <v>0</v>
      </c>
      <c r="H31" s="17"/>
      <c r="I31" s="79"/>
      <c r="J31" s="616"/>
      <c r="L31" s="745"/>
      <c r="Z31" s="108"/>
      <c r="AA31" s="108"/>
      <c r="AB31" s="108"/>
      <c r="AC31" s="108"/>
      <c r="AD31" s="108"/>
      <c r="AE31" s="108"/>
      <c r="AF31" s="108"/>
      <c r="AG31" s="108"/>
      <c r="AH31" s="108"/>
      <c r="AI31" s="108"/>
      <c r="AJ31" s="108"/>
      <c r="AK31" s="108"/>
      <c r="AL31" s="108"/>
      <c r="AM31" s="108"/>
      <c r="AN31" s="108"/>
      <c r="AO31" s="108"/>
      <c r="AP31" s="108"/>
      <c r="AQ31" s="108"/>
      <c r="AR31" s="108"/>
    </row>
    <row r="32" spans="1:44" ht="60" hidden="1" customHeight="1" thickBot="1" x14ac:dyDescent="0.35">
      <c r="A32" s="108">
        <v>505</v>
      </c>
      <c r="B32" s="634" t="s">
        <v>56</v>
      </c>
      <c r="C32" s="634" t="s">
        <v>144</v>
      </c>
      <c r="D32" s="729" t="s">
        <v>142</v>
      </c>
      <c r="E32" s="710" t="e">
        <f>HLOOKUP($D$2,'2020 Data(H)'!$C$1:$CZ$432,155,FALSE)</f>
        <v>#N/A</v>
      </c>
      <c r="F32" s="307">
        <v>0</v>
      </c>
      <c r="G32" s="771">
        <f t="shared" si="0"/>
        <v>0</v>
      </c>
      <c r="H32" s="17"/>
      <c r="I32" s="79"/>
      <c r="J32" s="616"/>
      <c r="L32" s="745"/>
      <c r="Z32" s="108"/>
      <c r="AA32" s="108"/>
      <c r="AB32" s="108"/>
      <c r="AC32" s="108"/>
      <c r="AD32" s="108"/>
      <c r="AE32" s="108"/>
      <c r="AF32" s="108"/>
      <c r="AG32" s="108"/>
      <c r="AH32" s="108"/>
      <c r="AI32" s="108"/>
      <c r="AJ32" s="108"/>
      <c r="AK32" s="108"/>
      <c r="AL32" s="108"/>
      <c r="AM32" s="108"/>
      <c r="AN32" s="108"/>
      <c r="AO32" s="108"/>
      <c r="AP32" s="108"/>
      <c r="AQ32" s="108"/>
      <c r="AR32" s="108"/>
    </row>
    <row r="33" spans="1:44" ht="67.95" hidden="1" customHeight="1" thickBot="1" x14ac:dyDescent="0.35">
      <c r="A33" s="108">
        <v>341</v>
      </c>
      <c r="B33" s="634" t="s">
        <v>56</v>
      </c>
      <c r="C33" s="634" t="s">
        <v>144</v>
      </c>
      <c r="D33" s="749" t="s">
        <v>1467</v>
      </c>
      <c r="E33" s="710" t="e">
        <f>HLOOKUP($D$2,'2020 Data(H)'!$C$1:$CZ$432,107,FALSE)</f>
        <v>#N/A</v>
      </c>
      <c r="F33" s="307">
        <v>0</v>
      </c>
      <c r="G33" s="771">
        <f t="shared" si="0"/>
        <v>0</v>
      </c>
      <c r="H33" s="17"/>
      <c r="I33" s="79"/>
      <c r="J33" s="616"/>
      <c r="L33" s="745"/>
      <c r="Z33" s="108"/>
      <c r="AA33" s="108"/>
      <c r="AB33" s="108"/>
      <c r="AC33" s="108"/>
      <c r="AD33" s="108"/>
      <c r="AE33" s="108"/>
      <c r="AF33" s="108"/>
      <c r="AG33" s="108"/>
      <c r="AH33" s="108"/>
      <c r="AI33" s="108"/>
      <c r="AJ33" s="108"/>
      <c r="AK33" s="108"/>
      <c r="AL33" s="108"/>
      <c r="AM33" s="108"/>
      <c r="AN33" s="108"/>
      <c r="AO33" s="108"/>
      <c r="AP33" s="108"/>
      <c r="AQ33" s="108"/>
      <c r="AR33" s="108"/>
    </row>
    <row r="34" spans="1:44" ht="44.25" hidden="1" customHeight="1" thickBot="1" x14ac:dyDescent="0.35">
      <c r="A34" s="108">
        <v>386</v>
      </c>
      <c r="B34" s="634" t="s">
        <v>56</v>
      </c>
      <c r="C34" s="634" t="s">
        <v>144</v>
      </c>
      <c r="D34" s="107" t="s">
        <v>1468</v>
      </c>
      <c r="E34" s="710" t="e">
        <f>HLOOKUP($D$2,'2020 Data(H)'!$C$1:$CZ$432,145,FALSE)</f>
        <v>#N/A</v>
      </c>
      <c r="F34" s="307">
        <v>0</v>
      </c>
      <c r="G34" s="771">
        <f t="shared" si="0"/>
        <v>0</v>
      </c>
      <c r="H34" s="17"/>
      <c r="I34" s="79"/>
      <c r="L34" s="745"/>
      <c r="Z34" s="108"/>
      <c r="AA34" s="108"/>
      <c r="AB34" s="108"/>
      <c r="AC34" s="108"/>
      <c r="AD34" s="108"/>
      <c r="AE34" s="108"/>
      <c r="AF34" s="108"/>
      <c r="AG34" s="108"/>
      <c r="AH34" s="108"/>
      <c r="AI34" s="108"/>
      <c r="AJ34" s="108"/>
      <c r="AK34" s="108"/>
      <c r="AL34" s="108"/>
      <c r="AM34" s="108"/>
      <c r="AN34" s="108"/>
      <c r="AO34" s="108"/>
      <c r="AP34" s="108"/>
      <c r="AQ34" s="108"/>
      <c r="AR34" s="108"/>
    </row>
    <row r="35" spans="1:44" ht="48.75" hidden="1" customHeight="1" thickBot="1" x14ac:dyDescent="0.35">
      <c r="A35" s="108">
        <v>387</v>
      </c>
      <c r="B35" s="634" t="s">
        <v>60</v>
      </c>
      <c r="C35" s="634" t="s">
        <v>144</v>
      </c>
      <c r="D35" s="107" t="s">
        <v>1469</v>
      </c>
      <c r="E35" s="710" t="e">
        <f>HLOOKUP($D$2,'2020 Data(H)'!$C$1:$CZ$432,146,FALSE)</f>
        <v>#N/A</v>
      </c>
      <c r="F35" s="307">
        <v>0</v>
      </c>
      <c r="G35" s="771">
        <f t="shared" si="0"/>
        <v>0</v>
      </c>
      <c r="H35" s="17"/>
      <c r="I35" s="79"/>
      <c r="L35" s="745"/>
      <c r="Z35" s="108"/>
      <c r="AA35" s="108"/>
      <c r="AB35" s="108"/>
      <c r="AC35" s="108"/>
      <c r="AD35" s="108"/>
      <c r="AE35" s="108"/>
      <c r="AF35" s="108"/>
      <c r="AG35" s="108"/>
      <c r="AH35" s="108"/>
      <c r="AI35" s="108"/>
      <c r="AJ35" s="108"/>
      <c r="AK35" s="108"/>
      <c r="AL35" s="108"/>
      <c r="AM35" s="108"/>
      <c r="AN35" s="108"/>
      <c r="AO35" s="108"/>
      <c r="AP35" s="108"/>
      <c r="AQ35" s="108"/>
      <c r="AR35" s="108"/>
    </row>
    <row r="36" spans="1:44" ht="92.25" hidden="1" customHeight="1" thickBot="1" x14ac:dyDescent="0.35">
      <c r="A36" s="108">
        <v>389</v>
      </c>
      <c r="B36" s="634" t="s">
        <v>60</v>
      </c>
      <c r="C36" s="634" t="s">
        <v>144</v>
      </c>
      <c r="D36" s="749" t="s">
        <v>1470</v>
      </c>
      <c r="E36" s="710" t="e">
        <f>HLOOKUP($D$2,'2020 Data(H)'!$C$1:$CZ$432,148,FALSE)</f>
        <v>#N/A</v>
      </c>
      <c r="F36" s="307">
        <v>0</v>
      </c>
      <c r="G36" s="771"/>
      <c r="H36" s="17"/>
      <c r="I36" s="79"/>
      <c r="J36" s="616"/>
      <c r="L36" s="745"/>
      <c r="Z36" s="108"/>
      <c r="AA36" s="108"/>
      <c r="AB36" s="108"/>
      <c r="AC36" s="108"/>
      <c r="AD36" s="108"/>
      <c r="AE36" s="108"/>
      <c r="AF36" s="108"/>
      <c r="AG36" s="108"/>
      <c r="AH36" s="108"/>
      <c r="AI36" s="108"/>
      <c r="AJ36" s="108"/>
      <c r="AK36" s="108"/>
      <c r="AL36" s="108"/>
      <c r="AM36" s="108"/>
      <c r="AN36" s="108"/>
      <c r="AO36" s="108"/>
      <c r="AP36" s="108"/>
      <c r="AQ36" s="108"/>
      <c r="AR36" s="108"/>
    </row>
    <row r="37" spans="1:44" ht="84.75" hidden="1" customHeight="1" thickBot="1" x14ac:dyDescent="0.35">
      <c r="A37" s="108">
        <v>255</v>
      </c>
      <c r="B37" s="634" t="s">
        <v>56</v>
      </c>
      <c r="C37" s="634" t="s">
        <v>144</v>
      </c>
      <c r="D37" s="749" t="s">
        <v>1471</v>
      </c>
      <c r="E37" s="710" t="e">
        <f>HLOOKUP($D$2,'2020 Data(H)'!$C$1:$CZ$432,81,FALSE)</f>
        <v>#N/A</v>
      </c>
      <c r="F37" s="307">
        <v>0</v>
      </c>
      <c r="G37" s="771">
        <f>IF(H37=0,,"Error: Total revenues less total expenses do not equal total change in net position. Account numbers 339+504+505+341+386-387+389-388-255 = 0  The amount the formula is off is located in the cell to the right")</f>
        <v>0</v>
      </c>
      <c r="H37" s="774">
        <f>F30+F31+F32+F33+F34-F35+F36-F29-F37</f>
        <v>0</v>
      </c>
      <c r="I37" s="79"/>
      <c r="J37" s="616"/>
      <c r="L37" s="745"/>
      <c r="Z37" s="108"/>
      <c r="AA37" s="108"/>
      <c r="AB37" s="108"/>
      <c r="AC37" s="108"/>
      <c r="AD37" s="108"/>
      <c r="AE37" s="108"/>
      <c r="AF37" s="108"/>
      <c r="AG37" s="108"/>
      <c r="AH37" s="108"/>
      <c r="AI37" s="108"/>
      <c r="AJ37" s="108"/>
      <c r="AK37" s="108"/>
      <c r="AL37" s="108"/>
      <c r="AM37" s="108"/>
      <c r="AN37" s="108"/>
      <c r="AO37" s="108"/>
      <c r="AP37" s="108"/>
      <c r="AQ37" s="108"/>
      <c r="AR37" s="108"/>
    </row>
    <row r="38" spans="1:44" ht="138" hidden="1" customHeight="1" thickBot="1" x14ac:dyDescent="0.35">
      <c r="A38" s="108">
        <v>376</v>
      </c>
      <c r="B38" s="634" t="s">
        <v>56</v>
      </c>
      <c r="C38" s="634" t="s">
        <v>144</v>
      </c>
      <c r="D38" s="749" t="s">
        <v>1472</v>
      </c>
      <c r="E38" s="710" t="e">
        <f>HLOOKUP($D$2,'2020 Data(H)'!$C$1:$CZ$432,135,FALSE)</f>
        <v>#N/A</v>
      </c>
      <c r="F38" s="305">
        <v>0</v>
      </c>
      <c r="G38" s="954" t="e">
        <f>IF(H38=0,,"Error: Beginning Balance does not agree with our records.  Account numbers  252+253+254-255-376-(Prior Year 252+253+254)=0  The amount the formula is off is located in the cell to the right")</f>
        <v>#N/A</v>
      </c>
      <c r="H38" s="778" t="e">
        <f>F21+F22+F23-F37-F38-(E21+E22+E23)</f>
        <v>#N/A</v>
      </c>
      <c r="I38" s="880"/>
      <c r="J38" s="616"/>
      <c r="L38" s="745"/>
      <c r="Z38" s="108"/>
      <c r="AA38" s="108"/>
      <c r="AB38" s="108"/>
      <c r="AC38" s="108"/>
      <c r="AD38" s="108"/>
      <c r="AE38" s="108"/>
      <c r="AF38" s="108"/>
      <c r="AG38" s="108"/>
      <c r="AH38" s="108"/>
      <c r="AI38" s="108"/>
      <c r="AJ38" s="108"/>
      <c r="AK38" s="108"/>
      <c r="AL38" s="108"/>
      <c r="AM38" s="108"/>
      <c r="AN38" s="108"/>
      <c r="AO38" s="108"/>
      <c r="AP38" s="108"/>
      <c r="AQ38" s="108"/>
      <c r="AR38" s="108"/>
    </row>
    <row r="39" spans="1:44" s="18" customFormat="1" ht="141.75" hidden="1" customHeight="1" thickBot="1" x14ac:dyDescent="0.35">
      <c r="A39" s="108">
        <v>597</v>
      </c>
      <c r="B39" s="676" t="s">
        <v>606</v>
      </c>
      <c r="C39" s="676" t="s">
        <v>652</v>
      </c>
      <c r="D39" s="854" t="s">
        <v>1473</v>
      </c>
      <c r="E39" s="710" t="e">
        <f>HLOOKUP($D$2,'2020 Data(H)'!$C$1:$CZ$432,256,FALSE)</f>
        <v>#N/A</v>
      </c>
      <c r="F39" s="305">
        <v>0</v>
      </c>
      <c r="G39" s="771">
        <f>IF(F39&lt;0,"Note: Number is normally positive.",)</f>
        <v>0</v>
      </c>
      <c r="H39" s="772"/>
      <c r="I39" s="773"/>
      <c r="J39" s="616"/>
      <c r="L39" s="745"/>
      <c r="N39" s="308"/>
      <c r="Z39" s="108"/>
      <c r="AA39" s="108"/>
      <c r="AB39" s="108"/>
      <c r="AC39" s="108"/>
      <c r="AD39" s="108"/>
      <c r="AE39" s="108"/>
      <c r="AF39" s="108"/>
      <c r="AG39" s="108"/>
      <c r="AH39" s="108"/>
      <c r="AI39" s="108"/>
      <c r="AJ39" s="108"/>
      <c r="AK39" s="108"/>
      <c r="AL39" s="108"/>
      <c r="AM39" s="108"/>
      <c r="AN39" s="108"/>
      <c r="AO39" s="108"/>
      <c r="AP39" s="108"/>
      <c r="AQ39" s="108"/>
      <c r="AR39" s="108"/>
    </row>
    <row r="40" spans="1:44" ht="25.5" customHeight="1" thickBot="1" x14ac:dyDescent="0.35">
      <c r="A40" s="108"/>
      <c r="B40" s="884" t="s">
        <v>605</v>
      </c>
      <c r="C40" s="885"/>
      <c r="D40" s="889"/>
      <c r="E40" s="890"/>
      <c r="F40" s="891"/>
      <c r="G40" s="892"/>
      <c r="H40" s="17"/>
      <c r="I40" s="79"/>
      <c r="L40" s="745"/>
      <c r="Z40" s="108"/>
      <c r="AA40" s="108"/>
      <c r="AB40" s="108"/>
      <c r="AC40" s="108"/>
      <c r="AD40" s="108"/>
      <c r="AE40" s="108"/>
      <c r="AF40" s="108"/>
      <c r="AG40" s="108"/>
      <c r="AH40" s="108"/>
      <c r="AI40" s="108"/>
      <c r="AJ40" s="108"/>
      <c r="AK40" s="108"/>
      <c r="AL40" s="108"/>
      <c r="AM40" s="108"/>
      <c r="AN40" s="108"/>
      <c r="AO40" s="108"/>
      <c r="AP40" s="108"/>
      <c r="AQ40" s="108"/>
      <c r="AR40" s="108"/>
    </row>
    <row r="41" spans="1:44" s="18" customFormat="1" ht="86.25" customHeight="1" thickBot="1" x14ac:dyDescent="0.35">
      <c r="A41" s="108">
        <v>592</v>
      </c>
      <c r="B41" s="676" t="s">
        <v>59</v>
      </c>
      <c r="C41" s="676" t="s">
        <v>607</v>
      </c>
      <c r="D41" s="749" t="s">
        <v>1474</v>
      </c>
      <c r="E41" s="710" t="e">
        <f>HLOOKUP($D$2,'2020 Data(H)'!$C$1:$CZ$432,253,FALSE)</f>
        <v>#N/A</v>
      </c>
      <c r="F41" s="779">
        <v>0</v>
      </c>
      <c r="G41" s="771"/>
      <c r="H41" s="772"/>
      <c r="J41" s="616"/>
      <c r="L41" s="745"/>
      <c r="N41" s="308"/>
      <c r="Z41" s="108"/>
      <c r="AA41" s="108"/>
      <c r="AB41" s="108"/>
      <c r="AC41" s="108"/>
      <c r="AD41" s="108"/>
      <c r="AE41" s="108"/>
      <c r="AF41" s="108"/>
      <c r="AG41" s="108"/>
      <c r="AH41" s="108"/>
      <c r="AI41" s="108"/>
      <c r="AJ41" s="108"/>
      <c r="AK41" s="108"/>
      <c r="AL41" s="108"/>
      <c r="AM41" s="108"/>
      <c r="AN41" s="108"/>
      <c r="AO41" s="108"/>
      <c r="AP41" s="108"/>
      <c r="AQ41" s="108"/>
      <c r="AR41" s="108"/>
    </row>
    <row r="42" spans="1:44" s="18" customFormat="1" ht="71.25" customHeight="1" thickBot="1" x14ac:dyDescent="0.35">
      <c r="A42" s="108">
        <v>591</v>
      </c>
      <c r="B42" s="676" t="s">
        <v>59</v>
      </c>
      <c r="C42" s="676" t="s">
        <v>607</v>
      </c>
      <c r="D42" s="107" t="s">
        <v>608</v>
      </c>
      <c r="E42" s="710" t="e">
        <f>HLOOKUP($D$2,'2020 Data(H)'!$C$1:$CZ$432,252,FALSE)</f>
        <v>#N/A</v>
      </c>
      <c r="F42" s="779">
        <v>0</v>
      </c>
      <c r="G42" s="771">
        <f>IF(F42&lt;0,"Error: Enter as positive.",)</f>
        <v>0</v>
      </c>
      <c r="H42" s="772"/>
      <c r="J42" s="616"/>
      <c r="L42" s="745"/>
      <c r="N42" s="308"/>
      <c r="Z42" s="108"/>
      <c r="AA42" s="108"/>
      <c r="AB42" s="108"/>
      <c r="AC42" s="108"/>
      <c r="AD42" s="108"/>
      <c r="AE42" s="108"/>
      <c r="AF42" s="108"/>
      <c r="AG42" s="108"/>
      <c r="AH42" s="108"/>
      <c r="AI42" s="108"/>
      <c r="AJ42" s="108"/>
      <c r="AK42" s="108"/>
      <c r="AL42" s="108"/>
      <c r="AM42" s="108"/>
      <c r="AN42" s="108"/>
      <c r="AO42" s="108"/>
      <c r="AP42" s="108"/>
      <c r="AQ42" s="108"/>
      <c r="AR42" s="108"/>
    </row>
    <row r="43" spans="1:44" s="18" customFormat="1" ht="71.25" hidden="1" customHeight="1" thickBot="1" x14ac:dyDescent="0.35">
      <c r="A43" s="108">
        <v>593</v>
      </c>
      <c r="B43" s="676" t="s">
        <v>59</v>
      </c>
      <c r="C43" s="855" t="s">
        <v>607</v>
      </c>
      <c r="D43" s="107" t="s">
        <v>1417</v>
      </c>
      <c r="E43" s="710" t="s">
        <v>1576</v>
      </c>
      <c r="F43" s="779">
        <v>0</v>
      </c>
      <c r="G43" s="771"/>
      <c r="H43" s="772"/>
      <c r="J43" s="616"/>
      <c r="L43" s="745"/>
      <c r="N43" s="308"/>
      <c r="Z43" s="108"/>
      <c r="AA43" s="108"/>
      <c r="AB43" s="108"/>
      <c r="AC43" s="108"/>
      <c r="AD43" s="108"/>
      <c r="AE43" s="108"/>
      <c r="AF43" s="108"/>
      <c r="AG43" s="108"/>
      <c r="AH43" s="108"/>
      <c r="AI43" s="108"/>
      <c r="AJ43" s="108"/>
      <c r="AK43" s="108"/>
      <c r="AL43" s="108"/>
      <c r="AM43" s="108"/>
      <c r="AN43" s="108"/>
      <c r="AO43" s="108"/>
      <c r="AP43" s="108"/>
      <c r="AQ43" s="108"/>
      <c r="AR43" s="108"/>
    </row>
    <row r="44" spans="1:44" s="18" customFormat="1" ht="71.25" hidden="1" customHeight="1" thickBot="1" x14ac:dyDescent="0.35">
      <c r="A44" s="108">
        <v>594</v>
      </c>
      <c r="B44" s="676" t="s">
        <v>59</v>
      </c>
      <c r="C44" s="855" t="s">
        <v>607</v>
      </c>
      <c r="D44" s="107" t="s">
        <v>1418</v>
      </c>
      <c r="E44" s="710" t="s">
        <v>1576</v>
      </c>
      <c r="F44" s="779">
        <v>0</v>
      </c>
      <c r="G44" s="771"/>
      <c r="H44" s="772"/>
      <c r="J44" s="616"/>
      <c r="L44" s="745"/>
      <c r="N44" s="308"/>
      <c r="Z44" s="108"/>
      <c r="AA44" s="108"/>
      <c r="AB44" s="108"/>
      <c r="AC44" s="108"/>
      <c r="AD44" s="108"/>
      <c r="AE44" s="108"/>
      <c r="AF44" s="108"/>
      <c r="AG44" s="108"/>
      <c r="AH44" s="108"/>
      <c r="AI44" s="108"/>
      <c r="AJ44" s="108"/>
      <c r="AK44" s="108"/>
      <c r="AL44" s="108"/>
      <c r="AM44" s="108"/>
      <c r="AN44" s="108"/>
      <c r="AO44" s="108"/>
      <c r="AP44" s="108"/>
      <c r="AQ44" s="108"/>
      <c r="AR44" s="108"/>
    </row>
    <row r="45" spans="1:44" s="18" customFormat="1" ht="27" hidden="1" customHeight="1" thickBot="1" x14ac:dyDescent="0.35">
      <c r="A45" s="108"/>
      <c r="B45" s="884" t="s">
        <v>1580</v>
      </c>
      <c r="C45" s="940"/>
      <c r="D45" s="941"/>
      <c r="E45" s="917"/>
      <c r="F45" s="891"/>
      <c r="G45" s="902"/>
      <c r="H45" s="772"/>
      <c r="J45" s="616"/>
      <c r="L45" s="745"/>
      <c r="N45" s="308"/>
      <c r="Z45" s="108"/>
      <c r="AA45" s="108"/>
      <c r="AB45" s="108"/>
      <c r="AC45" s="108"/>
      <c r="AD45" s="108"/>
      <c r="AE45" s="108"/>
      <c r="AF45" s="108"/>
      <c r="AG45" s="108"/>
      <c r="AH45" s="108"/>
      <c r="AI45" s="108"/>
      <c r="AJ45" s="108"/>
      <c r="AK45" s="108"/>
      <c r="AL45" s="108"/>
      <c r="AM45" s="108"/>
      <c r="AN45" s="108"/>
      <c r="AO45" s="108"/>
      <c r="AP45" s="108"/>
      <c r="AQ45" s="108"/>
      <c r="AR45" s="108"/>
    </row>
    <row r="46" spans="1:44" s="18" customFormat="1" ht="71.25" hidden="1" customHeight="1" thickBot="1" x14ac:dyDescent="0.35">
      <c r="A46" s="108">
        <v>558</v>
      </c>
      <c r="B46" s="676" t="s">
        <v>59</v>
      </c>
      <c r="C46" s="855" t="s">
        <v>1419</v>
      </c>
      <c r="D46" s="107" t="s">
        <v>1424</v>
      </c>
      <c r="E46" s="710" t="e">
        <f>HLOOKUP($D$2,'2020 Data(H)'!$C$1:$CZ$432,208,FALSE)</f>
        <v>#N/A</v>
      </c>
      <c r="F46" s="779">
        <v>0</v>
      </c>
      <c r="G46" s="771"/>
      <c r="H46" s="772"/>
      <c r="J46" s="616"/>
      <c r="L46" s="745"/>
      <c r="N46" s="308"/>
      <c r="Z46" s="108"/>
      <c r="AA46" s="108"/>
      <c r="AB46" s="108"/>
      <c r="AC46" s="108"/>
      <c r="AD46" s="108"/>
      <c r="AE46" s="108"/>
      <c r="AF46" s="108"/>
      <c r="AG46" s="108"/>
      <c r="AH46" s="108"/>
      <c r="AI46" s="108"/>
      <c r="AJ46" s="108"/>
      <c r="AK46" s="108"/>
      <c r="AL46" s="108"/>
      <c r="AM46" s="108"/>
      <c r="AN46" s="108"/>
      <c r="AO46" s="108"/>
      <c r="AP46" s="108"/>
      <c r="AQ46" s="108"/>
      <c r="AR46" s="108"/>
    </row>
    <row r="47" spans="1:44" s="18" customFormat="1" ht="71.25" hidden="1" customHeight="1" thickBot="1" x14ac:dyDescent="0.35">
      <c r="A47" s="108">
        <v>559</v>
      </c>
      <c r="B47" s="676" t="s">
        <v>59</v>
      </c>
      <c r="C47" s="855" t="s">
        <v>1419</v>
      </c>
      <c r="D47" s="107" t="s">
        <v>146</v>
      </c>
      <c r="E47" s="710" t="e">
        <f>HLOOKUP($D$2,'2020 Data(H)'!$C$1:$CZ$432,209,FALSE)</f>
        <v>#N/A</v>
      </c>
      <c r="F47" s="779">
        <v>0</v>
      </c>
      <c r="G47" s="771"/>
      <c r="H47" s="772"/>
      <c r="J47" s="616"/>
      <c r="L47" s="745"/>
      <c r="N47" s="308"/>
      <c r="Z47" s="108"/>
      <c r="AA47" s="108"/>
      <c r="AB47" s="108"/>
      <c r="AC47" s="108"/>
      <c r="AD47" s="108"/>
      <c r="AE47" s="108"/>
      <c r="AF47" s="108"/>
      <c r="AG47" s="108"/>
      <c r="AH47" s="108"/>
      <c r="AI47" s="108"/>
      <c r="AJ47" s="108"/>
      <c r="AK47" s="108"/>
      <c r="AL47" s="108"/>
      <c r="AM47" s="108"/>
      <c r="AN47" s="108"/>
      <c r="AO47" s="108"/>
      <c r="AP47" s="108"/>
      <c r="AQ47" s="108"/>
      <c r="AR47" s="108"/>
    </row>
    <row r="48" spans="1:44" s="18" customFormat="1" ht="108" hidden="1" customHeight="1" thickBot="1" x14ac:dyDescent="0.35">
      <c r="A48" s="108">
        <v>560</v>
      </c>
      <c r="B48" s="676" t="s">
        <v>59</v>
      </c>
      <c r="C48" s="855" t="s">
        <v>1419</v>
      </c>
      <c r="D48" s="749" t="s">
        <v>1421</v>
      </c>
      <c r="E48" s="710" t="e">
        <f>HLOOKUP($D$2,'2020 Data(H)'!$C$1:$CZ$432,210,FALSE)</f>
        <v>#N/A</v>
      </c>
      <c r="F48" s="779">
        <v>0</v>
      </c>
      <c r="G48" s="771"/>
      <c r="H48" s="772"/>
      <c r="J48" s="616"/>
      <c r="L48" s="745"/>
      <c r="N48" s="308"/>
      <c r="Z48" s="108"/>
      <c r="AA48" s="108"/>
      <c r="AB48" s="108"/>
      <c r="AC48" s="108"/>
      <c r="AD48" s="108"/>
      <c r="AE48" s="108"/>
      <c r="AF48" s="108"/>
      <c r="AG48" s="108"/>
      <c r="AH48" s="108"/>
      <c r="AI48" s="108"/>
      <c r="AJ48" s="108"/>
      <c r="AK48" s="108"/>
      <c r="AL48" s="108"/>
      <c r="AM48" s="108"/>
      <c r="AN48" s="108"/>
      <c r="AO48" s="108"/>
      <c r="AP48" s="108"/>
      <c r="AQ48" s="108"/>
      <c r="AR48" s="108"/>
    </row>
    <row r="49" spans="1:44" s="18" customFormat="1" ht="71.25" hidden="1" customHeight="1" thickBot="1" x14ac:dyDescent="0.35">
      <c r="A49" s="108">
        <v>561</v>
      </c>
      <c r="B49" s="676" t="s">
        <v>59</v>
      </c>
      <c r="C49" s="855" t="s">
        <v>1419</v>
      </c>
      <c r="D49" s="749" t="s">
        <v>1422</v>
      </c>
      <c r="E49" s="710" t="e">
        <f>HLOOKUP($D$2,'2020 Data(H)'!$C$1:$CZ$432,211,FALSE)</f>
        <v>#N/A</v>
      </c>
      <c r="F49" s="779">
        <v>0</v>
      </c>
      <c r="G49" s="771"/>
      <c r="H49" s="772"/>
      <c r="J49" s="616"/>
      <c r="L49" s="745"/>
      <c r="N49" s="308"/>
      <c r="Z49" s="108"/>
      <c r="AA49" s="108"/>
      <c r="AB49" s="108"/>
      <c r="AC49" s="108"/>
      <c r="AD49" s="108"/>
      <c r="AE49" s="108"/>
      <c r="AF49" s="108"/>
      <c r="AG49" s="108"/>
      <c r="AH49" s="108"/>
      <c r="AI49" s="108"/>
      <c r="AJ49" s="108"/>
      <c r="AK49" s="108"/>
      <c r="AL49" s="108"/>
      <c r="AM49" s="108"/>
      <c r="AN49" s="108"/>
      <c r="AO49" s="108"/>
      <c r="AP49" s="108"/>
      <c r="AQ49" s="108"/>
      <c r="AR49" s="108"/>
    </row>
    <row r="50" spans="1:44" s="18" customFormat="1" ht="122.25" hidden="1" customHeight="1" thickBot="1" x14ac:dyDescent="0.35">
      <c r="A50" s="108">
        <v>563</v>
      </c>
      <c r="B50" s="676" t="s">
        <v>59</v>
      </c>
      <c r="C50" s="855" t="s">
        <v>1419</v>
      </c>
      <c r="D50" s="749" t="s">
        <v>1420</v>
      </c>
      <c r="E50" s="710" t="e">
        <f>HLOOKUP($D$2,'2020 Data(H)'!$C$1:$CZ$432,213,FALSE)</f>
        <v>#N/A</v>
      </c>
      <c r="F50" s="779">
        <v>0</v>
      </c>
      <c r="G50" s="771"/>
      <c r="H50" s="772"/>
      <c r="J50" s="616"/>
      <c r="L50" s="745"/>
      <c r="N50" s="308"/>
      <c r="Z50" s="108"/>
      <c r="AA50" s="108"/>
      <c r="AB50" s="108"/>
      <c r="AC50" s="108"/>
      <c r="AD50" s="108"/>
      <c r="AE50" s="108"/>
      <c r="AF50" s="108"/>
      <c r="AG50" s="108"/>
      <c r="AH50" s="108"/>
      <c r="AI50" s="108"/>
      <c r="AJ50" s="108"/>
      <c r="AK50" s="108"/>
      <c r="AL50" s="108"/>
      <c r="AM50" s="108"/>
      <c r="AN50" s="108"/>
      <c r="AO50" s="108"/>
      <c r="AP50" s="108"/>
      <c r="AQ50" s="108"/>
      <c r="AR50" s="108"/>
    </row>
    <row r="51" spans="1:44" s="18" customFormat="1" ht="96.75" hidden="1" customHeight="1" thickBot="1" x14ac:dyDescent="0.35">
      <c r="A51" s="108">
        <v>564</v>
      </c>
      <c r="B51" s="676" t="s">
        <v>59</v>
      </c>
      <c r="C51" s="855" t="s">
        <v>1426</v>
      </c>
      <c r="D51" s="749" t="s">
        <v>1423</v>
      </c>
      <c r="E51" s="710" t="e">
        <f>HLOOKUP($D$2,'2020 Data(H)'!$C$1:$CZ$432,214,FALSE)</f>
        <v>#N/A</v>
      </c>
      <c r="F51" s="779">
        <v>0</v>
      </c>
      <c r="G51" s="771"/>
      <c r="H51" s="772"/>
      <c r="J51" s="616"/>
      <c r="L51" s="745"/>
      <c r="N51" s="308"/>
      <c r="Z51" s="108"/>
      <c r="AA51" s="108"/>
      <c r="AB51" s="108"/>
      <c r="AC51" s="108"/>
      <c r="AD51" s="108"/>
      <c r="AE51" s="108"/>
      <c r="AF51" s="108"/>
      <c r="AG51" s="108"/>
      <c r="AH51" s="108"/>
      <c r="AI51" s="108"/>
      <c r="AJ51" s="108"/>
      <c r="AK51" s="108"/>
      <c r="AL51" s="108"/>
      <c r="AM51" s="108"/>
      <c r="AN51" s="108"/>
      <c r="AO51" s="108"/>
      <c r="AP51" s="108"/>
      <c r="AQ51" s="108"/>
      <c r="AR51" s="108"/>
    </row>
    <row r="52" spans="1:44" s="18" customFormat="1" ht="93.75" hidden="1" customHeight="1" thickBot="1" x14ac:dyDescent="0.35">
      <c r="A52" s="108">
        <v>568</v>
      </c>
      <c r="B52" s="676" t="s">
        <v>59</v>
      </c>
      <c r="C52" s="855" t="s">
        <v>1426</v>
      </c>
      <c r="D52" s="749" t="s">
        <v>1425</v>
      </c>
      <c r="E52" s="710" t="e">
        <f>HLOOKUP($D$2,'2020 Data(H)'!$C$1:$CZ$432,218,FALSE)</f>
        <v>#N/A</v>
      </c>
      <c r="F52" s="779">
        <v>0</v>
      </c>
      <c r="G52" s="771"/>
      <c r="H52" s="772"/>
      <c r="J52" s="616"/>
      <c r="L52" s="745"/>
      <c r="N52" s="308"/>
      <c r="Z52" s="108"/>
      <c r="AA52" s="108"/>
      <c r="AB52" s="108"/>
      <c r="AC52" s="108"/>
      <c r="AD52" s="108"/>
      <c r="AE52" s="108"/>
      <c r="AF52" s="108"/>
      <c r="AG52" s="108"/>
      <c r="AH52" s="108"/>
      <c r="AI52" s="108"/>
      <c r="AJ52" s="108"/>
      <c r="AK52" s="108"/>
      <c r="AL52" s="108"/>
      <c r="AM52" s="108"/>
      <c r="AN52" s="108"/>
      <c r="AO52" s="108"/>
      <c r="AP52" s="108"/>
      <c r="AQ52" s="108"/>
      <c r="AR52" s="108"/>
    </row>
    <row r="53" spans="1:44" s="18" customFormat="1" ht="100.5" hidden="1" customHeight="1" thickBot="1" x14ac:dyDescent="0.35">
      <c r="A53" s="108">
        <v>565</v>
      </c>
      <c r="B53" s="676" t="s">
        <v>59</v>
      </c>
      <c r="C53" s="855" t="s">
        <v>1426</v>
      </c>
      <c r="D53" s="749" t="s">
        <v>533</v>
      </c>
      <c r="E53" s="710" t="e">
        <f>HLOOKUP($D$2,'2020 Data(H)'!$C$1:$CZ$432,215,FALSE)</f>
        <v>#N/A</v>
      </c>
      <c r="F53" s="779">
        <v>0</v>
      </c>
      <c r="G53" s="771"/>
      <c r="H53" s="772"/>
      <c r="J53" s="616"/>
      <c r="L53" s="745"/>
      <c r="N53" s="308"/>
      <c r="Z53" s="108"/>
      <c r="AA53" s="108"/>
      <c r="AB53" s="108"/>
      <c r="AC53" s="108"/>
      <c r="AD53" s="108"/>
      <c r="AE53" s="108"/>
      <c r="AF53" s="108"/>
      <c r="AG53" s="108"/>
      <c r="AH53" s="108"/>
      <c r="AI53" s="108"/>
      <c r="AJ53" s="108"/>
      <c r="AK53" s="108"/>
      <c r="AL53" s="108"/>
      <c r="AM53" s="108"/>
      <c r="AN53" s="108"/>
      <c r="AO53" s="108"/>
      <c r="AP53" s="108"/>
      <c r="AQ53" s="108"/>
      <c r="AR53" s="108"/>
    </row>
    <row r="54" spans="1:44" s="18" customFormat="1" ht="98.25" hidden="1" customHeight="1" thickBot="1" x14ac:dyDescent="0.35">
      <c r="A54" s="108">
        <v>566</v>
      </c>
      <c r="B54" s="676" t="s">
        <v>59</v>
      </c>
      <c r="C54" s="855" t="s">
        <v>1426</v>
      </c>
      <c r="D54" s="749" t="s">
        <v>535</v>
      </c>
      <c r="E54" s="710" t="e">
        <f>HLOOKUP($D$2,'2020 Data(H)'!$C$1:$CZ$432,216,FALSE)</f>
        <v>#N/A</v>
      </c>
      <c r="F54" s="779">
        <v>0</v>
      </c>
      <c r="G54" s="771"/>
      <c r="H54" s="772"/>
      <c r="J54" s="616"/>
      <c r="L54" s="745"/>
      <c r="N54" s="308"/>
      <c r="Z54" s="108"/>
      <c r="AA54" s="108"/>
      <c r="AB54" s="108"/>
      <c r="AC54" s="108"/>
      <c r="AD54" s="108"/>
      <c r="AE54" s="108"/>
      <c r="AF54" s="108"/>
      <c r="AG54" s="108"/>
      <c r="AH54" s="108"/>
      <c r="AI54" s="108"/>
      <c r="AJ54" s="108"/>
      <c r="AK54" s="108"/>
      <c r="AL54" s="108"/>
      <c r="AM54" s="108"/>
      <c r="AN54" s="108"/>
      <c r="AO54" s="108"/>
      <c r="AP54" s="108"/>
      <c r="AQ54" s="108"/>
      <c r="AR54" s="108"/>
    </row>
    <row r="55" spans="1:44" s="18" customFormat="1" ht="111" hidden="1" customHeight="1" thickBot="1" x14ac:dyDescent="0.35">
      <c r="A55" s="108">
        <v>567</v>
      </c>
      <c r="B55" s="676" t="s">
        <v>59</v>
      </c>
      <c r="C55" s="855" t="s">
        <v>1426</v>
      </c>
      <c r="D55" s="749" t="s">
        <v>1418</v>
      </c>
      <c r="E55" s="710" t="e">
        <f>HLOOKUP($D$2,'2020 Data(H)'!$C$1:$CZ$432,217,FALSE)</f>
        <v>#N/A</v>
      </c>
      <c r="F55" s="779">
        <v>0</v>
      </c>
      <c r="G55" s="771"/>
      <c r="H55" s="772"/>
      <c r="J55" s="616"/>
      <c r="L55" s="745"/>
      <c r="N55" s="308"/>
      <c r="Z55" s="108"/>
      <c r="AA55" s="108"/>
      <c r="AB55" s="108"/>
      <c r="AC55" s="108"/>
      <c r="AD55" s="108"/>
      <c r="AE55" s="108"/>
      <c r="AF55" s="108"/>
      <c r="AG55" s="108"/>
      <c r="AH55" s="108"/>
      <c r="AI55" s="108"/>
      <c r="AJ55" s="108"/>
      <c r="AK55" s="108"/>
      <c r="AL55" s="108"/>
      <c r="AM55" s="108"/>
      <c r="AN55" s="108"/>
      <c r="AO55" s="108"/>
      <c r="AP55" s="108"/>
      <c r="AQ55" s="108"/>
      <c r="AR55" s="108"/>
    </row>
    <row r="56" spans="1:44" s="18" customFormat="1" ht="71.25" hidden="1" customHeight="1" thickBot="1" x14ac:dyDescent="0.35">
      <c r="A56" s="108">
        <v>562</v>
      </c>
      <c r="B56" s="676" t="s">
        <v>59</v>
      </c>
      <c r="C56" s="855" t="s">
        <v>13</v>
      </c>
      <c r="D56" s="124" t="s">
        <v>1427</v>
      </c>
      <c r="E56" s="710" t="e">
        <f>HLOOKUP($D$2,'2020 Data(H)'!$C$1:$CZ$432,212,FALSE)</f>
        <v>#N/A</v>
      </c>
      <c r="F56" s="779">
        <v>0</v>
      </c>
      <c r="G56" s="771"/>
      <c r="H56" s="772"/>
      <c r="J56" s="616"/>
      <c r="L56" s="745"/>
      <c r="N56" s="308"/>
      <c r="Z56" s="108"/>
      <c r="AA56" s="108"/>
      <c r="AB56" s="108"/>
      <c r="AC56" s="108"/>
      <c r="AD56" s="108"/>
      <c r="AE56" s="108"/>
      <c r="AF56" s="108"/>
      <c r="AG56" s="108"/>
      <c r="AH56" s="108"/>
      <c r="AI56" s="108"/>
      <c r="AJ56" s="108"/>
      <c r="AK56" s="108"/>
      <c r="AL56" s="108"/>
      <c r="AM56" s="108"/>
      <c r="AN56" s="108"/>
      <c r="AO56" s="108"/>
      <c r="AP56" s="108"/>
      <c r="AQ56" s="108"/>
      <c r="AR56" s="108"/>
    </row>
    <row r="57" spans="1:44" s="18" customFormat="1" ht="71.25" hidden="1" customHeight="1" thickBot="1" x14ac:dyDescent="0.35">
      <c r="A57" s="108">
        <v>569</v>
      </c>
      <c r="B57" s="676" t="s">
        <v>59</v>
      </c>
      <c r="C57" s="855" t="s">
        <v>13</v>
      </c>
      <c r="D57" s="749" t="s">
        <v>1428</v>
      </c>
      <c r="E57" s="710" t="e">
        <f>HLOOKUP($D$2,'2020 Data(H)'!$C$1:$CZ$432,219,FALSE)</f>
        <v>#N/A</v>
      </c>
      <c r="F57" s="779">
        <v>0</v>
      </c>
      <c r="G57" s="771"/>
      <c r="H57" s="772"/>
      <c r="J57" s="616"/>
      <c r="L57" s="745"/>
      <c r="N57" s="308"/>
      <c r="Z57" s="108"/>
      <c r="AA57" s="108"/>
      <c r="AB57" s="108"/>
      <c r="AC57" s="108"/>
      <c r="AD57" s="108"/>
      <c r="AE57" s="108"/>
      <c r="AF57" s="108"/>
      <c r="AG57" s="108"/>
      <c r="AH57" s="108"/>
      <c r="AI57" s="108"/>
      <c r="AJ57" s="108"/>
      <c r="AK57" s="108"/>
      <c r="AL57" s="108"/>
      <c r="AM57" s="108"/>
      <c r="AN57" s="108"/>
      <c r="AO57" s="108"/>
      <c r="AP57" s="108"/>
      <c r="AQ57" s="108"/>
      <c r="AR57" s="108"/>
    </row>
    <row r="58" spans="1:44" ht="27" hidden="1" customHeight="1" thickBot="1" x14ac:dyDescent="0.35">
      <c r="A58" s="108"/>
      <c r="B58" s="884" t="s">
        <v>145</v>
      </c>
      <c r="C58" s="885"/>
      <c r="D58" s="893"/>
      <c r="E58" s="890"/>
      <c r="F58" s="894"/>
      <c r="G58" s="895"/>
      <c r="H58" s="17"/>
      <c r="I58" s="79"/>
      <c r="L58" s="745"/>
      <c r="Z58" s="108"/>
      <c r="AA58" s="108"/>
      <c r="AB58" s="108"/>
      <c r="AC58" s="108"/>
      <c r="AD58" s="108"/>
      <c r="AE58" s="108"/>
      <c r="AF58" s="108"/>
      <c r="AG58" s="108"/>
      <c r="AH58" s="108"/>
      <c r="AI58" s="108"/>
      <c r="AJ58" s="108"/>
      <c r="AK58" s="108"/>
      <c r="AL58" s="108"/>
      <c r="AM58" s="108"/>
      <c r="AN58" s="108"/>
      <c r="AO58" s="108"/>
      <c r="AP58" s="108"/>
      <c r="AQ58" s="108"/>
      <c r="AR58" s="108"/>
    </row>
    <row r="59" spans="1:44" s="18" customFormat="1" ht="55.5" hidden="1" customHeight="1" thickBot="1" x14ac:dyDescent="0.35">
      <c r="A59" s="108">
        <v>506</v>
      </c>
      <c r="B59" s="856" t="s">
        <v>55</v>
      </c>
      <c r="C59" s="856" t="s">
        <v>149</v>
      </c>
      <c r="D59" s="107" t="s">
        <v>1475</v>
      </c>
      <c r="E59" s="970" t="e">
        <f>HLOOKUP($D$2,'2020 Data(H)'!$C$1:$CZ$432,156,FALSE)</f>
        <v>#N/A</v>
      </c>
      <c r="F59" s="307">
        <v>0</v>
      </c>
      <c r="G59" s="771">
        <f>IF(F59&lt;0,"Note: Number is normally positive.",)</f>
        <v>0</v>
      </c>
      <c r="H59" s="772"/>
      <c r="I59" s="79"/>
      <c r="J59" s="616"/>
      <c r="L59" s="745"/>
      <c r="N59" s="308"/>
      <c r="Z59" s="108"/>
      <c r="AA59" s="108"/>
      <c r="AB59" s="108"/>
      <c r="AC59" s="108"/>
      <c r="AD59" s="108"/>
      <c r="AE59" s="108"/>
      <c r="AF59" s="108"/>
      <c r="AG59" s="108"/>
      <c r="AH59" s="108"/>
      <c r="AI59" s="108"/>
      <c r="AJ59" s="108"/>
      <c r="AK59" s="108"/>
      <c r="AL59" s="108"/>
      <c r="AM59" s="108"/>
      <c r="AN59" s="108"/>
      <c r="AO59" s="108"/>
      <c r="AP59" s="108"/>
      <c r="AQ59" s="108"/>
      <c r="AR59" s="108"/>
    </row>
    <row r="60" spans="1:44" s="18" customFormat="1" ht="45.75" hidden="1" customHeight="1" thickBot="1" x14ac:dyDescent="0.35">
      <c r="A60" s="108">
        <v>536</v>
      </c>
      <c r="B60" s="856" t="s">
        <v>55</v>
      </c>
      <c r="C60" s="856" t="s">
        <v>149</v>
      </c>
      <c r="D60" s="107" t="s">
        <v>146</v>
      </c>
      <c r="E60" s="710" t="e">
        <f>HLOOKUP($D$2,'2020 Data(H)'!$C$1:$CZ$432,186,FALSE)</f>
        <v>#N/A</v>
      </c>
      <c r="F60" s="307">
        <v>0</v>
      </c>
      <c r="G60" s="771">
        <f>IF(F60&lt;0,"Note: Number is normally positive.",)</f>
        <v>0</v>
      </c>
      <c r="H60" s="772"/>
      <c r="I60" s="773"/>
      <c r="J60" s="616"/>
      <c r="L60" s="745"/>
      <c r="N60" s="308"/>
      <c r="Z60" s="108"/>
      <c r="AA60" s="108"/>
      <c r="AB60" s="108"/>
      <c r="AC60" s="108"/>
      <c r="AD60" s="108"/>
      <c r="AE60" s="108"/>
      <c r="AF60" s="108"/>
      <c r="AG60" s="108"/>
      <c r="AH60" s="108"/>
      <c r="AI60" s="108"/>
      <c r="AJ60" s="108"/>
      <c r="AK60" s="108"/>
      <c r="AL60" s="108"/>
      <c r="AM60" s="108"/>
      <c r="AN60" s="108"/>
      <c r="AO60" s="108"/>
      <c r="AP60" s="108"/>
      <c r="AQ60" s="108"/>
      <c r="AR60" s="108"/>
    </row>
    <row r="61" spans="1:44" s="18" customFormat="1" ht="51.75" hidden="1" customHeight="1" thickBot="1" x14ac:dyDescent="0.35">
      <c r="A61" s="108">
        <v>586</v>
      </c>
      <c r="B61" s="856" t="s">
        <v>59</v>
      </c>
      <c r="C61" s="856" t="s">
        <v>149</v>
      </c>
      <c r="D61" s="721" t="s">
        <v>561</v>
      </c>
      <c r="E61" s="710" t="e">
        <f>HLOOKUP($D$2,'2020 Data(H)'!$C$1:$CZ$432,236,FALSE)</f>
        <v>#N/A</v>
      </c>
      <c r="F61" s="307">
        <v>0</v>
      </c>
      <c r="G61" s="771">
        <f>IF(F61&lt;0,"Note: Number is normally positive.",)</f>
        <v>0</v>
      </c>
      <c r="H61" s="772"/>
      <c r="I61" s="773"/>
      <c r="L61" s="745"/>
      <c r="N61" s="308"/>
      <c r="Z61" s="108"/>
      <c r="AA61" s="108"/>
      <c r="AB61" s="108"/>
      <c r="AC61" s="108"/>
      <c r="AD61" s="108"/>
      <c r="AE61" s="108"/>
      <c r="AF61" s="108"/>
      <c r="AG61" s="108"/>
      <c r="AH61" s="108"/>
      <c r="AI61" s="108"/>
      <c r="AJ61" s="108"/>
      <c r="AK61" s="108"/>
      <c r="AL61" s="108"/>
      <c r="AM61" s="108"/>
      <c r="AN61" s="108"/>
      <c r="AO61" s="108"/>
      <c r="AP61" s="108"/>
      <c r="AQ61" s="108"/>
      <c r="AR61" s="108"/>
    </row>
    <row r="62" spans="1:44" ht="37.5" hidden="1" customHeight="1" thickBot="1" x14ac:dyDescent="0.35">
      <c r="A62" s="108">
        <v>379</v>
      </c>
      <c r="B62" s="856" t="s">
        <v>60</v>
      </c>
      <c r="C62" s="856" t="s">
        <v>149</v>
      </c>
      <c r="D62" s="107" t="s">
        <v>130</v>
      </c>
      <c r="E62" s="710" t="e">
        <f>HLOOKUP($D$2,'2020 Data(H)'!$C$1:$CZ$432,138,FALSE)</f>
        <v>#N/A</v>
      </c>
      <c r="F62" s="307">
        <v>0</v>
      </c>
      <c r="G62" s="771">
        <f>IF((F59+F60)&gt;F62,"Error: Please review account numbers (506+536)&gt;379",)</f>
        <v>0</v>
      </c>
      <c r="H62" s="17"/>
      <c r="I62" s="79"/>
      <c r="J62" s="616"/>
      <c r="L62" s="745"/>
      <c r="Z62" s="108"/>
      <c r="AA62" s="108"/>
      <c r="AB62" s="108"/>
      <c r="AC62" s="108"/>
      <c r="AD62" s="108"/>
      <c r="AE62" s="108"/>
      <c r="AF62" s="108"/>
      <c r="AG62" s="108"/>
      <c r="AH62" s="108"/>
      <c r="AI62" s="108"/>
      <c r="AJ62" s="108"/>
      <c r="AK62" s="108"/>
      <c r="AL62" s="108"/>
      <c r="AM62" s="108"/>
      <c r="AN62" s="108"/>
      <c r="AO62" s="108"/>
      <c r="AP62" s="108"/>
      <c r="AQ62" s="108"/>
      <c r="AR62" s="108"/>
    </row>
    <row r="63" spans="1:44" ht="93" hidden="1" customHeight="1" thickBot="1" x14ac:dyDescent="0.35">
      <c r="A63" s="108">
        <v>368</v>
      </c>
      <c r="B63" s="856" t="s">
        <v>69</v>
      </c>
      <c r="C63" s="856" t="s">
        <v>149</v>
      </c>
      <c r="D63" s="749" t="s">
        <v>1476</v>
      </c>
      <c r="E63" s="710" t="e">
        <f>HLOOKUP($D$2,'2020 Data(H)'!$C$1:$CZ$432,129,FALSE)</f>
        <v>#N/A</v>
      </c>
      <c r="F63" s="307">
        <v>0</v>
      </c>
      <c r="G63" s="771">
        <f t="shared" ref="G63:G69" si="1">IF(F63&lt;0,"Error: Enter as positive.",)</f>
        <v>0</v>
      </c>
      <c r="H63" s="17"/>
      <c r="I63" s="772"/>
      <c r="J63" s="616"/>
      <c r="L63" s="745"/>
      <c r="Z63" s="108"/>
      <c r="AA63" s="108"/>
      <c r="AB63" s="108"/>
      <c r="AC63" s="108"/>
      <c r="AD63" s="108"/>
      <c r="AE63" s="108"/>
      <c r="AF63" s="108"/>
      <c r="AG63" s="108"/>
      <c r="AH63" s="108"/>
      <c r="AI63" s="108"/>
      <c r="AJ63" s="108"/>
      <c r="AK63" s="108"/>
      <c r="AL63" s="108"/>
      <c r="AM63" s="108"/>
      <c r="AN63" s="108"/>
      <c r="AO63" s="108"/>
      <c r="AP63" s="108"/>
      <c r="AQ63" s="108"/>
      <c r="AR63" s="108"/>
    </row>
    <row r="64" spans="1:44" ht="99.75" hidden="1" customHeight="1" thickBot="1" x14ac:dyDescent="0.35">
      <c r="A64" s="108">
        <v>4</v>
      </c>
      <c r="B64" s="856" t="s">
        <v>55</v>
      </c>
      <c r="C64" s="856" t="s">
        <v>149</v>
      </c>
      <c r="D64" s="318" t="s">
        <v>1477</v>
      </c>
      <c r="E64" s="710" t="e">
        <f>HLOOKUP($D$2,'2020 Data(H)'!$C$1:$CZ$432,3,FALSE)</f>
        <v>#N/A</v>
      </c>
      <c r="F64" s="307">
        <v>0</v>
      </c>
      <c r="G64" s="771">
        <f t="shared" si="1"/>
        <v>0</v>
      </c>
      <c r="H64" s="17"/>
      <c r="I64" s="79"/>
      <c r="J64" s="616"/>
      <c r="L64" s="745"/>
      <c r="Z64" s="108"/>
      <c r="AA64" s="108"/>
      <c r="AB64" s="108"/>
      <c r="AC64" s="108"/>
      <c r="AD64" s="108"/>
      <c r="AE64" s="108"/>
      <c r="AF64" s="108"/>
      <c r="AG64" s="108"/>
      <c r="AH64" s="108"/>
      <c r="AI64" s="108"/>
      <c r="AJ64" s="108"/>
      <c r="AK64" s="108"/>
      <c r="AL64" s="108"/>
      <c r="AM64" s="108"/>
      <c r="AN64" s="108"/>
      <c r="AO64" s="108"/>
      <c r="AP64" s="108"/>
      <c r="AQ64" s="108"/>
      <c r="AR64" s="108"/>
    </row>
    <row r="65" spans="1:44" ht="132" hidden="1" customHeight="1" thickBot="1" x14ac:dyDescent="0.35">
      <c r="A65" s="108">
        <v>5</v>
      </c>
      <c r="B65" s="856" t="s">
        <v>55</v>
      </c>
      <c r="C65" s="856" t="s">
        <v>149</v>
      </c>
      <c r="D65" s="347" t="s">
        <v>1478</v>
      </c>
      <c r="E65" s="710" t="e">
        <f>HLOOKUP($D$2,'2020 Data(H)'!$C$1:$CZ$432,4,FALSE)</f>
        <v>#N/A</v>
      </c>
      <c r="F65" s="307">
        <v>0</v>
      </c>
      <c r="G65" s="771">
        <f t="shared" si="1"/>
        <v>0</v>
      </c>
      <c r="H65" s="17"/>
      <c r="I65" s="79"/>
      <c r="J65" s="616"/>
      <c r="L65" s="745"/>
      <c r="Z65" s="108"/>
      <c r="AA65" s="108"/>
      <c r="AB65" s="108"/>
      <c r="AC65" s="108"/>
      <c r="AD65" s="108"/>
      <c r="AE65" s="108"/>
      <c r="AF65" s="108"/>
      <c r="AG65" s="108"/>
      <c r="AH65" s="108"/>
      <c r="AI65" s="108"/>
      <c r="AJ65" s="108"/>
      <c r="AK65" s="108"/>
      <c r="AL65" s="108"/>
      <c r="AM65" s="108"/>
      <c r="AN65" s="108"/>
      <c r="AO65" s="108"/>
      <c r="AP65" s="108"/>
      <c r="AQ65" s="108"/>
      <c r="AR65" s="108"/>
    </row>
    <row r="66" spans="1:44" ht="93.75" hidden="1" customHeight="1" thickBot="1" x14ac:dyDescent="0.35">
      <c r="A66" s="108">
        <v>380</v>
      </c>
      <c r="B66" s="856" t="s">
        <v>60</v>
      </c>
      <c r="C66" s="856" t="s">
        <v>149</v>
      </c>
      <c r="D66" s="347" t="s">
        <v>1479</v>
      </c>
      <c r="E66" s="710" t="e">
        <f>HLOOKUP($D$2,'2020 Data(H)'!$C$1:$CZ$432,139,FALSE)</f>
        <v>#N/A</v>
      </c>
      <c r="F66" s="307">
        <v>0</v>
      </c>
      <c r="G66" s="771">
        <f t="shared" si="1"/>
        <v>0</v>
      </c>
      <c r="H66" s="17"/>
      <c r="I66" s="79"/>
      <c r="J66" s="616"/>
      <c r="L66" s="745"/>
      <c r="Z66" s="108"/>
      <c r="AA66" s="108"/>
      <c r="AB66" s="108"/>
      <c r="AC66" s="108"/>
      <c r="AD66" s="108"/>
      <c r="AE66" s="108"/>
      <c r="AF66" s="108"/>
      <c r="AG66" s="108"/>
      <c r="AH66" s="108"/>
      <c r="AI66" s="108"/>
      <c r="AJ66" s="108"/>
      <c r="AK66" s="108"/>
      <c r="AL66" s="108"/>
      <c r="AM66" s="108"/>
      <c r="AN66" s="108"/>
      <c r="AO66" s="108"/>
      <c r="AP66" s="108"/>
      <c r="AQ66" s="108"/>
      <c r="AR66" s="108"/>
    </row>
    <row r="67" spans="1:44" ht="48.75" hidden="1" customHeight="1" thickBot="1" x14ac:dyDescent="0.35">
      <c r="A67" s="108">
        <v>391</v>
      </c>
      <c r="B67" s="856" t="s">
        <v>69</v>
      </c>
      <c r="C67" s="856" t="s">
        <v>149</v>
      </c>
      <c r="D67" s="107" t="s">
        <v>147</v>
      </c>
      <c r="E67" s="710" t="e">
        <f>HLOOKUP($D$2,'2020 Data(H)'!$C$1:$CZ$432,149,FALSE)</f>
        <v>#N/A</v>
      </c>
      <c r="F67" s="307">
        <v>0</v>
      </c>
      <c r="G67" s="771">
        <f t="shared" si="1"/>
        <v>0</v>
      </c>
      <c r="H67" s="17"/>
      <c r="I67" s="79"/>
      <c r="J67" s="616"/>
      <c r="L67" s="745"/>
      <c r="Z67" s="108"/>
      <c r="AA67" s="108"/>
      <c r="AB67" s="108"/>
      <c r="AC67" s="108"/>
      <c r="AD67" s="108"/>
      <c r="AE67" s="108"/>
      <c r="AF67" s="108"/>
      <c r="AG67" s="108"/>
      <c r="AH67" s="108"/>
      <c r="AI67" s="108"/>
      <c r="AJ67" s="108"/>
      <c r="AK67" s="108"/>
      <c r="AL67" s="108"/>
      <c r="AM67" s="108"/>
      <c r="AN67" s="108"/>
      <c r="AO67" s="108"/>
      <c r="AP67" s="108"/>
      <c r="AQ67" s="108"/>
      <c r="AR67" s="108"/>
    </row>
    <row r="68" spans="1:44" ht="51.75" hidden="1" customHeight="1" thickBot="1" x14ac:dyDescent="0.35">
      <c r="A68" s="108">
        <v>7</v>
      </c>
      <c r="B68" s="856" t="s">
        <v>69</v>
      </c>
      <c r="C68" s="856" t="s">
        <v>149</v>
      </c>
      <c r="D68" s="107" t="s">
        <v>148</v>
      </c>
      <c r="E68" s="710" t="e">
        <f>HLOOKUP($D$2,'2020 Data(H)'!$C$1:$CZ$432,6,FALSE)</f>
        <v>#N/A</v>
      </c>
      <c r="F68" s="307">
        <v>0</v>
      </c>
      <c r="G68" s="771">
        <f t="shared" si="1"/>
        <v>0</v>
      </c>
      <c r="H68" s="17"/>
      <c r="I68" s="79"/>
      <c r="J68" s="616"/>
      <c r="L68" s="745"/>
      <c r="Z68" s="108"/>
      <c r="AA68" s="108"/>
      <c r="AB68" s="108"/>
      <c r="AC68" s="108"/>
      <c r="AD68" s="108"/>
      <c r="AE68" s="108"/>
      <c r="AF68" s="108"/>
      <c r="AG68" s="108"/>
      <c r="AH68" s="108"/>
      <c r="AI68" s="108"/>
      <c r="AJ68" s="108"/>
      <c r="AK68" s="108"/>
      <c r="AL68" s="108"/>
      <c r="AM68" s="108"/>
      <c r="AN68" s="108"/>
      <c r="AO68" s="108"/>
      <c r="AP68" s="108"/>
      <c r="AQ68" s="108"/>
      <c r="AR68" s="108"/>
    </row>
    <row r="69" spans="1:44" ht="78.75" hidden="1" customHeight="1" thickBot="1" x14ac:dyDescent="0.35">
      <c r="A69" s="108">
        <v>11</v>
      </c>
      <c r="B69" s="856" t="s">
        <v>69</v>
      </c>
      <c r="C69" s="856" t="s">
        <v>149</v>
      </c>
      <c r="D69" s="749" t="s">
        <v>1480</v>
      </c>
      <c r="E69" s="710" t="e">
        <f>HLOOKUP($D$2,'2020 Data(H)'!$C$1:$CZ$432,8,FALSE)</f>
        <v>#N/A</v>
      </c>
      <c r="F69" s="307">
        <v>0</v>
      </c>
      <c r="G69" s="771">
        <f t="shared" si="1"/>
        <v>0</v>
      </c>
      <c r="H69" s="17"/>
      <c r="I69" s="79"/>
      <c r="J69" s="616"/>
      <c r="L69" s="745"/>
      <c r="Z69" s="108"/>
      <c r="AA69" s="108"/>
      <c r="AB69" s="108"/>
      <c r="AC69" s="108"/>
      <c r="AD69" s="108"/>
      <c r="AE69" s="108"/>
      <c r="AF69" s="108"/>
      <c r="AG69" s="108"/>
      <c r="AH69" s="108"/>
      <c r="AI69" s="108"/>
      <c r="AJ69" s="108"/>
      <c r="AK69" s="108"/>
      <c r="AL69" s="108"/>
      <c r="AM69" s="108"/>
      <c r="AN69" s="108"/>
      <c r="AO69" s="108"/>
      <c r="AP69" s="108"/>
      <c r="AQ69" s="108"/>
      <c r="AR69" s="108"/>
    </row>
    <row r="70" spans="1:44" ht="78.75" hidden="1" customHeight="1" thickBot="1" x14ac:dyDescent="0.35">
      <c r="A70" s="319">
        <v>645</v>
      </c>
      <c r="B70" s="853" t="s">
        <v>696</v>
      </c>
      <c r="C70" s="853" t="s">
        <v>149</v>
      </c>
      <c r="D70" s="744" t="s">
        <v>729</v>
      </c>
      <c r="E70" s="710" t="e">
        <f>HLOOKUP($D$2,'2020 Data(H)'!$C$1:$CZ$432,304,FALSE)</f>
        <v>#N/A</v>
      </c>
      <c r="F70" s="307">
        <v>0</v>
      </c>
      <c r="G70" s="771">
        <f>IF(F70&lt;0,"Note: Number is normally positive.",)</f>
        <v>0</v>
      </c>
      <c r="H70" s="772"/>
      <c r="I70" s="773"/>
      <c r="J70" s="616"/>
      <c r="L70" s="745"/>
      <c r="Z70" s="319"/>
      <c r="AA70" s="319"/>
      <c r="AB70" s="319"/>
      <c r="AC70" s="319"/>
      <c r="AD70" s="319"/>
      <c r="AE70" s="319"/>
      <c r="AF70" s="319"/>
      <c r="AG70" s="319"/>
      <c r="AH70" s="319"/>
      <c r="AI70" s="319"/>
      <c r="AJ70" s="319"/>
      <c r="AK70" s="319"/>
      <c r="AL70" s="319"/>
      <c r="AM70" s="319"/>
      <c r="AN70" s="319"/>
      <c r="AO70" s="319"/>
      <c r="AP70" s="319"/>
      <c r="AQ70" s="319"/>
      <c r="AR70" s="319"/>
    </row>
    <row r="71" spans="1:44" ht="78.75" hidden="1" customHeight="1" thickBot="1" x14ac:dyDescent="0.35">
      <c r="A71" s="319">
        <v>646</v>
      </c>
      <c r="B71" s="853" t="s">
        <v>696</v>
      </c>
      <c r="C71" s="853" t="s">
        <v>149</v>
      </c>
      <c r="D71" s="318" t="s">
        <v>697</v>
      </c>
      <c r="E71" s="710" t="e">
        <f>HLOOKUP($D$2,'2020 Data(H)'!$C$1:$CZ$432,305,FALSE)</f>
        <v>#N/A</v>
      </c>
      <c r="F71" s="307">
        <v>0</v>
      </c>
      <c r="G71" s="771">
        <f>IF(F71&lt;0,"Note: Number is normally positive.",)</f>
        <v>0</v>
      </c>
      <c r="H71" s="772"/>
      <c r="I71" s="773"/>
      <c r="J71" s="616"/>
      <c r="L71" s="745"/>
      <c r="Z71" s="319"/>
      <c r="AA71" s="319"/>
      <c r="AB71" s="319"/>
      <c r="AC71" s="319"/>
      <c r="AD71" s="319"/>
      <c r="AE71" s="319"/>
      <c r="AF71" s="319"/>
      <c r="AG71" s="319"/>
      <c r="AH71" s="319"/>
      <c r="AI71" s="319"/>
      <c r="AJ71" s="319"/>
      <c r="AK71" s="319"/>
      <c r="AL71" s="319"/>
      <c r="AM71" s="319"/>
      <c r="AN71" s="319"/>
      <c r="AO71" s="319"/>
      <c r="AP71" s="319"/>
      <c r="AQ71" s="319"/>
      <c r="AR71" s="319"/>
    </row>
    <row r="72" spans="1:44" ht="57.75" hidden="1" customHeight="1" thickBot="1" x14ac:dyDescent="0.35">
      <c r="A72" s="108">
        <v>9</v>
      </c>
      <c r="B72" s="856" t="s">
        <v>60</v>
      </c>
      <c r="C72" s="856" t="s">
        <v>149</v>
      </c>
      <c r="D72" s="749" t="s">
        <v>1481</v>
      </c>
      <c r="E72" s="710" t="e">
        <f>HLOOKUP($D$2,'2020 Data(H)'!$C$1:$CZ$432,7,FALSE)</f>
        <v>#N/A</v>
      </c>
      <c r="F72" s="307">
        <v>0</v>
      </c>
      <c r="G72" s="771">
        <f>IF(F62-F64-F65-F66-F72=0,,"Error: Total assets less total liabilities do not equal total fund balance. Account numbers 379-4-5-380-9= 0  The amount of the formula is in the cell to the right")</f>
        <v>0</v>
      </c>
      <c r="H72" s="774">
        <f>F62-F64-F65-F66-F72</f>
        <v>0</v>
      </c>
      <c r="I72" s="79"/>
      <c r="J72" s="616"/>
      <c r="L72" s="745"/>
      <c r="Z72" s="108"/>
      <c r="AA72" s="108"/>
      <c r="AB72" s="108"/>
      <c r="AC72" s="108"/>
      <c r="AD72" s="108"/>
      <c r="AE72" s="108"/>
      <c r="AF72" s="108"/>
      <c r="AG72" s="108"/>
      <c r="AH72" s="108"/>
      <c r="AI72" s="108"/>
      <c r="AJ72" s="108"/>
      <c r="AK72" s="108"/>
      <c r="AL72" s="108"/>
      <c r="AM72" s="108"/>
      <c r="AN72" s="108"/>
      <c r="AO72" s="108"/>
      <c r="AP72" s="108"/>
      <c r="AQ72" s="108"/>
      <c r="AR72" s="108"/>
    </row>
    <row r="73" spans="1:44" s="18" customFormat="1" ht="63.75" hidden="1" customHeight="1" thickBot="1" x14ac:dyDescent="0.35">
      <c r="A73" s="108">
        <v>540</v>
      </c>
      <c r="B73" s="676" t="s">
        <v>59</v>
      </c>
      <c r="C73" s="676" t="s">
        <v>1482</v>
      </c>
      <c r="D73" s="107" t="s">
        <v>730</v>
      </c>
      <c r="E73" s="710" t="e">
        <f>HLOOKUP($D$2,'2020 Data(H)'!$C$1:$CZ$432,190,FALSE)</f>
        <v>#N/A</v>
      </c>
      <c r="F73" s="307">
        <v>0</v>
      </c>
      <c r="G73" s="771"/>
      <c r="H73" s="772"/>
      <c r="I73" s="773"/>
      <c r="J73" s="616"/>
      <c r="L73" s="745"/>
      <c r="N73" s="308"/>
      <c r="Z73" s="108"/>
      <c r="AA73" s="108"/>
      <c r="AB73" s="108"/>
      <c r="AC73" s="108"/>
      <c r="AD73" s="108"/>
      <c r="AE73" s="108"/>
      <c r="AF73" s="108"/>
      <c r="AG73" s="108"/>
      <c r="AH73" s="108"/>
      <c r="AI73" s="108"/>
      <c r="AJ73" s="108"/>
      <c r="AK73" s="108"/>
      <c r="AL73" s="108"/>
      <c r="AM73" s="108"/>
      <c r="AN73" s="108"/>
      <c r="AO73" s="108"/>
      <c r="AP73" s="108"/>
      <c r="AQ73" s="108"/>
      <c r="AR73" s="108"/>
    </row>
    <row r="74" spans="1:44" ht="30" hidden="1" customHeight="1" thickBot="1" x14ac:dyDescent="0.35">
      <c r="A74" s="108"/>
      <c r="B74" s="884" t="s">
        <v>151</v>
      </c>
      <c r="C74" s="885"/>
      <c r="D74" s="889"/>
      <c r="E74" s="890"/>
      <c r="F74" s="891"/>
      <c r="G74" s="892"/>
      <c r="H74" s="17"/>
      <c r="I74" s="79"/>
      <c r="L74" s="745"/>
      <c r="Z74" s="108"/>
      <c r="AA74" s="108"/>
      <c r="AB74" s="108"/>
      <c r="AC74" s="108"/>
      <c r="AD74" s="108"/>
      <c r="AE74" s="108"/>
      <c r="AF74" s="108"/>
      <c r="AG74" s="108"/>
      <c r="AH74" s="108"/>
      <c r="AI74" s="108"/>
      <c r="AJ74" s="108"/>
      <c r="AK74" s="108"/>
      <c r="AL74" s="108"/>
      <c r="AM74" s="108"/>
      <c r="AN74" s="108"/>
      <c r="AO74" s="108"/>
      <c r="AP74" s="108"/>
      <c r="AQ74" s="108"/>
      <c r="AR74" s="108"/>
    </row>
    <row r="75" spans="1:44" ht="82.5" hidden="1" customHeight="1" thickBot="1" x14ac:dyDescent="0.35">
      <c r="A75" s="108">
        <v>984</v>
      </c>
      <c r="B75" s="755" t="s">
        <v>1055</v>
      </c>
      <c r="C75" s="755" t="s">
        <v>1482</v>
      </c>
      <c r="D75" s="780" t="s">
        <v>1577</v>
      </c>
      <c r="E75" s="710" t="s">
        <v>1056</v>
      </c>
      <c r="F75" s="307">
        <v>0</v>
      </c>
      <c r="G75" s="771"/>
      <c r="H75" s="17"/>
      <c r="I75" s="79"/>
      <c r="J75" s="616"/>
      <c r="L75" s="745"/>
      <c r="Z75" s="108"/>
      <c r="AA75" s="108"/>
      <c r="AB75" s="108"/>
      <c r="AC75" s="108"/>
      <c r="AD75" s="108"/>
      <c r="AE75" s="108"/>
      <c r="AF75" s="108"/>
      <c r="AG75" s="108"/>
      <c r="AH75" s="108"/>
      <c r="AI75" s="108"/>
      <c r="AJ75" s="108"/>
      <c r="AK75" s="108"/>
      <c r="AL75" s="108"/>
      <c r="AM75" s="108"/>
      <c r="AN75" s="108"/>
      <c r="AO75" s="108"/>
      <c r="AP75" s="108"/>
      <c r="AQ75" s="108"/>
      <c r="AR75" s="108"/>
    </row>
    <row r="76" spans="1:44" ht="69" hidden="1" customHeight="1" thickBot="1" x14ac:dyDescent="0.35">
      <c r="A76" s="108">
        <v>985</v>
      </c>
      <c r="B76" s="755" t="s">
        <v>1055</v>
      </c>
      <c r="C76" s="755" t="s">
        <v>1482</v>
      </c>
      <c r="D76" s="780" t="s">
        <v>1578</v>
      </c>
      <c r="E76" s="710" t="s">
        <v>1056</v>
      </c>
      <c r="F76" s="307">
        <v>0</v>
      </c>
      <c r="G76" s="771"/>
      <c r="H76" s="17"/>
      <c r="I76" s="79"/>
      <c r="J76" s="616"/>
      <c r="L76" s="745"/>
      <c r="Z76" s="108"/>
      <c r="AA76" s="108"/>
      <c r="AB76" s="108"/>
      <c r="AC76" s="108"/>
      <c r="AD76" s="108"/>
      <c r="AE76" s="108"/>
      <c r="AF76" s="108"/>
      <c r="AG76" s="108"/>
      <c r="AH76" s="108"/>
      <c r="AI76" s="108"/>
      <c r="AJ76" s="108"/>
      <c r="AK76" s="108"/>
      <c r="AL76" s="108"/>
      <c r="AM76" s="108"/>
      <c r="AN76" s="108"/>
      <c r="AO76" s="108"/>
      <c r="AP76" s="108"/>
      <c r="AQ76" s="108"/>
      <c r="AR76" s="108"/>
    </row>
    <row r="77" spans="1:44" ht="52.5" hidden="1" customHeight="1" thickBot="1" x14ac:dyDescent="0.35">
      <c r="A77" s="108">
        <v>369</v>
      </c>
      <c r="B77" s="634" t="s">
        <v>56</v>
      </c>
      <c r="C77" s="634" t="s">
        <v>152</v>
      </c>
      <c r="D77" s="749" t="s">
        <v>1483</v>
      </c>
      <c r="E77" s="710" t="e">
        <f>HLOOKUP($D$2,'2020 Data(H)'!$C$1:$CZ$432,130,FALSE)</f>
        <v>#N/A</v>
      </c>
      <c r="F77" s="307">
        <v>0</v>
      </c>
      <c r="G77" s="771"/>
      <c r="H77" s="17"/>
      <c r="I77" s="79"/>
      <c r="J77" s="616"/>
      <c r="L77" s="745"/>
      <c r="Z77" s="108"/>
      <c r="AA77" s="108"/>
      <c r="AB77" s="108"/>
      <c r="AC77" s="108"/>
      <c r="AD77" s="108"/>
      <c r="AE77" s="108"/>
      <c r="AF77" s="108"/>
      <c r="AG77" s="108"/>
      <c r="AH77" s="108"/>
      <c r="AI77" s="108"/>
      <c r="AJ77" s="108"/>
      <c r="AK77" s="108"/>
      <c r="AL77" s="108"/>
      <c r="AM77" s="108"/>
      <c r="AN77" s="108"/>
      <c r="AO77" s="108"/>
      <c r="AP77" s="108"/>
      <c r="AQ77" s="108"/>
      <c r="AR77" s="108"/>
    </row>
    <row r="78" spans="1:44" ht="57.75" hidden="1" customHeight="1" thickBot="1" x14ac:dyDescent="0.35">
      <c r="A78" s="108">
        <v>16</v>
      </c>
      <c r="B78" s="634" t="s">
        <v>66</v>
      </c>
      <c r="C78" s="634" t="s">
        <v>152</v>
      </c>
      <c r="D78" s="107" t="s">
        <v>150</v>
      </c>
      <c r="E78" s="710" t="e">
        <f>HLOOKUP($D$2,'2020 Data(H)'!$C$1:$CZ$432,12,FALSE)</f>
        <v>#N/A</v>
      </c>
      <c r="F78" s="307">
        <v>0</v>
      </c>
      <c r="G78" s="771"/>
      <c r="H78" s="17"/>
      <c r="I78" s="79"/>
      <c r="J78" s="616"/>
      <c r="L78" s="745"/>
      <c r="Z78" s="108"/>
      <c r="AA78" s="108"/>
      <c r="AB78" s="108"/>
      <c r="AC78" s="108"/>
      <c r="AD78" s="108"/>
      <c r="AE78" s="108"/>
      <c r="AF78" s="108"/>
      <c r="AG78" s="108"/>
      <c r="AH78" s="108"/>
      <c r="AI78" s="108"/>
      <c r="AJ78" s="108"/>
      <c r="AK78" s="108"/>
      <c r="AL78" s="108"/>
      <c r="AM78" s="108"/>
      <c r="AN78" s="108"/>
      <c r="AO78" s="108"/>
      <c r="AP78" s="108"/>
      <c r="AQ78" s="108"/>
      <c r="AR78" s="108"/>
    </row>
    <row r="79" spans="1:44" ht="65.25" hidden="1" customHeight="1" thickBot="1" x14ac:dyDescent="0.35">
      <c r="A79" s="108">
        <v>370</v>
      </c>
      <c r="B79" s="634" t="s">
        <v>56</v>
      </c>
      <c r="C79" s="634" t="s">
        <v>152</v>
      </c>
      <c r="D79" s="749" t="s">
        <v>1484</v>
      </c>
      <c r="E79" s="710" t="e">
        <f>HLOOKUP($D$2,'2020 Data(H)'!$C$1:$CZ$432,131,FALSE)</f>
        <v>#N/A</v>
      </c>
      <c r="F79" s="307">
        <v>0</v>
      </c>
      <c r="G79" s="771">
        <f>IF(F79&lt;0,"Error: Enter as positive.",)</f>
        <v>0</v>
      </c>
      <c r="H79" s="17"/>
      <c r="I79" s="79"/>
      <c r="J79" s="616"/>
      <c r="L79" s="745"/>
      <c r="Z79" s="108"/>
      <c r="AA79" s="108"/>
      <c r="AB79" s="108"/>
      <c r="AC79" s="108"/>
      <c r="AD79" s="108"/>
      <c r="AE79" s="108"/>
      <c r="AF79" s="108"/>
      <c r="AG79" s="108"/>
      <c r="AH79" s="108"/>
      <c r="AI79" s="108"/>
      <c r="AJ79" s="108"/>
      <c r="AK79" s="108"/>
      <c r="AL79" s="108"/>
      <c r="AM79" s="108"/>
      <c r="AN79" s="108"/>
      <c r="AO79" s="108"/>
      <c r="AP79" s="108"/>
      <c r="AQ79" s="108"/>
      <c r="AR79" s="108"/>
    </row>
    <row r="80" spans="1:44" ht="69.75" hidden="1" customHeight="1" thickBot="1" x14ac:dyDescent="0.35">
      <c r="A80" s="108">
        <v>532</v>
      </c>
      <c r="B80" s="634" t="s">
        <v>55</v>
      </c>
      <c r="C80" s="634" t="s">
        <v>152</v>
      </c>
      <c r="D80" s="734" t="s">
        <v>1485</v>
      </c>
      <c r="E80" s="710" t="e">
        <f>HLOOKUP($D$2,'2020 Data(H)'!$C$1:$CZ$432,182,FALSE)</f>
        <v>#N/A</v>
      </c>
      <c r="F80" s="307">
        <v>0</v>
      </c>
      <c r="G80" s="771">
        <f>IF(F80&lt;0,"Error: Enter as positive.",)</f>
        <v>0</v>
      </c>
      <c r="H80" s="17"/>
      <c r="I80" s="79"/>
      <c r="J80" s="616"/>
      <c r="L80" s="745"/>
      <c r="Z80" s="108"/>
      <c r="AA80" s="108"/>
      <c r="AB80" s="108"/>
      <c r="AC80" s="108"/>
      <c r="AD80" s="108"/>
      <c r="AE80" s="108"/>
      <c r="AF80" s="108"/>
      <c r="AG80" s="108"/>
      <c r="AH80" s="108"/>
      <c r="AI80" s="108"/>
      <c r="AJ80" s="108"/>
      <c r="AK80" s="108"/>
      <c r="AL80" s="108"/>
      <c r="AM80" s="108"/>
      <c r="AN80" s="108"/>
      <c r="AO80" s="108"/>
      <c r="AP80" s="108"/>
      <c r="AQ80" s="108"/>
      <c r="AR80" s="108"/>
    </row>
    <row r="81" spans="1:44" ht="54" hidden="1" customHeight="1" thickBot="1" x14ac:dyDescent="0.35">
      <c r="A81" s="108">
        <v>17</v>
      </c>
      <c r="B81" s="634" t="s">
        <v>60</v>
      </c>
      <c r="C81" s="634" t="s">
        <v>152</v>
      </c>
      <c r="D81" s="107" t="s">
        <v>1486</v>
      </c>
      <c r="E81" s="710" t="e">
        <f>HLOOKUP($D$2,'2020 Data(H)'!$C$1:$CZ$432,13,FALSE)</f>
        <v>#N/A</v>
      </c>
      <c r="F81" s="307">
        <v>0</v>
      </c>
      <c r="G81" s="771"/>
      <c r="H81" s="17"/>
      <c r="I81" s="79"/>
      <c r="L81" s="745"/>
      <c r="Z81" s="108"/>
      <c r="AA81" s="108"/>
      <c r="AB81" s="108"/>
      <c r="AC81" s="108"/>
      <c r="AD81" s="108"/>
      <c r="AE81" s="108"/>
      <c r="AF81" s="108"/>
      <c r="AG81" s="108"/>
      <c r="AH81" s="108"/>
      <c r="AI81" s="108"/>
      <c r="AJ81" s="108"/>
      <c r="AK81" s="108"/>
      <c r="AL81" s="108"/>
      <c r="AM81" s="108"/>
      <c r="AN81" s="108"/>
      <c r="AO81" s="108"/>
      <c r="AP81" s="108"/>
      <c r="AQ81" s="108"/>
      <c r="AR81" s="108"/>
    </row>
    <row r="82" spans="1:44" ht="58.5" hidden="1" customHeight="1" thickBot="1" x14ac:dyDescent="0.35">
      <c r="A82" s="108">
        <v>20</v>
      </c>
      <c r="B82" s="634" t="s">
        <v>55</v>
      </c>
      <c r="C82" s="634" t="s">
        <v>152</v>
      </c>
      <c r="D82" s="107" t="s">
        <v>1487</v>
      </c>
      <c r="E82" s="710" t="e">
        <f>HLOOKUP($D$2,'2020 Data(H)'!$C$1:$CZ$432,15,FALSE)</f>
        <v>#N/A</v>
      </c>
      <c r="F82" s="307">
        <v>0</v>
      </c>
      <c r="G82" s="771">
        <f>IF(F82&lt;0,"Error: Enter as positive.",)</f>
        <v>0</v>
      </c>
      <c r="H82" s="17"/>
      <c r="I82" s="79"/>
      <c r="L82" s="745"/>
      <c r="Z82" s="108"/>
      <c r="AA82" s="108"/>
      <c r="AB82" s="108"/>
      <c r="AC82" s="108"/>
      <c r="AD82" s="108"/>
      <c r="AE82" s="108"/>
      <c r="AF82" s="108"/>
      <c r="AG82" s="108"/>
      <c r="AH82" s="108"/>
      <c r="AI82" s="108"/>
      <c r="AJ82" s="108"/>
      <c r="AK82" s="108"/>
      <c r="AL82" s="108"/>
      <c r="AM82" s="108"/>
      <c r="AN82" s="108"/>
      <c r="AO82" s="108"/>
      <c r="AP82" s="108"/>
      <c r="AQ82" s="108"/>
      <c r="AR82" s="108"/>
    </row>
    <row r="83" spans="1:44" ht="54" hidden="1" customHeight="1" thickBot="1" x14ac:dyDescent="0.35">
      <c r="A83" s="108">
        <v>533</v>
      </c>
      <c r="B83" s="634" t="s">
        <v>55</v>
      </c>
      <c r="C83" s="634" t="s">
        <v>152</v>
      </c>
      <c r="D83" s="734" t="s">
        <v>1488</v>
      </c>
      <c r="E83" s="710" t="e">
        <f>HLOOKUP($D$2,'2020 Data(H)'!$C$1:$CZ$432,183,FALSE)</f>
        <v>#N/A</v>
      </c>
      <c r="F83" s="307">
        <v>0</v>
      </c>
      <c r="G83" s="781"/>
      <c r="H83" s="17"/>
      <c r="I83" s="79"/>
      <c r="L83" s="745"/>
      <c r="Z83" s="108"/>
      <c r="AA83" s="108"/>
      <c r="AB83" s="108"/>
      <c r="AC83" s="108"/>
      <c r="AD83" s="108"/>
      <c r="AE83" s="108"/>
      <c r="AF83" s="108"/>
      <c r="AG83" s="108"/>
      <c r="AH83" s="108"/>
      <c r="AI83" s="108"/>
      <c r="AJ83" s="108"/>
      <c r="AK83" s="108"/>
      <c r="AL83" s="108"/>
      <c r="AM83" s="108"/>
      <c r="AN83" s="108"/>
      <c r="AO83" s="108"/>
      <c r="AP83" s="108"/>
      <c r="AQ83" s="108"/>
      <c r="AR83" s="108"/>
    </row>
    <row r="84" spans="1:44" s="18" customFormat="1" ht="62.25" hidden="1" customHeight="1" thickBot="1" x14ac:dyDescent="0.35">
      <c r="A84" s="108">
        <v>508</v>
      </c>
      <c r="B84" s="634" t="s">
        <v>55</v>
      </c>
      <c r="C84" s="634" t="s">
        <v>152</v>
      </c>
      <c r="D84" s="107" t="s">
        <v>535</v>
      </c>
      <c r="E84" s="710" t="e">
        <f>HLOOKUP($D$2,'2020 Data(H)'!$C$1:$CZ$432,158,FALSE)</f>
        <v>#N/A</v>
      </c>
      <c r="F84" s="307">
        <v>0</v>
      </c>
      <c r="G84" s="771"/>
      <c r="H84" s="772"/>
      <c r="I84" s="773"/>
      <c r="L84" s="745"/>
      <c r="N84" s="308"/>
      <c r="Z84" s="108"/>
      <c r="AA84" s="108"/>
      <c r="AB84" s="108"/>
      <c r="AC84" s="108"/>
      <c r="AD84" s="108"/>
      <c r="AE84" s="108"/>
      <c r="AF84" s="108"/>
      <c r="AG84" s="108"/>
      <c r="AH84" s="108"/>
      <c r="AI84" s="108"/>
      <c r="AJ84" s="108"/>
      <c r="AK84" s="108"/>
      <c r="AL84" s="108"/>
      <c r="AM84" s="108"/>
      <c r="AN84" s="108"/>
      <c r="AO84" s="108"/>
      <c r="AP84" s="108"/>
      <c r="AQ84" s="108"/>
      <c r="AR84" s="108"/>
    </row>
    <row r="85" spans="1:44" s="18" customFormat="1" ht="81.75" hidden="1" customHeight="1" thickBot="1" x14ac:dyDescent="0.35">
      <c r="A85" s="108">
        <v>509</v>
      </c>
      <c r="B85" s="634" t="s">
        <v>55</v>
      </c>
      <c r="C85" s="634" t="s">
        <v>152</v>
      </c>
      <c r="D85" s="107" t="s">
        <v>533</v>
      </c>
      <c r="E85" s="710" t="e">
        <f>HLOOKUP($D$2,'2020 Data(H)'!$C$1:$CZ$432,159,FALSE)</f>
        <v>#N/A</v>
      </c>
      <c r="F85" s="307">
        <v>0</v>
      </c>
      <c r="G85" s="771">
        <f>IF(F85&lt;0,"Error: Enter as positive.",)</f>
        <v>0</v>
      </c>
      <c r="H85" s="772"/>
      <c r="I85" s="773"/>
      <c r="L85" s="745"/>
      <c r="N85" s="308"/>
      <c r="Z85" s="108"/>
      <c r="AA85" s="108"/>
      <c r="AB85" s="108"/>
      <c r="AC85" s="108"/>
      <c r="AD85" s="108"/>
      <c r="AE85" s="108"/>
      <c r="AF85" s="108"/>
      <c r="AG85" s="108"/>
      <c r="AH85" s="108"/>
      <c r="AI85" s="108"/>
      <c r="AJ85" s="108"/>
      <c r="AK85" s="108"/>
      <c r="AL85" s="108"/>
      <c r="AM85" s="108"/>
      <c r="AN85" s="108"/>
      <c r="AO85" s="108"/>
      <c r="AP85" s="108"/>
      <c r="AQ85" s="108"/>
      <c r="AR85" s="108"/>
    </row>
    <row r="86" spans="1:44" ht="69" hidden="1" customHeight="1" thickBot="1" x14ac:dyDescent="0.35">
      <c r="A86" s="108">
        <v>22</v>
      </c>
      <c r="B86" s="634" t="s">
        <v>60</v>
      </c>
      <c r="C86" s="634" t="s">
        <v>152</v>
      </c>
      <c r="D86" s="107" t="s">
        <v>534</v>
      </c>
      <c r="E86" s="710" t="e">
        <f>HLOOKUP($D$2,'2020 Data(H)'!$C$1:$CZ$432,17,FALSE)</f>
        <v>#N/A</v>
      </c>
      <c r="F86" s="307">
        <v>0</v>
      </c>
      <c r="G86" s="781"/>
      <c r="H86" s="17"/>
      <c r="I86" s="79"/>
      <c r="J86" s="616"/>
      <c r="L86" s="745"/>
      <c r="Z86" s="108"/>
      <c r="AA86" s="108"/>
      <c r="AB86" s="108"/>
      <c r="AC86" s="108"/>
      <c r="AD86" s="108"/>
      <c r="AE86" s="108"/>
      <c r="AF86" s="108"/>
      <c r="AG86" s="108"/>
      <c r="AH86" s="108"/>
      <c r="AI86" s="108"/>
      <c r="AJ86" s="108"/>
      <c r="AK86" s="108"/>
      <c r="AL86" s="108"/>
      <c r="AM86" s="108"/>
      <c r="AN86" s="108"/>
      <c r="AO86" s="108"/>
      <c r="AP86" s="108"/>
      <c r="AQ86" s="108"/>
      <c r="AR86" s="108"/>
    </row>
    <row r="87" spans="1:44" ht="72" hidden="1" customHeight="1" thickBot="1" x14ac:dyDescent="0.35">
      <c r="A87" s="108">
        <v>23</v>
      </c>
      <c r="B87" s="634" t="s">
        <v>60</v>
      </c>
      <c r="C87" s="634" t="s">
        <v>152</v>
      </c>
      <c r="D87" s="749" t="s">
        <v>1489</v>
      </c>
      <c r="E87" s="710" t="e">
        <f>HLOOKUP($D$2,'2020 Data(H)'!$C$1:$CZ$432,18,FALSE)</f>
        <v>#N/A</v>
      </c>
      <c r="F87" s="307">
        <v>0</v>
      </c>
      <c r="G87" s="771">
        <f>IF(H87=0,,"Error: Total revenues less total expenditures do not equal total change in fund balance.  Account numbers 16-532+17-20+533+22+508-509-23=0  The amount of the formula is located in the cell to the right")</f>
        <v>0</v>
      </c>
      <c r="H87" s="774">
        <f>+F78-F80+F81-F82+F83+F86+F84-F85-F87</f>
        <v>0</v>
      </c>
      <c r="I87" s="79"/>
      <c r="J87" s="616"/>
      <c r="L87" s="745"/>
      <c r="Z87" s="108"/>
      <c r="AA87" s="108"/>
      <c r="AB87" s="108"/>
      <c r="AC87" s="108"/>
      <c r="AD87" s="108"/>
      <c r="AE87" s="108"/>
      <c r="AF87" s="108"/>
      <c r="AG87" s="108"/>
      <c r="AH87" s="108"/>
      <c r="AI87" s="108"/>
      <c r="AJ87" s="108"/>
      <c r="AK87" s="108"/>
      <c r="AL87" s="108"/>
      <c r="AM87" s="108"/>
      <c r="AN87" s="108"/>
      <c r="AO87" s="108"/>
      <c r="AP87" s="108"/>
      <c r="AQ87" s="108"/>
      <c r="AR87" s="108"/>
    </row>
    <row r="88" spans="1:44" ht="194.25" hidden="1" customHeight="1" thickBot="1" x14ac:dyDescent="0.35">
      <c r="A88" s="108">
        <v>590</v>
      </c>
      <c r="B88" s="634" t="s">
        <v>603</v>
      </c>
      <c r="C88" s="634"/>
      <c r="D88" s="749" t="s">
        <v>1599</v>
      </c>
      <c r="E88" s="950"/>
      <c r="F88" s="307"/>
      <c r="G88" s="782"/>
      <c r="H88" s="774"/>
      <c r="I88" s="79"/>
      <c r="K88" s="783"/>
      <c r="L88" s="745"/>
      <c r="Z88" s="108"/>
      <c r="AA88" s="108"/>
      <c r="AB88" s="108"/>
      <c r="AC88" s="108"/>
      <c r="AD88" s="108"/>
      <c r="AE88" s="108"/>
      <c r="AF88" s="108"/>
      <c r="AG88" s="108"/>
      <c r="AH88" s="108"/>
      <c r="AI88" s="108"/>
      <c r="AJ88" s="108"/>
      <c r="AK88" s="108"/>
      <c r="AL88" s="108"/>
      <c r="AM88" s="108"/>
      <c r="AN88" s="108"/>
      <c r="AO88" s="108"/>
      <c r="AP88" s="108"/>
      <c r="AQ88" s="108"/>
      <c r="AR88" s="108"/>
    </row>
    <row r="89" spans="1:44" ht="115.5" hidden="1" customHeight="1" thickBot="1" x14ac:dyDescent="0.35">
      <c r="A89" s="108">
        <v>507</v>
      </c>
      <c r="B89" s="634" t="s">
        <v>60</v>
      </c>
      <c r="C89" s="634" t="s">
        <v>152</v>
      </c>
      <c r="D89" s="749" t="s">
        <v>1490</v>
      </c>
      <c r="E89" s="710" t="e">
        <f>HLOOKUP($D$2,'2020 Data(H)'!$C$1:$CZ$432,157,FALSE)</f>
        <v>#N/A</v>
      </c>
      <c r="F89" s="307">
        <v>0</v>
      </c>
      <c r="G89" s="771" t="e">
        <f>IF(F72-F87-F89=E72,,"Error: Beginning Balance does not agree with our records.  (Acct# 9-23-507)= Prior Years Acct # 9 The amount of the formula is in the cell to the right")</f>
        <v>#N/A</v>
      </c>
      <c r="H89" s="774" t="e">
        <f>+F72-F87-F89-E72</f>
        <v>#N/A</v>
      </c>
      <c r="I89" s="79"/>
      <c r="L89" s="745"/>
      <c r="Z89" s="108"/>
      <c r="AA89" s="108"/>
      <c r="AB89" s="108"/>
      <c r="AC89" s="108"/>
      <c r="AD89" s="108"/>
      <c r="AE89" s="108"/>
      <c r="AF89" s="108"/>
      <c r="AG89" s="108"/>
      <c r="AH89" s="108"/>
      <c r="AI89" s="108"/>
      <c r="AJ89" s="108"/>
      <c r="AK89" s="108"/>
      <c r="AL89" s="108"/>
      <c r="AM89" s="108"/>
      <c r="AN89" s="108"/>
      <c r="AO89" s="108"/>
      <c r="AP89" s="108"/>
      <c r="AQ89" s="108"/>
      <c r="AR89" s="108"/>
    </row>
    <row r="90" spans="1:44" ht="169.5" hidden="1" customHeight="1" thickBot="1" x14ac:dyDescent="0.35">
      <c r="A90" s="108">
        <v>147</v>
      </c>
      <c r="B90" s="857" t="s">
        <v>1288</v>
      </c>
      <c r="C90" s="857" t="s">
        <v>1289</v>
      </c>
      <c r="D90" s="749" t="s">
        <v>1290</v>
      </c>
      <c r="E90" s="710" t="e">
        <f>HLOOKUP($D$2,'2020 Data(H)'!$C$1:$CZ$432,67,FALSE)</f>
        <v>#N/A</v>
      </c>
      <c r="F90" s="307">
        <v>0</v>
      </c>
      <c r="G90" s="771"/>
      <c r="H90" s="774"/>
      <c r="I90" s="79"/>
      <c r="L90" s="745"/>
      <c r="Z90" s="108"/>
      <c r="AA90" s="108"/>
      <c r="AB90" s="108"/>
      <c r="AC90" s="108"/>
      <c r="AD90" s="108"/>
      <c r="AE90" s="108"/>
      <c r="AF90" s="108"/>
      <c r="AG90" s="108"/>
      <c r="AH90" s="108"/>
      <c r="AI90" s="108"/>
      <c r="AJ90" s="108"/>
      <c r="AK90" s="108"/>
      <c r="AL90" s="108"/>
      <c r="AM90" s="108"/>
      <c r="AN90" s="108"/>
      <c r="AO90" s="108"/>
      <c r="AP90" s="108"/>
      <c r="AQ90" s="108"/>
      <c r="AR90" s="108"/>
    </row>
    <row r="91" spans="1:44" ht="115.5" hidden="1" customHeight="1" thickBot="1" x14ac:dyDescent="0.35">
      <c r="A91" s="108">
        <v>585</v>
      </c>
      <c r="B91" s="857" t="s">
        <v>1288</v>
      </c>
      <c r="C91" s="857" t="s">
        <v>1289</v>
      </c>
      <c r="D91" s="749" t="s">
        <v>1291</v>
      </c>
      <c r="E91" s="710" t="e">
        <f>HLOOKUP($D$2,'2020 Data(H)'!$C$1:$CZ$432,235,FALSE)</f>
        <v>#N/A</v>
      </c>
      <c r="F91" s="307">
        <v>0</v>
      </c>
      <c r="G91" s="771"/>
      <c r="H91" s="774"/>
      <c r="I91" s="79"/>
      <c r="L91" s="745"/>
      <c r="Z91" s="108"/>
      <c r="AA91" s="108"/>
      <c r="AB91" s="108"/>
      <c r="AC91" s="108"/>
      <c r="AD91" s="108"/>
      <c r="AE91" s="108"/>
      <c r="AF91" s="108"/>
      <c r="AG91" s="108"/>
      <c r="AH91" s="108"/>
      <c r="AI91" s="108"/>
      <c r="AJ91" s="108"/>
      <c r="AK91" s="108"/>
      <c r="AL91" s="108"/>
      <c r="AM91" s="108"/>
      <c r="AN91" s="108"/>
      <c r="AO91" s="108"/>
      <c r="AP91" s="108"/>
      <c r="AQ91" s="108"/>
      <c r="AR91" s="108"/>
    </row>
    <row r="92" spans="1:44" ht="115.5" hidden="1" customHeight="1" thickBot="1" x14ac:dyDescent="0.35">
      <c r="A92" s="108">
        <v>546</v>
      </c>
      <c r="B92" s="857" t="s">
        <v>1288</v>
      </c>
      <c r="C92" s="857" t="s">
        <v>1289</v>
      </c>
      <c r="D92" s="749" t="s">
        <v>1292</v>
      </c>
      <c r="E92" s="710" t="e">
        <f>HLOOKUP($D$2,'2020 Data(H)'!$C$1:$CZ$432,196,FALSE)</f>
        <v>#N/A</v>
      </c>
      <c r="F92" s="307">
        <v>0</v>
      </c>
      <c r="G92" s="771"/>
      <c r="H92" s="774"/>
      <c r="I92" s="79"/>
      <c r="L92" s="745"/>
      <c r="Z92" s="108"/>
      <c r="AA92" s="108"/>
      <c r="AB92" s="108"/>
      <c r="AC92" s="108"/>
      <c r="AD92" s="108"/>
      <c r="AE92" s="108"/>
      <c r="AF92" s="108"/>
      <c r="AG92" s="108"/>
      <c r="AH92" s="108"/>
      <c r="AI92" s="108"/>
      <c r="AJ92" s="108"/>
      <c r="AK92" s="108"/>
      <c r="AL92" s="108"/>
      <c r="AM92" s="108"/>
      <c r="AN92" s="108"/>
      <c r="AO92" s="108"/>
      <c r="AP92" s="108"/>
      <c r="AQ92" s="108"/>
      <c r="AR92" s="108"/>
    </row>
    <row r="93" spans="1:44" ht="115.5" hidden="1" customHeight="1" thickBot="1" x14ac:dyDescent="0.35">
      <c r="A93" s="108">
        <v>589</v>
      </c>
      <c r="B93" s="857" t="s">
        <v>1288</v>
      </c>
      <c r="C93" s="857" t="s">
        <v>1289</v>
      </c>
      <c r="D93" s="749" t="s">
        <v>1293</v>
      </c>
      <c r="E93" s="710" t="e">
        <f>HLOOKUP($D$2,'2020 Data(H)'!$C$1:$CZ$432,239,FALSE)</f>
        <v>#N/A</v>
      </c>
      <c r="F93" s="307">
        <v>0</v>
      </c>
      <c r="G93" s="771"/>
      <c r="H93" s="774"/>
      <c r="I93" s="79"/>
      <c r="L93" s="745"/>
      <c r="Z93" s="108"/>
      <c r="AA93" s="108"/>
      <c r="AB93" s="108"/>
      <c r="AC93" s="108"/>
      <c r="AD93" s="108"/>
      <c r="AE93" s="108"/>
      <c r="AF93" s="108"/>
      <c r="AG93" s="108"/>
      <c r="AH93" s="108"/>
      <c r="AI93" s="108"/>
      <c r="AJ93" s="108"/>
      <c r="AK93" s="108"/>
      <c r="AL93" s="108"/>
      <c r="AM93" s="108"/>
      <c r="AN93" s="108"/>
      <c r="AO93" s="108"/>
      <c r="AP93" s="108"/>
      <c r="AQ93" s="108"/>
      <c r="AR93" s="108"/>
    </row>
    <row r="94" spans="1:44" ht="143.25" hidden="1" customHeight="1" thickBot="1" x14ac:dyDescent="0.35">
      <c r="A94" s="600">
        <v>149</v>
      </c>
      <c r="B94" s="634" t="s">
        <v>1288</v>
      </c>
      <c r="C94" s="634" t="s">
        <v>1289</v>
      </c>
      <c r="D94" s="749" t="s">
        <v>1383</v>
      </c>
      <c r="E94" s="710" t="e">
        <f>HLOOKUP($D$2,'2020 Data(H)'!$C$1:$CZ$432,69,FALSE)</f>
        <v>#N/A</v>
      </c>
      <c r="F94" s="307">
        <v>0</v>
      </c>
      <c r="G94" s="771"/>
      <c r="H94" s="774"/>
      <c r="I94" s="79"/>
      <c r="L94" s="745"/>
      <c r="Z94" s="600"/>
      <c r="AA94" s="600"/>
      <c r="AB94" s="600"/>
      <c r="AC94" s="600"/>
      <c r="AD94" s="600"/>
      <c r="AE94" s="600"/>
      <c r="AF94" s="600"/>
      <c r="AG94" s="600"/>
      <c r="AH94" s="600"/>
      <c r="AI94" s="600"/>
      <c r="AJ94" s="600"/>
      <c r="AK94" s="600"/>
      <c r="AL94" s="600"/>
      <c r="AM94" s="600"/>
      <c r="AN94" s="600"/>
      <c r="AO94" s="600"/>
      <c r="AP94" s="600"/>
      <c r="AQ94" s="600"/>
      <c r="AR94" s="600"/>
    </row>
    <row r="95" spans="1:44" ht="115.5" hidden="1" customHeight="1" thickBot="1" x14ac:dyDescent="0.35">
      <c r="A95" s="108">
        <v>150</v>
      </c>
      <c r="B95" s="634" t="s">
        <v>1288</v>
      </c>
      <c r="C95" s="634" t="s">
        <v>1289</v>
      </c>
      <c r="D95" s="749" t="s">
        <v>1384</v>
      </c>
      <c r="E95" s="710" t="e">
        <f>HLOOKUP($D$2,'2020 Data(H)'!$C$1:$CZ$432,70,FALSE)</f>
        <v>#N/A</v>
      </c>
      <c r="F95" s="307">
        <v>0</v>
      </c>
      <c r="G95" s="771"/>
      <c r="H95" s="774"/>
      <c r="I95" s="79"/>
      <c r="L95" s="745"/>
      <c r="Z95" s="108"/>
      <c r="AA95" s="108"/>
      <c r="AB95" s="108"/>
      <c r="AC95" s="108"/>
      <c r="AD95" s="108"/>
      <c r="AE95" s="108"/>
      <c r="AF95" s="108"/>
      <c r="AG95" s="108"/>
      <c r="AH95" s="108"/>
      <c r="AI95" s="108"/>
      <c r="AJ95" s="108"/>
      <c r="AK95" s="108"/>
      <c r="AL95" s="108"/>
      <c r="AM95" s="108"/>
      <c r="AN95" s="108"/>
      <c r="AO95" s="108"/>
      <c r="AP95" s="108"/>
      <c r="AQ95" s="108"/>
      <c r="AR95" s="108"/>
    </row>
    <row r="96" spans="1:44" ht="115.5" hidden="1" customHeight="1" thickBot="1" x14ac:dyDescent="0.35">
      <c r="A96" s="108">
        <v>587</v>
      </c>
      <c r="B96" s="676" t="s">
        <v>1385</v>
      </c>
      <c r="C96" s="676" t="s">
        <v>1386</v>
      </c>
      <c r="D96" s="749" t="s">
        <v>1491</v>
      </c>
      <c r="E96" s="710" t="e">
        <f>HLOOKUP($D$2,'2020 Data(H)'!$C$1:$CZ$432,237,FALSE)</f>
        <v>#N/A</v>
      </c>
      <c r="F96" s="307">
        <v>0</v>
      </c>
      <c r="G96" s="771"/>
      <c r="H96" s="774"/>
      <c r="I96" s="79"/>
      <c r="L96" s="745"/>
      <c r="Z96" s="108"/>
      <c r="AA96" s="108"/>
      <c r="AB96" s="108"/>
      <c r="AC96" s="108"/>
      <c r="AD96" s="108"/>
      <c r="AE96" s="108"/>
      <c r="AF96" s="108"/>
      <c r="AG96" s="108"/>
      <c r="AH96" s="108"/>
      <c r="AI96" s="108"/>
      <c r="AJ96" s="108"/>
      <c r="AK96" s="108"/>
      <c r="AL96" s="108"/>
      <c r="AM96" s="108"/>
      <c r="AN96" s="108"/>
      <c r="AO96" s="108"/>
      <c r="AP96" s="108"/>
      <c r="AQ96" s="108"/>
      <c r="AR96" s="108"/>
    </row>
    <row r="97" spans="1:44" ht="115.5" hidden="1" customHeight="1" thickBot="1" x14ac:dyDescent="0.35">
      <c r="A97" s="108">
        <v>588</v>
      </c>
      <c r="B97" s="676" t="s">
        <v>1385</v>
      </c>
      <c r="C97" s="676" t="s">
        <v>1386</v>
      </c>
      <c r="D97" s="749" t="s">
        <v>1492</v>
      </c>
      <c r="E97" s="710" t="e">
        <f>HLOOKUP($D$2,'2020 Data(H)'!$C$1:$CZ$432,238,FALSE)</f>
        <v>#N/A</v>
      </c>
      <c r="F97" s="307">
        <v>0</v>
      </c>
      <c r="G97" s="771"/>
      <c r="H97" s="774"/>
      <c r="I97" s="79"/>
      <c r="L97" s="745"/>
      <c r="Z97" s="108"/>
      <c r="AA97" s="108"/>
      <c r="AB97" s="108"/>
      <c r="AC97" s="108"/>
      <c r="AD97" s="108"/>
      <c r="AE97" s="108"/>
      <c r="AF97" s="108"/>
      <c r="AG97" s="108"/>
      <c r="AH97" s="108"/>
      <c r="AI97" s="108"/>
      <c r="AJ97" s="108"/>
      <c r="AK97" s="108"/>
      <c r="AL97" s="108"/>
      <c r="AM97" s="108"/>
      <c r="AN97" s="108"/>
      <c r="AO97" s="108"/>
      <c r="AP97" s="108"/>
      <c r="AQ97" s="108"/>
      <c r="AR97" s="108"/>
    </row>
    <row r="98" spans="1:44" ht="82.5" hidden="1" customHeight="1" thickBot="1" x14ac:dyDescent="0.35">
      <c r="A98" s="319">
        <v>647</v>
      </c>
      <c r="B98" s="853" t="s">
        <v>696</v>
      </c>
      <c r="C98" s="852" t="s">
        <v>698</v>
      </c>
      <c r="D98" s="318" t="s">
        <v>699</v>
      </c>
      <c r="E98" s="710" t="e">
        <f>HLOOKUP($D$2,'2020 Data(H)'!$C$1:$CZ$432,306,FALSE)</f>
        <v>#N/A</v>
      </c>
      <c r="F98" s="307">
        <v>0</v>
      </c>
      <c r="G98" s="771">
        <f>IF(F98&lt;0,"Error: Enter as positive.",)</f>
        <v>0</v>
      </c>
      <c r="H98" s="784"/>
      <c r="I98" s="79"/>
      <c r="L98" s="745"/>
      <c r="Z98" s="319"/>
      <c r="AA98" s="319"/>
      <c r="AB98" s="319"/>
      <c r="AC98" s="319"/>
      <c r="AD98" s="319"/>
      <c r="AE98" s="319"/>
      <c r="AF98" s="319"/>
      <c r="AG98" s="319"/>
      <c r="AH98" s="319"/>
      <c r="AI98" s="319"/>
      <c r="AJ98" s="319"/>
      <c r="AK98" s="319"/>
      <c r="AL98" s="319"/>
      <c r="AM98" s="319"/>
      <c r="AN98" s="319"/>
      <c r="AO98" s="319"/>
      <c r="AP98" s="319"/>
      <c r="AQ98" s="319"/>
      <c r="AR98" s="319"/>
    </row>
    <row r="99" spans="1:44" ht="25.5" hidden="1" customHeight="1" thickBot="1" x14ac:dyDescent="0.35">
      <c r="A99" s="108"/>
      <c r="B99" s="884" t="s">
        <v>11</v>
      </c>
      <c r="C99" s="885"/>
      <c r="D99" s="886"/>
      <c r="E99" s="882"/>
      <c r="F99" s="887"/>
      <c r="G99" s="888"/>
      <c r="H99" s="17"/>
      <c r="I99" s="79"/>
      <c r="L99" s="745"/>
      <c r="Z99" s="108"/>
      <c r="AA99" s="108"/>
      <c r="AB99" s="108"/>
      <c r="AC99" s="108"/>
      <c r="AD99" s="108"/>
      <c r="AE99" s="108"/>
      <c r="AF99" s="108"/>
      <c r="AG99" s="108"/>
      <c r="AH99" s="108"/>
      <c r="AI99" s="108"/>
      <c r="AJ99" s="108"/>
      <c r="AK99" s="108"/>
      <c r="AL99" s="108"/>
      <c r="AM99" s="108"/>
      <c r="AN99" s="108"/>
      <c r="AO99" s="108"/>
      <c r="AP99" s="108"/>
      <c r="AQ99" s="108"/>
      <c r="AR99" s="108"/>
    </row>
    <row r="100" spans="1:44" ht="76.5" hidden="1" customHeight="1" thickBot="1" x14ac:dyDescent="0.35">
      <c r="A100" s="108">
        <v>148</v>
      </c>
      <c r="B100" s="634" t="s">
        <v>1296</v>
      </c>
      <c r="C100" s="676" t="s">
        <v>1294</v>
      </c>
      <c r="D100" s="676" t="s">
        <v>1295</v>
      </c>
      <c r="E100" s="710" t="e">
        <f>HLOOKUP($D$2,'2020 Data(H)'!$C$1:$CZ$432,68,FALSE)</f>
        <v>#N/A</v>
      </c>
      <c r="F100" s="307">
        <v>0</v>
      </c>
      <c r="G100" s="785"/>
      <c r="H100" s="17"/>
      <c r="I100" s="79"/>
      <c r="L100" s="745"/>
      <c r="Z100" s="108"/>
      <c r="AA100" s="108"/>
      <c r="AB100" s="108"/>
      <c r="AC100" s="108"/>
      <c r="AD100" s="108"/>
      <c r="AE100" s="108"/>
      <c r="AF100" s="108"/>
      <c r="AG100" s="108"/>
      <c r="AH100" s="108"/>
      <c r="AI100" s="108"/>
      <c r="AJ100" s="108"/>
      <c r="AK100" s="108"/>
      <c r="AL100" s="108"/>
      <c r="AM100" s="108"/>
      <c r="AN100" s="108"/>
      <c r="AO100" s="108"/>
      <c r="AP100" s="108"/>
      <c r="AQ100" s="108"/>
      <c r="AR100" s="108"/>
    </row>
    <row r="101" spans="1:44" ht="78" hidden="1" customHeight="1" thickBot="1" x14ac:dyDescent="0.35">
      <c r="A101" s="108">
        <v>171</v>
      </c>
      <c r="B101" s="634" t="s">
        <v>538</v>
      </c>
      <c r="C101" s="634" t="s">
        <v>537</v>
      </c>
      <c r="D101" s="711" t="s">
        <v>1493</v>
      </c>
      <c r="E101" s="710" t="e">
        <f>HLOOKUP($D$2,'2020 Data(H)'!$C$1:$CZ$432,71,FALSE)</f>
        <v>#N/A</v>
      </c>
      <c r="F101" s="278">
        <v>0</v>
      </c>
      <c r="G101" s="771">
        <f>IF(F101&lt;0,"Error: Enter as positive.",)</f>
        <v>0</v>
      </c>
      <c r="H101" s="17"/>
      <c r="I101" s="79"/>
      <c r="J101" s="616"/>
      <c r="L101" s="745"/>
      <c r="Z101" s="108"/>
      <c r="AA101" s="108"/>
      <c r="AB101" s="108"/>
      <c r="AC101" s="108"/>
      <c r="AD101" s="108"/>
      <c r="AE101" s="108"/>
      <c r="AF101" s="108"/>
      <c r="AG101" s="108"/>
      <c r="AH101" s="108"/>
      <c r="AI101" s="108"/>
      <c r="AJ101" s="108"/>
      <c r="AK101" s="108"/>
      <c r="AL101" s="108"/>
      <c r="AM101" s="108"/>
      <c r="AN101" s="108"/>
      <c r="AO101" s="108"/>
      <c r="AP101" s="108"/>
      <c r="AQ101" s="108"/>
      <c r="AR101" s="108"/>
    </row>
    <row r="102" spans="1:44" ht="30.75" customHeight="1" thickBot="1" x14ac:dyDescent="0.35">
      <c r="A102" s="108"/>
      <c r="B102" s="883" t="s">
        <v>1374</v>
      </c>
      <c r="C102" s="882"/>
      <c r="D102" s="882"/>
      <c r="E102" s="882"/>
      <c r="F102" s="882"/>
      <c r="G102" s="882"/>
      <c r="H102" s="17"/>
      <c r="I102" s="79"/>
      <c r="J102" s="616"/>
      <c r="L102" s="745"/>
      <c r="Z102" s="108"/>
      <c r="AA102" s="108"/>
      <c r="AB102" s="108"/>
      <c r="AC102" s="108"/>
      <c r="AD102" s="108"/>
      <c r="AE102" s="108"/>
      <c r="AF102" s="108"/>
      <c r="AG102" s="108"/>
      <c r="AH102" s="108"/>
      <c r="AI102" s="108"/>
      <c r="AJ102" s="108"/>
      <c r="AK102" s="108"/>
      <c r="AL102" s="108"/>
      <c r="AM102" s="108"/>
      <c r="AN102" s="108"/>
      <c r="AO102" s="108"/>
      <c r="AP102" s="108"/>
      <c r="AQ102" s="108"/>
      <c r="AR102" s="108"/>
    </row>
    <row r="103" spans="1:44" ht="48.75" customHeight="1" thickBot="1" x14ac:dyDescent="0.35">
      <c r="A103" s="108">
        <v>36</v>
      </c>
      <c r="B103" s="858" t="s">
        <v>696</v>
      </c>
      <c r="C103" s="347" t="s">
        <v>1389</v>
      </c>
      <c r="D103" s="709" t="s">
        <v>1412</v>
      </c>
      <c r="E103" s="710" t="e">
        <f>HLOOKUP($D$2,'2020 Data(H)'!$C$1:$CZ$432,24,FALSE)</f>
        <v>#N/A</v>
      </c>
      <c r="F103" s="307">
        <v>0</v>
      </c>
      <c r="G103" s="859"/>
      <c r="H103" s="17"/>
      <c r="I103" s="79"/>
      <c r="J103" s="616"/>
      <c r="L103" s="745"/>
      <c r="Z103" s="108"/>
      <c r="AA103" s="108"/>
      <c r="AB103" s="108"/>
      <c r="AC103" s="108"/>
      <c r="AD103" s="108"/>
      <c r="AE103" s="108"/>
      <c r="AF103" s="108"/>
      <c r="AG103" s="108"/>
      <c r="AH103" s="108"/>
      <c r="AI103" s="108"/>
      <c r="AJ103" s="108"/>
      <c r="AK103" s="108"/>
      <c r="AL103" s="108"/>
      <c r="AM103" s="108"/>
      <c r="AN103" s="108"/>
      <c r="AO103" s="108"/>
      <c r="AP103" s="108"/>
      <c r="AQ103" s="108"/>
      <c r="AR103" s="108"/>
    </row>
    <row r="104" spans="1:44" ht="56.25" customHeight="1" thickBot="1" x14ac:dyDescent="0.35">
      <c r="A104" s="108">
        <v>534</v>
      </c>
      <c r="B104" s="858" t="s">
        <v>696</v>
      </c>
      <c r="C104" s="347" t="s">
        <v>1389</v>
      </c>
      <c r="D104" s="749" t="s">
        <v>1413</v>
      </c>
      <c r="E104" s="710" t="e">
        <f>HLOOKUP($D$2,'2020 Data(H)'!$C$1:$CZ$432,184,FALSE)</f>
        <v>#N/A</v>
      </c>
      <c r="F104" s="307">
        <v>0</v>
      </c>
      <c r="G104" s="859"/>
      <c r="H104" s="17"/>
      <c r="I104" s="79"/>
      <c r="J104" s="616"/>
      <c r="L104" s="745"/>
      <c r="Z104" s="108"/>
      <c r="AA104" s="108"/>
      <c r="AB104" s="108"/>
      <c r="AC104" s="108"/>
      <c r="AD104" s="108"/>
      <c r="AE104" s="108"/>
      <c r="AF104" s="108"/>
      <c r="AG104" s="108"/>
      <c r="AH104" s="108"/>
      <c r="AI104" s="108"/>
      <c r="AJ104" s="108"/>
      <c r="AK104" s="108"/>
      <c r="AL104" s="108"/>
      <c r="AM104" s="108"/>
      <c r="AN104" s="108"/>
      <c r="AO104" s="108"/>
      <c r="AP104" s="108"/>
      <c r="AQ104" s="108"/>
      <c r="AR104" s="108"/>
    </row>
    <row r="105" spans="1:44" ht="78" customHeight="1" thickBot="1" x14ac:dyDescent="0.35">
      <c r="A105" s="641">
        <v>13</v>
      </c>
      <c r="B105" s="858" t="s">
        <v>603</v>
      </c>
      <c r="C105" s="861" t="s">
        <v>1375</v>
      </c>
      <c r="D105" s="861" t="s">
        <v>1579</v>
      </c>
      <c r="E105" s="710" t="e">
        <f>HLOOKUP($D$2,'2020 Data(H)'!$C$1:$CZ$432,10,FALSE)</f>
        <v>#N/A</v>
      </c>
      <c r="F105" s="307">
        <v>0</v>
      </c>
      <c r="G105" s="771"/>
      <c r="H105" s="17"/>
      <c r="I105" s="79"/>
      <c r="J105" s="616"/>
      <c r="L105" s="745"/>
      <c r="Z105" s="860"/>
      <c r="AA105" s="860"/>
      <c r="AB105" s="860"/>
      <c r="AC105" s="860"/>
      <c r="AD105" s="860"/>
      <c r="AE105" s="860"/>
      <c r="AF105" s="860"/>
      <c r="AG105" s="860"/>
      <c r="AH105" s="860"/>
      <c r="AI105" s="860"/>
      <c r="AJ105" s="860"/>
      <c r="AK105" s="860"/>
      <c r="AL105" s="860"/>
      <c r="AM105" s="860"/>
      <c r="AN105" s="860"/>
      <c r="AO105" s="860"/>
      <c r="AP105" s="860"/>
      <c r="AQ105" s="860"/>
      <c r="AR105" s="860"/>
    </row>
    <row r="106" spans="1:44" ht="191.25" customHeight="1" thickBot="1" x14ac:dyDescent="0.35">
      <c r="A106" s="641">
        <v>14</v>
      </c>
      <c r="B106" s="858" t="s">
        <v>603</v>
      </c>
      <c r="C106" s="861" t="s">
        <v>1375</v>
      </c>
      <c r="D106" s="861" t="s">
        <v>1377</v>
      </c>
      <c r="E106" s="710" t="e">
        <f>HLOOKUP($D$2,'2020 Data(H)'!$C$1:$CZ$432,11,FALSE)</f>
        <v>#N/A</v>
      </c>
      <c r="F106" s="307">
        <v>0</v>
      </c>
      <c r="G106" s="771"/>
      <c r="H106" s="17"/>
      <c r="I106" s="79"/>
      <c r="J106" s="616"/>
      <c r="L106" s="745"/>
      <c r="Z106" s="860"/>
      <c r="AA106" s="860"/>
      <c r="AB106" s="860"/>
      <c r="AC106" s="860"/>
      <c r="AD106" s="860"/>
      <c r="AE106" s="860"/>
      <c r="AF106" s="860"/>
      <c r="AG106" s="860"/>
      <c r="AH106" s="860"/>
      <c r="AI106" s="860"/>
      <c r="AJ106" s="860"/>
      <c r="AK106" s="860"/>
      <c r="AL106" s="860"/>
      <c r="AM106" s="860"/>
      <c r="AN106" s="860"/>
      <c r="AO106" s="860"/>
      <c r="AP106" s="860"/>
      <c r="AQ106" s="860"/>
      <c r="AR106" s="860"/>
    </row>
    <row r="107" spans="1:44" ht="129.75" hidden="1" customHeight="1" thickBot="1" x14ac:dyDescent="0.35">
      <c r="A107" s="641">
        <v>571</v>
      </c>
      <c r="B107" s="858" t="s">
        <v>603</v>
      </c>
      <c r="C107" s="862" t="s">
        <v>1414</v>
      </c>
      <c r="D107" s="862" t="s">
        <v>1415</v>
      </c>
      <c r="E107" s="710" t="e">
        <f>HLOOKUP($D$2,'2020 Data(H)'!$C$1:$CZ$432,221,FALSE)</f>
        <v>#N/A</v>
      </c>
      <c r="F107" s="307">
        <v>0</v>
      </c>
      <c r="G107" s="771"/>
      <c r="H107" s="17"/>
      <c r="I107" s="79"/>
      <c r="J107" s="616"/>
      <c r="L107" s="745"/>
      <c r="Z107" s="860"/>
      <c r="AA107" s="860"/>
      <c r="AB107" s="860"/>
      <c r="AC107" s="860"/>
      <c r="AD107" s="860"/>
      <c r="AE107" s="860"/>
      <c r="AF107" s="860"/>
      <c r="AG107" s="860"/>
      <c r="AH107" s="860"/>
      <c r="AI107" s="860"/>
      <c r="AJ107" s="860"/>
      <c r="AK107" s="860"/>
      <c r="AL107" s="860"/>
      <c r="AM107" s="860"/>
      <c r="AN107" s="860"/>
      <c r="AO107" s="860"/>
      <c r="AP107" s="860"/>
      <c r="AQ107" s="860"/>
      <c r="AR107" s="860"/>
    </row>
    <row r="108" spans="1:44" ht="128.25" hidden="1" customHeight="1" thickBot="1" x14ac:dyDescent="0.35">
      <c r="A108" s="641">
        <v>572</v>
      </c>
      <c r="B108" s="858" t="s">
        <v>59</v>
      </c>
      <c r="C108" s="862" t="s">
        <v>1414</v>
      </c>
      <c r="D108" s="862" t="s">
        <v>1416</v>
      </c>
      <c r="E108" s="710" t="e">
        <f>HLOOKUP($D$2,'2020 Data(H)'!$C$1:$CZ$432,222,FALSE)</f>
        <v>#N/A</v>
      </c>
      <c r="F108" s="307">
        <v>0</v>
      </c>
      <c r="G108" s="771"/>
      <c r="H108" s="17"/>
      <c r="I108" s="79"/>
      <c r="J108" s="616"/>
      <c r="L108" s="745"/>
      <c r="Z108" s="860"/>
      <c r="AA108" s="860"/>
      <c r="AB108" s="860"/>
      <c r="AC108" s="860"/>
      <c r="AD108" s="860"/>
      <c r="AE108" s="860"/>
      <c r="AF108" s="860"/>
      <c r="AG108" s="860"/>
      <c r="AH108" s="860"/>
      <c r="AI108" s="860"/>
      <c r="AJ108" s="860"/>
      <c r="AK108" s="860"/>
      <c r="AL108" s="860"/>
      <c r="AM108" s="860"/>
      <c r="AN108" s="860"/>
      <c r="AO108" s="860"/>
      <c r="AP108" s="860"/>
      <c r="AQ108" s="860"/>
      <c r="AR108" s="860"/>
    </row>
    <row r="109" spans="1:44" ht="120.75" hidden="1" customHeight="1" thickBot="1" x14ac:dyDescent="0.35">
      <c r="A109" s="641">
        <v>573</v>
      </c>
      <c r="B109" s="858" t="s">
        <v>603</v>
      </c>
      <c r="C109" s="862" t="s">
        <v>1414</v>
      </c>
      <c r="D109" s="862" t="s">
        <v>1574</v>
      </c>
      <c r="E109" s="710" t="e">
        <f>HLOOKUP($D$2,'2020 Data(H)'!$C$1:$CZ$432,223,FALSE)</f>
        <v>#N/A</v>
      </c>
      <c r="F109" s="307">
        <v>0</v>
      </c>
      <c r="G109" s="771"/>
      <c r="H109" s="17"/>
      <c r="I109" s="79"/>
      <c r="J109" s="616"/>
      <c r="L109" s="745"/>
      <c r="Z109" s="860"/>
      <c r="AA109" s="860"/>
      <c r="AB109" s="860"/>
      <c r="AC109" s="860"/>
      <c r="AD109" s="860"/>
      <c r="AE109" s="860"/>
      <c r="AF109" s="860"/>
      <c r="AG109" s="860"/>
      <c r="AH109" s="860"/>
      <c r="AI109" s="860"/>
      <c r="AJ109" s="860"/>
      <c r="AK109" s="860"/>
      <c r="AL109" s="860"/>
      <c r="AM109" s="860"/>
      <c r="AN109" s="860"/>
      <c r="AO109" s="860"/>
      <c r="AP109" s="860"/>
      <c r="AQ109" s="860"/>
      <c r="AR109" s="860"/>
    </row>
    <row r="110" spans="1:44" ht="99.75" customHeight="1" thickBot="1" x14ac:dyDescent="0.35">
      <c r="A110" s="641">
        <v>34</v>
      </c>
      <c r="B110" s="858" t="s">
        <v>603</v>
      </c>
      <c r="C110" s="4" t="s">
        <v>1389</v>
      </c>
      <c r="D110" s="700" t="s">
        <v>1569</v>
      </c>
      <c r="E110" s="710" t="e">
        <f>HLOOKUP($D$2,'2020 Data(H)'!$C$1:$CZ$432,22,FALSE)</f>
        <v>#N/A</v>
      </c>
      <c r="F110" s="307">
        <v>0</v>
      </c>
      <c r="G110" s="771"/>
      <c r="H110" s="17"/>
      <c r="I110" s="79"/>
      <c r="J110" s="616"/>
      <c r="L110" s="745"/>
      <c r="Z110" s="860"/>
      <c r="AA110" s="860"/>
      <c r="AB110" s="860"/>
      <c r="AC110" s="860"/>
      <c r="AD110" s="860"/>
      <c r="AE110" s="860"/>
      <c r="AF110" s="860"/>
      <c r="AG110" s="860"/>
      <c r="AH110" s="860"/>
      <c r="AI110" s="860"/>
      <c r="AJ110" s="860"/>
      <c r="AK110" s="860"/>
      <c r="AL110" s="860"/>
      <c r="AM110" s="860"/>
      <c r="AN110" s="860"/>
      <c r="AO110" s="860"/>
      <c r="AP110" s="860"/>
      <c r="AQ110" s="860"/>
      <c r="AR110" s="860"/>
    </row>
    <row r="111" spans="1:44" ht="117" customHeight="1" thickBot="1" x14ac:dyDescent="0.35">
      <c r="A111" s="641">
        <v>35</v>
      </c>
      <c r="B111" s="858" t="s">
        <v>603</v>
      </c>
      <c r="C111" s="4" t="s">
        <v>1389</v>
      </c>
      <c r="D111" s="700" t="s">
        <v>1581</v>
      </c>
      <c r="E111" s="710" t="e">
        <f>HLOOKUP($D$2,'2020 Data(H)'!$C$1:$CZ$432,23,FALSE)</f>
        <v>#N/A</v>
      </c>
      <c r="F111" s="307">
        <v>0</v>
      </c>
      <c r="G111" s="771"/>
      <c r="H111" s="17"/>
      <c r="I111" s="79"/>
      <c r="J111" s="616"/>
      <c r="L111" s="745"/>
      <c r="Z111" s="860"/>
      <c r="AA111" s="860"/>
      <c r="AB111" s="860"/>
      <c r="AC111" s="860"/>
      <c r="AD111" s="860"/>
      <c r="AE111" s="860"/>
      <c r="AF111" s="860"/>
      <c r="AG111" s="860"/>
      <c r="AH111" s="860"/>
      <c r="AI111" s="860"/>
      <c r="AJ111" s="860"/>
      <c r="AK111" s="860"/>
      <c r="AL111" s="860"/>
      <c r="AM111" s="860"/>
      <c r="AN111" s="860"/>
      <c r="AO111" s="860"/>
      <c r="AP111" s="860"/>
      <c r="AQ111" s="860"/>
      <c r="AR111" s="860"/>
    </row>
    <row r="112" spans="1:44" ht="108.75" customHeight="1" thickBot="1" x14ac:dyDescent="0.35">
      <c r="A112" s="641">
        <v>37</v>
      </c>
      <c r="B112" s="858" t="s">
        <v>603</v>
      </c>
      <c r="C112" s="4" t="s">
        <v>1389</v>
      </c>
      <c r="D112" s="700" t="s">
        <v>1494</v>
      </c>
      <c r="E112" s="710" t="e">
        <f>HLOOKUP($D$2,'2020 Data(H)'!$C$1:$CZ$432,25,FALSE)</f>
        <v>#N/A</v>
      </c>
      <c r="F112" s="307">
        <v>0</v>
      </c>
      <c r="G112" s="771"/>
      <c r="H112" s="17"/>
      <c r="I112" s="79"/>
      <c r="J112" s="616"/>
      <c r="L112" s="745"/>
      <c r="Z112" s="860"/>
      <c r="AA112" s="860"/>
      <c r="AB112" s="860"/>
      <c r="AC112" s="860"/>
      <c r="AD112" s="860"/>
      <c r="AE112" s="860"/>
      <c r="AF112" s="860"/>
      <c r="AG112" s="860"/>
      <c r="AH112" s="860"/>
      <c r="AI112" s="860"/>
      <c r="AJ112" s="860"/>
      <c r="AK112" s="860"/>
      <c r="AL112" s="860"/>
      <c r="AM112" s="860"/>
      <c r="AN112" s="860"/>
      <c r="AO112" s="860"/>
      <c r="AP112" s="860"/>
      <c r="AQ112" s="860"/>
      <c r="AR112" s="860"/>
    </row>
    <row r="113" spans="1:44" ht="102.75" customHeight="1" thickBot="1" x14ac:dyDescent="0.35">
      <c r="A113" s="641">
        <v>38</v>
      </c>
      <c r="B113" s="858" t="s">
        <v>603</v>
      </c>
      <c r="C113" s="4" t="s">
        <v>1389</v>
      </c>
      <c r="D113" s="700" t="s">
        <v>1392</v>
      </c>
      <c r="E113" s="710" t="e">
        <f>HLOOKUP($D$2,'2020 Data(H)'!$C$1:$CZ$432,26,FALSE)</f>
        <v>#N/A</v>
      </c>
      <c r="F113" s="307">
        <v>0</v>
      </c>
      <c r="G113" s="771"/>
      <c r="H113" s="17"/>
      <c r="I113" s="79"/>
      <c r="J113" s="616"/>
      <c r="L113" s="745"/>
      <c r="Z113" s="860"/>
      <c r="AA113" s="860"/>
      <c r="AB113" s="860"/>
      <c r="AC113" s="860"/>
      <c r="AD113" s="860"/>
      <c r="AE113" s="860"/>
      <c r="AF113" s="860"/>
      <c r="AG113" s="860"/>
      <c r="AH113" s="860"/>
      <c r="AI113" s="860"/>
      <c r="AJ113" s="860"/>
      <c r="AK113" s="860"/>
      <c r="AL113" s="860"/>
      <c r="AM113" s="860"/>
      <c r="AN113" s="860"/>
      <c r="AO113" s="860"/>
      <c r="AP113" s="860"/>
      <c r="AQ113" s="860"/>
      <c r="AR113" s="860"/>
    </row>
    <row r="114" spans="1:44" ht="117.75" customHeight="1" thickBot="1" x14ac:dyDescent="0.35">
      <c r="A114" s="641">
        <v>32</v>
      </c>
      <c r="B114" s="858" t="s">
        <v>696</v>
      </c>
      <c r="C114" s="861" t="s">
        <v>1378</v>
      </c>
      <c r="D114" s="861" t="s">
        <v>1379</v>
      </c>
      <c r="E114" s="710" t="e">
        <f>HLOOKUP($D$2,'2020 Data(H)'!$C$1:$CZ$432,20,FALSE)</f>
        <v>#N/A</v>
      </c>
      <c r="F114" s="307">
        <v>0</v>
      </c>
      <c r="G114" s="771"/>
      <c r="H114" s="17"/>
      <c r="I114" s="79"/>
      <c r="J114" s="616"/>
      <c r="L114" s="745"/>
      <c r="Z114" s="860"/>
      <c r="AA114" s="860"/>
      <c r="AB114" s="860"/>
      <c r="AC114" s="860"/>
      <c r="AD114" s="860"/>
      <c r="AE114" s="860"/>
      <c r="AF114" s="860"/>
      <c r="AG114" s="860"/>
      <c r="AH114" s="860"/>
      <c r="AI114" s="860"/>
      <c r="AJ114" s="860"/>
      <c r="AK114" s="860"/>
      <c r="AL114" s="860"/>
      <c r="AM114" s="860"/>
      <c r="AN114" s="860"/>
      <c r="AO114" s="860"/>
      <c r="AP114" s="860"/>
      <c r="AQ114" s="860"/>
      <c r="AR114" s="860"/>
    </row>
    <row r="115" spans="1:44" ht="116.25" customHeight="1" thickBot="1" x14ac:dyDescent="0.35">
      <c r="A115" s="641">
        <v>40</v>
      </c>
      <c r="B115" s="858" t="s">
        <v>603</v>
      </c>
      <c r="C115" s="861" t="s">
        <v>1393</v>
      </c>
      <c r="D115" s="700" t="s">
        <v>1394</v>
      </c>
      <c r="E115" s="710" t="e">
        <f>HLOOKUP($D$2,'2020 Data(H)'!$C$1:$CZ$432,28,FALSE)</f>
        <v>#N/A</v>
      </c>
      <c r="F115" s="307">
        <v>0</v>
      </c>
      <c r="G115" s="771"/>
      <c r="H115" s="17"/>
      <c r="I115" s="79"/>
      <c r="J115" s="616"/>
      <c r="L115" s="745"/>
      <c r="Z115" s="860"/>
      <c r="AA115" s="860"/>
      <c r="AB115" s="860"/>
      <c r="AC115" s="860"/>
      <c r="AD115" s="860"/>
      <c r="AE115" s="860"/>
      <c r="AF115" s="860"/>
      <c r="AG115" s="860"/>
      <c r="AH115" s="860"/>
      <c r="AI115" s="860"/>
      <c r="AJ115" s="860"/>
      <c r="AK115" s="860"/>
      <c r="AL115" s="860"/>
      <c r="AM115" s="860"/>
      <c r="AN115" s="860"/>
      <c r="AO115" s="860"/>
      <c r="AP115" s="860"/>
      <c r="AQ115" s="860"/>
      <c r="AR115" s="860"/>
    </row>
    <row r="116" spans="1:44" ht="104.25" customHeight="1" thickBot="1" x14ac:dyDescent="0.35">
      <c r="A116" s="641">
        <v>107</v>
      </c>
      <c r="B116" s="858" t="s">
        <v>603</v>
      </c>
      <c r="C116" s="861" t="s">
        <v>1393</v>
      </c>
      <c r="D116" s="700" t="s">
        <v>1395</v>
      </c>
      <c r="E116" s="710" t="e">
        <f>HLOOKUP($D$2,'2020 Data(H)'!$C$1:$CZ$432,65,FALSE)</f>
        <v>#N/A</v>
      </c>
      <c r="F116" s="307">
        <v>0</v>
      </c>
      <c r="G116" s="771"/>
      <c r="H116" s="17"/>
      <c r="I116" s="79"/>
      <c r="J116" s="616"/>
      <c r="L116" s="745"/>
      <c r="Z116" s="860"/>
      <c r="AA116" s="860"/>
      <c r="AB116" s="860"/>
      <c r="AC116" s="860"/>
      <c r="AD116" s="860"/>
      <c r="AE116" s="860"/>
      <c r="AF116" s="860"/>
      <c r="AG116" s="860"/>
      <c r="AH116" s="860"/>
      <c r="AI116" s="860"/>
      <c r="AJ116" s="860"/>
      <c r="AK116" s="860"/>
      <c r="AL116" s="860"/>
      <c r="AM116" s="860"/>
      <c r="AN116" s="860"/>
      <c r="AO116" s="860"/>
      <c r="AP116" s="860"/>
      <c r="AQ116" s="860"/>
      <c r="AR116" s="860"/>
    </row>
    <row r="117" spans="1:44" ht="107.25" customHeight="1" thickBot="1" x14ac:dyDescent="0.35">
      <c r="A117" s="641">
        <v>108</v>
      </c>
      <c r="B117" s="858" t="s">
        <v>603</v>
      </c>
      <c r="C117" s="861" t="s">
        <v>1393</v>
      </c>
      <c r="D117" s="700" t="s">
        <v>1495</v>
      </c>
      <c r="E117" s="710" t="e">
        <f>HLOOKUP($D$2,'2020 Data(H)'!$C$1:$CZ$432,66,FALSE)</f>
        <v>#N/A</v>
      </c>
      <c r="F117" s="307">
        <v>0</v>
      </c>
      <c r="G117" s="771"/>
      <c r="H117" s="17"/>
      <c r="I117" s="79"/>
      <c r="J117" s="616"/>
      <c r="L117" s="745"/>
      <c r="Z117" s="860"/>
      <c r="AA117" s="860"/>
      <c r="AB117" s="860"/>
      <c r="AC117" s="860"/>
      <c r="AD117" s="860"/>
      <c r="AE117" s="860"/>
      <c r="AF117" s="860"/>
      <c r="AG117" s="860"/>
      <c r="AH117" s="860"/>
      <c r="AI117" s="860"/>
      <c r="AJ117" s="860"/>
      <c r="AK117" s="860"/>
      <c r="AL117" s="860"/>
      <c r="AM117" s="860"/>
      <c r="AN117" s="860"/>
      <c r="AO117" s="860"/>
      <c r="AP117" s="860"/>
      <c r="AQ117" s="860"/>
      <c r="AR117" s="860"/>
    </row>
    <row r="118" spans="1:44" ht="93" customHeight="1" thickBot="1" x14ac:dyDescent="0.35">
      <c r="A118" s="641">
        <v>41</v>
      </c>
      <c r="B118" s="858" t="s">
        <v>603</v>
      </c>
      <c r="C118" s="861" t="s">
        <v>1393</v>
      </c>
      <c r="D118" s="700" t="s">
        <v>1496</v>
      </c>
      <c r="E118" s="710" t="e">
        <f>HLOOKUP($D$2,'2020 Data(H)'!$C$1:$CZ$432,29,FALSE)</f>
        <v>#N/A</v>
      </c>
      <c r="F118" s="307">
        <v>0</v>
      </c>
      <c r="G118" s="771"/>
      <c r="H118" s="17"/>
      <c r="I118" s="79"/>
      <c r="J118" s="616"/>
      <c r="L118" s="745"/>
      <c r="Z118" s="860"/>
      <c r="AA118" s="860"/>
      <c r="AB118" s="860"/>
      <c r="AC118" s="860"/>
      <c r="AD118" s="860"/>
      <c r="AE118" s="860"/>
      <c r="AF118" s="860"/>
      <c r="AG118" s="860"/>
      <c r="AH118" s="860"/>
      <c r="AI118" s="860"/>
      <c r="AJ118" s="860"/>
      <c r="AK118" s="860"/>
      <c r="AL118" s="860"/>
      <c r="AM118" s="860"/>
      <c r="AN118" s="860"/>
      <c r="AO118" s="860"/>
      <c r="AP118" s="860"/>
      <c r="AQ118" s="860"/>
      <c r="AR118" s="860"/>
    </row>
    <row r="119" spans="1:44" ht="120.75" customHeight="1" thickBot="1" x14ac:dyDescent="0.35">
      <c r="A119" s="641">
        <v>194</v>
      </c>
      <c r="B119" s="858" t="s">
        <v>603</v>
      </c>
      <c r="C119" s="861" t="s">
        <v>1393</v>
      </c>
      <c r="D119" s="700" t="s">
        <v>1396</v>
      </c>
      <c r="E119" s="710" t="e">
        <f>HLOOKUP($D$2,'2020 Data(H)'!$C$1:$CZ$432,75,FALSE)</f>
        <v>#N/A</v>
      </c>
      <c r="F119" s="307">
        <v>0</v>
      </c>
      <c r="G119" s="771"/>
      <c r="H119" s="17"/>
      <c r="I119" s="79"/>
      <c r="J119" s="616"/>
      <c r="L119" s="745"/>
      <c r="Z119" s="860"/>
      <c r="AA119" s="860"/>
      <c r="AB119" s="860"/>
      <c r="AC119" s="860"/>
      <c r="AD119" s="860"/>
      <c r="AE119" s="860"/>
      <c r="AF119" s="860"/>
      <c r="AG119" s="860"/>
      <c r="AH119" s="860"/>
      <c r="AI119" s="860"/>
      <c r="AJ119" s="860"/>
      <c r="AK119" s="860"/>
      <c r="AL119" s="860"/>
      <c r="AM119" s="860"/>
      <c r="AN119" s="860"/>
      <c r="AO119" s="860"/>
      <c r="AP119" s="860"/>
      <c r="AQ119" s="860"/>
      <c r="AR119" s="860"/>
    </row>
    <row r="120" spans="1:44" ht="123.75" customHeight="1" thickBot="1" x14ac:dyDescent="0.35">
      <c r="A120" s="641">
        <v>294</v>
      </c>
      <c r="B120" s="858" t="s">
        <v>603</v>
      </c>
      <c r="C120" s="861" t="s">
        <v>1393</v>
      </c>
      <c r="D120" s="700" t="s">
        <v>1397</v>
      </c>
      <c r="E120" s="710" t="e">
        <f>HLOOKUP($D$2,'2020 Data(H)'!$C$1:$CZ$432,83,FALSE)</f>
        <v>#N/A</v>
      </c>
      <c r="F120" s="307">
        <v>0</v>
      </c>
      <c r="G120" s="771"/>
      <c r="H120" s="17"/>
      <c r="I120" s="79"/>
      <c r="J120" s="616"/>
      <c r="L120" s="745"/>
      <c r="Z120" s="860"/>
      <c r="AA120" s="860"/>
      <c r="AB120" s="860"/>
      <c r="AC120" s="860"/>
      <c r="AD120" s="860"/>
      <c r="AE120" s="860"/>
      <c r="AF120" s="860"/>
      <c r="AG120" s="860"/>
      <c r="AH120" s="860"/>
      <c r="AI120" s="860"/>
      <c r="AJ120" s="860"/>
      <c r="AK120" s="860"/>
      <c r="AL120" s="860"/>
      <c r="AM120" s="860"/>
      <c r="AN120" s="860"/>
      <c r="AO120" s="860"/>
      <c r="AP120" s="860"/>
      <c r="AQ120" s="860"/>
      <c r="AR120" s="860"/>
    </row>
    <row r="121" spans="1:44" hidden="1" x14ac:dyDescent="0.3">
      <c r="A121" s="841"/>
      <c r="E121" s="710"/>
      <c r="Z121" s="18"/>
    </row>
    <row r="122" spans="1:44" hidden="1" x14ac:dyDescent="0.3">
      <c r="A122" s="841"/>
      <c r="E122" s="710"/>
      <c r="Z122" s="18"/>
    </row>
    <row r="123" spans="1:44" ht="129.75" hidden="1" customHeight="1" thickBot="1" x14ac:dyDescent="0.35">
      <c r="A123" s="641">
        <v>31</v>
      </c>
      <c r="B123" s="858" t="s">
        <v>696</v>
      </c>
      <c r="C123" s="861" t="s">
        <v>1378</v>
      </c>
      <c r="D123" s="861" t="s">
        <v>1380</v>
      </c>
      <c r="E123" s="710" t="e">
        <f>HLOOKUP($D$2,'2020 Data(H)'!$C$1:$CZ$432,19,FALSE)</f>
        <v>#N/A</v>
      </c>
      <c r="F123" s="307">
        <v>0</v>
      </c>
      <c r="G123" s="771"/>
      <c r="H123" s="17"/>
      <c r="I123" s="79"/>
      <c r="J123" s="616"/>
      <c r="L123" s="745"/>
      <c r="Z123" s="860"/>
      <c r="AA123" s="860"/>
      <c r="AB123" s="860"/>
      <c r="AC123" s="860"/>
      <c r="AD123" s="860"/>
      <c r="AE123" s="860"/>
      <c r="AF123" s="860"/>
      <c r="AG123" s="860"/>
      <c r="AH123" s="860"/>
      <c r="AI123" s="860"/>
      <c r="AJ123" s="860"/>
      <c r="AK123" s="860"/>
      <c r="AL123" s="860"/>
      <c r="AM123" s="860"/>
      <c r="AN123" s="860"/>
      <c r="AO123" s="860"/>
      <c r="AP123" s="860"/>
      <c r="AQ123" s="860"/>
      <c r="AR123" s="860"/>
    </row>
    <row r="124" spans="1:44" ht="94.5" hidden="1" customHeight="1" thickBot="1" x14ac:dyDescent="0.35">
      <c r="A124" s="641" t="s">
        <v>1381</v>
      </c>
      <c r="B124" s="858" t="s">
        <v>696</v>
      </c>
      <c r="C124" s="861" t="s">
        <v>1382</v>
      </c>
      <c r="D124" s="861" t="s">
        <v>383</v>
      </c>
      <c r="E124" s="710" t="e">
        <f>HLOOKUP($D$2,'2020 Data(H)'!$C$1:$CZ$432,74,FALSE)</f>
        <v>#N/A</v>
      </c>
      <c r="F124" s="307">
        <v>0</v>
      </c>
      <c r="G124" s="771"/>
      <c r="H124" s="17"/>
      <c r="I124" s="79"/>
      <c r="J124" s="616"/>
      <c r="L124" s="745"/>
      <c r="Z124" s="860"/>
      <c r="AA124" s="860"/>
      <c r="AB124" s="860"/>
      <c r="AC124" s="860"/>
      <c r="AD124" s="860"/>
      <c r="AE124" s="860"/>
      <c r="AF124" s="860"/>
      <c r="AG124" s="860"/>
      <c r="AH124" s="860"/>
      <c r="AI124" s="860"/>
      <c r="AJ124" s="860"/>
      <c r="AK124" s="860"/>
      <c r="AL124" s="860"/>
      <c r="AM124" s="860"/>
      <c r="AN124" s="860"/>
      <c r="AO124" s="860"/>
      <c r="AP124" s="860"/>
      <c r="AQ124" s="860"/>
      <c r="AR124" s="860"/>
    </row>
    <row r="125" spans="1:44" ht="78" customHeight="1" thickBot="1" x14ac:dyDescent="0.35">
      <c r="A125" s="1115">
        <v>33</v>
      </c>
      <c r="B125" s="858" t="s">
        <v>696</v>
      </c>
      <c r="C125" s="861" t="s">
        <v>1382</v>
      </c>
      <c r="D125" s="861" t="s">
        <v>318</v>
      </c>
      <c r="E125" s="710" t="e">
        <f>HLOOKUP($D$2,'2020 Data(H)'!$C$1:$CZ$432,21,FALSE)</f>
        <v>#N/A</v>
      </c>
      <c r="F125" s="307">
        <v>0</v>
      </c>
      <c r="G125" s="771"/>
      <c r="H125" s="17"/>
      <c r="I125" s="79"/>
      <c r="J125" s="616"/>
      <c r="L125" s="745"/>
      <c r="Z125" s="860"/>
      <c r="AA125" s="860"/>
      <c r="AB125" s="860"/>
      <c r="AC125" s="860"/>
      <c r="AD125" s="860"/>
      <c r="AE125" s="860"/>
      <c r="AF125" s="860"/>
      <c r="AG125" s="860"/>
      <c r="AH125" s="860"/>
      <c r="AI125" s="860"/>
      <c r="AJ125" s="860"/>
      <c r="AK125" s="860"/>
      <c r="AL125" s="860"/>
      <c r="AM125" s="860"/>
      <c r="AN125" s="860"/>
      <c r="AO125" s="860"/>
      <c r="AP125" s="860"/>
      <c r="AQ125" s="860"/>
      <c r="AR125" s="860"/>
    </row>
    <row r="126" spans="1:44" ht="55.5" customHeight="1" thickBot="1" x14ac:dyDescent="0.35">
      <c r="A126" s="641">
        <v>104</v>
      </c>
      <c r="B126" s="858" t="s">
        <v>696</v>
      </c>
      <c r="C126" s="4" t="s">
        <v>1398</v>
      </c>
      <c r="D126" s="700" t="s">
        <v>1399</v>
      </c>
      <c r="E126" s="710" t="e">
        <f>HLOOKUP($D$2,'2020 Data(H)'!$C$1:$CZ$432,64,FALSE)</f>
        <v>#N/A</v>
      </c>
      <c r="F126" s="307">
        <v>0</v>
      </c>
      <c r="G126" s="771"/>
      <c r="H126" s="17"/>
      <c r="I126" s="79"/>
      <c r="J126" s="616"/>
      <c r="L126" s="745"/>
      <c r="Z126" s="860"/>
      <c r="AA126" s="860"/>
      <c r="AB126" s="860"/>
      <c r="AC126" s="860"/>
      <c r="AD126" s="860"/>
      <c r="AE126" s="860"/>
      <c r="AF126" s="860"/>
      <c r="AG126" s="860"/>
      <c r="AH126" s="860"/>
      <c r="AI126" s="860"/>
      <c r="AJ126" s="860"/>
      <c r="AK126" s="860"/>
      <c r="AL126" s="860"/>
      <c r="AM126" s="860"/>
      <c r="AN126" s="860"/>
      <c r="AO126" s="860"/>
      <c r="AP126" s="860"/>
      <c r="AQ126" s="860"/>
      <c r="AR126" s="860"/>
    </row>
    <row r="127" spans="1:44" ht="70.5" customHeight="1" thickBot="1" x14ac:dyDescent="0.35">
      <c r="A127" s="641">
        <v>39</v>
      </c>
      <c r="B127" s="858" t="s">
        <v>696</v>
      </c>
      <c r="C127" s="4" t="s">
        <v>1398</v>
      </c>
      <c r="D127" s="24" t="s">
        <v>1400</v>
      </c>
      <c r="E127" s="710" t="e">
        <f>HLOOKUP($D$2,'2020 Data(H)'!$C$1:$CZ$432,27,FALSE)</f>
        <v>#N/A</v>
      </c>
      <c r="F127" s="307">
        <v>0</v>
      </c>
      <c r="G127" s="771"/>
      <c r="H127" s="17"/>
      <c r="I127" s="79"/>
      <c r="J127" s="616"/>
      <c r="L127" s="745"/>
      <c r="Z127" s="860"/>
      <c r="AA127" s="860"/>
      <c r="AB127" s="860"/>
      <c r="AC127" s="860"/>
      <c r="AD127" s="860"/>
      <c r="AE127" s="860"/>
      <c r="AF127" s="860"/>
      <c r="AG127" s="860"/>
      <c r="AH127" s="860"/>
      <c r="AI127" s="860"/>
      <c r="AJ127" s="860"/>
      <c r="AK127" s="860"/>
      <c r="AL127" s="860"/>
      <c r="AM127" s="860"/>
      <c r="AN127" s="860"/>
      <c r="AO127" s="860"/>
      <c r="AP127" s="860"/>
      <c r="AQ127" s="860"/>
      <c r="AR127" s="860"/>
    </row>
    <row r="128" spans="1:44" ht="15" hidden="1" thickBot="1" x14ac:dyDescent="0.35">
      <c r="A128" s="108"/>
      <c r="B128" s="899" t="s">
        <v>1497</v>
      </c>
      <c r="C128" s="899"/>
      <c r="D128" s="883"/>
      <c r="E128" s="883"/>
      <c r="F128" s="903"/>
      <c r="G128" s="904"/>
      <c r="H128" s="17"/>
      <c r="I128" s="79"/>
      <c r="L128" s="745"/>
      <c r="Z128" s="108"/>
      <c r="AA128" s="108"/>
      <c r="AB128" s="108"/>
      <c r="AC128" s="108"/>
      <c r="AD128" s="108"/>
      <c r="AE128" s="108"/>
      <c r="AF128" s="108"/>
      <c r="AG128" s="108"/>
      <c r="AH128" s="108"/>
      <c r="AI128" s="108"/>
      <c r="AJ128" s="108"/>
      <c r="AK128" s="108"/>
      <c r="AL128" s="108"/>
      <c r="AM128" s="108"/>
      <c r="AN128" s="108"/>
      <c r="AO128" s="108"/>
      <c r="AP128" s="108"/>
      <c r="AQ128" s="108"/>
      <c r="AR128" s="108"/>
    </row>
    <row r="129" spans="1:44" ht="15" hidden="1" thickBot="1" x14ac:dyDescent="0.35">
      <c r="A129" s="108"/>
      <c r="B129" s="899" t="s">
        <v>24</v>
      </c>
      <c r="C129" s="899"/>
      <c r="D129" s="899"/>
      <c r="E129" s="881"/>
      <c r="F129" s="905"/>
      <c r="G129" s="906"/>
      <c r="H129" s="17"/>
      <c r="I129" s="79"/>
      <c r="L129" s="745"/>
      <c r="Z129" s="108"/>
      <c r="AA129" s="108"/>
      <c r="AB129" s="108"/>
      <c r="AC129" s="108"/>
      <c r="AD129" s="108"/>
      <c r="AE129" s="108"/>
      <c r="AF129" s="108"/>
      <c r="AG129" s="108"/>
      <c r="AH129" s="108"/>
      <c r="AI129" s="108"/>
      <c r="AJ129" s="108"/>
      <c r="AK129" s="108"/>
      <c r="AL129" s="108"/>
      <c r="AM129" s="108"/>
      <c r="AN129" s="108"/>
      <c r="AO129" s="108"/>
      <c r="AP129" s="108"/>
      <c r="AQ129" s="108"/>
      <c r="AR129" s="108"/>
    </row>
    <row r="130" spans="1:44" ht="15" hidden="1" thickBot="1" x14ac:dyDescent="0.35">
      <c r="A130" s="108"/>
      <c r="B130" s="899" t="s">
        <v>22</v>
      </c>
      <c r="C130" s="899"/>
      <c r="D130" s="899"/>
      <c r="E130" s="881"/>
      <c r="F130" s="905"/>
      <c r="G130" s="906"/>
      <c r="H130" s="786"/>
      <c r="I130" s="79"/>
      <c r="L130" s="745"/>
      <c r="Z130" s="108"/>
      <c r="AA130" s="108"/>
      <c r="AB130" s="108"/>
      <c r="AC130" s="108"/>
      <c r="AD130" s="108"/>
      <c r="AE130" s="108"/>
      <c r="AF130" s="108"/>
      <c r="AG130" s="108"/>
      <c r="AH130" s="108"/>
      <c r="AI130" s="108"/>
      <c r="AJ130" s="108"/>
      <c r="AK130" s="108"/>
      <c r="AL130" s="108"/>
      <c r="AM130" s="108"/>
      <c r="AN130" s="108"/>
      <c r="AO130" s="108"/>
      <c r="AP130" s="108"/>
      <c r="AQ130" s="108"/>
      <c r="AR130" s="108"/>
    </row>
    <row r="131" spans="1:44" ht="78" hidden="1" customHeight="1" thickBot="1" x14ac:dyDescent="0.35">
      <c r="A131" s="108">
        <v>596</v>
      </c>
      <c r="B131" s="712" t="s">
        <v>57</v>
      </c>
      <c r="C131" s="863"/>
      <c r="D131" s="709" t="s">
        <v>612</v>
      </c>
      <c r="E131" s="710" t="e">
        <f>HLOOKUP($D$2,'2020 Data(H)'!$C$1:$CZ$432,255,FALSE)</f>
        <v>#N/A</v>
      </c>
      <c r="F131" s="307"/>
      <c r="G131" s="787"/>
      <c r="H131" s="786"/>
      <c r="I131" s="79"/>
      <c r="L131" s="745"/>
      <c r="Z131" s="108"/>
      <c r="AA131" s="108"/>
      <c r="AB131" s="108"/>
      <c r="AC131" s="108"/>
      <c r="AD131" s="108"/>
      <c r="AE131" s="108"/>
      <c r="AF131" s="108"/>
      <c r="AG131" s="108"/>
      <c r="AH131" s="108"/>
      <c r="AI131" s="108"/>
      <c r="AJ131" s="108"/>
      <c r="AK131" s="108"/>
      <c r="AL131" s="108"/>
      <c r="AM131" s="108"/>
      <c r="AN131" s="108"/>
      <c r="AO131" s="108"/>
      <c r="AP131" s="108"/>
      <c r="AQ131" s="108"/>
      <c r="AR131" s="108"/>
    </row>
    <row r="132" spans="1:44" ht="114.75" hidden="1" customHeight="1" thickBot="1" x14ac:dyDescent="0.35">
      <c r="A132" s="108">
        <v>80</v>
      </c>
      <c r="B132" s="4" t="s">
        <v>62</v>
      </c>
      <c r="C132" s="4" t="s">
        <v>1498</v>
      </c>
      <c r="D132" s="24" t="s">
        <v>1499</v>
      </c>
      <c r="E132" s="710" t="e">
        <f>HLOOKUP($D$2,'2020 Data(H)'!$C$1:$CZ$432,44,FALSE)</f>
        <v>#N/A</v>
      </c>
      <c r="F132" s="278">
        <v>0</v>
      </c>
      <c r="G132" s="710" t="e">
        <f>HLOOKUP($D$2,'2020 Data(H)'!C1:BS295,249,FALSE)</f>
        <v>#N/A</v>
      </c>
      <c r="H132" s="788"/>
      <c r="I132" s="79"/>
      <c r="L132" s="745"/>
      <c r="Z132" s="108"/>
      <c r="AA132" s="108"/>
      <c r="AB132" s="108"/>
      <c r="AC132" s="108"/>
      <c r="AD132" s="108"/>
      <c r="AE132" s="108"/>
      <c r="AF132" s="108"/>
      <c r="AG132" s="108"/>
      <c r="AH132" s="108"/>
      <c r="AI132" s="108"/>
      <c r="AJ132" s="108"/>
      <c r="AK132" s="108"/>
      <c r="AL132" s="108"/>
      <c r="AM132" s="108"/>
      <c r="AN132" s="108"/>
      <c r="AO132" s="108"/>
      <c r="AP132" s="108"/>
      <c r="AQ132" s="108"/>
      <c r="AR132" s="108"/>
    </row>
    <row r="133" spans="1:44" ht="63.75" hidden="1" customHeight="1" thickBot="1" x14ac:dyDescent="0.35">
      <c r="A133" s="108">
        <v>81</v>
      </c>
      <c r="B133" s="4" t="s">
        <v>62</v>
      </c>
      <c r="C133" s="4" t="s">
        <v>1498</v>
      </c>
      <c r="D133" s="24" t="s">
        <v>1500</v>
      </c>
      <c r="E133" s="710" t="e">
        <f>HLOOKUP($D$2,'2020 Data(H)'!$C$1:$CZ$432,45,FALSE)</f>
        <v>#N/A</v>
      </c>
      <c r="F133" s="307">
        <v>0</v>
      </c>
      <c r="G133" s="781"/>
      <c r="H133" s="17"/>
      <c r="I133" s="79"/>
      <c r="L133" s="745"/>
      <c r="Z133" s="108"/>
      <c r="AA133" s="108"/>
      <c r="AB133" s="108"/>
      <c r="AC133" s="108"/>
      <c r="AD133" s="108"/>
      <c r="AE133" s="108"/>
      <c r="AF133" s="108"/>
      <c r="AG133" s="108"/>
      <c r="AH133" s="108"/>
      <c r="AI133" s="108"/>
      <c r="AJ133" s="108"/>
      <c r="AK133" s="108"/>
      <c r="AL133" s="108"/>
      <c r="AM133" s="108"/>
      <c r="AN133" s="108"/>
      <c r="AO133" s="108"/>
      <c r="AP133" s="108"/>
      <c r="AQ133" s="108"/>
      <c r="AR133" s="108"/>
    </row>
    <row r="134" spans="1:44" ht="84" hidden="1" customHeight="1" thickBot="1" x14ac:dyDescent="0.35">
      <c r="A134" s="108">
        <v>579</v>
      </c>
      <c r="B134" s="864" t="s">
        <v>559</v>
      </c>
      <c r="C134" s="712" t="s">
        <v>1498</v>
      </c>
      <c r="D134" s="865" t="s">
        <v>1501</v>
      </c>
      <c r="E134" s="710" t="e">
        <f>HLOOKUP($D$2,'2020 Data(H)'!$C$1:$CZ$432,229,FALSE)</f>
        <v>#N/A</v>
      </c>
      <c r="F134" s="307">
        <v>0</v>
      </c>
      <c r="G134" s="771"/>
      <c r="H134" s="17"/>
      <c r="I134" s="772"/>
      <c r="L134" s="745"/>
      <c r="Z134" s="108"/>
      <c r="AA134" s="108"/>
      <c r="AB134" s="108"/>
      <c r="AC134" s="108"/>
      <c r="AD134" s="108"/>
      <c r="AE134" s="108"/>
      <c r="AF134" s="108"/>
      <c r="AG134" s="108"/>
      <c r="AH134" s="108"/>
      <c r="AI134" s="108"/>
      <c r="AJ134" s="108"/>
      <c r="AK134" s="108"/>
      <c r="AL134" s="108"/>
      <c r="AM134" s="108"/>
      <c r="AN134" s="108"/>
      <c r="AO134" s="108"/>
      <c r="AP134" s="108"/>
      <c r="AQ134" s="108"/>
      <c r="AR134" s="108"/>
    </row>
    <row r="135" spans="1:44" ht="48.75" hidden="1" customHeight="1" x14ac:dyDescent="0.3">
      <c r="A135" s="108">
        <v>510</v>
      </c>
      <c r="B135" s="4" t="s">
        <v>37</v>
      </c>
      <c r="C135" s="4" t="s">
        <v>1498</v>
      </c>
      <c r="D135" s="29" t="s">
        <v>531</v>
      </c>
      <c r="E135" s="710" t="e">
        <f>HLOOKUP($D$2,'2020 Data(H)'!$C$1:$CZ$432,160,FALSE)</f>
        <v>#N/A</v>
      </c>
      <c r="F135" s="307">
        <v>0</v>
      </c>
      <c r="G135" s="781"/>
      <c r="H135" s="17"/>
      <c r="I135" s="79"/>
      <c r="Z135" s="108"/>
      <c r="AA135" s="108"/>
      <c r="AB135" s="108"/>
      <c r="AC135" s="108"/>
      <c r="AD135" s="108"/>
      <c r="AE135" s="108"/>
      <c r="AF135" s="108"/>
      <c r="AG135" s="108"/>
      <c r="AH135" s="108"/>
      <c r="AI135" s="108"/>
      <c r="AJ135" s="108"/>
      <c r="AK135" s="108"/>
      <c r="AL135" s="108"/>
      <c r="AM135" s="108"/>
      <c r="AN135" s="108"/>
      <c r="AO135" s="108"/>
      <c r="AP135" s="108"/>
      <c r="AQ135" s="108"/>
      <c r="AR135" s="108"/>
    </row>
    <row r="136" spans="1:44" ht="68.25" hidden="1" customHeight="1" x14ac:dyDescent="0.3">
      <c r="A136" s="319">
        <v>654</v>
      </c>
      <c r="B136" s="866" t="s">
        <v>37</v>
      </c>
      <c r="C136" s="866" t="s">
        <v>1498</v>
      </c>
      <c r="D136" s="350" t="s">
        <v>1502</v>
      </c>
      <c r="E136" s="710" t="e">
        <f>HLOOKUP($D$2,'2020 Data(H)'!$C$1:$CZ$432,307,FALSE)</f>
        <v>#N/A</v>
      </c>
      <c r="F136" s="307">
        <v>0</v>
      </c>
      <c r="G136" s="771">
        <f>IF((F132+F133+F135)&gt;F136,"Error: Please review components of current assets above.  Account numbers (80+81+510)&gt;654",)</f>
        <v>0</v>
      </c>
      <c r="H136" s="17"/>
      <c r="I136" s="79"/>
      <c r="Z136" s="319"/>
      <c r="AA136" s="319"/>
      <c r="AB136" s="319"/>
      <c r="AC136" s="319"/>
      <c r="AD136" s="319"/>
      <c r="AE136" s="319"/>
      <c r="AF136" s="319"/>
      <c r="AG136" s="319"/>
      <c r="AH136" s="319"/>
      <c r="AI136" s="319"/>
      <c r="AJ136" s="319"/>
      <c r="AK136" s="319"/>
      <c r="AL136" s="319"/>
      <c r="AM136" s="319"/>
      <c r="AN136" s="319"/>
      <c r="AO136" s="319"/>
      <c r="AP136" s="319"/>
      <c r="AQ136" s="319"/>
      <c r="AR136" s="319"/>
    </row>
    <row r="137" spans="1:44" ht="75.75" hidden="1" customHeight="1" x14ac:dyDescent="0.3">
      <c r="A137" s="319">
        <v>655</v>
      </c>
      <c r="B137" s="866" t="s">
        <v>37</v>
      </c>
      <c r="C137" s="866" t="s">
        <v>1498</v>
      </c>
      <c r="D137" s="321" t="s">
        <v>852</v>
      </c>
      <c r="E137" s="710" t="e">
        <f>HLOOKUP($D$2,'2020 Data(H)'!$C$1:$CZ$432,308,FALSE)</f>
        <v>#N/A</v>
      </c>
      <c r="F137" s="307">
        <v>0</v>
      </c>
      <c r="G137" s="771"/>
      <c r="H137" s="17"/>
      <c r="I137" s="79"/>
      <c r="Z137" s="319"/>
      <c r="AA137" s="319"/>
      <c r="AB137" s="319"/>
      <c r="AC137" s="319"/>
      <c r="AD137" s="319"/>
      <c r="AE137" s="319"/>
      <c r="AF137" s="319"/>
      <c r="AG137" s="319"/>
      <c r="AH137" s="319"/>
      <c r="AI137" s="319"/>
      <c r="AJ137" s="319"/>
      <c r="AK137" s="319"/>
      <c r="AL137" s="319"/>
      <c r="AM137" s="319"/>
      <c r="AN137" s="319"/>
      <c r="AO137" s="319"/>
      <c r="AP137" s="319"/>
      <c r="AQ137" s="319"/>
      <c r="AR137" s="319"/>
    </row>
    <row r="138" spans="1:44" ht="48" hidden="1" customHeight="1" x14ac:dyDescent="0.3">
      <c r="A138" s="108">
        <v>381</v>
      </c>
      <c r="B138" s="4" t="s">
        <v>37</v>
      </c>
      <c r="C138" s="4" t="s">
        <v>1498</v>
      </c>
      <c r="D138" s="106" t="s">
        <v>130</v>
      </c>
      <c r="E138" s="710" t="e">
        <f>HLOOKUP($D$2,'2020 Data(H)'!$C$1:$CZ$432,140,FALSE)</f>
        <v>#N/A</v>
      </c>
      <c r="F138" s="307">
        <v>0</v>
      </c>
      <c r="G138" s="771">
        <f>IF(F136&gt;F138,"Error: Please review components of current assets above. Account numbers 654&gt;381",)</f>
        <v>0</v>
      </c>
      <c r="H138" s="17"/>
      <c r="I138" s="79"/>
      <c r="Z138" s="108"/>
      <c r="AA138" s="108"/>
      <c r="AB138" s="108"/>
      <c r="AC138" s="108"/>
      <c r="AD138" s="108"/>
      <c r="AE138" s="108"/>
      <c r="AF138" s="108"/>
      <c r="AG138" s="108"/>
      <c r="AH138" s="108"/>
      <c r="AI138" s="108"/>
      <c r="AJ138" s="108"/>
      <c r="AK138" s="108"/>
      <c r="AL138" s="108"/>
      <c r="AM138" s="108"/>
      <c r="AN138" s="108"/>
      <c r="AO138" s="108"/>
      <c r="AP138" s="108"/>
      <c r="AQ138" s="108"/>
      <c r="AR138" s="108"/>
    </row>
    <row r="139" spans="1:44" ht="63" hidden="1" customHeight="1" x14ac:dyDescent="0.3">
      <c r="A139" s="108">
        <v>578</v>
      </c>
      <c r="B139" s="712" t="s">
        <v>59</v>
      </c>
      <c r="C139" s="712" t="s">
        <v>1498</v>
      </c>
      <c r="D139" s="865" t="s">
        <v>1503</v>
      </c>
      <c r="E139" s="710" t="e">
        <f>HLOOKUP($D$2,'2020 Data(H)'!$C$1:$CZ$432,228,FALSE)</f>
        <v>#N/A</v>
      </c>
      <c r="F139" s="307">
        <v>0</v>
      </c>
      <c r="G139" s="771"/>
      <c r="H139" s="772"/>
      <c r="I139" s="773"/>
      <c r="Z139" s="108"/>
      <c r="AA139" s="108"/>
      <c r="AB139" s="108"/>
      <c r="AC139" s="108"/>
      <c r="AD139" s="108"/>
      <c r="AE139" s="108"/>
      <c r="AF139" s="108"/>
      <c r="AG139" s="108"/>
      <c r="AH139" s="108"/>
      <c r="AI139" s="108"/>
      <c r="AJ139" s="108"/>
      <c r="AK139" s="108"/>
      <c r="AL139" s="108"/>
      <c r="AM139" s="108"/>
      <c r="AN139" s="108"/>
      <c r="AO139" s="108"/>
      <c r="AP139" s="108"/>
      <c r="AQ139" s="108"/>
      <c r="AR139" s="108"/>
    </row>
    <row r="140" spans="1:44" ht="126" hidden="1" customHeight="1" x14ac:dyDescent="0.3">
      <c r="A140" s="320">
        <v>633</v>
      </c>
      <c r="B140" s="866" t="s">
        <v>851</v>
      </c>
      <c r="C140" s="866" t="s">
        <v>700</v>
      </c>
      <c r="D140" s="350" t="s">
        <v>1582</v>
      </c>
      <c r="E140" s="710" t="e">
        <f>HLOOKUP($D$2,'2020 Data(H)'!$C$1:$CZ$432,292,FALSE)</f>
        <v>#N/A</v>
      </c>
      <c r="F140" s="307">
        <v>0</v>
      </c>
      <c r="G140" s="789" t="str">
        <f>IF(F140&gt;=(F141+F142+F143+F144+F145+F146),"","Account 633 is less than the total sum of accounts 634 through 638 + 383")</f>
        <v/>
      </c>
      <c r="H140" s="795">
        <f>F140-(F141+F142+F143+F144+F145+F146)</f>
        <v>0</v>
      </c>
      <c r="I140" s="776" t="str">
        <f>IF(F140&gt;=(F141+F142+F143+F144+F145+F146),"","Account 633 is less than the total sum of accounts 634 through 638 + 383")</f>
        <v/>
      </c>
      <c r="Z140" s="320"/>
      <c r="AA140" s="320"/>
      <c r="AB140" s="320"/>
      <c r="AC140" s="320"/>
      <c r="AD140" s="320"/>
      <c r="AE140" s="320"/>
      <c r="AF140" s="320"/>
      <c r="AG140" s="320"/>
      <c r="AH140" s="320"/>
      <c r="AI140" s="320"/>
      <c r="AJ140" s="320"/>
      <c r="AK140" s="320"/>
      <c r="AL140" s="320"/>
      <c r="AM140" s="320"/>
      <c r="AN140" s="320"/>
      <c r="AO140" s="320"/>
      <c r="AP140" s="320"/>
      <c r="AQ140" s="320"/>
      <c r="AR140" s="320"/>
    </row>
    <row r="141" spans="1:44" ht="109.5" hidden="1" customHeight="1" x14ac:dyDescent="0.3">
      <c r="A141" s="319">
        <v>634</v>
      </c>
      <c r="B141" s="867" t="s">
        <v>696</v>
      </c>
      <c r="C141" s="866" t="s">
        <v>700</v>
      </c>
      <c r="D141" s="350" t="s">
        <v>1584</v>
      </c>
      <c r="E141" s="710" t="e">
        <f>HLOOKUP($D$2,'2020 Data(H)'!$C$1:$CZ$432,293,FALSE)</f>
        <v>#N/A</v>
      </c>
      <c r="F141" s="307">
        <v>0</v>
      </c>
      <c r="G141" s="790">
        <f>IF(F141&gt;F140,"Please review account numbers 634&gt;633",)</f>
        <v>0</v>
      </c>
      <c r="H141" s="776"/>
      <c r="I141" s="776"/>
      <c r="Z141" s="319"/>
      <c r="AA141" s="319"/>
      <c r="AB141" s="319"/>
      <c r="AC141" s="319"/>
      <c r="AD141" s="319"/>
      <c r="AE141" s="319"/>
      <c r="AF141" s="319"/>
      <c r="AG141" s="319"/>
      <c r="AH141" s="319"/>
      <c r="AI141" s="319"/>
      <c r="AJ141" s="319"/>
      <c r="AK141" s="319"/>
      <c r="AL141" s="319"/>
      <c r="AM141" s="319"/>
      <c r="AN141" s="319"/>
      <c r="AO141" s="319"/>
      <c r="AP141" s="319"/>
      <c r="AQ141" s="319"/>
      <c r="AR141" s="319"/>
    </row>
    <row r="142" spans="1:44" ht="130.5" hidden="1" customHeight="1" x14ac:dyDescent="0.3">
      <c r="A142" s="319">
        <v>635</v>
      </c>
      <c r="B142" s="867" t="s">
        <v>696</v>
      </c>
      <c r="C142" s="866" t="s">
        <v>700</v>
      </c>
      <c r="D142" s="350" t="s">
        <v>1583</v>
      </c>
      <c r="E142" s="710" t="e">
        <f>HLOOKUP($D$2,'2020 Data(H)'!$C$1:$CZ$432,294,FALSE)</f>
        <v>#N/A</v>
      </c>
      <c r="F142" s="307">
        <v>0</v>
      </c>
      <c r="G142" s="790">
        <f>IF(F142&gt;F140,"Please review account numbers 635&gt;633",)</f>
        <v>0</v>
      </c>
      <c r="H142" s="776"/>
      <c r="I142" s="776"/>
      <c r="Z142" s="319"/>
      <c r="AA142" s="319"/>
      <c r="AB142" s="319"/>
      <c r="AC142" s="319"/>
      <c r="AD142" s="319"/>
      <c r="AE142" s="319"/>
      <c r="AF142" s="319"/>
      <c r="AG142" s="319"/>
      <c r="AH142" s="319"/>
      <c r="AI142" s="319"/>
      <c r="AJ142" s="319"/>
      <c r="AK142" s="319"/>
      <c r="AL142" s="319"/>
      <c r="AM142" s="319"/>
      <c r="AN142" s="319"/>
      <c r="AO142" s="319"/>
      <c r="AP142" s="319"/>
      <c r="AQ142" s="319"/>
      <c r="AR142" s="319"/>
    </row>
    <row r="143" spans="1:44" ht="106.5" hidden="1" customHeight="1" x14ac:dyDescent="0.3">
      <c r="A143" s="319">
        <v>636</v>
      </c>
      <c r="B143" s="867" t="s">
        <v>696</v>
      </c>
      <c r="C143" s="866" t="s">
        <v>700</v>
      </c>
      <c r="D143" s="350" t="s">
        <v>1588</v>
      </c>
      <c r="E143" s="710" t="e">
        <f>HLOOKUP($D$2,'2020 Data(H)'!$C$1:$CZ$432,295,FALSE)</f>
        <v>#N/A</v>
      </c>
      <c r="F143" s="307">
        <v>0</v>
      </c>
      <c r="G143" s="790">
        <f>IF(F143&gt;F140,"Please review account numbers 636&gt;633",)</f>
        <v>0</v>
      </c>
      <c r="H143" s="776"/>
      <c r="I143" s="776"/>
      <c r="Z143" s="319"/>
      <c r="AA143" s="319"/>
      <c r="AB143" s="319"/>
      <c r="AC143" s="319"/>
      <c r="AD143" s="319"/>
      <c r="AE143" s="319"/>
      <c r="AF143" s="319"/>
      <c r="AG143" s="319"/>
      <c r="AH143" s="319"/>
      <c r="AI143" s="319"/>
      <c r="AJ143" s="319"/>
      <c r="AK143" s="319"/>
      <c r="AL143" s="319"/>
      <c r="AM143" s="319"/>
      <c r="AN143" s="319"/>
      <c r="AO143" s="319"/>
      <c r="AP143" s="319"/>
      <c r="AQ143" s="319"/>
      <c r="AR143" s="319"/>
    </row>
    <row r="144" spans="1:44" ht="80.25" hidden="1" customHeight="1" x14ac:dyDescent="0.3">
      <c r="A144" s="319">
        <v>637</v>
      </c>
      <c r="B144" s="867" t="s">
        <v>696</v>
      </c>
      <c r="C144" s="866" t="s">
        <v>700</v>
      </c>
      <c r="D144" s="350" t="s">
        <v>1587</v>
      </c>
      <c r="E144" s="710" t="e">
        <f>HLOOKUP($D$2,'2020 Data(H)'!$C$1:$CZ$432,296,FALSE)</f>
        <v>#N/A</v>
      </c>
      <c r="F144" s="307">
        <v>0</v>
      </c>
      <c r="G144" s="790">
        <f>IF(F144&gt;F140,"Please review account numbers 637&gt;633",)</f>
        <v>0</v>
      </c>
      <c r="H144" s="776"/>
      <c r="I144" s="776"/>
      <c r="Z144" s="319"/>
      <c r="AA144" s="319"/>
      <c r="AB144" s="319"/>
      <c r="AC144" s="319"/>
      <c r="AD144" s="319"/>
      <c r="AE144" s="319"/>
      <c r="AF144" s="319"/>
      <c r="AG144" s="319"/>
      <c r="AH144" s="319"/>
      <c r="AI144" s="319"/>
      <c r="AJ144" s="319"/>
      <c r="AK144" s="319"/>
      <c r="AL144" s="319"/>
      <c r="AM144" s="319"/>
      <c r="AN144" s="319"/>
      <c r="AO144" s="319"/>
      <c r="AP144" s="319"/>
      <c r="AQ144" s="319"/>
      <c r="AR144" s="319"/>
    </row>
    <row r="145" spans="1:44" ht="110.25" hidden="1" customHeight="1" x14ac:dyDescent="0.3">
      <c r="A145" s="319">
        <v>638</v>
      </c>
      <c r="B145" s="867" t="s">
        <v>696</v>
      </c>
      <c r="C145" s="866" t="s">
        <v>700</v>
      </c>
      <c r="D145" s="350" t="s">
        <v>1586</v>
      </c>
      <c r="E145" s="710" t="e">
        <f>HLOOKUP($D$2,'2020 Data(H)'!$C$1:$CZ$432,297,FALSE)</f>
        <v>#N/A</v>
      </c>
      <c r="F145" s="307">
        <v>0</v>
      </c>
      <c r="G145" s="790">
        <f>IF(F145&gt;F140,"Please review account numbers 638&gt;633",)</f>
        <v>0</v>
      </c>
      <c r="H145" s="776"/>
      <c r="I145" s="776"/>
      <c r="Z145" s="319"/>
      <c r="AA145" s="319"/>
      <c r="AB145" s="319"/>
      <c r="AC145" s="319"/>
      <c r="AD145" s="319"/>
      <c r="AE145" s="319"/>
      <c r="AF145" s="319"/>
      <c r="AG145" s="319"/>
      <c r="AH145" s="319"/>
      <c r="AI145" s="319"/>
      <c r="AJ145" s="319"/>
      <c r="AK145" s="319"/>
      <c r="AL145" s="319"/>
      <c r="AM145" s="319"/>
      <c r="AN145" s="319"/>
      <c r="AO145" s="319"/>
      <c r="AP145" s="319"/>
      <c r="AQ145" s="319"/>
      <c r="AR145" s="319"/>
    </row>
    <row r="146" spans="1:44" ht="93.75" hidden="1" customHeight="1" x14ac:dyDescent="0.3">
      <c r="A146" s="108">
        <v>383</v>
      </c>
      <c r="B146" s="4" t="s">
        <v>62</v>
      </c>
      <c r="C146" s="4" t="s">
        <v>1498</v>
      </c>
      <c r="D146" s="29" t="s">
        <v>1585</v>
      </c>
      <c r="E146" s="710" t="e">
        <f>HLOOKUP($D$2,'2020 Data(H)'!$C$1:$CZ$432,142,FALSE)</f>
        <v>#N/A</v>
      </c>
      <c r="F146" s="307">
        <v>0</v>
      </c>
      <c r="G146" s="791">
        <f>IF(F146&gt;F140,"Error: Please review components of current liabilities above. Account number 383&gt;633",)</f>
        <v>0</v>
      </c>
      <c r="H146" s="792"/>
      <c r="I146" s="79"/>
      <c r="Z146" s="108"/>
      <c r="AA146" s="108"/>
      <c r="AB146" s="108"/>
      <c r="AC146" s="108"/>
      <c r="AD146" s="108"/>
      <c r="AE146" s="108"/>
      <c r="AF146" s="108"/>
      <c r="AG146" s="108"/>
      <c r="AH146" s="108"/>
      <c r="AI146" s="108"/>
      <c r="AJ146" s="108"/>
      <c r="AK146" s="108"/>
      <c r="AL146" s="108"/>
      <c r="AM146" s="108"/>
      <c r="AN146" s="108"/>
      <c r="AO146" s="108"/>
      <c r="AP146" s="108"/>
      <c r="AQ146" s="108"/>
      <c r="AR146" s="108"/>
    </row>
    <row r="147" spans="1:44" ht="61.5" hidden="1" customHeight="1" x14ac:dyDescent="0.3">
      <c r="A147" s="108">
        <v>349</v>
      </c>
      <c r="B147" s="4" t="s">
        <v>62</v>
      </c>
      <c r="C147" s="4" t="s">
        <v>1498</v>
      </c>
      <c r="D147" s="107" t="s">
        <v>153</v>
      </c>
      <c r="E147" s="710" t="e">
        <f>HLOOKUP($D$2,'2020 Data(H)'!$C$1:$CZ$432,113,FALSE)</f>
        <v>#N/A</v>
      </c>
      <c r="F147" s="307">
        <v>0</v>
      </c>
      <c r="G147" s="771" t="str">
        <f>IF(F140&gt;F147,"Error: Please review accts 633&gt;349","")</f>
        <v/>
      </c>
      <c r="H147" s="17"/>
      <c r="I147" s="79"/>
      <c r="Z147" s="108"/>
      <c r="AA147" s="108"/>
      <c r="AB147" s="108"/>
      <c r="AC147" s="108"/>
      <c r="AD147" s="108"/>
      <c r="AE147" s="108"/>
      <c r="AF147" s="108"/>
      <c r="AG147" s="108"/>
      <c r="AH147" s="108"/>
      <c r="AI147" s="108"/>
      <c r="AJ147" s="108"/>
      <c r="AK147" s="108"/>
      <c r="AL147" s="108"/>
      <c r="AM147" s="108"/>
      <c r="AN147" s="108"/>
      <c r="AO147" s="108"/>
      <c r="AP147" s="108"/>
      <c r="AQ147" s="108"/>
      <c r="AR147" s="108"/>
    </row>
    <row r="148" spans="1:44" ht="105" hidden="1" customHeight="1" x14ac:dyDescent="0.3">
      <c r="A148" s="108">
        <v>375</v>
      </c>
      <c r="B148" s="4" t="s">
        <v>62</v>
      </c>
      <c r="C148" s="4" t="s">
        <v>1498</v>
      </c>
      <c r="D148" s="749" t="s">
        <v>1504</v>
      </c>
      <c r="E148" s="710" t="e">
        <f>HLOOKUP($D$2,'2020 Data(H)'!$C$1:$CZ$432,134,FALSE)</f>
        <v>#N/A</v>
      </c>
      <c r="F148" s="307">
        <v>0</v>
      </c>
      <c r="G148" s="781"/>
      <c r="H148" s="17"/>
      <c r="I148" s="79"/>
      <c r="Z148" s="108"/>
      <c r="AA148" s="108"/>
      <c r="AB148" s="108"/>
      <c r="AC148" s="108"/>
      <c r="AD148" s="108"/>
      <c r="AE148" s="108"/>
      <c r="AF148" s="108"/>
      <c r="AG148" s="108"/>
      <c r="AH148" s="108"/>
      <c r="AI148" s="108"/>
      <c r="AJ148" s="108"/>
      <c r="AK148" s="108"/>
      <c r="AL148" s="108"/>
      <c r="AM148" s="108"/>
      <c r="AN148" s="108"/>
      <c r="AO148" s="108"/>
      <c r="AP148" s="108"/>
      <c r="AQ148" s="108"/>
      <c r="AR148" s="108"/>
    </row>
    <row r="149" spans="1:44" ht="67.5" hidden="1" customHeight="1" x14ac:dyDescent="0.3">
      <c r="A149" s="108">
        <v>83</v>
      </c>
      <c r="B149" s="4" t="s">
        <v>61</v>
      </c>
      <c r="C149" s="4" t="s">
        <v>1498</v>
      </c>
      <c r="D149" s="107" t="s">
        <v>154</v>
      </c>
      <c r="E149" s="710" t="e">
        <f>HLOOKUP($D$2,'2020 Data(H)'!$C$1:$CZ$432,47,FALSE)</f>
        <v>#N/A</v>
      </c>
      <c r="F149" s="307">
        <v>0</v>
      </c>
      <c r="G149" s="771">
        <f>IF(F138-F147-F149=0,,"Error: Total assets less total liabilities do not equal total net assets.  Account numbers 381-349-83=0  The amount of the formula is in the cell to the right")</f>
        <v>0</v>
      </c>
      <c r="H149" s="774">
        <f>F138-F147-F149</f>
        <v>0</v>
      </c>
      <c r="I149" s="79"/>
      <c r="Z149" s="108"/>
      <c r="AA149" s="108"/>
      <c r="AB149" s="108"/>
      <c r="AC149" s="108"/>
      <c r="AD149" s="108"/>
      <c r="AE149" s="108"/>
      <c r="AF149" s="108"/>
      <c r="AG149" s="108"/>
      <c r="AH149" s="108"/>
      <c r="AI149" s="108"/>
      <c r="AJ149" s="108"/>
      <c r="AK149" s="108"/>
      <c r="AL149" s="108"/>
      <c r="AM149" s="108"/>
      <c r="AN149" s="108"/>
      <c r="AO149" s="108"/>
      <c r="AP149" s="108"/>
      <c r="AQ149" s="108"/>
      <c r="AR149" s="108"/>
    </row>
    <row r="150" spans="1:44" ht="40.5" hidden="1" customHeight="1" x14ac:dyDescent="0.3">
      <c r="A150" s="108"/>
      <c r="B150" s="907" t="s">
        <v>155</v>
      </c>
      <c r="C150" s="908"/>
      <c r="D150" s="883"/>
      <c r="E150" s="883"/>
      <c r="F150" s="903"/>
      <c r="G150" s="904"/>
      <c r="H150" s="786"/>
      <c r="I150" s="79"/>
      <c r="Z150" s="108"/>
      <c r="AA150" s="108"/>
      <c r="AB150" s="108"/>
      <c r="AC150" s="108"/>
      <c r="AD150" s="108"/>
      <c r="AE150" s="108"/>
      <c r="AF150" s="108"/>
      <c r="AG150" s="108"/>
      <c r="AH150" s="108"/>
      <c r="AI150" s="108"/>
      <c r="AJ150" s="108"/>
      <c r="AK150" s="108"/>
      <c r="AL150" s="108"/>
      <c r="AM150" s="108"/>
      <c r="AN150" s="108"/>
      <c r="AO150" s="108"/>
      <c r="AP150" s="108"/>
      <c r="AQ150" s="108"/>
      <c r="AR150" s="108"/>
    </row>
    <row r="151" spans="1:44" ht="59.25" hidden="1" customHeight="1" x14ac:dyDescent="0.3">
      <c r="A151" s="108">
        <v>90</v>
      </c>
      <c r="B151" s="4" t="s">
        <v>63</v>
      </c>
      <c r="C151" s="4" t="s">
        <v>1505</v>
      </c>
      <c r="D151" s="24" t="s">
        <v>1506</v>
      </c>
      <c r="E151" s="710" t="e">
        <f>HLOOKUP($D$2,'2020 Data(H)'!$C$1:$CZ$432,52,FALSE)</f>
        <v>#N/A</v>
      </c>
      <c r="F151" s="307">
        <v>0</v>
      </c>
      <c r="G151" s="771">
        <f>IF(F151&lt;0,"Note: Number is normally positive.",)</f>
        <v>0</v>
      </c>
      <c r="H151" s="793"/>
      <c r="I151" s="79"/>
      <c r="Z151" s="108"/>
      <c r="AA151" s="108"/>
      <c r="AB151" s="108"/>
      <c r="AC151" s="108"/>
      <c r="AD151" s="108"/>
      <c r="AE151" s="108"/>
      <c r="AF151" s="108"/>
      <c r="AG151" s="108"/>
      <c r="AH151" s="108"/>
      <c r="AI151" s="108"/>
      <c r="AJ151" s="108"/>
      <c r="AK151" s="108"/>
      <c r="AL151" s="108"/>
      <c r="AM151" s="108"/>
      <c r="AN151" s="108"/>
      <c r="AO151" s="108"/>
      <c r="AP151" s="108"/>
      <c r="AQ151" s="108"/>
      <c r="AR151" s="108"/>
    </row>
    <row r="152" spans="1:44" ht="75" hidden="1" customHeight="1" x14ac:dyDescent="0.3">
      <c r="A152" s="108">
        <v>91</v>
      </c>
      <c r="B152" s="4" t="s">
        <v>58</v>
      </c>
      <c r="C152" s="4" t="s">
        <v>1505</v>
      </c>
      <c r="D152" s="24" t="s">
        <v>1507</v>
      </c>
      <c r="E152" s="710" t="e">
        <f>HLOOKUP($D$2,'2020 Data(H)'!$C$1:$CZ$432,53,FALSE)</f>
        <v>#N/A</v>
      </c>
      <c r="F152" s="307">
        <v>0</v>
      </c>
      <c r="G152" s="771">
        <f>IF(F152&lt;0,"Note: Number is normally positive.",)</f>
        <v>0</v>
      </c>
      <c r="H152" s="17"/>
      <c r="I152" s="79"/>
      <c r="Z152" s="108"/>
      <c r="AA152" s="108"/>
      <c r="AB152" s="108"/>
      <c r="AC152" s="108"/>
      <c r="AD152" s="108"/>
      <c r="AE152" s="108"/>
      <c r="AF152" s="108"/>
      <c r="AG152" s="108"/>
      <c r="AH152" s="108"/>
      <c r="AI152" s="108"/>
      <c r="AJ152" s="108"/>
      <c r="AK152" s="108"/>
      <c r="AL152" s="108"/>
      <c r="AM152" s="108"/>
      <c r="AN152" s="108"/>
      <c r="AO152" s="108"/>
      <c r="AP152" s="108"/>
      <c r="AQ152" s="108"/>
      <c r="AR152" s="108"/>
    </row>
    <row r="153" spans="1:44" ht="66.75" hidden="1" customHeight="1" x14ac:dyDescent="0.3">
      <c r="A153" s="108">
        <v>581</v>
      </c>
      <c r="B153" s="712" t="s">
        <v>560</v>
      </c>
      <c r="C153" s="712" t="s">
        <v>1505</v>
      </c>
      <c r="D153" s="865" t="s">
        <v>1508</v>
      </c>
      <c r="E153" s="710" t="e">
        <f>HLOOKUP($D$2,'2020 Data(H)'!$C$1:$CZ$432,231,FALSE)</f>
        <v>#N/A</v>
      </c>
      <c r="F153" s="307">
        <v>0</v>
      </c>
      <c r="G153" s="771"/>
      <c r="H153" s="17"/>
      <c r="I153" s="79"/>
      <c r="Z153" s="108"/>
      <c r="AA153" s="108"/>
      <c r="AB153" s="108"/>
      <c r="AC153" s="108"/>
      <c r="AD153" s="108"/>
      <c r="AE153" s="108"/>
      <c r="AF153" s="108"/>
      <c r="AG153" s="108"/>
      <c r="AH153" s="108"/>
      <c r="AI153" s="108"/>
      <c r="AJ153" s="108"/>
      <c r="AK153" s="108"/>
      <c r="AL153" s="108"/>
      <c r="AM153" s="108"/>
      <c r="AN153" s="108"/>
      <c r="AO153" s="108"/>
      <c r="AP153" s="108"/>
      <c r="AQ153" s="108"/>
      <c r="AR153" s="108"/>
    </row>
    <row r="154" spans="1:44" ht="67.5" hidden="1" customHeight="1" x14ac:dyDescent="0.3">
      <c r="A154" s="108">
        <v>511</v>
      </c>
      <c r="B154" s="4" t="s">
        <v>58</v>
      </c>
      <c r="C154" s="4" t="s">
        <v>1505</v>
      </c>
      <c r="D154" s="25" t="s">
        <v>156</v>
      </c>
      <c r="E154" s="710" t="e">
        <f>HLOOKUP($D$2,'2020 Data(H)'!$C$1:$CZ$432,161,FALSE)</f>
        <v>#N/A</v>
      </c>
      <c r="F154" s="307">
        <v>0</v>
      </c>
      <c r="G154" s="771">
        <f>IF(F154&lt;0,"Note: Number is normally positive.",)</f>
        <v>0</v>
      </c>
      <c r="H154" s="17"/>
      <c r="I154" s="79"/>
      <c r="Z154" s="108"/>
      <c r="AA154" s="108"/>
      <c r="AB154" s="108"/>
      <c r="AC154" s="108"/>
      <c r="AD154" s="108"/>
      <c r="AE154" s="108"/>
      <c r="AF154" s="108"/>
      <c r="AG154" s="108"/>
      <c r="AH154" s="108"/>
      <c r="AI154" s="108"/>
      <c r="AJ154" s="108"/>
      <c r="AK154" s="108"/>
      <c r="AL154" s="108"/>
      <c r="AM154" s="108"/>
      <c r="AN154" s="108"/>
      <c r="AO154" s="108"/>
      <c r="AP154" s="108"/>
      <c r="AQ154" s="108"/>
      <c r="AR154" s="108"/>
    </row>
    <row r="155" spans="1:44" ht="72" hidden="1" customHeight="1" x14ac:dyDescent="0.3">
      <c r="A155" s="319">
        <v>657</v>
      </c>
      <c r="B155" s="866" t="s">
        <v>58</v>
      </c>
      <c r="C155" s="866" t="s">
        <v>1505</v>
      </c>
      <c r="D155" s="350" t="s">
        <v>1509</v>
      </c>
      <c r="E155" s="710" t="e">
        <f>HLOOKUP($D$2,'2020 Data(H)'!$C$1:$CZ$432,310,FALSE)</f>
        <v>#N/A</v>
      </c>
      <c r="F155" s="307">
        <v>0</v>
      </c>
      <c r="G155" s="794">
        <f>IF((F151+F152+F154)&gt;F155,"Error: Please review components of current assets above.  Account numbers (90+91+511)&gt;657",)</f>
        <v>0</v>
      </c>
      <c r="H155" s="17"/>
      <c r="I155" s="79"/>
      <c r="Z155" s="319"/>
      <c r="AA155" s="319"/>
      <c r="AB155" s="319"/>
      <c r="AC155" s="319"/>
      <c r="AD155" s="319"/>
      <c r="AE155" s="319"/>
      <c r="AF155" s="319"/>
      <c r="AG155" s="319"/>
      <c r="AH155" s="319"/>
      <c r="AI155" s="319"/>
      <c r="AJ155" s="319"/>
      <c r="AK155" s="319"/>
      <c r="AL155" s="319"/>
      <c r="AM155" s="319"/>
      <c r="AN155" s="319"/>
      <c r="AO155" s="319"/>
      <c r="AP155" s="319"/>
      <c r="AQ155" s="319"/>
      <c r="AR155" s="319"/>
    </row>
    <row r="156" spans="1:44" ht="70.5" hidden="1" customHeight="1" x14ac:dyDescent="0.3">
      <c r="A156" s="319">
        <v>658</v>
      </c>
      <c r="B156" s="866" t="s">
        <v>58</v>
      </c>
      <c r="C156" s="866" t="s">
        <v>1505</v>
      </c>
      <c r="D156" s="321" t="s">
        <v>853</v>
      </c>
      <c r="E156" s="710" t="e">
        <f>HLOOKUP($D$2,'2020 Data(H)'!$C$1:$CZ$432,311,FALSE)</f>
        <v>#N/A</v>
      </c>
      <c r="F156" s="307">
        <v>0</v>
      </c>
      <c r="G156" s="771"/>
      <c r="H156" s="17"/>
      <c r="I156" s="79"/>
      <c r="Z156" s="319"/>
      <c r="AA156" s="319"/>
      <c r="AB156" s="319"/>
      <c r="AC156" s="319"/>
      <c r="AD156" s="319"/>
      <c r="AE156" s="319"/>
      <c r="AF156" s="319"/>
      <c r="AG156" s="319"/>
      <c r="AH156" s="319"/>
      <c r="AI156" s="319"/>
      <c r="AJ156" s="319"/>
      <c r="AK156" s="319"/>
      <c r="AL156" s="319"/>
      <c r="AM156" s="319"/>
      <c r="AN156" s="319"/>
      <c r="AO156" s="319"/>
      <c r="AP156" s="319"/>
      <c r="AQ156" s="319"/>
      <c r="AR156" s="319"/>
    </row>
    <row r="157" spans="1:44" ht="50.25" hidden="1" customHeight="1" x14ac:dyDescent="0.3">
      <c r="A157" s="108">
        <v>382</v>
      </c>
      <c r="B157" s="4" t="s">
        <v>60</v>
      </c>
      <c r="C157" s="4" t="s">
        <v>1505</v>
      </c>
      <c r="D157" s="106" t="s">
        <v>130</v>
      </c>
      <c r="E157" s="710" t="e">
        <f>HLOOKUP($D$2,'2020 Data(H)'!$C$1:$CZ$432,141,FALSE)</f>
        <v>#N/A</v>
      </c>
      <c r="F157" s="307">
        <v>0</v>
      </c>
      <c r="G157" s="794">
        <f>IF(F155&gt;F157,"Error: Please review components of current assets above. Account numbers 657&gt;382",)</f>
        <v>0</v>
      </c>
      <c r="H157" s="17"/>
      <c r="I157" s="79"/>
      <c r="Z157" s="108"/>
      <c r="AA157" s="108"/>
      <c r="AB157" s="108"/>
      <c r="AC157" s="108"/>
      <c r="AD157" s="108"/>
      <c r="AE157" s="108"/>
      <c r="AF157" s="108"/>
      <c r="AG157" s="108"/>
      <c r="AH157" s="108"/>
      <c r="AI157" s="108"/>
      <c r="AJ157" s="108"/>
      <c r="AK157" s="108"/>
      <c r="AL157" s="108"/>
      <c r="AM157" s="108"/>
      <c r="AN157" s="108"/>
      <c r="AO157" s="108"/>
      <c r="AP157" s="108"/>
      <c r="AQ157" s="108"/>
      <c r="AR157" s="108"/>
    </row>
    <row r="158" spans="1:44" ht="57.75" hidden="1" customHeight="1" x14ac:dyDescent="0.3">
      <c r="A158" s="108">
        <v>360</v>
      </c>
      <c r="B158" s="4" t="s">
        <v>56</v>
      </c>
      <c r="C158" s="4" t="s">
        <v>1505</v>
      </c>
      <c r="D158" s="107" t="s">
        <v>157</v>
      </c>
      <c r="E158" s="710" t="e">
        <f>HLOOKUP($D$2,'2020 Data(H)'!$C$1:$CZ$432,121,FALSE)</f>
        <v>#N/A</v>
      </c>
      <c r="F158" s="307">
        <v>0</v>
      </c>
      <c r="G158" s="771"/>
      <c r="H158" s="17"/>
      <c r="I158" s="79"/>
      <c r="Z158" s="108"/>
      <c r="AA158" s="108"/>
      <c r="AB158" s="108"/>
      <c r="AC158" s="108"/>
      <c r="AD158" s="108"/>
      <c r="AE158" s="108"/>
      <c r="AF158" s="108"/>
      <c r="AG158" s="108"/>
      <c r="AH158" s="108"/>
      <c r="AI158" s="108"/>
      <c r="AJ158" s="108"/>
      <c r="AK158" s="108"/>
      <c r="AL158" s="108"/>
      <c r="AM158" s="108"/>
      <c r="AN158" s="108"/>
      <c r="AO158" s="108"/>
      <c r="AP158" s="108"/>
      <c r="AQ158" s="108"/>
      <c r="AR158" s="108"/>
    </row>
    <row r="159" spans="1:44" ht="62.25" hidden="1" customHeight="1" x14ac:dyDescent="0.3">
      <c r="A159" s="108">
        <v>580</v>
      </c>
      <c r="B159" s="712" t="s">
        <v>560</v>
      </c>
      <c r="C159" s="712" t="s">
        <v>1505</v>
      </c>
      <c r="D159" s="865" t="s">
        <v>1510</v>
      </c>
      <c r="E159" s="710" t="e">
        <f>HLOOKUP($D$2,'2020 Data(H)'!$C$1:$CZ$432,230,FALSE)</f>
        <v>#N/A</v>
      </c>
      <c r="F159" s="307">
        <v>0</v>
      </c>
      <c r="G159" s="771"/>
      <c r="H159" s="17"/>
      <c r="I159" s="79"/>
      <c r="Z159" s="108"/>
      <c r="AA159" s="108"/>
      <c r="AB159" s="108"/>
      <c r="AC159" s="108"/>
      <c r="AD159" s="108"/>
      <c r="AE159" s="108"/>
      <c r="AF159" s="108"/>
      <c r="AG159" s="108"/>
      <c r="AH159" s="108"/>
      <c r="AI159" s="108"/>
      <c r="AJ159" s="108"/>
      <c r="AK159" s="108"/>
      <c r="AL159" s="108"/>
      <c r="AM159" s="108"/>
      <c r="AN159" s="108"/>
      <c r="AO159" s="108"/>
      <c r="AP159" s="108"/>
      <c r="AQ159" s="108"/>
      <c r="AR159" s="108"/>
    </row>
    <row r="160" spans="1:44" ht="114" hidden="1" customHeight="1" x14ac:dyDescent="0.3">
      <c r="A160" s="320">
        <v>639</v>
      </c>
      <c r="B160" s="866" t="s">
        <v>851</v>
      </c>
      <c r="C160" s="866" t="s">
        <v>1505</v>
      </c>
      <c r="D160" s="350" t="s">
        <v>1589</v>
      </c>
      <c r="E160" s="710" t="e">
        <f>HLOOKUP($D$2,'2020 Data(H)'!$C$1:$CZ$432,298,FALSE)</f>
        <v>#N/A</v>
      </c>
      <c r="F160" s="307">
        <v>0</v>
      </c>
      <c r="G160" s="789" t="str">
        <f>IF(F160&gt;=(F161+F162+F163+F164+F165+F166),"","Account 639 is less than the total sum of accounts 640 through 644 + 384")</f>
        <v/>
      </c>
      <c r="H160" s="795">
        <f>F160-(F161+F162+F163+F164+F165+F166)</f>
        <v>0</v>
      </c>
      <c r="I160" s="776"/>
      <c r="Z160" s="320"/>
      <c r="AA160" s="320"/>
      <c r="AB160" s="320"/>
      <c r="AC160" s="320"/>
      <c r="AD160" s="320"/>
      <c r="AE160" s="320"/>
      <c r="AF160" s="320"/>
      <c r="AG160" s="320"/>
      <c r="AH160" s="320"/>
      <c r="AI160" s="320"/>
      <c r="AJ160" s="320"/>
      <c r="AK160" s="320"/>
      <c r="AL160" s="320"/>
      <c r="AM160" s="320"/>
      <c r="AN160" s="320"/>
      <c r="AO160" s="320"/>
      <c r="AP160" s="320"/>
      <c r="AQ160" s="320"/>
      <c r="AR160" s="320"/>
    </row>
    <row r="161" spans="1:44" ht="124.5" hidden="1" customHeight="1" x14ac:dyDescent="0.3">
      <c r="A161" s="319">
        <v>640</v>
      </c>
      <c r="B161" s="867" t="s">
        <v>696</v>
      </c>
      <c r="C161" s="866" t="s">
        <v>1505</v>
      </c>
      <c r="D161" s="350" t="s">
        <v>1590</v>
      </c>
      <c r="E161" s="710" t="e">
        <f>HLOOKUP($D$2,'2020 Data(H)'!$C$1:$CZ$432,299,FALSE)</f>
        <v>#N/A</v>
      </c>
      <c r="F161" s="307">
        <v>0</v>
      </c>
      <c r="G161" s="794">
        <f>IF(F161&gt;F160,"Error: Please review components of current liabilities above. Account numbers 640&gt;639",)</f>
        <v>0</v>
      </c>
      <c r="H161" s="776"/>
      <c r="I161" s="795"/>
      <c r="Z161" s="319"/>
      <c r="AA161" s="319"/>
      <c r="AB161" s="319"/>
      <c r="AC161" s="319"/>
      <c r="AD161" s="319"/>
      <c r="AE161" s="319"/>
      <c r="AF161" s="319"/>
      <c r="AG161" s="319"/>
      <c r="AH161" s="319"/>
      <c r="AI161" s="319"/>
      <c r="AJ161" s="319"/>
      <c r="AK161" s="319"/>
      <c r="AL161" s="319"/>
      <c r="AM161" s="319"/>
      <c r="AN161" s="319"/>
      <c r="AO161" s="319"/>
      <c r="AP161" s="319"/>
      <c r="AQ161" s="319"/>
      <c r="AR161" s="319"/>
    </row>
    <row r="162" spans="1:44" ht="133.5" hidden="1" customHeight="1" x14ac:dyDescent="0.3">
      <c r="A162" s="319">
        <v>641</v>
      </c>
      <c r="B162" s="867" t="s">
        <v>696</v>
      </c>
      <c r="C162" s="866" t="s">
        <v>1505</v>
      </c>
      <c r="D162" s="350" t="s">
        <v>1591</v>
      </c>
      <c r="E162" s="710" t="e">
        <f>HLOOKUP($D$2,'2020 Data(H)'!$C$1:$CZ$432,300,FALSE)</f>
        <v>#N/A</v>
      </c>
      <c r="F162" s="307">
        <v>0</v>
      </c>
      <c r="G162" s="794">
        <f>IF(F162&gt;F160,"Error: Please review components of current liabilities above. Account numbers 641&gt;639",)</f>
        <v>0</v>
      </c>
      <c r="H162" s="776"/>
      <c r="I162" s="776"/>
      <c r="Z162" s="319"/>
      <c r="AA162" s="319"/>
      <c r="AB162" s="319"/>
      <c r="AC162" s="319"/>
      <c r="AD162" s="319"/>
      <c r="AE162" s="319"/>
      <c r="AF162" s="319"/>
      <c r="AG162" s="319"/>
      <c r="AH162" s="319"/>
      <c r="AI162" s="319"/>
      <c r="AJ162" s="319"/>
      <c r="AK162" s="319"/>
      <c r="AL162" s="319"/>
      <c r="AM162" s="319"/>
      <c r="AN162" s="319"/>
      <c r="AO162" s="319"/>
      <c r="AP162" s="319"/>
      <c r="AQ162" s="319"/>
      <c r="AR162" s="319"/>
    </row>
    <row r="163" spans="1:44" ht="118.5" hidden="1" customHeight="1" x14ac:dyDescent="0.3">
      <c r="A163" s="319">
        <v>642</v>
      </c>
      <c r="B163" s="867" t="s">
        <v>696</v>
      </c>
      <c r="C163" s="866" t="s">
        <v>1505</v>
      </c>
      <c r="D163" s="350" t="s">
        <v>1592</v>
      </c>
      <c r="E163" s="710" t="e">
        <f>HLOOKUP($D$2,'2020 Data(H)'!$C$1:$CZ$432,301,FALSE)</f>
        <v>#N/A</v>
      </c>
      <c r="F163" s="307">
        <v>0</v>
      </c>
      <c r="G163" s="794">
        <f>IF(F163&gt;F160,"Error: Please review components of current liabilities above. Account numbers  642&gt;639",)</f>
        <v>0</v>
      </c>
      <c r="H163" s="776"/>
      <c r="I163" s="776"/>
      <c r="Z163" s="319"/>
      <c r="AA163" s="319"/>
      <c r="AB163" s="319"/>
      <c r="AC163" s="319"/>
      <c r="AD163" s="319"/>
      <c r="AE163" s="319"/>
      <c r="AF163" s="319"/>
      <c r="AG163" s="319"/>
      <c r="AH163" s="319"/>
      <c r="AI163" s="319"/>
      <c r="AJ163" s="319"/>
      <c r="AK163" s="319"/>
      <c r="AL163" s="319"/>
      <c r="AM163" s="319"/>
      <c r="AN163" s="319"/>
      <c r="AO163" s="319"/>
      <c r="AP163" s="319"/>
      <c r="AQ163" s="319"/>
      <c r="AR163" s="319"/>
    </row>
    <row r="164" spans="1:44" ht="81.75" hidden="1" customHeight="1" x14ac:dyDescent="0.3">
      <c r="A164" s="319">
        <v>643</v>
      </c>
      <c r="B164" s="867" t="s">
        <v>696</v>
      </c>
      <c r="C164" s="866" t="s">
        <v>1505</v>
      </c>
      <c r="D164" s="350" t="s">
        <v>1593</v>
      </c>
      <c r="E164" s="710" t="e">
        <f>HLOOKUP($D$2,'2020 Data(H)'!$C$1:$CZ$432,302,FALSE)</f>
        <v>#N/A</v>
      </c>
      <c r="F164" s="307">
        <v>0</v>
      </c>
      <c r="G164" s="794">
        <f>IF(F164&gt;F160,"Error: Please review components of current liabilities above. Account numbers 643&gt;639",)</f>
        <v>0</v>
      </c>
      <c r="H164" s="776"/>
      <c r="I164" s="776"/>
      <c r="Z164" s="319"/>
      <c r="AA164" s="319"/>
      <c r="AB164" s="319"/>
      <c r="AC164" s="319"/>
      <c r="AD164" s="319"/>
      <c r="AE164" s="319"/>
      <c r="AF164" s="319"/>
      <c r="AG164" s="319"/>
      <c r="AH164" s="319"/>
      <c r="AI164" s="319"/>
      <c r="AJ164" s="319"/>
      <c r="AK164" s="319"/>
      <c r="AL164" s="319"/>
      <c r="AM164" s="319"/>
      <c r="AN164" s="319"/>
      <c r="AO164" s="319"/>
      <c r="AP164" s="319"/>
      <c r="AQ164" s="319"/>
      <c r="AR164" s="319"/>
    </row>
    <row r="165" spans="1:44" ht="108" hidden="1" customHeight="1" x14ac:dyDescent="0.3">
      <c r="A165" s="319">
        <v>644</v>
      </c>
      <c r="B165" s="867" t="s">
        <v>696</v>
      </c>
      <c r="C165" s="866" t="s">
        <v>1505</v>
      </c>
      <c r="D165" s="350" t="s">
        <v>1594</v>
      </c>
      <c r="E165" s="710" t="e">
        <f>HLOOKUP($D$2,'2020 Data(H)'!$C$1:$CZ$432,303,FALSE)</f>
        <v>#N/A</v>
      </c>
      <c r="F165" s="307">
        <v>0</v>
      </c>
      <c r="G165" s="794">
        <f>IF(F165&gt;F160,"Error: Please review components of current liabilities above. Account number 644&gt;639",)</f>
        <v>0</v>
      </c>
      <c r="H165" s="776"/>
      <c r="I165" s="776"/>
      <c r="Z165" s="319"/>
      <c r="AA165" s="319"/>
      <c r="AB165" s="319"/>
      <c r="AC165" s="319"/>
      <c r="AD165" s="319"/>
      <c r="AE165" s="319"/>
      <c r="AF165" s="319"/>
      <c r="AG165" s="319"/>
      <c r="AH165" s="319"/>
      <c r="AI165" s="319"/>
      <c r="AJ165" s="319"/>
      <c r="AK165" s="319"/>
      <c r="AL165" s="319"/>
      <c r="AM165" s="319"/>
      <c r="AN165" s="319"/>
      <c r="AO165" s="319"/>
      <c r="AP165" s="319"/>
      <c r="AQ165" s="319"/>
      <c r="AR165" s="319"/>
    </row>
    <row r="166" spans="1:44" ht="99.75" hidden="1" customHeight="1" x14ac:dyDescent="0.3">
      <c r="A166" s="108">
        <v>384</v>
      </c>
      <c r="B166" s="4" t="s">
        <v>63</v>
      </c>
      <c r="C166" s="4" t="s">
        <v>1505</v>
      </c>
      <c r="D166" s="29" t="s">
        <v>1595</v>
      </c>
      <c r="E166" s="710" t="e">
        <f>HLOOKUP($D$2,'2020 Data(H)'!$C$1:$CZ$432,143,FALSE)</f>
        <v>#N/A</v>
      </c>
      <c r="F166" s="779">
        <v>0</v>
      </c>
      <c r="G166" s="791">
        <f>IF(F166&gt;F160,"Error: Please review components of current liabilities above. Account number 384&gt;639",)</f>
        <v>0</v>
      </c>
      <c r="I166" s="79"/>
      <c r="Z166" s="108"/>
      <c r="AA166" s="108"/>
      <c r="AB166" s="108"/>
      <c r="AC166" s="108"/>
      <c r="AD166" s="108"/>
      <c r="AE166" s="108"/>
      <c r="AF166" s="108"/>
      <c r="AG166" s="108"/>
      <c r="AH166" s="108"/>
      <c r="AI166" s="108"/>
      <c r="AJ166" s="108"/>
      <c r="AK166" s="108"/>
      <c r="AL166" s="108"/>
      <c r="AM166" s="108"/>
      <c r="AN166" s="108"/>
      <c r="AO166" s="108"/>
      <c r="AP166" s="108"/>
      <c r="AQ166" s="108"/>
      <c r="AR166" s="108"/>
    </row>
    <row r="167" spans="1:44" ht="104.25" hidden="1" customHeight="1" x14ac:dyDescent="0.3">
      <c r="A167" s="108">
        <v>361</v>
      </c>
      <c r="B167" s="4" t="s">
        <v>56</v>
      </c>
      <c r="C167" s="4" t="s">
        <v>1505</v>
      </c>
      <c r="D167" s="749" t="s">
        <v>1511</v>
      </c>
      <c r="E167" s="710" t="e">
        <f>HLOOKUP($D$2,'2020 Data(H)'!$C$1:$CZ$432,122,FALSE)</f>
        <v>#N/A</v>
      </c>
      <c r="F167" s="307">
        <v>0</v>
      </c>
      <c r="G167" s="781"/>
      <c r="H167" s="17"/>
      <c r="I167" s="79"/>
      <c r="Z167" s="108"/>
      <c r="AA167" s="108"/>
      <c r="AB167" s="108"/>
      <c r="AC167" s="108"/>
      <c r="AD167" s="108"/>
      <c r="AE167" s="108"/>
      <c r="AF167" s="108"/>
      <c r="AG167" s="108"/>
      <c r="AH167" s="108"/>
      <c r="AI167" s="108"/>
      <c r="AJ167" s="108"/>
      <c r="AK167" s="108"/>
      <c r="AL167" s="108"/>
      <c r="AM167" s="108"/>
      <c r="AN167" s="108"/>
      <c r="AO167" s="108"/>
      <c r="AP167" s="108"/>
      <c r="AQ167" s="108"/>
      <c r="AR167" s="108"/>
    </row>
    <row r="168" spans="1:44" ht="54" hidden="1" customHeight="1" x14ac:dyDescent="0.3">
      <c r="A168" s="108">
        <v>362</v>
      </c>
      <c r="B168" s="4" t="s">
        <v>56</v>
      </c>
      <c r="C168" s="4" t="s">
        <v>1505</v>
      </c>
      <c r="D168" s="107" t="s">
        <v>158</v>
      </c>
      <c r="E168" s="710" t="e">
        <f>HLOOKUP($D$2,'2020 Data(H)'!$C$1:$CZ$432,123,FALSE)</f>
        <v>#N/A</v>
      </c>
      <c r="F168" s="307">
        <v>0</v>
      </c>
      <c r="G168" s="771">
        <f>IF(H168=0,,"Error: Total assets less total liabilities do not equal total net position. Account numbers 382-360-362=0  The amount of the formula is in the cell to the right")</f>
        <v>0</v>
      </c>
      <c r="H168" s="774">
        <f>F157-F158-F168</f>
        <v>0</v>
      </c>
      <c r="I168" s="79"/>
      <c r="Z168" s="108"/>
      <c r="AA168" s="108"/>
      <c r="AB168" s="108"/>
      <c r="AC168" s="108"/>
      <c r="AD168" s="108"/>
      <c r="AE168" s="108"/>
      <c r="AF168" s="108"/>
      <c r="AG168" s="108"/>
      <c r="AH168" s="108"/>
      <c r="AI168" s="108"/>
      <c r="AJ168" s="108"/>
      <c r="AK168" s="108"/>
      <c r="AL168" s="108"/>
      <c r="AM168" s="108"/>
      <c r="AN168" s="108"/>
      <c r="AO168" s="108"/>
      <c r="AP168" s="108"/>
      <c r="AQ168" s="108"/>
      <c r="AR168" s="108"/>
    </row>
    <row r="169" spans="1:44" ht="26.25" hidden="1" customHeight="1" x14ac:dyDescent="0.3">
      <c r="A169" s="108"/>
      <c r="B169" s="896" t="s">
        <v>182</v>
      </c>
      <c r="C169" s="897"/>
      <c r="D169" s="909"/>
      <c r="E169" s="890"/>
      <c r="F169" s="895"/>
      <c r="G169" s="895"/>
      <c r="H169" s="17"/>
      <c r="I169" s="79"/>
      <c r="Z169" s="108"/>
      <c r="AA169" s="108"/>
      <c r="AB169" s="108"/>
      <c r="AC169" s="108"/>
      <c r="AD169" s="108"/>
      <c r="AE169" s="108"/>
      <c r="AF169" s="108"/>
      <c r="AG169" s="108"/>
      <c r="AH169" s="108"/>
      <c r="AI169" s="108"/>
      <c r="AJ169" s="108"/>
      <c r="AK169" s="108"/>
      <c r="AL169" s="108"/>
      <c r="AM169" s="108"/>
      <c r="AN169" s="108"/>
      <c r="AO169" s="108"/>
      <c r="AP169" s="108"/>
      <c r="AQ169" s="108"/>
      <c r="AR169" s="108"/>
    </row>
    <row r="170" spans="1:44" s="18" customFormat="1" ht="99.75" hidden="1" customHeight="1" x14ac:dyDescent="0.3">
      <c r="A170" s="108"/>
      <c r="B170" s="1175" t="s">
        <v>1616</v>
      </c>
      <c r="C170" s="1175"/>
      <c r="D170" s="1175"/>
      <c r="E170" s="883"/>
      <c r="F170" s="904"/>
      <c r="G170" s="904"/>
      <c r="H170" s="17"/>
      <c r="I170" s="79"/>
      <c r="N170" s="308"/>
      <c r="Z170" s="108"/>
      <c r="AA170" s="108"/>
      <c r="AB170" s="108"/>
      <c r="AC170" s="108"/>
      <c r="AD170" s="108"/>
      <c r="AE170" s="108"/>
      <c r="AF170" s="108"/>
      <c r="AG170" s="108"/>
      <c r="AH170" s="108"/>
      <c r="AI170" s="108"/>
      <c r="AJ170" s="108"/>
      <c r="AK170" s="108"/>
      <c r="AL170" s="108"/>
      <c r="AM170" s="108"/>
      <c r="AN170" s="108"/>
      <c r="AO170" s="108"/>
      <c r="AP170" s="108"/>
      <c r="AQ170" s="108"/>
      <c r="AR170" s="108"/>
    </row>
    <row r="171" spans="1:44" ht="87" hidden="1" customHeight="1" x14ac:dyDescent="0.3">
      <c r="A171" s="108">
        <v>88</v>
      </c>
      <c r="B171" s="4" t="s">
        <v>61</v>
      </c>
      <c r="C171" s="4" t="s">
        <v>1512</v>
      </c>
      <c r="D171" s="24" t="s">
        <v>1513</v>
      </c>
      <c r="E171" s="710" t="e">
        <f>HLOOKUP($D$2,'2020 Data(H)'!$C$1:$CZ$432,50,FALSE)</f>
        <v>#N/A</v>
      </c>
      <c r="F171" s="307">
        <v>0</v>
      </c>
      <c r="G171" s="781"/>
      <c r="H171" s="17"/>
      <c r="I171" s="79"/>
      <c r="Z171" s="108"/>
      <c r="AA171" s="108"/>
      <c r="AB171" s="108"/>
      <c r="AC171" s="108"/>
      <c r="AD171" s="108"/>
      <c r="AE171" s="108"/>
      <c r="AF171" s="108"/>
      <c r="AG171" s="108"/>
      <c r="AH171" s="108"/>
      <c r="AI171" s="108"/>
      <c r="AJ171" s="108"/>
      <c r="AK171" s="108"/>
      <c r="AL171" s="108"/>
      <c r="AM171" s="108"/>
      <c r="AN171" s="108"/>
      <c r="AO171" s="108"/>
      <c r="AP171" s="108"/>
      <c r="AQ171" s="108"/>
      <c r="AR171" s="108"/>
    </row>
    <row r="172" spans="1:44" ht="94.5" hidden="1" customHeight="1" x14ac:dyDescent="0.3">
      <c r="A172" s="108">
        <v>84</v>
      </c>
      <c r="B172" s="4" t="s">
        <v>61</v>
      </c>
      <c r="C172" s="4" t="s">
        <v>1512</v>
      </c>
      <c r="D172" s="29" t="s">
        <v>159</v>
      </c>
      <c r="E172" s="710" t="e">
        <f>HLOOKUP($D$2,'2020 Data(H)'!$C$1:$CZ$432,48,FALSE)</f>
        <v>#N/A</v>
      </c>
      <c r="F172" s="307">
        <v>0</v>
      </c>
      <c r="G172" s="771">
        <f>IF(F172&gt;=F171,,"Error: Charges for services exceed total operating revenues. Account numbers 84&gt;=88")</f>
        <v>0</v>
      </c>
      <c r="H172" s="17"/>
      <c r="I172" s="79"/>
      <c r="Z172" s="108"/>
      <c r="AA172" s="108"/>
      <c r="AB172" s="108"/>
      <c r="AC172" s="108"/>
      <c r="AD172" s="108"/>
      <c r="AE172" s="108"/>
      <c r="AF172" s="108"/>
      <c r="AG172" s="108"/>
      <c r="AH172" s="108"/>
      <c r="AI172" s="108"/>
      <c r="AJ172" s="108"/>
      <c r="AK172" s="108"/>
      <c r="AL172" s="108"/>
      <c r="AM172" s="108"/>
      <c r="AN172" s="108"/>
      <c r="AO172" s="108"/>
      <c r="AP172" s="108"/>
      <c r="AQ172" s="108"/>
      <c r="AR172" s="108"/>
    </row>
    <row r="173" spans="1:44" ht="90" hidden="1" customHeight="1" x14ac:dyDescent="0.3">
      <c r="A173" s="108">
        <v>49</v>
      </c>
      <c r="B173" s="4" t="s">
        <v>57</v>
      </c>
      <c r="C173" s="4" t="s">
        <v>1512</v>
      </c>
      <c r="D173" s="29" t="s">
        <v>160</v>
      </c>
      <c r="E173" s="710" t="e">
        <f>HLOOKUP($D$2,'2020 Data(H)'!$C$1:$CZ$432,36,FALSE)</f>
        <v>#N/A</v>
      </c>
      <c r="F173" s="307">
        <v>0</v>
      </c>
      <c r="G173" s="771">
        <f>IF(F173&lt;0,"Error: Enter as positive.",)</f>
        <v>0</v>
      </c>
      <c r="H173" s="17"/>
      <c r="I173" s="79"/>
      <c r="Z173" s="108"/>
      <c r="AA173" s="108"/>
      <c r="AB173" s="108"/>
      <c r="AC173" s="108"/>
      <c r="AD173" s="108"/>
      <c r="AE173" s="108"/>
      <c r="AF173" s="108"/>
      <c r="AG173" s="108"/>
      <c r="AH173" s="108"/>
      <c r="AI173" s="108"/>
      <c r="AJ173" s="108"/>
      <c r="AK173" s="108"/>
      <c r="AL173" s="108"/>
      <c r="AM173" s="108"/>
      <c r="AN173" s="108"/>
      <c r="AO173" s="108"/>
      <c r="AP173" s="108"/>
      <c r="AQ173" s="108"/>
      <c r="AR173" s="108"/>
    </row>
    <row r="174" spans="1:44" ht="106.5" hidden="1" customHeight="1" x14ac:dyDescent="0.3">
      <c r="A174" s="108">
        <v>85</v>
      </c>
      <c r="B174" s="4" t="s">
        <v>68</v>
      </c>
      <c r="C174" s="4" t="s">
        <v>1512</v>
      </c>
      <c r="D174" s="29" t="s">
        <v>161</v>
      </c>
      <c r="E174" s="710" t="e">
        <f>HLOOKUP($D$2,'2020 Data(H)'!$C$1:$CZ$432,49,FALSE)</f>
        <v>#N/A</v>
      </c>
      <c r="F174" s="307">
        <v>0</v>
      </c>
      <c r="G174" s="771">
        <f>IF(F174&lt;0,"Error: Enter as positive.",)</f>
        <v>0</v>
      </c>
      <c r="H174" s="17"/>
      <c r="I174" s="79"/>
      <c r="Z174" s="108"/>
      <c r="AA174" s="108"/>
      <c r="AB174" s="108"/>
      <c r="AC174" s="108"/>
      <c r="AD174" s="108"/>
      <c r="AE174" s="108"/>
      <c r="AF174" s="108"/>
      <c r="AG174" s="108"/>
      <c r="AH174" s="108"/>
      <c r="AI174" s="108"/>
      <c r="AJ174" s="108"/>
      <c r="AK174" s="108"/>
      <c r="AL174" s="108"/>
      <c r="AM174" s="108"/>
      <c r="AN174" s="108"/>
      <c r="AO174" s="108"/>
      <c r="AP174" s="108"/>
      <c r="AQ174" s="108"/>
      <c r="AR174" s="108"/>
    </row>
    <row r="175" spans="1:44" ht="88.5" hidden="1" customHeight="1" x14ac:dyDescent="0.3">
      <c r="A175" s="108">
        <v>89</v>
      </c>
      <c r="B175" s="4" t="s">
        <v>56</v>
      </c>
      <c r="C175" s="4" t="s">
        <v>1512</v>
      </c>
      <c r="D175" s="29" t="s">
        <v>162</v>
      </c>
      <c r="E175" s="710" t="e">
        <f>HLOOKUP($D$2,'2020 Data(H)'!$C$1:$CZ$432,51,FALSE)</f>
        <v>#N/A</v>
      </c>
      <c r="F175" s="307">
        <v>0</v>
      </c>
      <c r="G175" s="771">
        <f>IF(F175&lt;0,"Error: Enter as positive.",)</f>
        <v>0</v>
      </c>
      <c r="H175" s="17"/>
      <c r="I175" s="79"/>
      <c r="Z175" s="108"/>
      <c r="AA175" s="108"/>
      <c r="AB175" s="108"/>
      <c r="AC175" s="108"/>
      <c r="AD175" s="108"/>
      <c r="AE175" s="108"/>
      <c r="AF175" s="108"/>
      <c r="AG175" s="108"/>
      <c r="AH175" s="108"/>
      <c r="AI175" s="108"/>
      <c r="AJ175" s="108"/>
      <c r="AK175" s="108"/>
      <c r="AL175" s="108"/>
      <c r="AM175" s="108"/>
      <c r="AN175" s="108"/>
      <c r="AO175" s="108"/>
      <c r="AP175" s="108"/>
      <c r="AQ175" s="108"/>
      <c r="AR175" s="108"/>
    </row>
    <row r="176" spans="1:44" ht="100.5" hidden="1" customHeight="1" x14ac:dyDescent="0.3">
      <c r="A176" s="108">
        <v>350</v>
      </c>
      <c r="B176" s="4" t="s">
        <v>56</v>
      </c>
      <c r="C176" s="4" t="s">
        <v>1512</v>
      </c>
      <c r="D176" s="24" t="s">
        <v>1514</v>
      </c>
      <c r="E176" s="710" t="e">
        <f>HLOOKUP($D$2,'2020 Data(H)'!$C$1:$CZ$432,114,FALSE)</f>
        <v>#N/A</v>
      </c>
      <c r="F176" s="307">
        <v>0</v>
      </c>
      <c r="G176" s="781"/>
      <c r="H176" s="17"/>
      <c r="I176" s="79"/>
      <c r="Z176" s="108"/>
      <c r="AA176" s="108"/>
      <c r="AB176" s="108"/>
      <c r="AC176" s="108"/>
      <c r="AD176" s="108"/>
      <c r="AE176" s="108"/>
      <c r="AF176" s="108"/>
      <c r="AG176" s="108"/>
      <c r="AH176" s="108"/>
      <c r="AI176" s="108"/>
      <c r="AJ176" s="108"/>
      <c r="AK176" s="108"/>
      <c r="AL176" s="108"/>
      <c r="AM176" s="108"/>
      <c r="AN176" s="108"/>
      <c r="AO176" s="108"/>
      <c r="AP176" s="108"/>
      <c r="AQ176" s="108"/>
      <c r="AR176" s="108"/>
    </row>
    <row r="177" spans="1:44" ht="66" hidden="1" customHeight="1" x14ac:dyDescent="0.3">
      <c r="A177" s="108">
        <v>351</v>
      </c>
      <c r="B177" s="4" t="s">
        <v>56</v>
      </c>
      <c r="C177" s="4" t="s">
        <v>1512</v>
      </c>
      <c r="D177" s="24" t="s">
        <v>1515</v>
      </c>
      <c r="E177" s="710" t="e">
        <f>HLOOKUP($D$2,'2020 Data(H)'!$C$1:$CZ$432,115,FALSE)</f>
        <v>#N/A</v>
      </c>
      <c r="F177" s="307">
        <v>0</v>
      </c>
      <c r="G177" s="771">
        <f>IF(F177&lt;0,"Error: Enter as positive.",)</f>
        <v>0</v>
      </c>
      <c r="H177" s="17"/>
      <c r="I177" s="79"/>
      <c r="Z177" s="108"/>
      <c r="AA177" s="108"/>
      <c r="AB177" s="108"/>
      <c r="AC177" s="108"/>
      <c r="AD177" s="108"/>
      <c r="AE177" s="108"/>
      <c r="AF177" s="108"/>
      <c r="AG177" s="108"/>
      <c r="AH177" s="108"/>
      <c r="AI177" s="108"/>
      <c r="AJ177" s="108"/>
      <c r="AK177" s="108"/>
      <c r="AL177" s="108"/>
      <c r="AM177" s="108"/>
      <c r="AN177" s="108"/>
      <c r="AO177" s="108"/>
      <c r="AP177" s="108"/>
      <c r="AQ177" s="108"/>
      <c r="AR177" s="108"/>
    </row>
    <row r="178" spans="1:44" ht="93.75" hidden="1" customHeight="1" x14ac:dyDescent="0.3">
      <c r="A178" s="108">
        <v>191</v>
      </c>
      <c r="B178" s="4" t="s">
        <v>57</v>
      </c>
      <c r="C178" s="4" t="s">
        <v>1512</v>
      </c>
      <c r="D178" s="24" t="s">
        <v>1516</v>
      </c>
      <c r="E178" s="710" t="e">
        <f>HLOOKUP($D$2,'2020 Data(H)'!$C$1:$CZ$432,72,FALSE)</f>
        <v>#N/A</v>
      </c>
      <c r="F178" s="307">
        <v>0</v>
      </c>
      <c r="G178" s="771">
        <f>IF(F178&lt;0,"Error: Enter as positive.",)</f>
        <v>0</v>
      </c>
      <c r="H178" s="17"/>
      <c r="I178" s="79"/>
      <c r="Z178" s="108"/>
      <c r="AA178" s="108"/>
      <c r="AB178" s="108"/>
      <c r="AC178" s="108"/>
      <c r="AD178" s="108"/>
      <c r="AE178" s="108"/>
      <c r="AF178" s="108"/>
      <c r="AG178" s="108"/>
      <c r="AH178" s="108"/>
      <c r="AI178" s="108"/>
      <c r="AJ178" s="108"/>
      <c r="AK178" s="108"/>
      <c r="AL178" s="108"/>
      <c r="AM178" s="108"/>
      <c r="AN178" s="108"/>
      <c r="AO178" s="108"/>
      <c r="AP178" s="108"/>
      <c r="AQ178" s="108"/>
      <c r="AR178" s="108"/>
    </row>
    <row r="179" spans="1:44" ht="98.25" hidden="1" customHeight="1" x14ac:dyDescent="0.3">
      <c r="A179" s="108">
        <v>352</v>
      </c>
      <c r="B179" s="4" t="s">
        <v>68</v>
      </c>
      <c r="C179" s="4" t="s">
        <v>1512</v>
      </c>
      <c r="D179" s="29" t="s">
        <v>1347</v>
      </c>
      <c r="E179" s="710" t="e">
        <f>HLOOKUP($D$2,'2020 Data(H)'!$C$1:$CZ$432,116,FALSE)</f>
        <v>#N/A</v>
      </c>
      <c r="F179" s="307">
        <v>0</v>
      </c>
      <c r="G179" s="771">
        <f>IF(F179&lt;0,"Error: Enter as positive.",)</f>
        <v>0</v>
      </c>
      <c r="H179" s="750"/>
      <c r="I179" s="17"/>
      <c r="Z179" s="108"/>
      <c r="AA179" s="108"/>
      <c r="AB179" s="108"/>
      <c r="AC179" s="108"/>
      <c r="AD179" s="108"/>
      <c r="AE179" s="108"/>
      <c r="AF179" s="108"/>
      <c r="AG179" s="108"/>
      <c r="AH179" s="108"/>
      <c r="AI179" s="108"/>
      <c r="AJ179" s="108"/>
      <c r="AK179" s="108"/>
      <c r="AL179" s="108"/>
      <c r="AM179" s="108"/>
      <c r="AN179" s="108"/>
      <c r="AO179" s="108"/>
      <c r="AP179" s="108"/>
      <c r="AQ179" s="108"/>
      <c r="AR179" s="108"/>
    </row>
    <row r="180" spans="1:44" ht="91.5" hidden="1" customHeight="1" x14ac:dyDescent="0.3">
      <c r="A180" s="108">
        <v>986</v>
      </c>
      <c r="B180" s="870" t="s">
        <v>1055</v>
      </c>
      <c r="C180" s="870" t="s">
        <v>1512</v>
      </c>
      <c r="D180" s="324" t="s">
        <v>1088</v>
      </c>
      <c r="E180" s="710" t="s">
        <v>1056</v>
      </c>
      <c r="F180" s="307">
        <v>0</v>
      </c>
      <c r="G180" s="771">
        <f>IF(F180&lt;0,"Error: Enter as positive.",)</f>
        <v>0</v>
      </c>
      <c r="H180" s="17"/>
      <c r="I180" s="79"/>
      <c r="Z180" s="108"/>
      <c r="AA180" s="108"/>
      <c r="AB180" s="108"/>
      <c r="AC180" s="108"/>
      <c r="AD180" s="108"/>
      <c r="AE180" s="108"/>
      <c r="AF180" s="108"/>
      <c r="AG180" s="108"/>
      <c r="AH180" s="108"/>
      <c r="AI180" s="108"/>
      <c r="AJ180" s="108"/>
      <c r="AK180" s="108"/>
      <c r="AL180" s="108"/>
      <c r="AM180" s="108"/>
      <c r="AN180" s="108"/>
      <c r="AO180" s="108"/>
      <c r="AP180" s="108"/>
      <c r="AQ180" s="108"/>
      <c r="AR180" s="108"/>
    </row>
    <row r="181" spans="1:44" ht="90" hidden="1" customHeight="1" x14ac:dyDescent="0.3">
      <c r="A181" s="108">
        <v>353</v>
      </c>
      <c r="B181" s="4" t="s">
        <v>68</v>
      </c>
      <c r="C181" s="4" t="s">
        <v>1512</v>
      </c>
      <c r="D181" s="29" t="s">
        <v>143</v>
      </c>
      <c r="E181" s="710" t="e">
        <f>HLOOKUP($D$2,'2020 Data(H)'!$C$1:$CZ$432,117,FALSE)</f>
        <v>#N/A</v>
      </c>
      <c r="F181" s="307">
        <v>0</v>
      </c>
      <c r="G181" s="771">
        <f>IF(F181&lt;0,"Error: Enter as positive.",)</f>
        <v>0</v>
      </c>
      <c r="H181" s="17"/>
      <c r="I181" s="79"/>
      <c r="Z181" s="108"/>
      <c r="AA181" s="108"/>
      <c r="AB181" s="108"/>
      <c r="AC181" s="108"/>
      <c r="AD181" s="108"/>
      <c r="AE181" s="108"/>
      <c r="AF181" s="108"/>
      <c r="AG181" s="108"/>
      <c r="AH181" s="108"/>
      <c r="AI181" s="108"/>
      <c r="AJ181" s="108"/>
      <c r="AK181" s="108"/>
      <c r="AL181" s="108"/>
      <c r="AM181" s="108"/>
      <c r="AN181" s="108"/>
      <c r="AO181" s="108"/>
      <c r="AP181" s="108"/>
      <c r="AQ181" s="108"/>
      <c r="AR181" s="108"/>
    </row>
    <row r="182" spans="1:44" ht="102.75" hidden="1" customHeight="1" x14ac:dyDescent="0.3">
      <c r="A182" s="108">
        <v>50</v>
      </c>
      <c r="B182" s="4" t="s">
        <v>64</v>
      </c>
      <c r="C182" s="4" t="s">
        <v>1512</v>
      </c>
      <c r="D182" s="749" t="s">
        <v>1517</v>
      </c>
      <c r="E182" s="710" t="e">
        <f>HLOOKUP($D$2,'2020 Data(H)'!$C$1:$CZ$432,37,FALSE)</f>
        <v>#N/A</v>
      </c>
      <c r="F182" s="305">
        <v>0</v>
      </c>
      <c r="G182" s="771">
        <f>IF(H182=0,,"Error: Total revenues less total expenses do not equal total change in net position. Account number 84-85+350-351+191+352-353-50=0  The amount of the formula is in the cell to the right")</f>
        <v>0</v>
      </c>
      <c r="H182" s="774">
        <f>F172-F174+F176-F177+F178+F179-F181-F182</f>
        <v>0</v>
      </c>
      <c r="I182" s="79"/>
      <c r="Z182" s="108"/>
      <c r="AA182" s="108"/>
      <c r="AB182" s="108"/>
      <c r="AC182" s="108"/>
      <c r="AD182" s="108"/>
      <c r="AE182" s="108"/>
      <c r="AF182" s="108"/>
      <c r="AG182" s="108"/>
      <c r="AH182" s="108"/>
      <c r="AI182" s="108"/>
      <c r="AJ182" s="108"/>
      <c r="AK182" s="108"/>
      <c r="AL182" s="108"/>
      <c r="AM182" s="108"/>
      <c r="AN182" s="108"/>
      <c r="AO182" s="108"/>
      <c r="AP182" s="108"/>
      <c r="AQ182" s="108"/>
      <c r="AR182" s="108"/>
    </row>
    <row r="183" spans="1:44" ht="121.5" hidden="1" customHeight="1" x14ac:dyDescent="0.3">
      <c r="A183" s="108">
        <v>377</v>
      </c>
      <c r="B183" s="4" t="s">
        <v>68</v>
      </c>
      <c r="C183" s="4" t="s">
        <v>1512</v>
      </c>
      <c r="D183" s="749" t="s">
        <v>1518</v>
      </c>
      <c r="E183" s="710" t="e">
        <f>HLOOKUP($D$2,'2020 Data(H)'!$C$1:$CZ$432,136,FALSE)</f>
        <v>#N/A</v>
      </c>
      <c r="F183" s="305">
        <v>0</v>
      </c>
      <c r="G183" s="771" t="e">
        <f>IF(F149-F182-F183=E149,,"Error: Beginning Balance does not agree with our records.  Acct #s (83-50-377)=prior year 83 The amount of the formula is in the cell to the right")</f>
        <v>#N/A</v>
      </c>
      <c r="H183" s="774" t="e">
        <f>+F149-F182-F183-E149</f>
        <v>#N/A</v>
      </c>
      <c r="I183" s="79"/>
      <c r="Z183" s="108"/>
      <c r="AA183" s="108"/>
      <c r="AB183" s="108"/>
      <c r="AC183" s="108"/>
      <c r="AD183" s="108"/>
      <c r="AE183" s="108"/>
      <c r="AF183" s="108"/>
      <c r="AG183" s="108"/>
      <c r="AH183" s="108"/>
      <c r="AI183" s="108"/>
      <c r="AJ183" s="108"/>
      <c r="AK183" s="108"/>
      <c r="AL183" s="108"/>
      <c r="AM183" s="108"/>
      <c r="AN183" s="108"/>
      <c r="AO183" s="108"/>
      <c r="AP183" s="108"/>
      <c r="AQ183" s="108"/>
      <c r="AR183" s="108"/>
    </row>
    <row r="184" spans="1:44" ht="97.5" hidden="1" customHeight="1" x14ac:dyDescent="0.3">
      <c r="A184" s="108">
        <v>537</v>
      </c>
      <c r="B184" s="712" t="s">
        <v>59</v>
      </c>
      <c r="C184" s="712" t="s">
        <v>1512</v>
      </c>
      <c r="D184" s="709" t="s">
        <v>1519</v>
      </c>
      <c r="E184" s="59" t="e">
        <f>HLOOKUP($D$2,'2020 Data(H)'!$C$1:$CZ$432,250,FALSE)</f>
        <v>#N/A</v>
      </c>
      <c r="F184" s="307"/>
      <c r="G184" s="771"/>
      <c r="H184" s="772"/>
      <c r="I184" s="773"/>
      <c r="Z184" s="108"/>
      <c r="AA184" s="108"/>
      <c r="AB184" s="108"/>
      <c r="AC184" s="108"/>
      <c r="AD184" s="108"/>
      <c r="AE184" s="108"/>
      <c r="AF184" s="108"/>
      <c r="AG184" s="108"/>
      <c r="AH184" s="108"/>
      <c r="AI184" s="108"/>
      <c r="AJ184" s="108"/>
      <c r="AK184" s="108"/>
      <c r="AL184" s="108"/>
      <c r="AM184" s="108"/>
      <c r="AN184" s="108"/>
      <c r="AO184" s="108"/>
      <c r="AP184" s="108"/>
      <c r="AQ184" s="108"/>
      <c r="AR184" s="108"/>
    </row>
    <row r="185" spans="1:44" ht="96.75" hidden="1" customHeight="1" x14ac:dyDescent="0.3">
      <c r="A185" s="108">
        <v>538</v>
      </c>
      <c r="B185" s="712" t="s">
        <v>59</v>
      </c>
      <c r="C185" s="712" t="s">
        <v>1512</v>
      </c>
      <c r="D185" s="709" t="s">
        <v>1520</v>
      </c>
      <c r="E185" s="710" t="e">
        <f>HLOOKUP($D$2,'2020 Data(H)'!$C$1:$CZ$432,251,FALSE)</f>
        <v>#N/A</v>
      </c>
      <c r="F185" s="307"/>
      <c r="G185" s="771"/>
      <c r="H185" s="772"/>
      <c r="I185" s="773"/>
      <c r="Z185" s="108"/>
      <c r="AA185" s="108"/>
      <c r="AB185" s="108"/>
      <c r="AC185" s="108"/>
      <c r="AD185" s="108"/>
      <c r="AE185" s="108"/>
      <c r="AF185" s="108"/>
      <c r="AG185" s="108"/>
      <c r="AH185" s="108"/>
      <c r="AI185" s="108"/>
      <c r="AJ185" s="108"/>
      <c r="AK185" s="108"/>
      <c r="AL185" s="108"/>
      <c r="AM185" s="108"/>
      <c r="AN185" s="108"/>
      <c r="AO185" s="108"/>
      <c r="AP185" s="108"/>
      <c r="AQ185" s="108"/>
      <c r="AR185" s="108"/>
    </row>
    <row r="186" spans="1:44" ht="26.25" hidden="1" customHeight="1" x14ac:dyDescent="0.3">
      <c r="A186" s="108"/>
      <c r="B186" s="907" t="s">
        <v>6</v>
      </c>
      <c r="C186" s="908"/>
      <c r="D186" s="883"/>
      <c r="E186" s="883"/>
      <c r="F186" s="903"/>
      <c r="G186" s="904"/>
      <c r="H186" s="17"/>
      <c r="I186" s="79"/>
      <c r="Z186" s="108"/>
      <c r="AA186" s="108"/>
      <c r="AB186" s="108"/>
      <c r="AC186" s="108"/>
      <c r="AD186" s="108"/>
      <c r="AE186" s="108"/>
      <c r="AF186" s="108"/>
      <c r="AG186" s="108"/>
      <c r="AH186" s="108"/>
      <c r="AI186" s="108"/>
      <c r="AJ186" s="108"/>
      <c r="AK186" s="108"/>
      <c r="AL186" s="108"/>
      <c r="AM186" s="108"/>
      <c r="AN186" s="108"/>
      <c r="AO186" s="108"/>
      <c r="AP186" s="108"/>
      <c r="AQ186" s="108"/>
      <c r="AR186" s="108"/>
    </row>
    <row r="187" spans="1:44" ht="112.5" hidden="1" customHeight="1" x14ac:dyDescent="0.3">
      <c r="A187" s="108">
        <v>97</v>
      </c>
      <c r="B187" s="4" t="s">
        <v>68</v>
      </c>
      <c r="C187" s="4" t="s">
        <v>1521</v>
      </c>
      <c r="D187" s="29" t="s">
        <v>163</v>
      </c>
      <c r="E187" s="710" t="e">
        <f>HLOOKUP($D$2,'2020 Data(H)'!$C$1:$CZ$432,57,FALSE)</f>
        <v>#N/A</v>
      </c>
      <c r="F187" s="305">
        <v>0</v>
      </c>
      <c r="G187" s="781"/>
      <c r="H187" s="17"/>
      <c r="I187" s="79"/>
      <c r="Z187" s="108"/>
      <c r="AA187" s="108"/>
      <c r="AB187" s="108"/>
      <c r="AC187" s="108"/>
      <c r="AD187" s="108"/>
      <c r="AE187" s="108"/>
      <c r="AF187" s="108"/>
      <c r="AG187" s="108"/>
      <c r="AH187" s="108"/>
      <c r="AI187" s="108"/>
      <c r="AJ187" s="108"/>
      <c r="AK187" s="108"/>
      <c r="AL187" s="108"/>
      <c r="AM187" s="108"/>
      <c r="AN187" s="108"/>
      <c r="AO187" s="108"/>
      <c r="AP187" s="108"/>
      <c r="AQ187" s="108"/>
      <c r="AR187" s="108"/>
    </row>
    <row r="188" spans="1:44" ht="87.75" hidden="1" customHeight="1" x14ac:dyDescent="0.3">
      <c r="A188" s="108">
        <v>93</v>
      </c>
      <c r="B188" s="4" t="s">
        <v>66</v>
      </c>
      <c r="C188" s="4" t="s">
        <v>1521</v>
      </c>
      <c r="D188" s="29" t="s">
        <v>159</v>
      </c>
      <c r="E188" s="710" t="e">
        <f>HLOOKUP($D$2,'2020 Data(H)'!$C$1:$CZ$432,55,FALSE)</f>
        <v>#N/A</v>
      </c>
      <c r="F188" s="306">
        <v>0</v>
      </c>
      <c r="G188" s="771">
        <f>IF(F187&gt;F188,"Error: Charges for services exceed total operating revenues. Account number 97&gt;93",)</f>
        <v>0</v>
      </c>
      <c r="H188" s="17"/>
      <c r="I188" s="79"/>
      <c r="Z188" s="108"/>
      <c r="AA188" s="108"/>
      <c r="AB188" s="108"/>
      <c r="AC188" s="108"/>
      <c r="AD188" s="108"/>
      <c r="AE188" s="108"/>
      <c r="AF188" s="108"/>
      <c r="AG188" s="108"/>
      <c r="AH188" s="108"/>
      <c r="AI188" s="108"/>
      <c r="AJ188" s="108"/>
      <c r="AK188" s="108"/>
      <c r="AL188" s="108"/>
      <c r="AM188" s="108"/>
      <c r="AN188" s="108"/>
      <c r="AO188" s="108"/>
      <c r="AP188" s="108"/>
      <c r="AQ188" s="108"/>
      <c r="AR188" s="108"/>
    </row>
    <row r="189" spans="1:44" ht="96" hidden="1" customHeight="1" x14ac:dyDescent="0.3">
      <c r="A189" s="108">
        <v>99</v>
      </c>
      <c r="B189" s="4" t="s">
        <v>58</v>
      </c>
      <c r="C189" s="4" t="s">
        <v>1521</v>
      </c>
      <c r="D189" s="29" t="s">
        <v>164</v>
      </c>
      <c r="E189" s="710" t="e">
        <f>HLOOKUP($D$2,'2020 Data(H)'!$C$1:$CZ$432,59,FALSE)</f>
        <v>#N/A</v>
      </c>
      <c r="F189" s="306">
        <v>0</v>
      </c>
      <c r="G189" s="771">
        <f t="shared" ref="G189:G197" si="2">IF(F189&lt;0,"Error: Enter as positive.",)</f>
        <v>0</v>
      </c>
      <c r="H189" s="17"/>
      <c r="I189" s="79"/>
      <c r="Z189" s="108"/>
      <c r="AA189" s="108"/>
      <c r="AB189" s="108"/>
      <c r="AC189" s="108"/>
      <c r="AD189" s="108"/>
      <c r="AE189" s="108"/>
      <c r="AF189" s="108"/>
      <c r="AG189" s="108"/>
      <c r="AH189" s="108"/>
      <c r="AI189" s="108"/>
      <c r="AJ189" s="108"/>
      <c r="AK189" s="108"/>
      <c r="AL189" s="108"/>
      <c r="AM189" s="108"/>
      <c r="AN189" s="108"/>
      <c r="AO189" s="108"/>
      <c r="AP189" s="108"/>
      <c r="AQ189" s="108"/>
      <c r="AR189" s="108"/>
    </row>
    <row r="190" spans="1:44" ht="79.5" hidden="1" customHeight="1" x14ac:dyDescent="0.3">
      <c r="A190" s="108">
        <v>52</v>
      </c>
      <c r="B190" s="4" t="s">
        <v>58</v>
      </c>
      <c r="C190" s="4" t="s">
        <v>1521</v>
      </c>
      <c r="D190" s="29" t="s">
        <v>160</v>
      </c>
      <c r="E190" s="710" t="e">
        <f>HLOOKUP($D$2,'2020 Data(H)'!$C$1:$CZ$432,39,FALSE)</f>
        <v>#N/A</v>
      </c>
      <c r="F190" s="306">
        <v>0</v>
      </c>
      <c r="G190" s="771">
        <f t="shared" si="2"/>
        <v>0</v>
      </c>
      <c r="H190" s="17"/>
      <c r="I190" s="79"/>
      <c r="Z190" s="108"/>
      <c r="AA190" s="108"/>
      <c r="AB190" s="108"/>
      <c r="AC190" s="108"/>
      <c r="AD190" s="108"/>
      <c r="AE190" s="108"/>
      <c r="AF190" s="108"/>
      <c r="AG190" s="108"/>
      <c r="AH190" s="108"/>
      <c r="AI190" s="108"/>
      <c r="AJ190" s="108"/>
      <c r="AK190" s="108"/>
      <c r="AL190" s="108"/>
      <c r="AM190" s="108"/>
      <c r="AN190" s="108"/>
      <c r="AO190" s="108"/>
      <c r="AP190" s="108"/>
      <c r="AQ190" s="108"/>
      <c r="AR190" s="108"/>
    </row>
    <row r="191" spans="1:44" ht="95.25" hidden="1" customHeight="1" x14ac:dyDescent="0.3">
      <c r="A191" s="108">
        <v>94</v>
      </c>
      <c r="B191" s="4" t="s">
        <v>66</v>
      </c>
      <c r="C191" s="4" t="s">
        <v>1521</v>
      </c>
      <c r="D191" s="29" t="s">
        <v>161</v>
      </c>
      <c r="E191" s="710" t="e">
        <f>HLOOKUP($D$2,'2020 Data(H)'!$C$1:$CZ$432,56,FALSE)</f>
        <v>#N/A</v>
      </c>
      <c r="F191" s="306">
        <v>0</v>
      </c>
      <c r="G191" s="771">
        <f t="shared" si="2"/>
        <v>0</v>
      </c>
      <c r="H191" s="17"/>
      <c r="I191" s="79"/>
      <c r="Z191" s="108"/>
      <c r="AA191" s="108"/>
      <c r="AB191" s="108"/>
      <c r="AC191" s="108"/>
      <c r="AD191" s="108"/>
      <c r="AE191" s="108"/>
      <c r="AF191" s="108"/>
      <c r="AG191" s="108"/>
      <c r="AH191" s="108"/>
      <c r="AI191" s="108"/>
      <c r="AJ191" s="108"/>
      <c r="AK191" s="108"/>
      <c r="AL191" s="108"/>
      <c r="AM191" s="108"/>
      <c r="AN191" s="108"/>
      <c r="AO191" s="108"/>
      <c r="AP191" s="108"/>
      <c r="AQ191" s="108"/>
      <c r="AR191" s="108"/>
    </row>
    <row r="192" spans="1:44" ht="100.5" hidden="1" customHeight="1" x14ac:dyDescent="0.3">
      <c r="A192" s="108">
        <v>98</v>
      </c>
      <c r="B192" s="4" t="s">
        <v>66</v>
      </c>
      <c r="C192" s="4" t="s">
        <v>1521</v>
      </c>
      <c r="D192" s="29" t="s">
        <v>162</v>
      </c>
      <c r="E192" s="710" t="e">
        <f>HLOOKUP($D$2,'2020 Data(H)'!$C$1:$CZ$432,58,FALSE)</f>
        <v>#N/A</v>
      </c>
      <c r="F192" s="306">
        <v>0</v>
      </c>
      <c r="G192" s="771">
        <f t="shared" si="2"/>
        <v>0</v>
      </c>
      <c r="H192" s="17"/>
      <c r="I192" s="79"/>
      <c r="Z192" s="108"/>
      <c r="AA192" s="108"/>
      <c r="AB192" s="108"/>
      <c r="AC192" s="108"/>
      <c r="AD192" s="108"/>
      <c r="AE192" s="108"/>
      <c r="AF192" s="108"/>
      <c r="AG192" s="108"/>
      <c r="AH192" s="108"/>
      <c r="AI192" s="108"/>
      <c r="AJ192" s="108"/>
      <c r="AK192" s="108"/>
      <c r="AL192" s="108"/>
      <c r="AM192" s="108"/>
      <c r="AN192" s="108"/>
      <c r="AO192" s="108"/>
      <c r="AP192" s="108"/>
      <c r="AQ192" s="108"/>
      <c r="AR192" s="108"/>
    </row>
    <row r="193" spans="1:44" ht="95.25" hidden="1" customHeight="1" x14ac:dyDescent="0.3">
      <c r="A193" s="108">
        <v>363</v>
      </c>
      <c r="B193" s="4" t="s">
        <v>56</v>
      </c>
      <c r="C193" s="4" t="s">
        <v>1521</v>
      </c>
      <c r="D193" s="24" t="s">
        <v>1522</v>
      </c>
      <c r="E193" s="710" t="e">
        <f>HLOOKUP($D$2,'2020 Data(H)'!$C$1:$CZ$432,124,FALSE)</f>
        <v>#N/A</v>
      </c>
      <c r="F193" s="306">
        <v>0</v>
      </c>
      <c r="G193" s="771">
        <f t="shared" si="2"/>
        <v>0</v>
      </c>
      <c r="H193" s="17"/>
      <c r="I193" s="79"/>
      <c r="Z193" s="108"/>
      <c r="AA193" s="108"/>
      <c r="AB193" s="108"/>
      <c r="AC193" s="108"/>
      <c r="AD193" s="108"/>
      <c r="AE193" s="108"/>
      <c r="AF193" s="108"/>
      <c r="AG193" s="108"/>
      <c r="AH193" s="108"/>
      <c r="AI193" s="108"/>
      <c r="AJ193" s="108"/>
      <c r="AK193" s="108"/>
      <c r="AL193" s="108"/>
      <c r="AM193" s="108"/>
      <c r="AN193" s="108"/>
      <c r="AO193" s="108"/>
      <c r="AP193" s="108"/>
      <c r="AQ193" s="108"/>
      <c r="AR193" s="108"/>
    </row>
    <row r="194" spans="1:44" ht="83.25" hidden="1" customHeight="1" x14ac:dyDescent="0.3">
      <c r="A194" s="108">
        <v>364</v>
      </c>
      <c r="B194" s="4" t="s">
        <v>56</v>
      </c>
      <c r="C194" s="4" t="s">
        <v>1521</v>
      </c>
      <c r="D194" s="24" t="s">
        <v>1523</v>
      </c>
      <c r="E194" s="710" t="e">
        <f>HLOOKUP($D$2,'2020 Data(H)'!$C$1:$CZ$432,125,FALSE)</f>
        <v>#N/A</v>
      </c>
      <c r="F194" s="306">
        <v>0</v>
      </c>
      <c r="G194" s="771">
        <f t="shared" si="2"/>
        <v>0</v>
      </c>
      <c r="H194" s="17"/>
      <c r="I194" s="79"/>
      <c r="Z194" s="108"/>
      <c r="AA194" s="108"/>
      <c r="AB194" s="108"/>
      <c r="AC194" s="108"/>
      <c r="AD194" s="108"/>
      <c r="AE194" s="108"/>
      <c r="AF194" s="108"/>
      <c r="AG194" s="108"/>
      <c r="AH194" s="108"/>
      <c r="AI194" s="108"/>
      <c r="AJ194" s="108"/>
      <c r="AK194" s="108"/>
      <c r="AL194" s="108"/>
      <c r="AM194" s="108"/>
      <c r="AN194" s="108"/>
      <c r="AO194" s="108"/>
      <c r="AP194" s="108"/>
      <c r="AQ194" s="108"/>
      <c r="AR194" s="108"/>
    </row>
    <row r="195" spans="1:44" ht="93" hidden="1" customHeight="1" x14ac:dyDescent="0.3">
      <c r="A195" s="108">
        <v>192</v>
      </c>
      <c r="B195" s="4" t="s">
        <v>58</v>
      </c>
      <c r="C195" s="4" t="s">
        <v>1521</v>
      </c>
      <c r="D195" s="24" t="s">
        <v>1524</v>
      </c>
      <c r="E195" s="710" t="e">
        <f>HLOOKUP($D$2,'2020 Data(H)'!$C$1:$CZ$432,73,FALSE)</f>
        <v>#N/A</v>
      </c>
      <c r="F195" s="306">
        <v>0</v>
      </c>
      <c r="G195" s="771">
        <f t="shared" si="2"/>
        <v>0</v>
      </c>
      <c r="H195" s="17"/>
      <c r="I195" s="79"/>
      <c r="Z195" s="108"/>
      <c r="AA195" s="108"/>
      <c r="AB195" s="108"/>
      <c r="AC195" s="108"/>
      <c r="AD195" s="108"/>
      <c r="AE195" s="108"/>
      <c r="AF195" s="108"/>
      <c r="AG195" s="108"/>
      <c r="AH195" s="108"/>
      <c r="AI195" s="108"/>
      <c r="AJ195" s="108"/>
      <c r="AK195" s="108"/>
      <c r="AL195" s="108"/>
      <c r="AM195" s="108"/>
      <c r="AN195" s="108"/>
      <c r="AO195" s="108"/>
      <c r="AP195" s="108"/>
      <c r="AQ195" s="108"/>
      <c r="AR195" s="108"/>
    </row>
    <row r="196" spans="1:44" ht="108" hidden="1" customHeight="1" x14ac:dyDescent="0.3">
      <c r="A196" s="108">
        <v>365</v>
      </c>
      <c r="B196" s="4" t="s">
        <v>66</v>
      </c>
      <c r="C196" s="4" t="s">
        <v>1521</v>
      </c>
      <c r="D196" s="24" t="s">
        <v>1525</v>
      </c>
      <c r="E196" s="710" t="e">
        <f>HLOOKUP($D$2,'2020 Data(H)'!$C$1:$CZ$432,126,FALSE)</f>
        <v>#N/A</v>
      </c>
      <c r="F196" s="306">
        <v>0</v>
      </c>
      <c r="G196" s="771">
        <f t="shared" si="2"/>
        <v>0</v>
      </c>
      <c r="H196" s="17"/>
      <c r="I196" s="79"/>
      <c r="Z196" s="108"/>
      <c r="AA196" s="108"/>
      <c r="AB196" s="108"/>
      <c r="AC196" s="108"/>
      <c r="AD196" s="108"/>
      <c r="AE196" s="108"/>
      <c r="AF196" s="108"/>
      <c r="AG196" s="108"/>
      <c r="AH196" s="108"/>
      <c r="AI196" s="108"/>
      <c r="AJ196" s="108"/>
      <c r="AK196" s="108"/>
      <c r="AL196" s="108"/>
      <c r="AM196" s="108"/>
      <c r="AN196" s="108"/>
      <c r="AO196" s="108"/>
      <c r="AP196" s="108"/>
      <c r="AQ196" s="108"/>
      <c r="AR196" s="108"/>
    </row>
    <row r="197" spans="1:44" ht="84.75" hidden="1" customHeight="1" x14ac:dyDescent="0.3">
      <c r="A197" s="108">
        <v>366</v>
      </c>
      <c r="B197" s="4" t="s">
        <v>66</v>
      </c>
      <c r="C197" s="4" t="s">
        <v>1521</v>
      </c>
      <c r="D197" s="24" t="s">
        <v>1526</v>
      </c>
      <c r="E197" s="710" t="e">
        <f>HLOOKUP($D$2,'2020 Data(H)'!$C$1:$CZ$432,127,FALSE)</f>
        <v>#N/A</v>
      </c>
      <c r="F197" s="306">
        <v>0</v>
      </c>
      <c r="G197" s="771">
        <f t="shared" si="2"/>
        <v>0</v>
      </c>
      <c r="H197" s="17"/>
      <c r="I197" s="79"/>
      <c r="Z197" s="108"/>
      <c r="AA197" s="108"/>
      <c r="AB197" s="108"/>
      <c r="AC197" s="108"/>
      <c r="AD197" s="108"/>
      <c r="AE197" s="108"/>
      <c r="AF197" s="108"/>
      <c r="AG197" s="108"/>
      <c r="AH197" s="108"/>
      <c r="AI197" s="108"/>
      <c r="AJ197" s="108"/>
      <c r="AK197" s="108"/>
      <c r="AL197" s="108"/>
      <c r="AM197" s="108"/>
      <c r="AN197" s="108"/>
      <c r="AO197" s="108"/>
      <c r="AP197" s="108"/>
      <c r="AQ197" s="108"/>
      <c r="AR197" s="108"/>
    </row>
    <row r="198" spans="1:44" s="18" customFormat="1" ht="93.75" hidden="1" customHeight="1" x14ac:dyDescent="0.3">
      <c r="A198" s="108">
        <v>53</v>
      </c>
      <c r="B198" s="712" t="s">
        <v>66</v>
      </c>
      <c r="C198" s="712" t="s">
        <v>1521</v>
      </c>
      <c r="D198" s="749" t="s">
        <v>1527</v>
      </c>
      <c r="E198" s="710" t="e">
        <f>HLOOKUP($D$2,'2020 Data(H)'!$C$1:$CZ$432,40,FALSE)</f>
        <v>#N/A</v>
      </c>
      <c r="F198" s="306">
        <v>0</v>
      </c>
      <c r="G198" s="771">
        <f>IF(H198=0,,"Error: Total revenues less total expenses do not equal total change in net position. Account number 93-94+363-364+192+365-366-53=0  The amount of the formula is in the cell to the right")</f>
        <v>0</v>
      </c>
      <c r="H198" s="774">
        <f>+F188-F191+F193-F194+F195+F196-F197-F198</f>
        <v>0</v>
      </c>
      <c r="I198" s="79"/>
      <c r="N198" s="308"/>
      <c r="Z198" s="108"/>
      <c r="AA198" s="108"/>
      <c r="AB198" s="108"/>
      <c r="AC198" s="108"/>
      <c r="AD198" s="108"/>
      <c r="AE198" s="108"/>
      <c r="AF198" s="108"/>
      <c r="AG198" s="108"/>
      <c r="AH198" s="108"/>
      <c r="AI198" s="108"/>
      <c r="AJ198" s="108"/>
      <c r="AK198" s="108"/>
      <c r="AL198" s="108"/>
      <c r="AM198" s="108"/>
      <c r="AN198" s="108"/>
      <c r="AO198" s="108"/>
      <c r="AP198" s="108"/>
      <c r="AQ198" s="108"/>
      <c r="AR198" s="108"/>
    </row>
    <row r="199" spans="1:44" s="18" customFormat="1" ht="135" hidden="1" customHeight="1" x14ac:dyDescent="0.3">
      <c r="A199" s="108">
        <v>378</v>
      </c>
      <c r="B199" s="5" t="s">
        <v>56</v>
      </c>
      <c r="C199" s="4" t="s">
        <v>1521</v>
      </c>
      <c r="D199" s="749" t="s">
        <v>1528</v>
      </c>
      <c r="E199" s="710" t="e">
        <f>HLOOKUP($D$2,'2020 Data(H)'!$C$1:$CZ$432,137,FALSE)</f>
        <v>#N/A</v>
      </c>
      <c r="F199" s="305">
        <v>0</v>
      </c>
      <c r="G199" s="771" t="e">
        <f>IF(F168-F198-F199=E168,,"Error: Beginning Balance does not agree with our records.  Acct #s (362-53-378)=prior year 362  The amount of the formula is in the cell to the right")</f>
        <v>#N/A</v>
      </c>
      <c r="H199" s="774" t="e">
        <f>+F168-F198-F199-E168</f>
        <v>#N/A</v>
      </c>
      <c r="I199" s="79"/>
      <c r="N199" s="308"/>
      <c r="Z199" s="108"/>
      <c r="AA199" s="108"/>
      <c r="AB199" s="108"/>
      <c r="AC199" s="108"/>
      <c r="AD199" s="108"/>
      <c r="AE199" s="108"/>
      <c r="AF199" s="108"/>
      <c r="AG199" s="108"/>
      <c r="AH199" s="108"/>
      <c r="AI199" s="108"/>
      <c r="AJ199" s="108"/>
      <c r="AK199" s="108"/>
      <c r="AL199" s="108"/>
      <c r="AM199" s="108"/>
      <c r="AN199" s="108"/>
      <c r="AO199" s="108"/>
      <c r="AP199" s="108"/>
      <c r="AQ199" s="108"/>
      <c r="AR199" s="108"/>
    </row>
    <row r="200" spans="1:44" ht="30.75" hidden="1" customHeight="1" x14ac:dyDescent="0.3">
      <c r="A200" s="108"/>
      <c r="B200" s="907" t="s">
        <v>796</v>
      </c>
      <c r="C200" s="907"/>
      <c r="D200" s="910"/>
      <c r="E200" s="890"/>
      <c r="F200" s="911"/>
      <c r="G200" s="892"/>
      <c r="H200" s="17"/>
      <c r="I200" s="79"/>
      <c r="Z200" s="108"/>
      <c r="AA200" s="108"/>
      <c r="AB200" s="108"/>
      <c r="AC200" s="108"/>
      <c r="AD200" s="108"/>
      <c r="AE200" s="108"/>
      <c r="AF200" s="108"/>
      <c r="AG200" s="108"/>
      <c r="AH200" s="108"/>
      <c r="AI200" s="108"/>
      <c r="AJ200" s="108"/>
      <c r="AK200" s="108"/>
      <c r="AL200" s="108"/>
      <c r="AM200" s="108"/>
      <c r="AN200" s="108"/>
      <c r="AO200" s="108"/>
      <c r="AP200" s="108"/>
      <c r="AQ200" s="108"/>
      <c r="AR200" s="108"/>
    </row>
    <row r="201" spans="1:44" ht="13.5" hidden="1" customHeight="1" x14ac:dyDescent="0.3">
      <c r="A201" s="108"/>
      <c r="B201" s="912" t="s">
        <v>1529</v>
      </c>
      <c r="C201" s="908"/>
      <c r="D201" s="883"/>
      <c r="E201" s="883"/>
      <c r="F201" s="913"/>
      <c r="G201" s="904"/>
      <c r="H201" s="17"/>
      <c r="I201" s="79"/>
      <c r="Z201" s="108"/>
      <c r="AA201" s="108"/>
      <c r="AB201" s="108"/>
      <c r="AC201" s="108"/>
      <c r="AD201" s="108"/>
      <c r="AE201" s="108"/>
      <c r="AF201" s="108"/>
      <c r="AG201" s="108"/>
      <c r="AH201" s="108"/>
      <c r="AI201" s="108"/>
      <c r="AJ201" s="108"/>
      <c r="AK201" s="108"/>
      <c r="AL201" s="108"/>
      <c r="AM201" s="108"/>
      <c r="AN201" s="108"/>
      <c r="AO201" s="108"/>
      <c r="AP201" s="108"/>
      <c r="AQ201" s="108"/>
      <c r="AR201" s="108"/>
    </row>
    <row r="202" spans="1:44" ht="17.25" hidden="1" customHeight="1" x14ac:dyDescent="0.3">
      <c r="A202" s="108"/>
      <c r="B202" s="908" t="s">
        <v>1530</v>
      </c>
      <c r="C202" s="908"/>
      <c r="D202" s="899"/>
      <c r="E202" s="881"/>
      <c r="F202" s="914"/>
      <c r="G202" s="906"/>
      <c r="H202" s="17"/>
      <c r="I202" s="79"/>
      <c r="Z202" s="108"/>
      <c r="AA202" s="108"/>
      <c r="AB202" s="108"/>
      <c r="AC202" s="108"/>
      <c r="AD202" s="108"/>
      <c r="AE202" s="108"/>
      <c r="AF202" s="108"/>
      <c r="AG202" s="108"/>
      <c r="AH202" s="108"/>
      <c r="AI202" s="108"/>
      <c r="AJ202" s="108"/>
      <c r="AK202" s="108"/>
      <c r="AL202" s="108"/>
      <c r="AM202" s="108"/>
      <c r="AN202" s="108"/>
      <c r="AO202" s="108"/>
      <c r="AP202" s="108"/>
      <c r="AQ202" s="108"/>
      <c r="AR202" s="108"/>
    </row>
    <row r="203" spans="1:44" ht="13.5" hidden="1" customHeight="1" x14ac:dyDescent="0.3">
      <c r="A203" s="108"/>
      <c r="B203" s="908" t="s">
        <v>23</v>
      </c>
      <c r="C203" s="908"/>
      <c r="D203" s="899"/>
      <c r="E203" s="881"/>
      <c r="F203" s="914"/>
      <c r="G203" s="906"/>
      <c r="H203" s="17"/>
      <c r="I203" s="79"/>
      <c r="Z203" s="108"/>
      <c r="AA203" s="108"/>
      <c r="AB203" s="108"/>
      <c r="AC203" s="108"/>
      <c r="AD203" s="108"/>
      <c r="AE203" s="108"/>
      <c r="AF203" s="108"/>
      <c r="AG203" s="108"/>
      <c r="AH203" s="108"/>
      <c r="AI203" s="108"/>
      <c r="AJ203" s="108"/>
      <c r="AK203" s="108"/>
      <c r="AL203" s="108"/>
      <c r="AM203" s="108"/>
      <c r="AN203" s="108"/>
      <c r="AO203" s="108"/>
      <c r="AP203" s="108"/>
      <c r="AQ203" s="108"/>
      <c r="AR203" s="108"/>
    </row>
    <row r="204" spans="1:44" ht="59.25" hidden="1" customHeight="1" x14ac:dyDescent="0.3">
      <c r="A204" s="108">
        <v>51</v>
      </c>
      <c r="B204" s="4" t="s">
        <v>527</v>
      </c>
      <c r="C204" s="871" t="s">
        <v>1531</v>
      </c>
      <c r="D204" s="24" t="s">
        <v>1532</v>
      </c>
      <c r="E204" s="710" t="e">
        <f>HLOOKUP($D$2,'2020 Data(H)'!$C$1:$CZ$432,38,FALSE)</f>
        <v>#N/A</v>
      </c>
      <c r="F204" s="306">
        <v>0</v>
      </c>
      <c r="G204" s="781"/>
      <c r="H204" s="17"/>
      <c r="I204" s="79"/>
      <c r="Z204" s="108"/>
      <c r="AA204" s="108"/>
      <c r="AB204" s="108"/>
      <c r="AC204" s="108"/>
      <c r="AD204" s="108"/>
      <c r="AE204" s="108"/>
      <c r="AF204" s="108"/>
      <c r="AG204" s="108"/>
      <c r="AH204" s="108"/>
      <c r="AI204" s="108"/>
      <c r="AJ204" s="108"/>
      <c r="AK204" s="108"/>
      <c r="AL204" s="108"/>
      <c r="AM204" s="108"/>
      <c r="AN204" s="108"/>
      <c r="AO204" s="108"/>
      <c r="AP204" s="108"/>
      <c r="AQ204" s="108"/>
      <c r="AR204" s="108"/>
    </row>
    <row r="205" spans="1:44" ht="45" hidden="1" customHeight="1" x14ac:dyDescent="0.3">
      <c r="A205" s="108">
        <v>332</v>
      </c>
      <c r="B205" s="4" t="s">
        <v>37</v>
      </c>
      <c r="C205" s="871" t="s">
        <v>1531</v>
      </c>
      <c r="D205" s="24" t="s">
        <v>1533</v>
      </c>
      <c r="E205" s="710" t="e">
        <f>HLOOKUP($D$2,'2020 Data(H)'!$C$1:$CZ$432,98,FALSE)</f>
        <v>#N/A</v>
      </c>
      <c r="F205" s="306">
        <v>0</v>
      </c>
      <c r="G205" s="771">
        <f>IF(F205&lt;0,"Error: Enter as positive.",)</f>
        <v>0</v>
      </c>
      <c r="H205" s="17"/>
      <c r="I205" s="79"/>
      <c r="Z205" s="108"/>
      <c r="AA205" s="108"/>
      <c r="AB205" s="108"/>
      <c r="AC205" s="108"/>
      <c r="AD205" s="108"/>
      <c r="AE205" s="108"/>
      <c r="AF205" s="108"/>
      <c r="AG205" s="108"/>
      <c r="AH205" s="108"/>
      <c r="AI205" s="108"/>
      <c r="AJ205" s="108"/>
      <c r="AK205" s="108"/>
      <c r="AL205" s="108"/>
      <c r="AM205" s="108"/>
      <c r="AN205" s="108"/>
      <c r="AO205" s="108"/>
      <c r="AP205" s="108"/>
      <c r="AQ205" s="108"/>
      <c r="AR205" s="108"/>
    </row>
    <row r="206" spans="1:44" ht="63" hidden="1" customHeight="1" x14ac:dyDescent="0.3">
      <c r="A206" s="108">
        <v>331</v>
      </c>
      <c r="B206" s="4" t="s">
        <v>527</v>
      </c>
      <c r="C206" s="871" t="s">
        <v>1531</v>
      </c>
      <c r="D206" s="24" t="s">
        <v>1534</v>
      </c>
      <c r="E206" s="710" t="e">
        <f>HLOOKUP($D$2,'2020 Data(H)'!$C$1:$CZ$432,97,FALSE)</f>
        <v>#N/A</v>
      </c>
      <c r="F206" s="306">
        <v>0</v>
      </c>
      <c r="G206" s="771">
        <f>IF(F206&lt;0,"Error: Enter as positive.",)</f>
        <v>0</v>
      </c>
      <c r="H206" s="17"/>
      <c r="I206" s="79"/>
      <c r="Z206" s="108"/>
      <c r="AA206" s="108"/>
      <c r="AB206" s="108"/>
      <c r="AC206" s="108"/>
      <c r="AD206" s="108"/>
      <c r="AE206" s="108"/>
      <c r="AF206" s="108"/>
      <c r="AG206" s="108"/>
      <c r="AH206" s="108"/>
      <c r="AI206" s="108"/>
      <c r="AJ206" s="108"/>
      <c r="AK206" s="108"/>
      <c r="AL206" s="108"/>
      <c r="AM206" s="108"/>
      <c r="AN206" s="108"/>
      <c r="AO206" s="108"/>
      <c r="AP206" s="108"/>
      <c r="AQ206" s="108"/>
      <c r="AR206" s="108"/>
    </row>
    <row r="207" spans="1:44" hidden="1" x14ac:dyDescent="0.3">
      <c r="A207" s="108"/>
      <c r="B207" s="907" t="s">
        <v>6</v>
      </c>
      <c r="C207" s="908"/>
      <c r="D207" s="908"/>
      <c r="E207" s="883"/>
      <c r="F207" s="913"/>
      <c r="G207" s="915"/>
      <c r="H207" s="17"/>
      <c r="I207" s="79"/>
      <c r="Z207" s="108"/>
      <c r="AA207" s="108"/>
      <c r="AB207" s="108"/>
      <c r="AC207" s="108"/>
      <c r="AD207" s="108"/>
      <c r="AE207" s="108"/>
      <c r="AF207" s="108"/>
      <c r="AG207" s="108"/>
      <c r="AH207" s="108"/>
      <c r="AI207" s="108"/>
      <c r="AJ207" s="108"/>
      <c r="AK207" s="108"/>
      <c r="AL207" s="108"/>
      <c r="AM207" s="108"/>
      <c r="AN207" s="108"/>
      <c r="AO207" s="108"/>
      <c r="AP207" s="108"/>
      <c r="AQ207" s="108"/>
      <c r="AR207" s="108"/>
    </row>
    <row r="208" spans="1:44" ht="48" hidden="1" customHeight="1" x14ac:dyDescent="0.3">
      <c r="A208" s="108">
        <v>55</v>
      </c>
      <c r="B208" s="4" t="s">
        <v>59</v>
      </c>
      <c r="C208" s="871" t="s">
        <v>1535</v>
      </c>
      <c r="D208" s="24" t="s">
        <v>1536</v>
      </c>
      <c r="E208" s="710" t="e">
        <f>HLOOKUP($D$2,'2020 Data(H)'!$C$1:$CZ$432,42,FALSE)</f>
        <v>#N/A</v>
      </c>
      <c r="F208" s="306">
        <v>0</v>
      </c>
      <c r="G208" s="781"/>
      <c r="H208" s="17"/>
      <c r="I208" s="79"/>
      <c r="Z208" s="108"/>
      <c r="AA208" s="108"/>
      <c r="AB208" s="108"/>
      <c r="AC208" s="108"/>
      <c r="AD208" s="108"/>
      <c r="AE208" s="108"/>
      <c r="AF208" s="108"/>
      <c r="AG208" s="108"/>
      <c r="AH208" s="108"/>
      <c r="AI208" s="108"/>
      <c r="AJ208" s="108"/>
      <c r="AK208" s="108"/>
      <c r="AL208" s="108"/>
      <c r="AM208" s="108"/>
      <c r="AN208" s="108"/>
      <c r="AO208" s="108"/>
      <c r="AP208" s="108"/>
      <c r="AQ208" s="108"/>
      <c r="AR208" s="108"/>
    </row>
    <row r="209" spans="1:44" ht="60" hidden="1" customHeight="1" x14ac:dyDescent="0.3">
      <c r="A209" s="108">
        <v>101</v>
      </c>
      <c r="B209" s="4" t="s">
        <v>65</v>
      </c>
      <c r="C209" s="871" t="s">
        <v>1535</v>
      </c>
      <c r="D209" s="24" t="s">
        <v>1537</v>
      </c>
      <c r="E209" s="710" t="e">
        <f>HLOOKUP($D$2,'2020 Data(H)'!$C$1:$CZ$432,61,FALSE)</f>
        <v>#N/A</v>
      </c>
      <c r="F209" s="306">
        <v>0</v>
      </c>
      <c r="G209" s="771">
        <f>IF(F209&lt;0,"Error: Enter as positive.",)</f>
        <v>0</v>
      </c>
      <c r="H209" s="17"/>
      <c r="I209" s="79"/>
      <c r="Z209" s="108"/>
      <c r="AA209" s="108"/>
      <c r="AB209" s="108"/>
      <c r="AC209" s="108"/>
      <c r="AD209" s="108"/>
      <c r="AE209" s="108"/>
      <c r="AF209" s="108"/>
      <c r="AG209" s="108"/>
      <c r="AH209" s="108"/>
      <c r="AI209" s="108"/>
      <c r="AJ209" s="108"/>
      <c r="AK209" s="108"/>
      <c r="AL209" s="108"/>
      <c r="AM209" s="108"/>
      <c r="AN209" s="108"/>
      <c r="AO209" s="108"/>
      <c r="AP209" s="108"/>
      <c r="AQ209" s="108"/>
      <c r="AR209" s="108"/>
    </row>
    <row r="210" spans="1:44" ht="71.25" hidden="1" customHeight="1" x14ac:dyDescent="0.3">
      <c r="A210" s="108">
        <v>100</v>
      </c>
      <c r="B210" s="4" t="s">
        <v>66</v>
      </c>
      <c r="C210" s="871" t="s">
        <v>1535</v>
      </c>
      <c r="D210" s="24" t="s">
        <v>1534</v>
      </c>
      <c r="E210" s="710" t="e">
        <f>HLOOKUP($D$2,'2020 Data(H)'!$C$1:$CZ$432,60,FALSE)</f>
        <v>#N/A</v>
      </c>
      <c r="F210" s="306">
        <v>0</v>
      </c>
      <c r="G210" s="771">
        <f>IF(F210&lt;0,"Error: Enter as positive.",)</f>
        <v>0</v>
      </c>
      <c r="H210" s="17"/>
      <c r="I210" s="79"/>
      <c r="Z210" s="108"/>
      <c r="AA210" s="108"/>
      <c r="AB210" s="108"/>
      <c r="AC210" s="108"/>
      <c r="AD210" s="108"/>
      <c r="AE210" s="108"/>
      <c r="AF210" s="108"/>
      <c r="AG210" s="108"/>
      <c r="AH210" s="108"/>
      <c r="AI210" s="108"/>
      <c r="AJ210" s="108"/>
      <c r="AK210" s="108"/>
      <c r="AL210" s="108"/>
      <c r="AM210" s="108"/>
      <c r="AN210" s="108"/>
      <c r="AO210" s="108"/>
      <c r="AP210" s="108"/>
      <c r="AQ210" s="108"/>
      <c r="AR210" s="108"/>
    </row>
    <row r="211" spans="1:44" hidden="1" x14ac:dyDescent="0.3">
      <c r="A211" s="108"/>
      <c r="B211" s="883" t="s">
        <v>71</v>
      </c>
      <c r="C211" s="899"/>
      <c r="D211" s="883"/>
      <c r="E211" s="883"/>
      <c r="F211" s="916"/>
      <c r="G211" s="902"/>
      <c r="H211" s="17"/>
      <c r="I211" s="79"/>
      <c r="J211" s="616"/>
      <c r="Z211" s="108"/>
      <c r="AA211" s="108"/>
      <c r="AB211" s="108"/>
      <c r="AC211" s="108"/>
      <c r="AD211" s="108"/>
      <c r="AE211" s="108"/>
      <c r="AF211" s="108"/>
      <c r="AG211" s="108"/>
      <c r="AH211" s="108"/>
      <c r="AI211" s="108"/>
      <c r="AJ211" s="108"/>
      <c r="AK211" s="108"/>
      <c r="AL211" s="108"/>
      <c r="AM211" s="108"/>
      <c r="AN211" s="108"/>
      <c r="AO211" s="108"/>
      <c r="AP211" s="108"/>
      <c r="AQ211" s="108"/>
      <c r="AR211" s="108"/>
    </row>
    <row r="212" spans="1:44" ht="106.5" hidden="1" customHeight="1" x14ac:dyDescent="0.3">
      <c r="A212" s="108">
        <v>512</v>
      </c>
      <c r="B212" s="600"/>
      <c r="C212" s="871" t="s">
        <v>165</v>
      </c>
      <c r="D212" s="24" t="s">
        <v>1538</v>
      </c>
      <c r="E212" s="710" t="e">
        <f>HLOOKUP($D$2,'2020 Data(H)'!$C$1:$CZ$432,162,FALSE)</f>
        <v>#N/A</v>
      </c>
      <c r="F212" s="306">
        <v>0</v>
      </c>
      <c r="G212" s="771">
        <f>IF(F212&lt;0,"Error: Enter as positive.",)</f>
        <v>0</v>
      </c>
      <c r="H212" s="17"/>
      <c r="I212" s="79"/>
      <c r="J212" s="616"/>
      <c r="Z212" s="108"/>
      <c r="AA212" s="108"/>
      <c r="AB212" s="108"/>
      <c r="AC212" s="108"/>
      <c r="AD212" s="108"/>
      <c r="AE212" s="108"/>
      <c r="AF212" s="108"/>
      <c r="AG212" s="108"/>
      <c r="AH212" s="108"/>
      <c r="AI212" s="108"/>
      <c r="AJ212" s="108"/>
      <c r="AK212" s="108"/>
      <c r="AL212" s="108"/>
      <c r="AM212" s="108"/>
      <c r="AN212" s="108"/>
      <c r="AO212" s="108"/>
      <c r="AP212" s="108"/>
      <c r="AQ212" s="108"/>
      <c r="AR212" s="108"/>
    </row>
    <row r="213" spans="1:44" hidden="1" x14ac:dyDescent="0.3">
      <c r="A213" s="108"/>
      <c r="B213" s="907" t="s">
        <v>782</v>
      </c>
      <c r="C213" s="908"/>
      <c r="D213" s="910"/>
      <c r="E213" s="917"/>
      <c r="F213" s="916"/>
      <c r="G213" s="902"/>
      <c r="H213" s="772"/>
      <c r="I213" s="773"/>
      <c r="Z213" s="108"/>
      <c r="AA213" s="108"/>
      <c r="AB213" s="108"/>
      <c r="AC213" s="108"/>
      <c r="AD213" s="108"/>
      <c r="AE213" s="108"/>
      <c r="AF213" s="108"/>
      <c r="AG213" s="108"/>
      <c r="AH213" s="108"/>
      <c r="AI213" s="108"/>
      <c r="AJ213" s="108"/>
      <c r="AK213" s="108"/>
      <c r="AL213" s="108"/>
      <c r="AM213" s="108"/>
      <c r="AN213" s="108"/>
      <c r="AO213" s="108"/>
      <c r="AP213" s="108"/>
      <c r="AQ213" s="108"/>
      <c r="AR213" s="108"/>
    </row>
    <row r="214" spans="1:44" ht="59.25" hidden="1" customHeight="1" x14ac:dyDescent="0.3">
      <c r="A214" s="319">
        <v>656</v>
      </c>
      <c r="B214" s="319"/>
      <c r="C214" s="319"/>
      <c r="D214" s="797" t="s">
        <v>783</v>
      </c>
      <c r="E214" s="710" t="e">
        <f>HLOOKUP($D$2,'2020 Data(H)'!$C$1:$CZ$432,309,FALSE)</f>
        <v>#N/A</v>
      </c>
      <c r="F214" s="306">
        <v>0</v>
      </c>
      <c r="G214" s="771"/>
      <c r="H214" s="17"/>
      <c r="I214" s="79"/>
      <c r="J214" s="616"/>
      <c r="Z214" s="319"/>
      <c r="AA214" s="319"/>
      <c r="AB214" s="319"/>
      <c r="AC214" s="319"/>
      <c r="AD214" s="319"/>
      <c r="AE214" s="319"/>
      <c r="AF214" s="319"/>
      <c r="AG214" s="319"/>
      <c r="AH214" s="319"/>
      <c r="AI214" s="319"/>
      <c r="AJ214" s="319"/>
      <c r="AK214" s="319"/>
      <c r="AL214" s="319"/>
      <c r="AM214" s="319"/>
      <c r="AN214" s="319"/>
      <c r="AO214" s="319"/>
      <c r="AP214" s="319"/>
      <c r="AQ214" s="319"/>
      <c r="AR214" s="319"/>
    </row>
    <row r="215" spans="1:44" hidden="1" x14ac:dyDescent="0.3">
      <c r="A215" s="108"/>
      <c r="B215" s="907" t="s">
        <v>530</v>
      </c>
      <c r="C215" s="908"/>
      <c r="D215" s="910"/>
      <c r="E215" s="917"/>
      <c r="F215" s="916"/>
      <c r="G215" s="902"/>
      <c r="H215" s="772"/>
      <c r="I215" s="773"/>
      <c r="Z215" s="108"/>
      <c r="AA215" s="108"/>
      <c r="AB215" s="108"/>
      <c r="AC215" s="108"/>
      <c r="AD215" s="108"/>
      <c r="AE215" s="108"/>
      <c r="AF215" s="108"/>
      <c r="AG215" s="108"/>
      <c r="AH215" s="108"/>
      <c r="AI215" s="108"/>
      <c r="AJ215" s="108"/>
      <c r="AK215" s="108"/>
      <c r="AL215" s="108"/>
      <c r="AM215" s="108"/>
      <c r="AN215" s="108"/>
      <c r="AO215" s="108"/>
      <c r="AP215" s="108"/>
      <c r="AQ215" s="108"/>
      <c r="AR215" s="108"/>
    </row>
    <row r="216" spans="1:44" ht="121.5" hidden="1" customHeight="1" x14ac:dyDescent="0.3">
      <c r="A216" s="108">
        <v>535</v>
      </c>
      <c r="B216" s="712" t="s">
        <v>55</v>
      </c>
      <c r="C216" s="712" t="s">
        <v>166</v>
      </c>
      <c r="D216" s="24" t="s">
        <v>1539</v>
      </c>
      <c r="E216" s="710" t="e">
        <f>HLOOKUP($D$2,'2020 Data(H)'!$C$1:$CZ$432,185,FALSE)</f>
        <v>#N/A</v>
      </c>
      <c r="F216" s="306">
        <v>0</v>
      </c>
      <c r="G216" s="771" t="str">
        <f>IF(F216&lt;1,"Reminder: Please make sure you have entered all cash and investments from bond/Debt proceeds, if applicable.",)</f>
        <v>Reminder: Please make sure you have entered all cash and investments from bond/Debt proceeds, if applicable.</v>
      </c>
      <c r="H216" s="772"/>
      <c r="I216" s="773"/>
      <c r="Z216" s="108"/>
      <c r="AA216" s="108"/>
      <c r="AB216" s="108"/>
      <c r="AC216" s="108"/>
      <c r="AD216" s="108"/>
      <c r="AE216" s="108"/>
      <c r="AF216" s="108"/>
      <c r="AG216" s="108"/>
      <c r="AH216" s="108"/>
      <c r="AI216" s="108"/>
      <c r="AJ216" s="108"/>
      <c r="AK216" s="108"/>
      <c r="AL216" s="108"/>
      <c r="AM216" s="108"/>
      <c r="AN216" s="108"/>
      <c r="AO216" s="108"/>
      <c r="AP216" s="108"/>
      <c r="AQ216" s="108"/>
      <c r="AR216" s="108"/>
    </row>
    <row r="217" spans="1:44" hidden="1" x14ac:dyDescent="0.3">
      <c r="A217" s="108"/>
      <c r="B217" s="907" t="s">
        <v>29</v>
      </c>
      <c r="C217" s="908"/>
      <c r="D217" s="884"/>
      <c r="E217" s="884"/>
      <c r="F217" s="913"/>
      <c r="G217" s="904"/>
      <c r="H217" s="17"/>
      <c r="I217" s="79"/>
      <c r="Z217" s="108"/>
      <c r="AA217" s="108"/>
      <c r="AB217" s="108"/>
      <c r="AC217" s="108"/>
      <c r="AD217" s="108"/>
      <c r="AE217" s="108"/>
      <c r="AF217" s="108"/>
      <c r="AG217" s="108"/>
      <c r="AH217" s="108"/>
      <c r="AI217" s="108"/>
      <c r="AJ217" s="108"/>
      <c r="AK217" s="108"/>
      <c r="AL217" s="108"/>
      <c r="AM217" s="108"/>
      <c r="AN217" s="108"/>
      <c r="AO217" s="108"/>
      <c r="AP217" s="108"/>
      <c r="AQ217" s="108"/>
      <c r="AR217" s="108"/>
    </row>
    <row r="218" spans="1:44" hidden="1" x14ac:dyDescent="0.3">
      <c r="A218" s="108"/>
      <c r="B218" s="600"/>
      <c r="C218" s="600"/>
      <c r="D218" s="798" t="s">
        <v>2</v>
      </c>
      <c r="E218" s="1"/>
      <c r="F218" s="164"/>
      <c r="G218" s="781"/>
      <c r="H218" s="17"/>
      <c r="I218" s="79"/>
      <c r="Z218" s="108"/>
      <c r="AA218" s="108"/>
      <c r="AB218" s="108"/>
      <c r="AC218" s="108"/>
      <c r="AD218" s="108"/>
      <c r="AE218" s="108"/>
      <c r="AF218" s="108"/>
      <c r="AG218" s="108"/>
      <c r="AH218" s="108"/>
      <c r="AI218" s="108"/>
      <c r="AJ218" s="108"/>
      <c r="AK218" s="108"/>
      <c r="AL218" s="108"/>
      <c r="AM218" s="108"/>
      <c r="AN218" s="108"/>
      <c r="AO218" s="108"/>
      <c r="AP218" s="108"/>
      <c r="AQ218" s="108"/>
      <c r="AR218" s="108"/>
    </row>
    <row r="219" spans="1:44" ht="36" hidden="1" customHeight="1" x14ac:dyDescent="0.3">
      <c r="A219" s="108"/>
      <c r="B219" s="600"/>
      <c r="C219" s="600"/>
      <c r="D219" s="711" t="s">
        <v>1540</v>
      </c>
      <c r="E219" s="1"/>
      <c r="F219" s="164"/>
      <c r="G219" s="781"/>
      <c r="H219" s="17"/>
      <c r="I219" s="79"/>
      <c r="Z219" s="108"/>
      <c r="AA219" s="108"/>
      <c r="AB219" s="108"/>
      <c r="AC219" s="108"/>
      <c r="AD219" s="108"/>
      <c r="AE219" s="108"/>
      <c r="AF219" s="108"/>
      <c r="AG219" s="108"/>
      <c r="AH219" s="108"/>
      <c r="AI219" s="108"/>
      <c r="AJ219" s="108"/>
      <c r="AK219" s="108"/>
      <c r="AL219" s="108"/>
      <c r="AM219" s="108"/>
      <c r="AN219" s="108"/>
      <c r="AO219" s="108"/>
      <c r="AP219" s="108"/>
      <c r="AQ219" s="108"/>
      <c r="AR219" s="108"/>
    </row>
    <row r="220" spans="1:44" ht="45.6" hidden="1" customHeight="1" x14ac:dyDescent="0.3">
      <c r="A220" s="108">
        <v>334</v>
      </c>
      <c r="B220" s="4" t="s">
        <v>56</v>
      </c>
      <c r="C220" s="4" t="s">
        <v>173</v>
      </c>
      <c r="D220" s="24" t="s">
        <v>1541</v>
      </c>
      <c r="E220" s="710" t="e">
        <f>HLOOKUP($D$2,'2020 Data(H)'!$C$1:$CZ$432,100,FALSE)</f>
        <v>#N/A</v>
      </c>
      <c r="F220" s="306">
        <v>0</v>
      </c>
      <c r="G220" s="781"/>
      <c r="H220" s="17"/>
      <c r="I220" s="79"/>
      <c r="Z220" s="108"/>
      <c r="AA220" s="108"/>
      <c r="AB220" s="108"/>
      <c r="AC220" s="108"/>
      <c r="AD220" s="108"/>
      <c r="AE220" s="108"/>
      <c r="AF220" s="108"/>
      <c r="AG220" s="108"/>
      <c r="AH220" s="108"/>
      <c r="AI220" s="108"/>
      <c r="AJ220" s="108"/>
      <c r="AK220" s="108"/>
      <c r="AL220" s="108"/>
      <c r="AM220" s="108"/>
      <c r="AN220" s="108"/>
      <c r="AO220" s="108"/>
      <c r="AP220" s="108"/>
      <c r="AQ220" s="108"/>
      <c r="AR220" s="108"/>
    </row>
    <row r="221" spans="1:44" ht="45.6" hidden="1" customHeight="1" x14ac:dyDescent="0.3">
      <c r="A221" s="108">
        <v>373</v>
      </c>
      <c r="B221" s="4" t="s">
        <v>56</v>
      </c>
      <c r="C221" s="4" t="s">
        <v>173</v>
      </c>
      <c r="D221" s="29" t="s">
        <v>172</v>
      </c>
      <c r="E221" s="710" t="e">
        <f>HLOOKUP($D$2,'2020 Data(H)'!$C$1:$CZ$432,133,FALSE)</f>
        <v>#N/A</v>
      </c>
      <c r="F221" s="306">
        <v>0</v>
      </c>
      <c r="G221" s="771">
        <f>IF(F221&lt;0,"Error: Enter as positive.",)</f>
        <v>0</v>
      </c>
      <c r="H221" s="17"/>
      <c r="I221" s="79"/>
      <c r="Z221" s="108"/>
      <c r="AA221" s="108"/>
      <c r="AB221" s="108"/>
      <c r="AC221" s="108"/>
      <c r="AD221" s="108"/>
      <c r="AE221" s="108"/>
      <c r="AF221" s="108"/>
      <c r="AG221" s="108"/>
      <c r="AH221" s="108"/>
      <c r="AI221" s="108"/>
      <c r="AJ221" s="108"/>
      <c r="AK221" s="108"/>
      <c r="AL221" s="108"/>
      <c r="AM221" s="108"/>
      <c r="AN221" s="108"/>
      <c r="AO221" s="108"/>
      <c r="AP221" s="108"/>
      <c r="AQ221" s="108"/>
      <c r="AR221" s="108"/>
    </row>
    <row r="222" spans="1:44" ht="92.25" hidden="1" customHeight="1" x14ac:dyDescent="0.3">
      <c r="A222" s="108">
        <v>987</v>
      </c>
      <c r="B222" s="870" t="s">
        <v>1055</v>
      </c>
      <c r="C222" s="870"/>
      <c r="D222" s="799" t="s">
        <v>1332</v>
      </c>
      <c r="E222" s="710" t="s">
        <v>1056</v>
      </c>
      <c r="F222" s="306">
        <v>0</v>
      </c>
      <c r="G222" s="800" t="str">
        <f>IF(F222="","If this question is not applicable please place a zero in the cell to the left","")</f>
        <v/>
      </c>
      <c r="H222" s="750"/>
      <c r="I222" s="79"/>
      <c r="Z222" s="108"/>
      <c r="AA222" s="108"/>
      <c r="AB222" s="108"/>
      <c r="AC222" s="108"/>
      <c r="AD222" s="108"/>
      <c r="AE222" s="108"/>
      <c r="AF222" s="108"/>
      <c r="AG222" s="108"/>
      <c r="AH222" s="108"/>
      <c r="AI222" s="108"/>
      <c r="AJ222" s="108"/>
      <c r="AK222" s="108"/>
      <c r="AL222" s="108"/>
      <c r="AM222" s="108"/>
      <c r="AN222" s="108"/>
      <c r="AO222" s="108"/>
      <c r="AP222" s="108"/>
      <c r="AQ222" s="108"/>
      <c r="AR222" s="108"/>
    </row>
    <row r="223" spans="1:44" ht="66.75" hidden="1" customHeight="1" x14ac:dyDescent="0.3">
      <c r="A223" s="108">
        <v>988</v>
      </c>
      <c r="B223" s="870" t="s">
        <v>1055</v>
      </c>
      <c r="C223" s="870"/>
      <c r="D223" s="799" t="s">
        <v>1329</v>
      </c>
      <c r="E223" s="710" t="s">
        <v>1056</v>
      </c>
      <c r="F223" s="306"/>
      <c r="G223" s="771"/>
      <c r="H223" s="17"/>
      <c r="I223" s="79"/>
      <c r="Z223" s="108"/>
      <c r="AA223" s="108"/>
      <c r="AB223" s="108"/>
      <c r="AC223" s="108"/>
      <c r="AD223" s="108"/>
      <c r="AE223" s="108"/>
      <c r="AF223" s="108"/>
      <c r="AG223" s="108"/>
      <c r="AH223" s="108"/>
      <c r="AI223" s="108"/>
      <c r="AJ223" s="108"/>
      <c r="AK223" s="108"/>
      <c r="AL223" s="108"/>
      <c r="AM223" s="108"/>
      <c r="AN223" s="108"/>
      <c r="AO223" s="108"/>
      <c r="AP223" s="108"/>
      <c r="AQ223" s="108"/>
      <c r="AR223" s="108"/>
    </row>
    <row r="224" spans="1:44" ht="90" hidden="1" customHeight="1" x14ac:dyDescent="0.3">
      <c r="A224" s="108">
        <v>989</v>
      </c>
      <c r="B224" s="870" t="s">
        <v>1055</v>
      </c>
      <c r="C224" s="870"/>
      <c r="D224" s="799" t="s">
        <v>1596</v>
      </c>
      <c r="E224" s="710" t="s">
        <v>1089</v>
      </c>
      <c r="F224" s="306"/>
      <c r="G224" s="771"/>
      <c r="H224" s="17"/>
      <c r="I224" s="79"/>
      <c r="Z224" s="108"/>
      <c r="AA224" s="108"/>
      <c r="AB224" s="108"/>
      <c r="AC224" s="108"/>
      <c r="AD224" s="108"/>
      <c r="AE224" s="108"/>
      <c r="AF224" s="108"/>
      <c r="AG224" s="108"/>
      <c r="AH224" s="108"/>
      <c r="AI224" s="108"/>
      <c r="AJ224" s="108"/>
      <c r="AK224" s="108"/>
      <c r="AL224" s="108"/>
      <c r="AM224" s="108"/>
      <c r="AN224" s="108"/>
      <c r="AO224" s="108"/>
      <c r="AP224" s="108"/>
      <c r="AQ224" s="108"/>
      <c r="AR224" s="108"/>
    </row>
    <row r="225" spans="1:44" hidden="1" x14ac:dyDescent="0.3">
      <c r="A225" s="108"/>
      <c r="B225" s="918"/>
      <c r="C225" s="918"/>
      <c r="D225" s="919"/>
      <c r="E225" s="920"/>
      <c r="F225" s="921"/>
      <c r="G225" s="922"/>
      <c r="H225" s="17"/>
      <c r="I225" s="79"/>
      <c r="Z225" s="108"/>
      <c r="AA225" s="108"/>
      <c r="AB225" s="108"/>
      <c r="AC225" s="108"/>
      <c r="AD225" s="108"/>
      <c r="AE225" s="108"/>
      <c r="AF225" s="108"/>
      <c r="AG225" s="108"/>
      <c r="AH225" s="108"/>
      <c r="AI225" s="108"/>
      <c r="AJ225" s="108"/>
      <c r="AK225" s="108"/>
      <c r="AL225" s="108"/>
      <c r="AM225" s="108"/>
      <c r="AN225" s="108"/>
      <c r="AO225" s="108"/>
      <c r="AP225" s="108"/>
      <c r="AQ225" s="108"/>
      <c r="AR225" s="108"/>
    </row>
    <row r="226" spans="1:44" ht="108" hidden="1" customHeight="1" x14ac:dyDescent="0.3">
      <c r="A226" s="108"/>
      <c r="B226" s="600"/>
      <c r="C226" s="600"/>
      <c r="D226" s="801" t="s">
        <v>1542</v>
      </c>
      <c r="E226" s="1"/>
      <c r="F226" s="387"/>
      <c r="G226" s="781"/>
      <c r="H226" s="17"/>
      <c r="I226" s="79"/>
      <c r="Z226" s="108"/>
      <c r="AA226" s="108"/>
      <c r="AB226" s="108"/>
      <c r="AC226" s="108"/>
      <c r="AD226" s="108"/>
      <c r="AE226" s="108"/>
      <c r="AF226" s="108"/>
      <c r="AG226" s="108"/>
      <c r="AH226" s="108"/>
      <c r="AI226" s="108"/>
      <c r="AJ226" s="108"/>
      <c r="AK226" s="108"/>
      <c r="AL226" s="108"/>
      <c r="AM226" s="108"/>
      <c r="AN226" s="108"/>
      <c r="AO226" s="108"/>
      <c r="AP226" s="108"/>
      <c r="AQ226" s="108"/>
      <c r="AR226" s="108"/>
    </row>
    <row r="227" spans="1:44" ht="48.75" hidden="1" customHeight="1" x14ac:dyDescent="0.3">
      <c r="A227" s="108"/>
      <c r="B227" s="600"/>
      <c r="C227" s="600"/>
      <c r="D227" s="24" t="s">
        <v>1543</v>
      </c>
      <c r="E227" s="1"/>
      <c r="F227" s="387"/>
      <c r="G227" s="781"/>
      <c r="H227" s="17"/>
      <c r="I227" s="79"/>
      <c r="Z227" s="108"/>
      <c r="AA227" s="108"/>
      <c r="AB227" s="108"/>
      <c r="AC227" s="108"/>
      <c r="AD227" s="108"/>
      <c r="AE227" s="108"/>
      <c r="AF227" s="108"/>
      <c r="AG227" s="108"/>
      <c r="AH227" s="108"/>
      <c r="AI227" s="108"/>
      <c r="AJ227" s="108"/>
      <c r="AK227" s="108"/>
      <c r="AL227" s="108"/>
      <c r="AM227" s="108"/>
      <c r="AN227" s="108"/>
      <c r="AO227" s="108"/>
      <c r="AP227" s="108"/>
      <c r="AQ227" s="108"/>
      <c r="AR227" s="108"/>
    </row>
    <row r="228" spans="1:44" ht="51.75" hidden="1" customHeight="1" x14ac:dyDescent="0.3">
      <c r="A228" s="108">
        <v>327</v>
      </c>
      <c r="B228" s="712" t="s">
        <v>37</v>
      </c>
      <c r="C228" s="712" t="s">
        <v>174</v>
      </c>
      <c r="D228" s="802" t="s">
        <v>1544</v>
      </c>
      <c r="E228" s="710" t="e">
        <f>HLOOKUP($D$2,'2020 Data(H)'!$C$1:$CZ$432,94,FALSE)</f>
        <v>#N/A</v>
      </c>
      <c r="F228" s="278">
        <v>0</v>
      </c>
      <c r="G228" s="781"/>
      <c r="H228" s="17"/>
      <c r="I228" s="773"/>
      <c r="Z228" s="108"/>
      <c r="AA228" s="108"/>
      <c r="AB228" s="108"/>
      <c r="AC228" s="108"/>
      <c r="AD228" s="108"/>
      <c r="AE228" s="108"/>
      <c r="AF228" s="108"/>
      <c r="AG228" s="108"/>
      <c r="AH228" s="108"/>
      <c r="AI228" s="108"/>
      <c r="AJ228" s="108"/>
      <c r="AK228" s="108"/>
      <c r="AL228" s="108"/>
      <c r="AM228" s="108"/>
      <c r="AN228" s="108"/>
      <c r="AO228" s="108"/>
      <c r="AP228" s="108"/>
      <c r="AQ228" s="108"/>
      <c r="AR228" s="108"/>
    </row>
    <row r="229" spans="1:44" ht="51.75" hidden="1" customHeight="1" x14ac:dyDescent="0.3">
      <c r="A229" s="108">
        <v>328</v>
      </c>
      <c r="B229" s="712" t="s">
        <v>37</v>
      </c>
      <c r="C229" s="712" t="s">
        <v>174</v>
      </c>
      <c r="D229" s="30" t="s">
        <v>7</v>
      </c>
      <c r="E229" s="710" t="e">
        <f>HLOOKUP($D$2,'2020 Data(H)'!$C$1:$CZ$432,95,FALSE)</f>
        <v>#N/A</v>
      </c>
      <c r="F229" s="278">
        <v>0</v>
      </c>
      <c r="G229" s="781"/>
      <c r="H229" s="17"/>
      <c r="I229" s="773"/>
      <c r="Z229" s="108"/>
      <c r="AA229" s="108"/>
      <c r="AB229" s="108"/>
      <c r="AC229" s="108"/>
      <c r="AD229" s="108"/>
      <c r="AE229" s="108"/>
      <c r="AF229" s="108"/>
      <c r="AG229" s="108"/>
      <c r="AH229" s="108"/>
      <c r="AI229" s="108"/>
      <c r="AJ229" s="108"/>
      <c r="AK229" s="108"/>
      <c r="AL229" s="108"/>
      <c r="AM229" s="108"/>
      <c r="AN229" s="108"/>
      <c r="AO229" s="108"/>
      <c r="AP229" s="108"/>
      <c r="AQ229" s="108"/>
      <c r="AR229" s="108"/>
    </row>
    <row r="230" spans="1:44" ht="42" hidden="1" customHeight="1" x14ac:dyDescent="0.3">
      <c r="A230" s="108"/>
      <c r="B230" s="600"/>
      <c r="C230" s="600"/>
      <c r="D230" s="31" t="s">
        <v>1545</v>
      </c>
      <c r="E230" s="101" t="e">
        <f>SUM(E228:E229)</f>
        <v>#N/A</v>
      </c>
      <c r="F230" s="101">
        <f>SUM(F228:F229)</f>
        <v>0</v>
      </c>
      <c r="G230" s="781"/>
      <c r="H230" s="17"/>
      <c r="I230" s="79"/>
      <c r="Z230" s="108"/>
      <c r="AA230" s="108"/>
      <c r="AB230" s="108"/>
      <c r="AC230" s="108"/>
      <c r="AD230" s="108"/>
      <c r="AE230" s="108"/>
      <c r="AF230" s="108"/>
      <c r="AG230" s="108"/>
      <c r="AH230" s="108"/>
      <c r="AI230" s="108"/>
      <c r="AJ230" s="108"/>
      <c r="AK230" s="108"/>
      <c r="AL230" s="108"/>
      <c r="AM230" s="108"/>
      <c r="AN230" s="108"/>
      <c r="AO230" s="108"/>
      <c r="AP230" s="108"/>
      <c r="AQ230" s="108"/>
      <c r="AR230" s="108"/>
    </row>
    <row r="231" spans="1:44" ht="28.8" hidden="1" x14ac:dyDescent="0.3">
      <c r="A231" s="108"/>
      <c r="B231" s="600"/>
      <c r="C231" s="600"/>
      <c r="D231" s="24" t="s">
        <v>1546</v>
      </c>
      <c r="E231" s="1"/>
      <c r="F231" s="387"/>
      <c r="G231" s="781"/>
      <c r="H231" s="17"/>
      <c r="I231" s="79"/>
      <c r="Z231" s="108"/>
      <c r="AA231" s="108"/>
      <c r="AB231" s="108"/>
      <c r="AC231" s="108"/>
      <c r="AD231" s="108"/>
      <c r="AE231" s="108"/>
      <c r="AF231" s="108"/>
      <c r="AG231" s="108"/>
      <c r="AH231" s="108"/>
      <c r="AI231" s="108"/>
      <c r="AJ231" s="108"/>
      <c r="AK231" s="108"/>
      <c r="AL231" s="108"/>
      <c r="AM231" s="108"/>
      <c r="AN231" s="108"/>
      <c r="AO231" s="108"/>
      <c r="AP231" s="108"/>
      <c r="AQ231" s="108"/>
      <c r="AR231" s="108"/>
    </row>
    <row r="232" spans="1:44" ht="24" hidden="1" customHeight="1" x14ac:dyDescent="0.3">
      <c r="A232" s="108"/>
      <c r="B232" s="600"/>
      <c r="C232" s="600"/>
      <c r="D232" s="28" t="s">
        <v>9</v>
      </c>
      <c r="F232" s="803"/>
      <c r="G232" s="781"/>
      <c r="H232" s="17"/>
      <c r="I232" s="79"/>
      <c r="Z232" s="108"/>
      <c r="AA232" s="108"/>
      <c r="AB232" s="108"/>
      <c r="AC232" s="108"/>
      <c r="AD232" s="108"/>
      <c r="AE232" s="108"/>
      <c r="AF232" s="108"/>
      <c r="AG232" s="108"/>
      <c r="AH232" s="108"/>
      <c r="AI232" s="108"/>
      <c r="AJ232" s="108"/>
      <c r="AK232" s="108"/>
      <c r="AL232" s="108"/>
      <c r="AM232" s="108"/>
      <c r="AN232" s="108"/>
      <c r="AO232" s="108"/>
      <c r="AP232" s="108"/>
      <c r="AQ232" s="108"/>
      <c r="AR232" s="108"/>
    </row>
    <row r="233" spans="1:44" ht="52.5" hidden="1" customHeight="1" x14ac:dyDescent="0.3">
      <c r="A233" s="108">
        <v>515</v>
      </c>
      <c r="B233" s="712" t="s">
        <v>526</v>
      </c>
      <c r="C233" s="712" t="s">
        <v>175</v>
      </c>
      <c r="D233" s="32" t="s">
        <v>3</v>
      </c>
      <c r="E233" s="710" t="e">
        <f>HLOOKUP($D$2,'2020 Data(H)'!$C$1:$CZ$432,165,FALSE)</f>
        <v>#N/A</v>
      </c>
      <c r="F233" s="306">
        <v>0</v>
      </c>
      <c r="G233" s="771"/>
      <c r="H233" s="17"/>
      <c r="I233" s="79"/>
      <c r="Z233" s="108"/>
      <c r="AA233" s="108"/>
      <c r="AB233" s="108"/>
      <c r="AC233" s="108"/>
      <c r="AD233" s="108"/>
      <c r="AE233" s="108"/>
      <c r="AF233" s="108"/>
      <c r="AG233" s="108"/>
      <c r="AH233" s="108"/>
      <c r="AI233" s="108"/>
      <c r="AJ233" s="108"/>
      <c r="AK233" s="108"/>
      <c r="AL233" s="108"/>
      <c r="AM233" s="108"/>
      <c r="AN233" s="108"/>
      <c r="AO233" s="108"/>
      <c r="AP233" s="108"/>
      <c r="AQ233" s="108"/>
      <c r="AR233" s="108"/>
    </row>
    <row r="234" spans="1:44" ht="57" hidden="1" customHeight="1" x14ac:dyDescent="0.3">
      <c r="A234" s="108">
        <v>516</v>
      </c>
      <c r="B234" s="712" t="s">
        <v>526</v>
      </c>
      <c r="C234" s="712" t="s">
        <v>175</v>
      </c>
      <c r="D234" s="32" t="s">
        <v>4</v>
      </c>
      <c r="E234" s="710" t="e">
        <f>HLOOKUP($D$2,'2020 Data(H)'!$C$1:$CZ$432,166,FALSE)</f>
        <v>#N/A</v>
      </c>
      <c r="F234" s="306">
        <v>0</v>
      </c>
      <c r="G234" s="771"/>
      <c r="H234" s="17"/>
      <c r="I234" s="79"/>
      <c r="Z234" s="108"/>
      <c r="AA234" s="108"/>
      <c r="AB234" s="108"/>
      <c r="AC234" s="108"/>
      <c r="AD234" s="108"/>
      <c r="AE234" s="108"/>
      <c r="AF234" s="108"/>
      <c r="AG234" s="108"/>
      <c r="AH234" s="108"/>
      <c r="AI234" s="108"/>
      <c r="AJ234" s="108"/>
      <c r="AK234" s="108"/>
      <c r="AL234" s="108"/>
      <c r="AM234" s="108"/>
      <c r="AN234" s="108"/>
      <c r="AO234" s="108"/>
      <c r="AP234" s="108"/>
      <c r="AQ234" s="108"/>
      <c r="AR234" s="108"/>
    </row>
    <row r="235" spans="1:44" ht="60.75" hidden="1" customHeight="1" x14ac:dyDescent="0.3">
      <c r="A235" s="108">
        <v>517</v>
      </c>
      <c r="B235" s="712" t="s">
        <v>526</v>
      </c>
      <c r="C235" s="712" t="s">
        <v>175</v>
      </c>
      <c r="D235" s="32" t="s">
        <v>5</v>
      </c>
      <c r="E235" s="710" t="e">
        <f>HLOOKUP($D$2,'2020 Data(H)'!$C$1:$CZ$432,167,FALSE)</f>
        <v>#N/A</v>
      </c>
      <c r="F235" s="306">
        <v>0</v>
      </c>
      <c r="G235" s="771"/>
      <c r="H235" s="17"/>
      <c r="I235" s="79"/>
      <c r="Z235" s="108"/>
      <c r="AA235" s="108"/>
      <c r="AB235" s="108"/>
      <c r="AC235" s="108"/>
      <c r="AD235" s="108"/>
      <c r="AE235" s="108"/>
      <c r="AF235" s="108"/>
      <c r="AG235" s="108"/>
      <c r="AH235" s="108"/>
      <c r="AI235" s="108"/>
      <c r="AJ235" s="108"/>
      <c r="AK235" s="108"/>
      <c r="AL235" s="108"/>
      <c r="AM235" s="108"/>
      <c r="AN235" s="108"/>
      <c r="AO235" s="108"/>
      <c r="AP235" s="108"/>
      <c r="AQ235" s="108"/>
      <c r="AR235" s="108"/>
    </row>
    <row r="236" spans="1:44" ht="66" hidden="1" customHeight="1" x14ac:dyDescent="0.3">
      <c r="A236" s="108">
        <v>518</v>
      </c>
      <c r="B236" s="712" t="s">
        <v>526</v>
      </c>
      <c r="C236" s="712" t="s">
        <v>175</v>
      </c>
      <c r="D236" s="32" t="s">
        <v>39</v>
      </c>
      <c r="E236" s="710" t="e">
        <f>HLOOKUP($D$2,'2020 Data(H)'!$C$1:$CZ$432,168,FALSE)</f>
        <v>#N/A</v>
      </c>
      <c r="F236" s="306">
        <v>0</v>
      </c>
      <c r="G236" s="771"/>
      <c r="H236" s="17"/>
      <c r="I236" s="79"/>
      <c r="Z236" s="108"/>
      <c r="AA236" s="108"/>
      <c r="AB236" s="108"/>
      <c r="AC236" s="108"/>
      <c r="AD236" s="108"/>
      <c r="AE236" s="108"/>
      <c r="AF236" s="108"/>
      <c r="AG236" s="108"/>
      <c r="AH236" s="108"/>
      <c r="AI236" s="108"/>
      <c r="AJ236" s="108"/>
      <c r="AK236" s="108"/>
      <c r="AL236" s="108"/>
      <c r="AM236" s="108"/>
      <c r="AN236" s="108"/>
      <c r="AO236" s="108"/>
      <c r="AP236" s="108"/>
      <c r="AQ236" s="108"/>
      <c r="AR236" s="108"/>
    </row>
    <row r="237" spans="1:44" ht="51" hidden="1" customHeight="1" x14ac:dyDescent="0.3">
      <c r="A237" s="310"/>
      <c r="B237" s="600"/>
      <c r="C237" s="600"/>
      <c r="D237" s="804" t="s">
        <v>1547</v>
      </c>
      <c r="E237" s="101" t="e">
        <f>SUM(E233:E236)</f>
        <v>#N/A</v>
      </c>
      <c r="F237" s="101">
        <f>SUM(F233:F236)</f>
        <v>0</v>
      </c>
      <c r="G237" s="781"/>
      <c r="H237" s="17"/>
      <c r="I237" s="79"/>
      <c r="Z237" s="310"/>
      <c r="AA237" s="310"/>
      <c r="AB237" s="310"/>
      <c r="AC237" s="310"/>
      <c r="AD237" s="310"/>
      <c r="AE237" s="310"/>
      <c r="AF237" s="310"/>
      <c r="AG237" s="310"/>
      <c r="AH237" s="310"/>
      <c r="AI237" s="310"/>
      <c r="AJ237" s="310"/>
      <c r="AK237" s="310"/>
      <c r="AL237" s="310"/>
      <c r="AM237" s="310"/>
      <c r="AN237" s="310"/>
      <c r="AO237" s="310"/>
      <c r="AP237" s="310"/>
      <c r="AQ237" s="310"/>
      <c r="AR237" s="310"/>
    </row>
    <row r="238" spans="1:44" ht="30.75" hidden="1" customHeight="1" x14ac:dyDescent="0.3">
      <c r="A238" s="108"/>
      <c r="B238" s="600"/>
      <c r="C238" s="600"/>
      <c r="D238" s="28" t="s">
        <v>48</v>
      </c>
      <c r="E238" s="1"/>
      <c r="F238" s="387"/>
      <c r="G238" s="781"/>
      <c r="H238" s="17"/>
      <c r="I238" s="79"/>
      <c r="Z238" s="108"/>
      <c r="AA238" s="108"/>
      <c r="AB238" s="108"/>
      <c r="AC238" s="108"/>
      <c r="AD238" s="108"/>
      <c r="AE238" s="108"/>
      <c r="AF238" s="108"/>
      <c r="AG238" s="108"/>
      <c r="AH238" s="108"/>
      <c r="AI238" s="108"/>
      <c r="AJ238" s="108"/>
      <c r="AK238" s="108"/>
      <c r="AL238" s="108"/>
      <c r="AM238" s="108"/>
      <c r="AN238" s="108"/>
      <c r="AO238" s="108"/>
      <c r="AP238" s="108"/>
      <c r="AQ238" s="108"/>
      <c r="AR238" s="108"/>
    </row>
    <row r="239" spans="1:44" ht="63" hidden="1" customHeight="1" x14ac:dyDescent="0.3">
      <c r="A239" s="108">
        <v>519</v>
      </c>
      <c r="B239" s="712" t="s">
        <v>37</v>
      </c>
      <c r="C239" s="712" t="s">
        <v>176</v>
      </c>
      <c r="D239" s="32" t="s">
        <v>14</v>
      </c>
      <c r="E239" s="710" t="e">
        <f>HLOOKUP($D$2,'2020 Data(H)'!$C$1:$CZ$432,169,FALSE)</f>
        <v>#N/A</v>
      </c>
      <c r="F239" s="306">
        <v>0</v>
      </c>
      <c r="G239" s="771">
        <f>IF(F239&lt;0,"Error: Enter as positive.",)</f>
        <v>0</v>
      </c>
      <c r="H239" s="17"/>
      <c r="I239" s="79"/>
      <c r="Z239" s="108"/>
      <c r="AA239" s="108"/>
      <c r="AB239" s="108"/>
      <c r="AC239" s="108"/>
      <c r="AD239" s="108"/>
      <c r="AE239" s="108"/>
      <c r="AF239" s="108"/>
      <c r="AG239" s="108"/>
      <c r="AH239" s="108"/>
      <c r="AI239" s="108"/>
      <c r="AJ239" s="108"/>
      <c r="AK239" s="108"/>
      <c r="AL239" s="108"/>
      <c r="AM239" s="108"/>
      <c r="AN239" s="108"/>
      <c r="AO239" s="108"/>
      <c r="AP239" s="108"/>
      <c r="AQ239" s="108"/>
      <c r="AR239" s="108"/>
    </row>
    <row r="240" spans="1:44" ht="69.75" hidden="1" customHeight="1" x14ac:dyDescent="0.3">
      <c r="A240" s="108">
        <v>520</v>
      </c>
      <c r="B240" s="712" t="s">
        <v>37</v>
      </c>
      <c r="C240" s="712" t="s">
        <v>176</v>
      </c>
      <c r="D240" s="32" t="s">
        <v>16</v>
      </c>
      <c r="E240" s="710" t="e">
        <f>HLOOKUP($D$2,'2020 Data(H)'!$C$1:$CZ$432,170,FALSE)</f>
        <v>#N/A</v>
      </c>
      <c r="F240" s="306">
        <v>0</v>
      </c>
      <c r="G240" s="771">
        <f>IF(F240&lt;0,"Error: Enter as positive.",)</f>
        <v>0</v>
      </c>
      <c r="H240" s="17"/>
      <c r="I240" s="79"/>
      <c r="Z240" s="108"/>
      <c r="AA240" s="108"/>
      <c r="AB240" s="108"/>
      <c r="AC240" s="108"/>
      <c r="AD240" s="108"/>
      <c r="AE240" s="108"/>
      <c r="AF240" s="108"/>
      <c r="AG240" s="108"/>
      <c r="AH240" s="108"/>
      <c r="AI240" s="108"/>
      <c r="AJ240" s="108"/>
      <c r="AK240" s="108"/>
      <c r="AL240" s="108"/>
      <c r="AM240" s="108"/>
      <c r="AN240" s="108"/>
      <c r="AO240" s="108"/>
      <c r="AP240" s="108"/>
      <c r="AQ240" s="108"/>
      <c r="AR240" s="108"/>
    </row>
    <row r="241" spans="1:44" ht="72" hidden="1" customHeight="1" x14ac:dyDescent="0.3">
      <c r="A241" s="108">
        <v>521</v>
      </c>
      <c r="B241" s="712" t="s">
        <v>37</v>
      </c>
      <c r="C241" s="712" t="s">
        <v>176</v>
      </c>
      <c r="D241" s="32" t="s">
        <v>18</v>
      </c>
      <c r="E241" s="710" t="e">
        <f>HLOOKUP($D$2,'2020 Data(H)'!$C$1:$CZ$432,171,FALSE)</f>
        <v>#N/A</v>
      </c>
      <c r="F241" s="306">
        <v>0</v>
      </c>
      <c r="G241" s="771">
        <f>IF(F241&lt;0,"Error: Enter as positive.",)</f>
        <v>0</v>
      </c>
      <c r="H241" s="17"/>
      <c r="I241" s="79"/>
      <c r="Z241" s="108"/>
      <c r="AA241" s="108"/>
      <c r="AB241" s="108"/>
      <c r="AC241" s="108"/>
      <c r="AD241" s="108"/>
      <c r="AE241" s="108"/>
      <c r="AF241" s="108"/>
      <c r="AG241" s="108"/>
      <c r="AH241" s="108"/>
      <c r="AI241" s="108"/>
      <c r="AJ241" s="108"/>
      <c r="AK241" s="108"/>
      <c r="AL241" s="108"/>
      <c r="AM241" s="108"/>
      <c r="AN241" s="108"/>
      <c r="AO241" s="108"/>
      <c r="AP241" s="108"/>
      <c r="AQ241" s="108"/>
      <c r="AR241" s="108"/>
    </row>
    <row r="242" spans="1:44" ht="74.25" hidden="1" customHeight="1" x14ac:dyDescent="0.3">
      <c r="A242" s="108">
        <v>522</v>
      </c>
      <c r="B242" s="712" t="s">
        <v>37</v>
      </c>
      <c r="C242" s="712" t="s">
        <v>176</v>
      </c>
      <c r="D242" s="32" t="s">
        <v>40</v>
      </c>
      <c r="E242" s="710" t="e">
        <f>HLOOKUP($D$2,'2020 Data(H)'!$C$1:$CZ$432,172,FALSE)</f>
        <v>#N/A</v>
      </c>
      <c r="F242" s="306">
        <v>0</v>
      </c>
      <c r="G242" s="771">
        <f>IF(F242&lt;0,"Error: Enter as positive.",)</f>
        <v>0</v>
      </c>
      <c r="H242" s="17"/>
      <c r="I242" s="79"/>
      <c r="Z242" s="108"/>
      <c r="AA242" s="108"/>
      <c r="AB242" s="108"/>
      <c r="AC242" s="108"/>
      <c r="AD242" s="108"/>
      <c r="AE242" s="108"/>
      <c r="AF242" s="108"/>
      <c r="AG242" s="108"/>
      <c r="AH242" s="108"/>
      <c r="AI242" s="108"/>
      <c r="AJ242" s="108"/>
      <c r="AK242" s="108"/>
      <c r="AL242" s="108"/>
      <c r="AM242" s="108"/>
      <c r="AN242" s="108"/>
      <c r="AO242" s="108"/>
      <c r="AP242" s="108"/>
      <c r="AQ242" s="108"/>
      <c r="AR242" s="108"/>
    </row>
    <row r="243" spans="1:44" ht="31.5" hidden="1" customHeight="1" x14ac:dyDescent="0.3">
      <c r="A243" s="6"/>
      <c r="B243" s="600"/>
      <c r="C243" s="600"/>
      <c r="D243" s="805" t="s">
        <v>34</v>
      </c>
      <c r="E243" s="101" t="e">
        <f>SUM(E239:E242)</f>
        <v>#N/A</v>
      </c>
      <c r="F243" s="101">
        <f>SUM(F239:F242)</f>
        <v>0</v>
      </c>
      <c r="G243" s="131"/>
      <c r="H243" s="17"/>
      <c r="I243" s="79"/>
      <c r="Z243" s="6"/>
      <c r="AA243" s="6"/>
      <c r="AB243" s="6"/>
      <c r="AC243" s="6"/>
      <c r="AD243" s="6"/>
      <c r="AE243" s="6"/>
      <c r="AF243" s="6"/>
      <c r="AG243" s="6"/>
      <c r="AH243" s="6"/>
      <c r="AI243" s="6"/>
      <c r="AJ243" s="6"/>
      <c r="AK243" s="6"/>
      <c r="AL243" s="6"/>
      <c r="AM243" s="6"/>
      <c r="AN243" s="6"/>
      <c r="AO243" s="6"/>
      <c r="AP243" s="6"/>
      <c r="AQ243" s="6"/>
      <c r="AR243" s="6"/>
    </row>
    <row r="244" spans="1:44" ht="26.25" hidden="1" customHeight="1" x14ac:dyDescent="0.3">
      <c r="A244" s="6"/>
      <c r="B244" s="600"/>
      <c r="C244" s="600"/>
      <c r="D244" s="28" t="s">
        <v>32</v>
      </c>
      <c r="E244" s="6"/>
      <c r="F244" s="806"/>
      <c r="G244" s="131"/>
      <c r="H244" s="17"/>
      <c r="I244" s="79"/>
      <c r="Z244" s="6"/>
      <c r="AA244" s="6"/>
      <c r="AB244" s="6"/>
      <c r="AC244" s="6"/>
      <c r="AD244" s="6"/>
      <c r="AE244" s="6"/>
      <c r="AF244" s="6"/>
      <c r="AG244" s="6"/>
      <c r="AH244" s="6"/>
      <c r="AI244" s="6"/>
      <c r="AJ244" s="6"/>
      <c r="AK244" s="6"/>
      <c r="AL244" s="6"/>
      <c r="AM244" s="6"/>
      <c r="AN244" s="6"/>
      <c r="AO244" s="6"/>
      <c r="AP244" s="6"/>
      <c r="AQ244" s="6"/>
      <c r="AR244" s="6"/>
    </row>
    <row r="245" spans="1:44" ht="89.25" hidden="1" customHeight="1" x14ac:dyDescent="0.3">
      <c r="A245" s="108">
        <v>523</v>
      </c>
      <c r="B245" s="712" t="s">
        <v>526</v>
      </c>
      <c r="C245" s="712" t="s">
        <v>177</v>
      </c>
      <c r="D245" s="32" t="s">
        <v>15</v>
      </c>
      <c r="E245" s="710" t="e">
        <f>HLOOKUP($D$2,'2020 Data(H)'!$C$1:$CZ$432,173,FALSE)</f>
        <v>#N/A</v>
      </c>
      <c r="F245" s="306">
        <v>0</v>
      </c>
      <c r="G245" s="771">
        <f>IF(F245&lt;0,"Error: Enter as positive.",)</f>
        <v>0</v>
      </c>
      <c r="H245" s="17"/>
      <c r="I245" s="79"/>
      <c r="Z245" s="108"/>
      <c r="AA245" s="108"/>
      <c r="AB245" s="108"/>
      <c r="AC245" s="108"/>
      <c r="AD245" s="108"/>
      <c r="AE245" s="108"/>
      <c r="AF245" s="108"/>
      <c r="AG245" s="108"/>
      <c r="AH245" s="108"/>
      <c r="AI245" s="108"/>
      <c r="AJ245" s="108"/>
      <c r="AK245" s="108"/>
      <c r="AL245" s="108"/>
      <c r="AM245" s="108"/>
      <c r="AN245" s="108"/>
      <c r="AO245" s="108"/>
      <c r="AP245" s="108"/>
      <c r="AQ245" s="108"/>
      <c r="AR245" s="108"/>
    </row>
    <row r="246" spans="1:44" ht="75" hidden="1" customHeight="1" x14ac:dyDescent="0.3">
      <c r="A246" s="108">
        <v>524</v>
      </c>
      <c r="B246" s="712" t="s">
        <v>526</v>
      </c>
      <c r="C246" s="712" t="s">
        <v>177</v>
      </c>
      <c r="D246" s="32" t="s">
        <v>17</v>
      </c>
      <c r="E246" s="710" t="e">
        <f>HLOOKUP($D$2,'2020 Data(H)'!$C$1:$CZ$432,174,FALSE)</f>
        <v>#N/A</v>
      </c>
      <c r="F246" s="306">
        <v>0</v>
      </c>
      <c r="G246" s="771">
        <f>IF(F246&lt;0,"Error: Enter as positive.",)</f>
        <v>0</v>
      </c>
      <c r="H246" s="17"/>
      <c r="I246" s="79"/>
      <c r="Z246" s="108"/>
      <c r="AA246" s="108"/>
      <c r="AB246" s="108"/>
      <c r="AC246" s="108"/>
      <c r="AD246" s="108"/>
      <c r="AE246" s="108"/>
      <c r="AF246" s="108"/>
      <c r="AG246" s="108"/>
      <c r="AH246" s="108"/>
      <c r="AI246" s="108"/>
      <c r="AJ246" s="108"/>
      <c r="AK246" s="108"/>
      <c r="AL246" s="108"/>
      <c r="AM246" s="108"/>
      <c r="AN246" s="108"/>
      <c r="AO246" s="108"/>
      <c r="AP246" s="108"/>
      <c r="AQ246" s="108"/>
      <c r="AR246" s="108"/>
    </row>
    <row r="247" spans="1:44" ht="75" hidden="1" customHeight="1" x14ac:dyDescent="0.3">
      <c r="A247" s="108">
        <v>525</v>
      </c>
      <c r="B247" s="712" t="s">
        <v>526</v>
      </c>
      <c r="C247" s="712" t="s">
        <v>177</v>
      </c>
      <c r="D247" s="32" t="s">
        <v>19</v>
      </c>
      <c r="E247" s="710" t="e">
        <f>HLOOKUP($D$2,'2020 Data(H)'!$C$1:$CZ$432,175,FALSE)</f>
        <v>#N/A</v>
      </c>
      <c r="F247" s="306">
        <v>0</v>
      </c>
      <c r="G247" s="771">
        <f>IF(F247&lt;0,"Error: Enter as positive.",)</f>
        <v>0</v>
      </c>
      <c r="H247" s="17"/>
      <c r="I247" s="79"/>
      <c r="Z247" s="108"/>
      <c r="AA247" s="108"/>
      <c r="AB247" s="108"/>
      <c r="AC247" s="108"/>
      <c r="AD247" s="108"/>
      <c r="AE247" s="108"/>
      <c r="AF247" s="108"/>
      <c r="AG247" s="108"/>
      <c r="AH247" s="108"/>
      <c r="AI247" s="108"/>
      <c r="AJ247" s="108"/>
      <c r="AK247" s="108"/>
      <c r="AL247" s="108"/>
      <c r="AM247" s="108"/>
      <c r="AN247" s="108"/>
      <c r="AO247" s="108"/>
      <c r="AP247" s="108"/>
      <c r="AQ247" s="108"/>
      <c r="AR247" s="108"/>
    </row>
    <row r="248" spans="1:44" ht="76.5" hidden="1" customHeight="1" x14ac:dyDescent="0.3">
      <c r="A248" s="108">
        <v>526</v>
      </c>
      <c r="B248" s="712" t="s">
        <v>526</v>
      </c>
      <c r="C248" s="712" t="s">
        <v>177</v>
      </c>
      <c r="D248" s="32" t="s">
        <v>41</v>
      </c>
      <c r="E248" s="710" t="e">
        <f>HLOOKUP($D$2,'2020 Data(H)'!$C$1:$CZ$432,176,FALSE)</f>
        <v>#N/A</v>
      </c>
      <c r="F248" s="306">
        <v>0</v>
      </c>
      <c r="G248" s="771">
        <f>IF(F248&lt;0,"Error: Enter as positive.",)</f>
        <v>0</v>
      </c>
      <c r="H248" s="17"/>
      <c r="I248" s="79"/>
      <c r="Z248" s="108"/>
      <c r="AA248" s="108"/>
      <c r="AB248" s="108"/>
      <c r="AC248" s="108"/>
      <c r="AD248" s="108"/>
      <c r="AE248" s="108"/>
      <c r="AF248" s="108"/>
      <c r="AG248" s="108"/>
      <c r="AH248" s="108"/>
      <c r="AI248" s="108"/>
      <c r="AJ248" s="108"/>
      <c r="AK248" s="108"/>
      <c r="AL248" s="108"/>
      <c r="AM248" s="108"/>
      <c r="AN248" s="108"/>
      <c r="AO248" s="108"/>
      <c r="AP248" s="108"/>
      <c r="AQ248" s="108"/>
      <c r="AR248" s="108"/>
    </row>
    <row r="249" spans="1:44" ht="24.75" hidden="1" customHeight="1" x14ac:dyDescent="0.3">
      <c r="A249" s="108"/>
      <c r="B249" s="872"/>
      <c r="C249" s="872"/>
      <c r="D249" s="805" t="s">
        <v>33</v>
      </c>
      <c r="E249" s="101" t="e">
        <f>SUM(E245:E248)</f>
        <v>#N/A</v>
      </c>
      <c r="F249" s="101">
        <f>SUM(F245:F248)</f>
        <v>0</v>
      </c>
      <c r="G249" s="781"/>
      <c r="H249" s="17"/>
      <c r="I249" s="79"/>
      <c r="Z249" s="108"/>
      <c r="AA249" s="108"/>
      <c r="AB249" s="108"/>
      <c r="AC249" s="108"/>
      <c r="AD249" s="108"/>
      <c r="AE249" s="108"/>
      <c r="AF249" s="108"/>
      <c r="AG249" s="108"/>
      <c r="AH249" s="108"/>
      <c r="AI249" s="108"/>
      <c r="AJ249" s="108"/>
      <c r="AK249" s="108"/>
      <c r="AL249" s="108"/>
      <c r="AM249" s="108"/>
      <c r="AN249" s="108"/>
      <c r="AO249" s="108"/>
      <c r="AP249" s="108"/>
      <c r="AQ249" s="108"/>
      <c r="AR249" s="108"/>
    </row>
    <row r="250" spans="1:44" ht="61.5" hidden="1" customHeight="1" x14ac:dyDescent="0.3">
      <c r="A250" s="108"/>
      <c r="B250" s="872"/>
      <c r="C250" s="872"/>
      <c r="D250" s="807" t="s">
        <v>35</v>
      </c>
      <c r="E250" s="101" t="e">
        <f>E230+E237-E249</f>
        <v>#N/A</v>
      </c>
      <c r="F250" s="101">
        <f>F230+F237-F249</f>
        <v>0</v>
      </c>
      <c r="G250" s="781"/>
      <c r="H250" s="17"/>
      <c r="I250" s="79"/>
      <c r="J250" s="616"/>
      <c r="Z250" s="108"/>
      <c r="AA250" s="108"/>
      <c r="AB250" s="108"/>
      <c r="AC250" s="108"/>
      <c r="AD250" s="108"/>
      <c r="AE250" s="108"/>
      <c r="AF250" s="108"/>
      <c r="AG250" s="108"/>
      <c r="AH250" s="108"/>
      <c r="AI250" s="108"/>
      <c r="AJ250" s="108"/>
      <c r="AK250" s="108"/>
      <c r="AL250" s="108"/>
      <c r="AM250" s="108"/>
      <c r="AN250" s="108"/>
      <c r="AO250" s="108"/>
      <c r="AP250" s="108"/>
      <c r="AQ250" s="108"/>
      <c r="AR250" s="108"/>
    </row>
    <row r="251" spans="1:44" ht="21.6" hidden="1" customHeight="1" x14ac:dyDescent="0.3">
      <c r="A251" s="108"/>
      <c r="B251" s="600"/>
      <c r="C251" s="600"/>
      <c r="D251" s="798"/>
      <c r="E251" s="1"/>
      <c r="F251" s="387"/>
      <c r="G251" s="781"/>
      <c r="H251" s="17"/>
      <c r="I251" s="79"/>
      <c r="J251" s="616"/>
      <c r="Z251" s="108"/>
      <c r="AA251" s="108"/>
      <c r="AB251" s="108"/>
      <c r="AC251" s="108"/>
      <c r="AD251" s="108"/>
      <c r="AE251" s="108"/>
      <c r="AF251" s="108"/>
      <c r="AG251" s="108"/>
      <c r="AH251" s="108"/>
      <c r="AI251" s="108"/>
      <c r="AJ251" s="108"/>
      <c r="AK251" s="108"/>
      <c r="AL251" s="108"/>
      <c r="AM251" s="108"/>
      <c r="AN251" s="108"/>
      <c r="AO251" s="108"/>
      <c r="AP251" s="108"/>
      <c r="AQ251" s="108"/>
      <c r="AR251" s="108"/>
    </row>
    <row r="252" spans="1:44" ht="34.5" hidden="1" customHeight="1" x14ac:dyDescent="0.3">
      <c r="A252" s="108"/>
      <c r="B252" s="918"/>
      <c r="C252" s="918"/>
      <c r="D252" s="909" t="s">
        <v>8</v>
      </c>
      <c r="E252" s="920"/>
      <c r="F252" s="921"/>
      <c r="G252" s="922"/>
      <c r="H252" s="17"/>
      <c r="I252" s="79"/>
      <c r="Z252" s="108"/>
      <c r="AA252" s="108"/>
      <c r="AB252" s="108"/>
      <c r="AC252" s="108"/>
      <c r="AD252" s="108"/>
      <c r="AE252" s="108"/>
      <c r="AF252" s="108"/>
      <c r="AG252" s="108"/>
      <c r="AH252" s="108"/>
      <c r="AI252" s="108"/>
      <c r="AJ252" s="108"/>
      <c r="AK252" s="108"/>
      <c r="AL252" s="108"/>
      <c r="AM252" s="108"/>
      <c r="AN252" s="108"/>
      <c r="AO252" s="108"/>
      <c r="AP252" s="108"/>
      <c r="AQ252" s="108"/>
      <c r="AR252" s="108"/>
    </row>
    <row r="253" spans="1:44" ht="55.5" hidden="1" customHeight="1" x14ac:dyDescent="0.3">
      <c r="A253" s="108">
        <v>527</v>
      </c>
      <c r="B253" s="712" t="s">
        <v>58</v>
      </c>
      <c r="C253" s="712" t="s">
        <v>178</v>
      </c>
      <c r="D253" s="29" t="s">
        <v>1548</v>
      </c>
      <c r="E253" s="710" t="e">
        <f>HLOOKUP($D$2,'2020 Data(H)'!$C$1:$CZ$432,177,FALSE)</f>
        <v>#N/A</v>
      </c>
      <c r="F253" s="306">
        <v>0</v>
      </c>
      <c r="G253" s="781"/>
      <c r="H253" s="17"/>
      <c r="I253" s="773"/>
      <c r="Z253" s="108"/>
      <c r="AA253" s="108"/>
      <c r="AB253" s="108"/>
      <c r="AC253" s="108"/>
      <c r="AD253" s="108"/>
      <c r="AE253" s="108"/>
      <c r="AF253" s="108"/>
      <c r="AG253" s="108"/>
      <c r="AH253" s="108"/>
      <c r="AI253" s="108"/>
      <c r="AJ253" s="108"/>
      <c r="AK253" s="108"/>
      <c r="AL253" s="108"/>
      <c r="AM253" s="108"/>
      <c r="AN253" s="108"/>
      <c r="AO253" s="108"/>
      <c r="AP253" s="108"/>
      <c r="AQ253" s="108"/>
      <c r="AR253" s="108"/>
    </row>
    <row r="254" spans="1:44" ht="55.5" hidden="1" customHeight="1" x14ac:dyDescent="0.3">
      <c r="A254" s="108">
        <v>356</v>
      </c>
      <c r="B254" s="712" t="s">
        <v>66</v>
      </c>
      <c r="C254" s="712" t="s">
        <v>178</v>
      </c>
      <c r="D254" s="107" t="s">
        <v>20</v>
      </c>
      <c r="E254" s="710" t="e">
        <f>HLOOKUP($D$2,'2020 Data(H)'!$C$1:$CZ$432,118,FALSE)</f>
        <v>#N/A</v>
      </c>
      <c r="F254" s="306">
        <v>0</v>
      </c>
      <c r="G254" s="781"/>
      <c r="H254" s="17"/>
      <c r="I254" s="773"/>
      <c r="Z254" s="108"/>
      <c r="AA254" s="108"/>
      <c r="AB254" s="108"/>
      <c r="AC254" s="108"/>
      <c r="AD254" s="108"/>
      <c r="AE254" s="108"/>
      <c r="AF254" s="108"/>
      <c r="AG254" s="108"/>
      <c r="AH254" s="108"/>
      <c r="AI254" s="108"/>
      <c r="AJ254" s="108"/>
      <c r="AK254" s="108"/>
      <c r="AL254" s="108"/>
      <c r="AM254" s="108"/>
      <c r="AN254" s="108"/>
      <c r="AO254" s="108"/>
      <c r="AP254" s="108"/>
      <c r="AQ254" s="108"/>
      <c r="AR254" s="108"/>
    </row>
    <row r="255" spans="1:44" ht="55.5" hidden="1" customHeight="1" x14ac:dyDescent="0.3">
      <c r="A255" s="108">
        <v>357</v>
      </c>
      <c r="B255" s="712" t="s">
        <v>56</v>
      </c>
      <c r="C255" s="712" t="s">
        <v>179</v>
      </c>
      <c r="D255" s="107" t="s">
        <v>21</v>
      </c>
      <c r="E255" s="710" t="e">
        <f>HLOOKUP($D$2,'2020 Data(H)'!$C$1:$CZ$432,119,FALSE)</f>
        <v>#N/A</v>
      </c>
      <c r="F255" s="306">
        <v>0</v>
      </c>
      <c r="G255" s="771">
        <f>IF(F255&lt;0,"Error: Enter as positive.",)</f>
        <v>0</v>
      </c>
      <c r="H255" s="17"/>
      <c r="I255" s="773"/>
      <c r="Z255" s="108"/>
      <c r="AA255" s="108"/>
      <c r="AB255" s="108"/>
      <c r="AC255" s="108"/>
      <c r="AD255" s="108"/>
      <c r="AE255" s="108"/>
      <c r="AF255" s="108"/>
      <c r="AG255" s="108"/>
      <c r="AH255" s="108"/>
      <c r="AI255" s="108"/>
      <c r="AJ255" s="108"/>
      <c r="AK255" s="108"/>
      <c r="AL255" s="108"/>
      <c r="AM255" s="108"/>
      <c r="AN255" s="108"/>
      <c r="AO255" s="108"/>
      <c r="AP255" s="108"/>
      <c r="AQ255" s="108"/>
      <c r="AR255" s="108"/>
    </row>
    <row r="256" spans="1:44" s="18" customFormat="1" ht="35.25" hidden="1" customHeight="1" x14ac:dyDescent="0.3">
      <c r="A256" s="108"/>
      <c r="B256" s="907" t="s">
        <v>10</v>
      </c>
      <c r="C256" s="908"/>
      <c r="D256" s="883"/>
      <c r="E256" s="884"/>
      <c r="F256" s="923"/>
      <c r="G256" s="904"/>
      <c r="H256" s="17"/>
      <c r="I256" s="79"/>
      <c r="N256" s="308"/>
      <c r="Z256" s="108"/>
      <c r="AA256" s="108"/>
      <c r="AB256" s="108"/>
      <c r="AC256" s="108"/>
      <c r="AD256" s="108"/>
      <c r="AE256" s="108"/>
      <c r="AF256" s="108"/>
      <c r="AG256" s="108"/>
      <c r="AH256" s="108"/>
      <c r="AI256" s="108"/>
      <c r="AJ256" s="108"/>
      <c r="AK256" s="108"/>
      <c r="AL256" s="108"/>
      <c r="AM256" s="108"/>
      <c r="AN256" s="108"/>
      <c r="AO256" s="108"/>
      <c r="AP256" s="108"/>
      <c r="AQ256" s="108"/>
      <c r="AR256" s="108"/>
    </row>
    <row r="257" spans="1:1881" s="18" customFormat="1" ht="273.75" hidden="1" customHeight="1" x14ac:dyDescent="0.3">
      <c r="A257" s="108">
        <v>337</v>
      </c>
      <c r="B257" s="4" t="s">
        <v>56</v>
      </c>
      <c r="C257" s="4" t="s">
        <v>1549</v>
      </c>
      <c r="D257" s="24" t="s">
        <v>1334</v>
      </c>
      <c r="E257" s="710" t="e">
        <f>HLOOKUP($D$2,'2020 Data(H)'!$C$1:$CZ$432,103,FALSE)</f>
        <v>#N/A</v>
      </c>
      <c r="F257" s="306">
        <v>0</v>
      </c>
      <c r="G257" s="771">
        <f>IF(F257&lt;0,"Error: Enter as positive.",)</f>
        <v>0</v>
      </c>
      <c r="H257" s="17"/>
      <c r="I257" s="79"/>
      <c r="N257" s="308"/>
      <c r="Z257" s="108"/>
      <c r="AA257" s="108"/>
      <c r="AB257" s="108"/>
      <c r="AC257" s="108"/>
      <c r="AD257" s="108"/>
      <c r="AE257" s="108"/>
      <c r="AF257" s="108"/>
      <c r="AG257" s="108"/>
      <c r="AH257" s="108"/>
      <c r="AI257" s="108"/>
      <c r="AJ257" s="108"/>
      <c r="AK257" s="108"/>
      <c r="AL257" s="108"/>
      <c r="AM257" s="108"/>
      <c r="AN257" s="108"/>
      <c r="AO257" s="108"/>
      <c r="AP257" s="108"/>
      <c r="AQ257" s="108"/>
      <c r="AR257" s="108"/>
    </row>
    <row r="258" spans="1:1881" s="18" customFormat="1" ht="81.75" hidden="1" customHeight="1" x14ac:dyDescent="0.3">
      <c r="A258" s="108">
        <v>343</v>
      </c>
      <c r="B258" s="4" t="s">
        <v>56</v>
      </c>
      <c r="C258" s="4" t="s">
        <v>656</v>
      </c>
      <c r="D258" s="29" t="s">
        <v>1550</v>
      </c>
      <c r="E258" s="710" t="e">
        <f>HLOOKUP($D$2,'2020 Data(H)'!$C$1:$CZ$432,109,FALSE)</f>
        <v>#N/A</v>
      </c>
      <c r="F258" s="306">
        <v>0</v>
      </c>
      <c r="G258" s="771">
        <f>IF(F258&lt;0,"Error: Enter as positive.",)</f>
        <v>0</v>
      </c>
      <c r="H258" s="17"/>
      <c r="I258" s="79"/>
      <c r="M258" s="98"/>
      <c r="N258" s="308"/>
      <c r="Z258" s="108"/>
      <c r="AA258" s="108"/>
      <c r="AB258" s="108"/>
      <c r="AC258" s="108"/>
      <c r="AD258" s="108"/>
      <c r="AE258" s="108"/>
      <c r="AF258" s="108"/>
      <c r="AG258" s="108"/>
      <c r="AH258" s="108"/>
      <c r="AI258" s="108"/>
      <c r="AJ258" s="108"/>
      <c r="AK258" s="108"/>
      <c r="AL258" s="108"/>
      <c r="AM258" s="108"/>
      <c r="AN258" s="108"/>
      <c r="AO258" s="108"/>
      <c r="AP258" s="108"/>
      <c r="AQ258" s="108"/>
      <c r="AR258" s="108"/>
    </row>
    <row r="259" spans="1:1881" ht="274.5" hidden="1" customHeight="1" x14ac:dyDescent="0.3">
      <c r="A259" s="108">
        <v>82</v>
      </c>
      <c r="B259" s="4" t="s">
        <v>61</v>
      </c>
      <c r="C259" s="4" t="s">
        <v>1551</v>
      </c>
      <c r="D259" s="24" t="s">
        <v>861</v>
      </c>
      <c r="E259" s="710" t="e">
        <f>HLOOKUP($D$2,'2020 Data(H)'!$C$1:$CZ$432,46,FALSE)</f>
        <v>#N/A</v>
      </c>
      <c r="F259" s="306">
        <v>0</v>
      </c>
      <c r="G259" s="771">
        <f>IF(F259&lt;0,"Error: Enter as positive.",)</f>
        <v>0</v>
      </c>
      <c r="H259" s="17"/>
      <c r="I259" s="808"/>
      <c r="Z259" s="108"/>
      <c r="AA259" s="108"/>
      <c r="AB259" s="108"/>
      <c r="AC259" s="108"/>
      <c r="AD259" s="108"/>
      <c r="AE259" s="108"/>
      <c r="AF259" s="108"/>
      <c r="AG259" s="108"/>
      <c r="AH259" s="108"/>
      <c r="AI259" s="108"/>
      <c r="AJ259" s="108"/>
      <c r="AK259" s="108"/>
      <c r="AL259" s="108"/>
      <c r="AM259" s="108"/>
      <c r="AN259" s="108"/>
      <c r="AO259" s="108"/>
      <c r="AP259" s="108"/>
      <c r="AQ259" s="108"/>
      <c r="AR259" s="108"/>
    </row>
    <row r="260" spans="1:1881" ht="270.75" hidden="1" customHeight="1" x14ac:dyDescent="0.3">
      <c r="A260" s="108">
        <v>359</v>
      </c>
      <c r="B260" s="4" t="s">
        <v>56</v>
      </c>
      <c r="C260" s="4" t="s">
        <v>1552</v>
      </c>
      <c r="D260" s="24" t="s">
        <v>861</v>
      </c>
      <c r="E260" s="710" t="e">
        <f>HLOOKUP($D$2,'2020 Data(H)'!$C$1:$CZ$432,120,FALSE)</f>
        <v>#N/A</v>
      </c>
      <c r="F260" s="306">
        <v>0</v>
      </c>
      <c r="G260" s="771">
        <f>IF(F260&lt;0,"Error: Enter as positive.",)</f>
        <v>0</v>
      </c>
      <c r="H260" s="17"/>
      <c r="I260" s="808"/>
      <c r="J260" s="616"/>
      <c r="L260" s="809" t="str">
        <f>IF(ISBLANK(K258),"",IF(ISBLANK(K259),"",IF(K260=M260,"","Please review percentage")))</f>
        <v/>
      </c>
      <c r="Z260" s="108"/>
      <c r="AA260" s="108"/>
      <c r="AB260" s="108"/>
      <c r="AC260" s="108"/>
      <c r="AD260" s="108"/>
      <c r="AE260" s="108"/>
      <c r="AF260" s="108"/>
      <c r="AG260" s="108"/>
      <c r="AH260" s="108"/>
      <c r="AI260" s="108"/>
      <c r="AJ260" s="108"/>
      <c r="AK260" s="108"/>
      <c r="AL260" s="108"/>
      <c r="AM260" s="108"/>
      <c r="AN260" s="108"/>
      <c r="AO260" s="108"/>
      <c r="AP260" s="108"/>
      <c r="AQ260" s="108"/>
      <c r="AR260" s="108"/>
    </row>
    <row r="261" spans="1:1881" s="811" customFormat="1" ht="33" customHeight="1" x14ac:dyDescent="0.3">
      <c r="A261" s="108"/>
      <c r="B261" s="868" t="s">
        <v>690</v>
      </c>
      <c r="C261" s="869"/>
      <c r="D261" s="96"/>
      <c r="E261" s="810"/>
      <c r="F261" s="796"/>
      <c r="G261" s="770"/>
      <c r="H261" s="17"/>
      <c r="I261" s="808"/>
      <c r="J261" s="18"/>
      <c r="K261" s="18"/>
      <c r="L261" s="18"/>
      <c r="M261" s="18"/>
      <c r="N261" s="308"/>
      <c r="O261" s="18"/>
      <c r="P261" s="18"/>
      <c r="Q261" s="18"/>
      <c r="R261" s="18"/>
      <c r="S261" s="18"/>
      <c r="T261" s="18"/>
      <c r="U261" s="18"/>
      <c r="V261" s="18"/>
      <c r="W261" s="18"/>
      <c r="X261" s="18"/>
      <c r="Y261" s="18"/>
      <c r="Z261" s="108"/>
      <c r="AA261" s="108"/>
      <c r="AB261" s="108"/>
      <c r="AC261" s="108"/>
      <c r="AD261" s="108"/>
      <c r="AE261" s="108"/>
      <c r="AF261" s="108"/>
      <c r="AG261" s="108"/>
      <c r="AH261" s="108"/>
      <c r="AI261" s="108"/>
      <c r="AJ261" s="108"/>
      <c r="AK261" s="108"/>
      <c r="AL261" s="108"/>
      <c r="AM261" s="108"/>
      <c r="AN261" s="108"/>
      <c r="AO261" s="108"/>
      <c r="AP261" s="108"/>
      <c r="AQ261" s="108"/>
      <c r="AR261" s="108"/>
      <c r="AS261" s="18"/>
      <c r="AT261" s="18"/>
      <c r="AU261" s="18"/>
      <c r="AV261" s="18"/>
      <c r="AW261" s="18"/>
      <c r="AX261" s="18"/>
      <c r="AY261" s="18"/>
      <c r="AZ261" s="18"/>
      <c r="BA261" s="18"/>
      <c r="BB261" s="18"/>
      <c r="BC261" s="18"/>
      <c r="BD261" s="18"/>
      <c r="BE261" s="18"/>
      <c r="BF261" s="18"/>
      <c r="BG261" s="18"/>
      <c r="BH261" s="18"/>
      <c r="BI261" s="18"/>
      <c r="BJ261" s="18"/>
      <c r="BK261" s="18"/>
      <c r="BL261" s="18"/>
      <c r="BM261" s="18"/>
      <c r="BN261" s="18"/>
      <c r="BO261" s="18"/>
      <c r="BP261" s="18"/>
      <c r="BQ261" s="18"/>
      <c r="BR261" s="18"/>
      <c r="BS261" s="18"/>
      <c r="BT261" s="18"/>
      <c r="BU261" s="18"/>
      <c r="BV261" s="18"/>
      <c r="BW261" s="18"/>
      <c r="BX261" s="18"/>
      <c r="BY261" s="18"/>
      <c r="BZ261" s="18"/>
      <c r="CA261" s="18"/>
      <c r="CB261" s="18"/>
      <c r="CC261" s="18"/>
      <c r="CD261" s="18"/>
      <c r="CE261" s="18"/>
      <c r="CF261" s="18"/>
      <c r="CG261" s="18"/>
      <c r="CH261" s="18"/>
      <c r="CI261" s="18"/>
      <c r="CJ261" s="18"/>
      <c r="CK261" s="18"/>
      <c r="CL261" s="18"/>
      <c r="CM261" s="18"/>
      <c r="CN261" s="18"/>
      <c r="CO261" s="18"/>
      <c r="CP261" s="18"/>
      <c r="CQ261" s="18"/>
      <c r="CR261" s="18"/>
      <c r="CS261" s="18"/>
      <c r="CT261" s="18"/>
      <c r="CU261" s="18"/>
      <c r="CV261" s="18"/>
      <c r="CW261" s="18"/>
      <c r="CX261" s="18"/>
      <c r="CY261" s="18"/>
      <c r="CZ261" s="18"/>
      <c r="DA261" s="18"/>
      <c r="DB261" s="18"/>
      <c r="DC261" s="18"/>
      <c r="DD261" s="18"/>
      <c r="DE261" s="18"/>
      <c r="DF261" s="18"/>
      <c r="DG261" s="18"/>
      <c r="DH261" s="18"/>
      <c r="DI261" s="18"/>
      <c r="DJ261" s="18"/>
      <c r="DK261" s="18"/>
      <c r="DL261" s="18"/>
      <c r="DM261" s="18"/>
      <c r="DN261" s="18"/>
      <c r="DO261" s="18"/>
      <c r="DP261" s="18"/>
      <c r="DQ261" s="18"/>
      <c r="DR261" s="18"/>
      <c r="DS261" s="18"/>
      <c r="DT261" s="18"/>
      <c r="DU261" s="18"/>
      <c r="DV261" s="18"/>
      <c r="DW261" s="18"/>
      <c r="DX261" s="18"/>
      <c r="DY261" s="18"/>
      <c r="DZ261" s="18"/>
      <c r="EA261" s="18"/>
      <c r="EB261" s="18"/>
      <c r="EC261" s="18"/>
      <c r="ED261" s="18"/>
      <c r="EE261" s="18"/>
      <c r="EF261" s="18"/>
      <c r="EG261" s="18"/>
      <c r="EH261" s="18"/>
      <c r="EI261" s="18"/>
      <c r="EJ261" s="18"/>
      <c r="EK261" s="18"/>
      <c r="EL261" s="18"/>
      <c r="EM261" s="18"/>
      <c r="EN261" s="18"/>
      <c r="EO261" s="18"/>
      <c r="EP261" s="18"/>
      <c r="EQ261" s="18"/>
      <c r="ER261" s="18"/>
      <c r="ES261" s="18"/>
      <c r="ET261" s="18"/>
      <c r="EU261" s="18"/>
      <c r="EV261" s="18"/>
      <c r="EW261" s="18"/>
      <c r="EX261" s="18"/>
      <c r="EY261" s="18"/>
      <c r="EZ261" s="18"/>
      <c r="FA261" s="18"/>
      <c r="FB261" s="18"/>
      <c r="FC261" s="18"/>
      <c r="FD261" s="18"/>
      <c r="FE261" s="18"/>
      <c r="FF261" s="18"/>
      <c r="FG261" s="18"/>
      <c r="FH261" s="18"/>
      <c r="FI261" s="18"/>
      <c r="FJ261" s="18"/>
      <c r="FK261" s="18"/>
      <c r="FL261" s="18"/>
      <c r="FM261" s="18"/>
      <c r="FN261" s="18"/>
      <c r="FO261" s="18"/>
      <c r="FP261" s="18"/>
      <c r="FQ261" s="18"/>
      <c r="FR261" s="18"/>
      <c r="FS261" s="18"/>
      <c r="FT261" s="18"/>
      <c r="FU261" s="18"/>
      <c r="FV261" s="18"/>
      <c r="FW261" s="18"/>
      <c r="FX261" s="18"/>
      <c r="FY261" s="18"/>
      <c r="FZ261" s="18"/>
      <c r="GA261" s="18"/>
      <c r="GB261" s="18"/>
      <c r="GC261" s="18"/>
      <c r="GD261" s="18"/>
      <c r="GE261" s="18"/>
      <c r="GF261" s="18"/>
      <c r="GG261" s="18"/>
      <c r="GH261" s="18"/>
      <c r="GI261" s="18"/>
      <c r="GJ261" s="18"/>
      <c r="GK261" s="18"/>
      <c r="GL261" s="18"/>
      <c r="GM261" s="18"/>
      <c r="GN261" s="18"/>
      <c r="GO261" s="18"/>
      <c r="GP261" s="18"/>
      <c r="GQ261" s="18"/>
      <c r="GR261" s="18"/>
      <c r="GS261" s="18"/>
      <c r="GT261" s="18"/>
      <c r="GU261" s="18"/>
      <c r="GV261" s="18"/>
      <c r="GW261" s="18"/>
      <c r="GX261" s="18"/>
      <c r="GY261" s="18"/>
      <c r="GZ261" s="18"/>
      <c r="HA261" s="18"/>
      <c r="HB261" s="18"/>
      <c r="HC261" s="18"/>
      <c r="HD261" s="18"/>
      <c r="HE261" s="18"/>
      <c r="HF261" s="18"/>
      <c r="HG261" s="18"/>
      <c r="HH261" s="18"/>
      <c r="HI261" s="18"/>
      <c r="HJ261" s="18"/>
      <c r="HK261" s="18"/>
      <c r="HL261" s="18"/>
      <c r="HM261" s="18"/>
      <c r="HN261" s="18"/>
      <c r="HO261" s="18"/>
      <c r="HP261" s="18"/>
      <c r="HQ261" s="18"/>
      <c r="HR261" s="18"/>
      <c r="HS261" s="18"/>
      <c r="HT261" s="18"/>
      <c r="HU261" s="18"/>
      <c r="HV261" s="18"/>
      <c r="HW261" s="18"/>
      <c r="HX261" s="18"/>
      <c r="HY261" s="18"/>
      <c r="HZ261" s="18"/>
      <c r="IA261" s="18"/>
      <c r="IB261" s="18"/>
      <c r="IC261" s="18"/>
      <c r="ID261" s="18"/>
      <c r="IE261" s="18"/>
      <c r="IF261" s="18"/>
      <c r="IG261" s="18"/>
      <c r="IH261" s="18"/>
      <c r="II261" s="18"/>
      <c r="IJ261" s="18"/>
      <c r="IK261" s="18"/>
      <c r="IL261" s="18"/>
      <c r="IM261" s="18"/>
      <c r="IN261" s="18"/>
      <c r="IO261" s="18"/>
      <c r="IP261" s="18"/>
      <c r="IQ261" s="18"/>
      <c r="IR261" s="18"/>
      <c r="IS261" s="18"/>
      <c r="IT261" s="18"/>
      <c r="IU261" s="18"/>
      <c r="IV261" s="18"/>
      <c r="IW261" s="18"/>
      <c r="IX261" s="18"/>
      <c r="IY261" s="18"/>
      <c r="IZ261" s="18"/>
      <c r="JA261" s="18"/>
      <c r="JB261" s="18"/>
      <c r="JC261" s="18"/>
      <c r="JD261" s="18"/>
      <c r="JE261" s="18"/>
      <c r="JF261" s="18"/>
      <c r="JG261" s="18"/>
      <c r="JH261" s="18"/>
      <c r="JI261" s="18"/>
      <c r="JJ261" s="18"/>
      <c r="JK261" s="18"/>
      <c r="JL261" s="18"/>
      <c r="JM261" s="18"/>
      <c r="JN261" s="18"/>
      <c r="JO261" s="18"/>
      <c r="JP261" s="18"/>
      <c r="JQ261" s="18"/>
      <c r="JR261" s="18"/>
      <c r="JS261" s="18"/>
      <c r="JT261" s="18"/>
      <c r="JU261" s="18"/>
      <c r="JV261" s="18"/>
      <c r="JW261" s="18"/>
      <c r="JX261" s="18"/>
      <c r="JY261" s="18"/>
      <c r="JZ261" s="18"/>
      <c r="KA261" s="18"/>
      <c r="KB261" s="18"/>
      <c r="KC261" s="18"/>
      <c r="KD261" s="18"/>
      <c r="KE261" s="18"/>
      <c r="KF261" s="18"/>
      <c r="KG261" s="18"/>
      <c r="KH261" s="18"/>
      <c r="KI261" s="18"/>
      <c r="KJ261" s="18"/>
      <c r="KK261" s="18"/>
      <c r="KL261" s="18"/>
      <c r="KM261" s="18"/>
      <c r="KN261" s="18"/>
      <c r="KO261" s="18"/>
      <c r="KP261" s="18"/>
      <c r="KQ261" s="18"/>
      <c r="KR261" s="18"/>
      <c r="KS261" s="18"/>
      <c r="KT261" s="18"/>
      <c r="KU261" s="18"/>
      <c r="KV261" s="18"/>
      <c r="KW261" s="18"/>
      <c r="KX261" s="18"/>
      <c r="KY261" s="18"/>
      <c r="KZ261" s="18"/>
      <c r="LA261" s="18"/>
      <c r="LB261" s="18"/>
      <c r="LC261" s="18"/>
      <c r="LD261" s="18"/>
      <c r="LE261" s="18"/>
      <c r="LF261" s="18"/>
      <c r="LG261" s="18"/>
      <c r="LH261" s="18"/>
      <c r="LI261" s="18"/>
      <c r="LJ261" s="18"/>
      <c r="LK261" s="18"/>
      <c r="LL261" s="18"/>
      <c r="LM261" s="18"/>
      <c r="LN261" s="18"/>
      <c r="LO261" s="18"/>
      <c r="LP261" s="18"/>
      <c r="LQ261" s="18"/>
      <c r="LR261" s="18"/>
      <c r="LS261" s="18"/>
      <c r="LT261" s="18"/>
      <c r="LU261" s="18"/>
      <c r="LV261" s="18"/>
      <c r="LW261" s="18"/>
      <c r="LX261" s="18"/>
      <c r="LY261" s="18"/>
      <c r="LZ261" s="18"/>
      <c r="MA261" s="18"/>
      <c r="MB261" s="18"/>
      <c r="MC261" s="18"/>
      <c r="MD261" s="18"/>
      <c r="ME261" s="18"/>
      <c r="MF261" s="18"/>
      <c r="MG261" s="18"/>
      <c r="MH261" s="18"/>
      <c r="MI261" s="18"/>
      <c r="MJ261" s="18"/>
      <c r="MK261" s="18"/>
      <c r="ML261" s="18"/>
      <c r="MM261" s="18"/>
      <c r="MN261" s="18"/>
      <c r="MO261" s="18"/>
      <c r="MP261" s="18"/>
      <c r="MQ261" s="18"/>
      <c r="MR261" s="18"/>
      <c r="MS261" s="18"/>
      <c r="MT261" s="18"/>
      <c r="MU261" s="18"/>
      <c r="MV261" s="18"/>
      <c r="MW261" s="18"/>
      <c r="MX261" s="18"/>
      <c r="MY261" s="18"/>
      <c r="MZ261" s="18"/>
      <c r="NA261" s="18"/>
      <c r="NB261" s="18"/>
      <c r="NC261" s="18"/>
      <c r="ND261" s="18"/>
      <c r="NE261" s="18"/>
      <c r="NF261" s="18"/>
      <c r="NG261" s="18"/>
      <c r="NH261" s="18"/>
      <c r="NI261" s="18"/>
      <c r="NJ261" s="18"/>
      <c r="NK261" s="18"/>
      <c r="NL261" s="18"/>
      <c r="NM261" s="18"/>
      <c r="NN261" s="18"/>
      <c r="NO261" s="18"/>
      <c r="NP261" s="18"/>
      <c r="NQ261" s="18"/>
      <c r="NR261" s="18"/>
      <c r="NS261" s="18"/>
      <c r="NT261" s="18"/>
      <c r="NU261" s="18"/>
      <c r="NV261" s="18"/>
      <c r="NW261" s="18"/>
      <c r="NX261" s="18"/>
      <c r="NY261" s="18"/>
      <c r="NZ261" s="18"/>
      <c r="OA261" s="18"/>
      <c r="OB261" s="18"/>
      <c r="OC261" s="18"/>
      <c r="OD261" s="18"/>
      <c r="OE261" s="18"/>
      <c r="OF261" s="18"/>
      <c r="OG261" s="18"/>
      <c r="OH261" s="18"/>
      <c r="OI261" s="18"/>
      <c r="OJ261" s="18"/>
      <c r="OK261" s="18"/>
      <c r="OL261" s="18"/>
      <c r="OM261" s="18"/>
      <c r="ON261" s="18"/>
      <c r="OO261" s="18"/>
      <c r="OP261" s="18"/>
      <c r="OQ261" s="18"/>
      <c r="OR261" s="18"/>
      <c r="OS261" s="18"/>
      <c r="OT261" s="18"/>
      <c r="OU261" s="18"/>
      <c r="OV261" s="18"/>
      <c r="OW261" s="18"/>
      <c r="OX261" s="18"/>
      <c r="OY261" s="18"/>
      <c r="OZ261" s="18"/>
      <c r="PA261" s="18"/>
      <c r="PB261" s="18"/>
      <c r="PC261" s="18"/>
      <c r="PD261" s="18"/>
      <c r="PE261" s="18"/>
      <c r="PF261" s="18"/>
      <c r="PG261" s="18"/>
      <c r="PH261" s="18"/>
      <c r="PI261" s="18"/>
      <c r="PJ261" s="18"/>
      <c r="PK261" s="18"/>
      <c r="PL261" s="18"/>
      <c r="PM261" s="18"/>
      <c r="PN261" s="18"/>
      <c r="PO261" s="18"/>
      <c r="PP261" s="18"/>
      <c r="PQ261" s="18"/>
      <c r="PR261" s="18"/>
      <c r="PS261" s="18"/>
      <c r="PT261" s="18"/>
      <c r="PU261" s="18"/>
      <c r="PV261" s="18"/>
      <c r="PW261" s="18"/>
      <c r="PX261" s="18"/>
      <c r="PY261" s="18"/>
      <c r="PZ261" s="18"/>
      <c r="QA261" s="18"/>
      <c r="QB261" s="18"/>
      <c r="QC261" s="18"/>
      <c r="QD261" s="18"/>
      <c r="QE261" s="18"/>
      <c r="QF261" s="18"/>
      <c r="QG261" s="18"/>
      <c r="QH261" s="18"/>
      <c r="QI261" s="18"/>
      <c r="QJ261" s="18"/>
      <c r="QK261" s="18"/>
      <c r="QL261" s="18"/>
      <c r="QM261" s="18"/>
      <c r="QN261" s="18"/>
      <c r="QO261" s="18"/>
      <c r="QP261" s="18"/>
      <c r="QQ261" s="18"/>
      <c r="QR261" s="18"/>
      <c r="QS261" s="18"/>
      <c r="QT261" s="18"/>
      <c r="QU261" s="18"/>
      <c r="QV261" s="18"/>
      <c r="QW261" s="18"/>
      <c r="QX261" s="18"/>
      <c r="QY261" s="18"/>
      <c r="QZ261" s="18"/>
      <c r="RA261" s="18"/>
      <c r="RB261" s="18"/>
      <c r="RC261" s="18"/>
      <c r="RD261" s="18"/>
      <c r="RE261" s="18"/>
      <c r="RF261" s="18"/>
      <c r="RG261" s="18"/>
      <c r="RH261" s="18"/>
      <c r="RI261" s="18"/>
      <c r="RJ261" s="18"/>
      <c r="RK261" s="18"/>
      <c r="RL261" s="18"/>
      <c r="RM261" s="18"/>
      <c r="RN261" s="18"/>
      <c r="RO261" s="18"/>
      <c r="RP261" s="18"/>
      <c r="RQ261" s="18"/>
      <c r="RR261" s="18"/>
      <c r="RS261" s="18"/>
      <c r="RT261" s="18"/>
      <c r="RU261" s="18"/>
      <c r="RV261" s="18"/>
      <c r="RW261" s="18"/>
      <c r="RX261" s="18"/>
      <c r="RY261" s="18"/>
      <c r="RZ261" s="18"/>
      <c r="SA261" s="18"/>
      <c r="SB261" s="18"/>
      <c r="SC261" s="18"/>
      <c r="SD261" s="18"/>
      <c r="SE261" s="18"/>
      <c r="SF261" s="18"/>
      <c r="SG261" s="18"/>
      <c r="SH261" s="18"/>
      <c r="SI261" s="18"/>
      <c r="SJ261" s="18"/>
      <c r="SK261" s="18"/>
      <c r="SL261" s="18"/>
      <c r="SM261" s="18"/>
      <c r="SN261" s="18"/>
      <c r="SO261" s="18"/>
      <c r="SP261" s="18"/>
      <c r="SQ261" s="18"/>
      <c r="SR261" s="18"/>
      <c r="SS261" s="18"/>
      <c r="ST261" s="18"/>
      <c r="SU261" s="18"/>
      <c r="SV261" s="18"/>
      <c r="SW261" s="18"/>
      <c r="SX261" s="18"/>
      <c r="SY261" s="18"/>
      <c r="SZ261" s="18"/>
      <c r="TA261" s="18"/>
      <c r="TB261" s="18"/>
      <c r="TC261" s="18"/>
      <c r="TD261" s="18"/>
      <c r="TE261" s="18"/>
      <c r="TF261" s="18"/>
      <c r="TG261" s="18"/>
      <c r="TH261" s="18"/>
      <c r="TI261" s="18"/>
      <c r="TJ261" s="18"/>
      <c r="TK261" s="18"/>
      <c r="TL261" s="18"/>
      <c r="TM261" s="18"/>
      <c r="TN261" s="18"/>
      <c r="TO261" s="18"/>
      <c r="TP261" s="18"/>
      <c r="TQ261" s="18"/>
      <c r="TR261" s="18"/>
      <c r="TS261" s="18"/>
      <c r="TT261" s="18"/>
      <c r="TU261" s="18"/>
      <c r="TV261" s="18"/>
      <c r="TW261" s="18"/>
      <c r="TX261" s="18"/>
      <c r="TY261" s="18"/>
      <c r="TZ261" s="18"/>
      <c r="UA261" s="18"/>
      <c r="UB261" s="18"/>
      <c r="UC261" s="18"/>
      <c r="UD261" s="18"/>
      <c r="UE261" s="18"/>
      <c r="UF261" s="18"/>
      <c r="UG261" s="18"/>
      <c r="UH261" s="18"/>
      <c r="UI261" s="18"/>
      <c r="UJ261" s="18"/>
      <c r="UK261" s="18"/>
      <c r="UL261" s="18"/>
      <c r="UM261" s="18"/>
      <c r="UN261" s="18"/>
      <c r="UO261" s="18"/>
      <c r="UP261" s="18"/>
      <c r="UQ261" s="18"/>
      <c r="UR261" s="18"/>
      <c r="US261" s="18"/>
      <c r="UT261" s="18"/>
      <c r="UU261" s="18"/>
      <c r="UV261" s="18"/>
      <c r="UW261" s="18"/>
      <c r="UX261" s="18"/>
      <c r="UY261" s="18"/>
      <c r="UZ261" s="18"/>
      <c r="VA261" s="18"/>
      <c r="VB261" s="18"/>
      <c r="VC261" s="18"/>
      <c r="VD261" s="18"/>
      <c r="VE261" s="18"/>
      <c r="VF261" s="18"/>
      <c r="VG261" s="18"/>
      <c r="VH261" s="18"/>
      <c r="VI261" s="18"/>
      <c r="VJ261" s="18"/>
      <c r="VK261" s="18"/>
      <c r="VL261" s="18"/>
      <c r="VM261" s="18"/>
      <c r="VN261" s="18"/>
      <c r="VO261" s="18"/>
      <c r="VP261" s="18"/>
      <c r="VQ261" s="18"/>
      <c r="VR261" s="18"/>
      <c r="VS261" s="18"/>
      <c r="VT261" s="18"/>
      <c r="VU261" s="18"/>
      <c r="VV261" s="18"/>
      <c r="VW261" s="18"/>
      <c r="VX261" s="18"/>
      <c r="VY261" s="18"/>
      <c r="VZ261" s="18"/>
      <c r="WA261" s="18"/>
      <c r="WB261" s="18"/>
      <c r="WC261" s="18"/>
      <c r="WD261" s="18"/>
      <c r="WE261" s="18"/>
      <c r="WF261" s="18"/>
      <c r="WG261" s="18"/>
      <c r="WH261" s="18"/>
      <c r="WI261" s="18"/>
      <c r="WJ261" s="18"/>
      <c r="WK261" s="18"/>
      <c r="WL261" s="18"/>
      <c r="WM261" s="18"/>
      <c r="WN261" s="18"/>
      <c r="WO261" s="18"/>
      <c r="WP261" s="18"/>
      <c r="WQ261" s="18"/>
      <c r="WR261" s="18"/>
      <c r="WS261" s="18"/>
      <c r="WT261" s="18"/>
      <c r="WU261" s="18"/>
      <c r="WV261" s="18"/>
      <c r="WW261" s="18"/>
      <c r="WX261" s="18"/>
      <c r="WY261" s="18"/>
      <c r="WZ261" s="18"/>
      <c r="XA261" s="18"/>
      <c r="XB261" s="18"/>
      <c r="XC261" s="18"/>
      <c r="XD261" s="18"/>
      <c r="XE261" s="18"/>
      <c r="XF261" s="18"/>
      <c r="XG261" s="18"/>
      <c r="XH261" s="18"/>
      <c r="XI261" s="18"/>
      <c r="XJ261" s="18"/>
      <c r="XK261" s="18"/>
      <c r="XL261" s="18"/>
      <c r="XM261" s="18"/>
      <c r="XN261" s="18"/>
      <c r="XO261" s="18"/>
      <c r="XP261" s="18"/>
      <c r="XQ261" s="18"/>
      <c r="XR261" s="18"/>
      <c r="XS261" s="18"/>
      <c r="XT261" s="18"/>
      <c r="XU261" s="18"/>
      <c r="XV261" s="18"/>
      <c r="XW261" s="18"/>
      <c r="XX261" s="18"/>
      <c r="XY261" s="18"/>
      <c r="XZ261" s="18"/>
      <c r="YA261" s="18"/>
      <c r="YB261" s="18"/>
      <c r="YC261" s="18"/>
      <c r="YD261" s="18"/>
      <c r="YE261" s="18"/>
      <c r="YF261" s="18"/>
      <c r="YG261" s="18"/>
      <c r="YH261" s="18"/>
      <c r="YI261" s="18"/>
      <c r="YJ261" s="18"/>
      <c r="YK261" s="18"/>
      <c r="YL261" s="18"/>
      <c r="YM261" s="18"/>
      <c r="YN261" s="18"/>
      <c r="YO261" s="18"/>
      <c r="YP261" s="18"/>
      <c r="YQ261" s="18"/>
      <c r="YR261" s="18"/>
      <c r="YS261" s="18"/>
      <c r="YT261" s="18"/>
      <c r="YU261" s="18"/>
      <c r="YV261" s="18"/>
      <c r="YW261" s="18"/>
      <c r="YX261" s="18"/>
      <c r="YY261" s="18"/>
      <c r="YZ261" s="18"/>
      <c r="ZA261" s="18"/>
      <c r="ZB261" s="18"/>
      <c r="ZC261" s="18"/>
      <c r="ZD261" s="18"/>
      <c r="ZE261" s="18"/>
      <c r="ZF261" s="18"/>
      <c r="ZG261" s="18"/>
      <c r="ZH261" s="18"/>
      <c r="ZI261" s="18"/>
      <c r="ZJ261" s="18"/>
      <c r="ZK261" s="18"/>
      <c r="ZL261" s="18"/>
      <c r="ZM261" s="18"/>
      <c r="ZN261" s="18"/>
      <c r="ZO261" s="18"/>
      <c r="ZP261" s="18"/>
      <c r="ZQ261" s="18"/>
      <c r="ZR261" s="18"/>
      <c r="ZS261" s="18"/>
      <c r="ZT261" s="18"/>
      <c r="ZU261" s="18"/>
      <c r="ZV261" s="18"/>
      <c r="ZW261" s="18"/>
      <c r="ZX261" s="18"/>
      <c r="ZY261" s="18"/>
      <c r="ZZ261" s="18"/>
      <c r="AAA261" s="18"/>
      <c r="AAB261" s="18"/>
      <c r="AAC261" s="18"/>
      <c r="AAD261" s="18"/>
      <c r="AAE261" s="18"/>
      <c r="AAF261" s="18"/>
      <c r="AAG261" s="18"/>
      <c r="AAH261" s="18"/>
      <c r="AAI261" s="18"/>
      <c r="AAJ261" s="18"/>
      <c r="AAK261" s="18"/>
      <c r="AAL261" s="18"/>
      <c r="AAM261" s="18"/>
      <c r="AAN261" s="18"/>
      <c r="AAO261" s="18"/>
      <c r="AAP261" s="18"/>
      <c r="AAQ261" s="18"/>
      <c r="AAR261" s="18"/>
      <c r="AAS261" s="18"/>
      <c r="AAT261" s="18"/>
      <c r="AAU261" s="18"/>
      <c r="AAV261" s="18"/>
      <c r="AAW261" s="18"/>
      <c r="AAX261" s="18"/>
      <c r="AAY261" s="18"/>
      <c r="AAZ261" s="18"/>
      <c r="ABA261" s="18"/>
      <c r="ABB261" s="18"/>
      <c r="ABC261" s="18"/>
      <c r="ABD261" s="18"/>
      <c r="ABE261" s="18"/>
      <c r="ABF261" s="18"/>
      <c r="ABG261" s="18"/>
      <c r="ABH261" s="18"/>
      <c r="ABI261" s="18"/>
      <c r="ABJ261" s="18"/>
      <c r="ABK261" s="18"/>
      <c r="ABL261" s="18"/>
      <c r="ABM261" s="18"/>
      <c r="ABN261" s="18"/>
      <c r="ABO261" s="18"/>
      <c r="ABP261" s="18"/>
      <c r="ABQ261" s="18"/>
      <c r="ABR261" s="18"/>
      <c r="ABS261" s="18"/>
      <c r="ABT261" s="18"/>
      <c r="ABU261" s="18"/>
      <c r="ABV261" s="18"/>
      <c r="ABW261" s="18"/>
      <c r="ABX261" s="18"/>
      <c r="ABY261" s="18"/>
      <c r="ABZ261" s="18"/>
      <c r="ACA261" s="18"/>
      <c r="ACB261" s="18"/>
      <c r="ACC261" s="18"/>
      <c r="ACD261" s="18"/>
      <c r="ACE261" s="18"/>
      <c r="ACF261" s="18"/>
      <c r="ACG261" s="18"/>
      <c r="ACH261" s="18"/>
      <c r="ACI261" s="18"/>
      <c r="ACJ261" s="18"/>
      <c r="ACK261" s="18"/>
      <c r="ACL261" s="18"/>
      <c r="ACM261" s="18"/>
      <c r="ACN261" s="18"/>
      <c r="ACO261" s="18"/>
      <c r="ACP261" s="18"/>
      <c r="ACQ261" s="18"/>
      <c r="ACR261" s="18"/>
      <c r="ACS261" s="18"/>
      <c r="ACT261" s="18"/>
      <c r="ACU261" s="18"/>
      <c r="ACV261" s="18"/>
      <c r="ACW261" s="18"/>
      <c r="ACX261" s="18"/>
      <c r="ACY261" s="18"/>
      <c r="ACZ261" s="18"/>
      <c r="ADA261" s="18"/>
      <c r="ADB261" s="18"/>
      <c r="ADC261" s="18"/>
      <c r="ADD261" s="18"/>
      <c r="ADE261" s="18"/>
      <c r="ADF261" s="18"/>
      <c r="ADG261" s="18"/>
      <c r="ADH261" s="18"/>
      <c r="ADI261" s="18"/>
      <c r="ADJ261" s="18"/>
      <c r="ADK261" s="18"/>
      <c r="ADL261" s="18"/>
      <c r="ADM261" s="18"/>
      <c r="ADN261" s="18"/>
      <c r="ADO261" s="18"/>
      <c r="ADP261" s="18"/>
      <c r="ADQ261" s="18"/>
      <c r="ADR261" s="18"/>
      <c r="ADS261" s="18"/>
      <c r="ADT261" s="18"/>
      <c r="ADU261" s="18"/>
      <c r="ADV261" s="18"/>
      <c r="ADW261" s="18"/>
      <c r="ADX261" s="18"/>
      <c r="ADY261" s="18"/>
      <c r="ADZ261" s="18"/>
      <c r="AEA261" s="18"/>
      <c r="AEB261" s="18"/>
      <c r="AEC261" s="18"/>
      <c r="AED261" s="18"/>
      <c r="AEE261" s="18"/>
      <c r="AEF261" s="18"/>
      <c r="AEG261" s="18"/>
      <c r="AEH261" s="18"/>
      <c r="AEI261" s="18"/>
      <c r="AEJ261" s="18"/>
      <c r="AEK261" s="18"/>
      <c r="AEL261" s="18"/>
      <c r="AEM261" s="18"/>
      <c r="AEN261" s="18"/>
      <c r="AEO261" s="18"/>
      <c r="AEP261" s="18"/>
      <c r="AEQ261" s="18"/>
      <c r="AER261" s="18"/>
      <c r="AES261" s="18"/>
      <c r="AET261" s="18"/>
      <c r="AEU261" s="18"/>
      <c r="AEV261" s="18"/>
      <c r="AEW261" s="18"/>
      <c r="AEX261" s="18"/>
      <c r="AEY261" s="18"/>
      <c r="AEZ261" s="18"/>
      <c r="AFA261" s="18"/>
      <c r="AFB261" s="18"/>
      <c r="AFC261" s="18"/>
      <c r="AFD261" s="18"/>
      <c r="AFE261" s="18"/>
      <c r="AFF261" s="18"/>
      <c r="AFG261" s="18"/>
      <c r="AFH261" s="18"/>
      <c r="AFI261" s="18"/>
      <c r="AFJ261" s="18"/>
      <c r="AFK261" s="18"/>
      <c r="AFL261" s="18"/>
      <c r="AFM261" s="18"/>
      <c r="AFN261" s="18"/>
      <c r="AFO261" s="18"/>
      <c r="AFP261" s="18"/>
      <c r="AFQ261" s="18"/>
      <c r="AFR261" s="18"/>
      <c r="AFS261" s="18"/>
      <c r="AFT261" s="18"/>
      <c r="AFU261" s="18"/>
      <c r="AFV261" s="18"/>
      <c r="AFW261" s="18"/>
      <c r="AFX261" s="18"/>
      <c r="AFY261" s="18"/>
      <c r="AFZ261" s="18"/>
      <c r="AGA261" s="18"/>
      <c r="AGB261" s="18"/>
      <c r="AGC261" s="18"/>
      <c r="AGD261" s="18"/>
      <c r="AGE261" s="18"/>
      <c r="AGF261" s="18"/>
      <c r="AGG261" s="18"/>
      <c r="AGH261" s="18"/>
      <c r="AGI261" s="18"/>
      <c r="AGJ261" s="18"/>
      <c r="AGK261" s="18"/>
      <c r="AGL261" s="18"/>
      <c r="AGM261" s="18"/>
      <c r="AGN261" s="18"/>
      <c r="AGO261" s="18"/>
      <c r="AGP261" s="18"/>
      <c r="AGQ261" s="18"/>
      <c r="AGR261" s="18"/>
      <c r="AGS261" s="18"/>
      <c r="AGT261" s="18"/>
      <c r="AGU261" s="18"/>
      <c r="AGV261" s="18"/>
      <c r="AGW261" s="18"/>
      <c r="AGX261" s="18"/>
      <c r="AGY261" s="18"/>
      <c r="AGZ261" s="18"/>
      <c r="AHA261" s="18"/>
      <c r="AHB261" s="18"/>
      <c r="AHC261" s="18"/>
      <c r="AHD261" s="18"/>
      <c r="AHE261" s="18"/>
      <c r="AHF261" s="18"/>
      <c r="AHG261" s="18"/>
      <c r="AHH261" s="18"/>
      <c r="AHI261" s="18"/>
      <c r="AHJ261" s="18"/>
      <c r="AHK261" s="18"/>
      <c r="AHL261" s="18"/>
      <c r="AHM261" s="18"/>
      <c r="AHN261" s="18"/>
      <c r="AHO261" s="18"/>
      <c r="AHP261" s="18"/>
      <c r="AHQ261" s="18"/>
      <c r="AHR261" s="18"/>
      <c r="AHS261" s="18"/>
      <c r="AHT261" s="18"/>
      <c r="AHU261" s="18"/>
      <c r="AHV261" s="18"/>
      <c r="AHW261" s="18"/>
      <c r="AHX261" s="18"/>
      <c r="AHY261" s="18"/>
      <c r="AHZ261" s="18"/>
      <c r="AIA261" s="18"/>
      <c r="AIB261" s="18"/>
      <c r="AIC261" s="18"/>
      <c r="AID261" s="18"/>
      <c r="AIE261" s="18"/>
      <c r="AIF261" s="18"/>
      <c r="AIG261" s="18"/>
      <c r="AIH261" s="18"/>
      <c r="AII261" s="18"/>
      <c r="AIJ261" s="18"/>
      <c r="AIK261" s="18"/>
      <c r="AIL261" s="18"/>
      <c r="AIM261" s="18"/>
      <c r="AIN261" s="18"/>
      <c r="AIO261" s="18"/>
      <c r="AIP261" s="18"/>
      <c r="AIQ261" s="18"/>
      <c r="AIR261" s="18"/>
      <c r="AIS261" s="18"/>
      <c r="AIT261" s="18"/>
      <c r="AIU261" s="18"/>
      <c r="AIV261" s="18"/>
      <c r="AIW261" s="18"/>
      <c r="AIX261" s="18"/>
      <c r="AIY261" s="18"/>
      <c r="AIZ261" s="18"/>
      <c r="AJA261" s="18"/>
      <c r="AJB261" s="18"/>
      <c r="AJC261" s="18"/>
      <c r="AJD261" s="18"/>
      <c r="AJE261" s="18"/>
      <c r="AJF261" s="18"/>
      <c r="AJG261" s="18"/>
      <c r="AJH261" s="18"/>
      <c r="AJI261" s="18"/>
      <c r="AJJ261" s="18"/>
      <c r="AJK261" s="18"/>
      <c r="AJL261" s="18"/>
      <c r="AJM261" s="18"/>
      <c r="AJN261" s="18"/>
      <c r="AJO261" s="18"/>
      <c r="AJP261" s="18"/>
      <c r="AJQ261" s="18"/>
      <c r="AJR261" s="18"/>
      <c r="AJS261" s="18"/>
      <c r="AJT261" s="18"/>
      <c r="AJU261" s="18"/>
      <c r="AJV261" s="18"/>
      <c r="AJW261" s="18"/>
      <c r="AJX261" s="18"/>
      <c r="AJY261" s="18"/>
      <c r="AJZ261" s="18"/>
      <c r="AKA261" s="18"/>
      <c r="AKB261" s="18"/>
      <c r="AKC261" s="18"/>
      <c r="AKD261" s="18"/>
      <c r="AKE261" s="18"/>
      <c r="AKF261" s="18"/>
      <c r="AKG261" s="18"/>
      <c r="AKH261" s="18"/>
      <c r="AKI261" s="18"/>
      <c r="AKJ261" s="18"/>
      <c r="AKK261" s="18"/>
      <c r="AKL261" s="18"/>
      <c r="AKM261" s="18"/>
      <c r="AKN261" s="18"/>
      <c r="AKO261" s="18"/>
      <c r="AKP261" s="18"/>
      <c r="AKQ261" s="18"/>
      <c r="AKR261" s="18"/>
      <c r="AKS261" s="18"/>
      <c r="AKT261" s="18"/>
      <c r="AKU261" s="18"/>
      <c r="AKV261" s="18"/>
      <c r="AKW261" s="18"/>
      <c r="AKX261" s="18"/>
      <c r="AKY261" s="18"/>
      <c r="AKZ261" s="18"/>
      <c r="ALA261" s="18"/>
      <c r="ALB261" s="18"/>
      <c r="ALC261" s="18"/>
      <c r="ALD261" s="18"/>
      <c r="ALE261" s="18"/>
      <c r="ALF261" s="18"/>
      <c r="ALG261" s="18"/>
      <c r="ALH261" s="18"/>
      <c r="ALI261" s="18"/>
      <c r="ALJ261" s="18"/>
      <c r="ALK261" s="18"/>
      <c r="ALL261" s="18"/>
      <c r="ALM261" s="18"/>
      <c r="ALN261" s="18"/>
      <c r="ALO261" s="18"/>
      <c r="ALP261" s="18"/>
      <c r="ALQ261" s="18"/>
      <c r="ALR261" s="18"/>
      <c r="ALS261" s="18"/>
      <c r="ALT261" s="18"/>
      <c r="ALU261" s="18"/>
      <c r="ALV261" s="18"/>
      <c r="ALW261" s="18"/>
      <c r="ALX261" s="18"/>
      <c r="ALY261" s="18"/>
      <c r="ALZ261" s="18"/>
      <c r="AMA261" s="18"/>
      <c r="AMB261" s="18"/>
      <c r="AMC261" s="18"/>
      <c r="AMD261" s="18"/>
      <c r="AME261" s="18"/>
      <c r="AMF261" s="18"/>
      <c r="AMG261" s="18"/>
      <c r="AMH261" s="18"/>
      <c r="AMI261" s="18"/>
      <c r="AMJ261" s="18"/>
      <c r="AMK261" s="18"/>
      <c r="AML261" s="18"/>
      <c r="AMM261" s="18"/>
      <c r="AMN261" s="18"/>
      <c r="AMO261" s="18"/>
      <c r="AMP261" s="18"/>
      <c r="AMQ261" s="18"/>
      <c r="AMR261" s="18"/>
      <c r="AMS261" s="18"/>
      <c r="AMT261" s="18"/>
      <c r="AMU261" s="18"/>
      <c r="AMV261" s="18"/>
      <c r="AMW261" s="18"/>
      <c r="AMX261" s="18"/>
      <c r="AMY261" s="18"/>
      <c r="AMZ261" s="18"/>
      <c r="ANA261" s="18"/>
      <c r="ANB261" s="18"/>
      <c r="ANC261" s="18"/>
      <c r="AND261" s="18"/>
      <c r="ANE261" s="18"/>
      <c r="ANF261" s="18"/>
      <c r="ANG261" s="18"/>
      <c r="ANH261" s="18"/>
      <c r="ANI261" s="18"/>
      <c r="ANJ261" s="18"/>
      <c r="ANK261" s="18"/>
      <c r="ANL261" s="18"/>
      <c r="ANM261" s="18"/>
      <c r="ANN261" s="18"/>
      <c r="ANO261" s="18"/>
      <c r="ANP261" s="18"/>
      <c r="ANQ261" s="18"/>
      <c r="ANR261" s="18"/>
      <c r="ANS261" s="18"/>
      <c r="ANT261" s="18"/>
      <c r="ANU261" s="18"/>
      <c r="ANV261" s="18"/>
      <c r="ANW261" s="18"/>
      <c r="ANX261" s="18"/>
      <c r="ANY261" s="18"/>
      <c r="ANZ261" s="18"/>
      <c r="AOA261" s="18"/>
      <c r="AOB261" s="18"/>
      <c r="AOC261" s="18"/>
      <c r="AOD261" s="18"/>
      <c r="AOE261" s="18"/>
      <c r="AOF261" s="18"/>
      <c r="AOG261" s="18"/>
      <c r="AOH261" s="18"/>
      <c r="AOI261" s="18"/>
      <c r="AOJ261" s="18"/>
      <c r="AOK261" s="18"/>
      <c r="AOL261" s="18"/>
      <c r="AOM261" s="18"/>
      <c r="AON261" s="18"/>
      <c r="AOO261" s="18"/>
      <c r="AOP261" s="18"/>
      <c r="AOQ261" s="18"/>
      <c r="AOR261" s="18"/>
      <c r="AOS261" s="18"/>
      <c r="AOT261" s="18"/>
      <c r="AOU261" s="18"/>
      <c r="AOV261" s="18"/>
      <c r="AOW261" s="18"/>
      <c r="AOX261" s="18"/>
      <c r="AOY261" s="18"/>
      <c r="AOZ261" s="18"/>
      <c r="APA261" s="18"/>
      <c r="APB261" s="18"/>
      <c r="APC261" s="18"/>
      <c r="APD261" s="18"/>
      <c r="APE261" s="18"/>
      <c r="APF261" s="18"/>
      <c r="APG261" s="18"/>
      <c r="APH261" s="18"/>
      <c r="API261" s="18"/>
      <c r="APJ261" s="18"/>
      <c r="APK261" s="18"/>
      <c r="APL261" s="18"/>
      <c r="APM261" s="18"/>
      <c r="APN261" s="18"/>
      <c r="APO261" s="18"/>
      <c r="APP261" s="18"/>
      <c r="APQ261" s="18"/>
      <c r="APR261" s="18"/>
      <c r="APS261" s="18"/>
      <c r="APT261" s="18"/>
      <c r="APU261" s="18"/>
      <c r="APV261" s="18"/>
      <c r="APW261" s="18"/>
      <c r="APX261" s="18"/>
      <c r="APY261" s="18"/>
      <c r="APZ261" s="18"/>
      <c r="AQA261" s="18"/>
      <c r="AQB261" s="18"/>
      <c r="AQC261" s="18"/>
      <c r="AQD261" s="18"/>
      <c r="AQE261" s="18"/>
      <c r="AQF261" s="18"/>
      <c r="AQG261" s="18"/>
      <c r="AQH261" s="18"/>
      <c r="AQI261" s="18"/>
      <c r="AQJ261" s="18"/>
      <c r="AQK261" s="18"/>
      <c r="AQL261" s="18"/>
      <c r="AQM261" s="18"/>
      <c r="AQN261" s="18"/>
      <c r="AQO261" s="18"/>
      <c r="AQP261" s="18"/>
      <c r="AQQ261" s="18"/>
      <c r="AQR261" s="18"/>
      <c r="AQS261" s="18"/>
      <c r="AQT261" s="18"/>
      <c r="AQU261" s="18"/>
      <c r="AQV261" s="18"/>
      <c r="AQW261" s="18"/>
      <c r="AQX261" s="18"/>
      <c r="AQY261" s="18"/>
      <c r="AQZ261" s="18"/>
      <c r="ARA261" s="18"/>
      <c r="ARB261" s="18"/>
      <c r="ARC261" s="18"/>
      <c r="ARD261" s="18"/>
      <c r="ARE261" s="18"/>
      <c r="ARF261" s="18"/>
      <c r="ARG261" s="18"/>
      <c r="ARH261" s="18"/>
      <c r="ARI261" s="18"/>
      <c r="ARJ261" s="18"/>
      <c r="ARK261" s="18"/>
      <c r="ARL261" s="18"/>
      <c r="ARM261" s="18"/>
      <c r="ARN261" s="18"/>
      <c r="ARO261" s="18"/>
      <c r="ARP261" s="18"/>
      <c r="ARQ261" s="18"/>
      <c r="ARR261" s="18"/>
      <c r="ARS261" s="18"/>
      <c r="ART261" s="18"/>
      <c r="ARU261" s="18"/>
      <c r="ARV261" s="18"/>
      <c r="ARW261" s="18"/>
      <c r="ARX261" s="18"/>
      <c r="ARY261" s="18"/>
      <c r="ARZ261" s="18"/>
      <c r="ASA261" s="18"/>
      <c r="ASB261" s="18"/>
      <c r="ASC261" s="18"/>
      <c r="ASD261" s="18"/>
      <c r="ASE261" s="18"/>
      <c r="ASF261" s="18"/>
      <c r="ASG261" s="18"/>
      <c r="ASH261" s="18"/>
      <c r="ASI261" s="18"/>
      <c r="ASJ261" s="18"/>
      <c r="ASK261" s="18"/>
      <c r="ASL261" s="18"/>
      <c r="ASM261" s="18"/>
      <c r="ASN261" s="18"/>
      <c r="ASO261" s="18"/>
      <c r="ASP261" s="18"/>
      <c r="ASQ261" s="18"/>
      <c r="ASR261" s="18"/>
      <c r="ASS261" s="18"/>
      <c r="AST261" s="18"/>
      <c r="ASU261" s="18"/>
      <c r="ASV261" s="18"/>
      <c r="ASW261" s="18"/>
      <c r="ASX261" s="18"/>
      <c r="ASY261" s="18"/>
      <c r="ASZ261" s="18"/>
      <c r="ATA261" s="18"/>
      <c r="ATB261" s="18"/>
      <c r="ATC261" s="18"/>
      <c r="ATD261" s="18"/>
      <c r="ATE261" s="18"/>
      <c r="ATF261" s="18"/>
      <c r="ATG261" s="18"/>
      <c r="ATH261" s="18"/>
      <c r="ATI261" s="18"/>
      <c r="ATJ261" s="18"/>
      <c r="ATK261" s="18"/>
      <c r="ATL261" s="18"/>
      <c r="ATM261" s="18"/>
      <c r="ATN261" s="18"/>
      <c r="ATO261" s="18"/>
      <c r="ATP261" s="18"/>
      <c r="ATQ261" s="18"/>
      <c r="ATR261" s="18"/>
      <c r="ATS261" s="18"/>
      <c r="ATT261" s="18"/>
      <c r="ATU261" s="18"/>
      <c r="ATV261" s="18"/>
      <c r="ATW261" s="18"/>
      <c r="ATX261" s="18"/>
      <c r="ATY261" s="18"/>
      <c r="ATZ261" s="18"/>
      <c r="AUA261" s="18"/>
      <c r="AUB261" s="18"/>
      <c r="AUC261" s="18"/>
      <c r="AUD261" s="18"/>
      <c r="AUE261" s="18"/>
      <c r="AUF261" s="18"/>
      <c r="AUG261" s="18"/>
      <c r="AUH261" s="18"/>
      <c r="AUI261" s="18"/>
      <c r="AUJ261" s="18"/>
      <c r="AUK261" s="18"/>
      <c r="AUL261" s="18"/>
      <c r="AUM261" s="18"/>
      <c r="AUN261" s="18"/>
      <c r="AUO261" s="18"/>
      <c r="AUP261" s="18"/>
      <c r="AUQ261" s="18"/>
      <c r="AUR261" s="18"/>
      <c r="AUS261" s="18"/>
      <c r="AUT261" s="18"/>
      <c r="AUU261" s="18"/>
      <c r="AUV261" s="18"/>
      <c r="AUW261" s="18"/>
      <c r="AUX261" s="18"/>
      <c r="AUY261" s="18"/>
      <c r="AUZ261" s="18"/>
      <c r="AVA261" s="18"/>
      <c r="AVB261" s="18"/>
      <c r="AVC261" s="18"/>
      <c r="AVD261" s="18"/>
      <c r="AVE261" s="18"/>
      <c r="AVF261" s="18"/>
      <c r="AVG261" s="18"/>
      <c r="AVH261" s="18"/>
      <c r="AVI261" s="18"/>
      <c r="AVJ261" s="18"/>
      <c r="AVK261" s="18"/>
      <c r="AVL261" s="18"/>
      <c r="AVM261" s="18"/>
      <c r="AVN261" s="18"/>
      <c r="AVO261" s="18"/>
      <c r="AVP261" s="18"/>
      <c r="AVQ261" s="18"/>
      <c r="AVR261" s="18"/>
      <c r="AVS261" s="18"/>
      <c r="AVT261" s="18"/>
      <c r="AVU261" s="18"/>
      <c r="AVV261" s="18"/>
      <c r="AVW261" s="18"/>
      <c r="AVX261" s="18"/>
      <c r="AVY261" s="18"/>
      <c r="AVZ261" s="18"/>
      <c r="AWA261" s="18"/>
      <c r="AWB261" s="18"/>
      <c r="AWC261" s="18"/>
      <c r="AWD261" s="18"/>
      <c r="AWE261" s="18"/>
      <c r="AWF261" s="18"/>
      <c r="AWG261" s="18"/>
      <c r="AWH261" s="18"/>
      <c r="AWI261" s="18"/>
      <c r="AWJ261" s="18"/>
      <c r="AWK261" s="18"/>
      <c r="AWL261" s="18"/>
      <c r="AWM261" s="18"/>
      <c r="AWN261" s="18"/>
      <c r="AWO261" s="18"/>
      <c r="AWP261" s="18"/>
      <c r="AWQ261" s="18"/>
      <c r="AWR261" s="18"/>
      <c r="AWS261" s="18"/>
      <c r="AWT261" s="18"/>
      <c r="AWU261" s="18"/>
      <c r="AWV261" s="18"/>
      <c r="AWW261" s="18"/>
      <c r="AWX261" s="18"/>
      <c r="AWY261" s="18"/>
      <c r="AWZ261" s="18"/>
      <c r="AXA261" s="18"/>
      <c r="AXB261" s="18"/>
      <c r="AXC261" s="18"/>
      <c r="AXD261" s="18"/>
      <c r="AXE261" s="18"/>
      <c r="AXF261" s="18"/>
      <c r="AXG261" s="18"/>
      <c r="AXH261" s="18"/>
      <c r="AXI261" s="18"/>
      <c r="AXJ261" s="18"/>
      <c r="AXK261" s="18"/>
      <c r="AXL261" s="18"/>
      <c r="AXM261" s="18"/>
      <c r="AXN261" s="18"/>
      <c r="AXO261" s="18"/>
      <c r="AXP261" s="18"/>
      <c r="AXQ261" s="18"/>
      <c r="AXR261" s="18"/>
      <c r="AXS261" s="18"/>
      <c r="AXT261" s="18"/>
      <c r="AXU261" s="18"/>
      <c r="AXV261" s="18"/>
      <c r="AXW261" s="18"/>
      <c r="AXX261" s="18"/>
      <c r="AXY261" s="18"/>
      <c r="AXZ261" s="18"/>
      <c r="AYA261" s="18"/>
      <c r="AYB261" s="18"/>
      <c r="AYC261" s="18"/>
      <c r="AYD261" s="18"/>
      <c r="AYE261" s="18"/>
      <c r="AYF261" s="18"/>
      <c r="AYG261" s="18"/>
      <c r="AYH261" s="18"/>
      <c r="AYI261" s="18"/>
      <c r="AYJ261" s="18"/>
      <c r="AYK261" s="18"/>
      <c r="AYL261" s="18"/>
      <c r="AYM261" s="18"/>
      <c r="AYN261" s="18"/>
      <c r="AYO261" s="18"/>
      <c r="AYP261" s="18"/>
      <c r="AYQ261" s="18"/>
      <c r="AYR261" s="18"/>
      <c r="AYS261" s="18"/>
      <c r="AYT261" s="18"/>
      <c r="AYU261" s="18"/>
      <c r="AYV261" s="18"/>
      <c r="AYW261" s="18"/>
      <c r="AYX261" s="18"/>
      <c r="AYY261" s="18"/>
      <c r="AYZ261" s="18"/>
      <c r="AZA261" s="18"/>
      <c r="AZB261" s="18"/>
      <c r="AZC261" s="18"/>
      <c r="AZD261" s="18"/>
      <c r="AZE261" s="18"/>
      <c r="AZF261" s="18"/>
      <c r="AZG261" s="18"/>
      <c r="AZH261" s="18"/>
      <c r="AZI261" s="18"/>
      <c r="AZJ261" s="18"/>
      <c r="AZK261" s="18"/>
      <c r="AZL261" s="18"/>
      <c r="AZM261" s="18"/>
      <c r="AZN261" s="18"/>
      <c r="AZO261" s="18"/>
      <c r="AZP261" s="18"/>
      <c r="AZQ261" s="18"/>
      <c r="AZR261" s="18"/>
      <c r="AZS261" s="18"/>
      <c r="AZT261" s="18"/>
      <c r="AZU261" s="18"/>
      <c r="AZV261" s="18"/>
      <c r="AZW261" s="18"/>
      <c r="AZX261" s="18"/>
      <c r="AZY261" s="18"/>
      <c r="AZZ261" s="18"/>
      <c r="BAA261" s="18"/>
      <c r="BAB261" s="18"/>
      <c r="BAC261" s="18"/>
      <c r="BAD261" s="18"/>
      <c r="BAE261" s="18"/>
      <c r="BAF261" s="18"/>
      <c r="BAG261" s="18"/>
      <c r="BAH261" s="18"/>
      <c r="BAI261" s="18"/>
      <c r="BAJ261" s="18"/>
      <c r="BAK261" s="18"/>
      <c r="BAL261" s="18"/>
      <c r="BAM261" s="18"/>
      <c r="BAN261" s="18"/>
      <c r="BAO261" s="18"/>
      <c r="BAP261" s="18"/>
      <c r="BAQ261" s="18"/>
      <c r="BAR261" s="18"/>
      <c r="BAS261" s="18"/>
      <c r="BAT261" s="18"/>
      <c r="BAU261" s="18"/>
      <c r="BAV261" s="18"/>
      <c r="BAW261" s="18"/>
      <c r="BAX261" s="18"/>
      <c r="BAY261" s="18"/>
      <c r="BAZ261" s="18"/>
      <c r="BBA261" s="18"/>
      <c r="BBB261" s="18"/>
      <c r="BBC261" s="18"/>
      <c r="BBD261" s="18"/>
      <c r="BBE261" s="18"/>
      <c r="BBF261" s="18"/>
      <c r="BBG261" s="18"/>
      <c r="BBH261" s="18"/>
      <c r="BBI261" s="18"/>
      <c r="BBJ261" s="18"/>
      <c r="BBK261" s="18"/>
      <c r="BBL261" s="18"/>
      <c r="BBM261" s="18"/>
      <c r="BBN261" s="18"/>
      <c r="BBO261" s="18"/>
      <c r="BBP261" s="18"/>
      <c r="BBQ261" s="18"/>
      <c r="BBR261" s="18"/>
      <c r="BBS261" s="18"/>
      <c r="BBT261" s="18"/>
      <c r="BBU261" s="18"/>
      <c r="BBV261" s="18"/>
      <c r="BBW261" s="18"/>
      <c r="BBX261" s="18"/>
      <c r="BBY261" s="18"/>
      <c r="BBZ261" s="18"/>
      <c r="BCA261" s="18"/>
      <c r="BCB261" s="18"/>
      <c r="BCC261" s="18"/>
      <c r="BCD261" s="18"/>
      <c r="BCE261" s="18"/>
      <c r="BCF261" s="18"/>
      <c r="BCG261" s="18"/>
      <c r="BCH261" s="18"/>
      <c r="BCI261" s="18"/>
      <c r="BCJ261" s="18"/>
      <c r="BCK261" s="18"/>
      <c r="BCL261" s="18"/>
      <c r="BCM261" s="18"/>
      <c r="BCN261" s="18"/>
      <c r="BCO261" s="18"/>
      <c r="BCP261" s="18"/>
      <c r="BCQ261" s="18"/>
      <c r="BCR261" s="18"/>
      <c r="BCS261" s="18"/>
      <c r="BCT261" s="18"/>
      <c r="BCU261" s="18"/>
      <c r="BCV261" s="18"/>
      <c r="BCW261" s="18"/>
      <c r="BCX261" s="18"/>
      <c r="BCY261" s="18"/>
      <c r="BCZ261" s="18"/>
      <c r="BDA261" s="18"/>
      <c r="BDB261" s="18"/>
      <c r="BDC261" s="18"/>
      <c r="BDD261" s="18"/>
      <c r="BDE261" s="18"/>
      <c r="BDF261" s="18"/>
      <c r="BDG261" s="18"/>
      <c r="BDH261" s="18"/>
      <c r="BDI261" s="18"/>
      <c r="BDJ261" s="18"/>
      <c r="BDK261" s="18"/>
      <c r="BDL261" s="18"/>
      <c r="BDM261" s="18"/>
      <c r="BDN261" s="18"/>
      <c r="BDO261" s="18"/>
      <c r="BDP261" s="18"/>
      <c r="BDQ261" s="18"/>
      <c r="BDR261" s="18"/>
      <c r="BDS261" s="18"/>
      <c r="BDT261" s="18"/>
      <c r="BDU261" s="18"/>
      <c r="BDV261" s="18"/>
      <c r="BDW261" s="18"/>
      <c r="BDX261" s="18"/>
      <c r="BDY261" s="18"/>
      <c r="BDZ261" s="18"/>
      <c r="BEA261" s="18"/>
      <c r="BEB261" s="18"/>
      <c r="BEC261" s="18"/>
      <c r="BED261" s="18"/>
      <c r="BEE261" s="18"/>
      <c r="BEF261" s="18"/>
      <c r="BEG261" s="18"/>
      <c r="BEH261" s="18"/>
      <c r="BEI261" s="18"/>
      <c r="BEJ261" s="18"/>
      <c r="BEK261" s="18"/>
      <c r="BEL261" s="18"/>
      <c r="BEM261" s="18"/>
      <c r="BEN261" s="18"/>
      <c r="BEO261" s="18"/>
      <c r="BEP261" s="18"/>
      <c r="BEQ261" s="18"/>
      <c r="BER261" s="18"/>
      <c r="BES261" s="18"/>
      <c r="BET261" s="18"/>
      <c r="BEU261" s="18"/>
      <c r="BEV261" s="18"/>
      <c r="BEW261" s="18"/>
      <c r="BEX261" s="18"/>
      <c r="BEY261" s="18"/>
      <c r="BEZ261" s="18"/>
      <c r="BFA261" s="18"/>
      <c r="BFB261" s="18"/>
      <c r="BFC261" s="18"/>
      <c r="BFD261" s="18"/>
      <c r="BFE261" s="18"/>
      <c r="BFF261" s="18"/>
      <c r="BFG261" s="18"/>
      <c r="BFH261" s="18"/>
      <c r="BFI261" s="18"/>
      <c r="BFJ261" s="18"/>
      <c r="BFK261" s="18"/>
      <c r="BFL261" s="18"/>
      <c r="BFM261" s="18"/>
      <c r="BFN261" s="18"/>
      <c r="BFO261" s="18"/>
      <c r="BFP261" s="18"/>
      <c r="BFQ261" s="18"/>
      <c r="BFR261" s="18"/>
      <c r="BFS261" s="18"/>
      <c r="BFT261" s="18"/>
      <c r="BFU261" s="18"/>
      <c r="BFV261" s="18"/>
      <c r="BFW261" s="18"/>
      <c r="BFX261" s="18"/>
      <c r="BFY261" s="18"/>
      <c r="BFZ261" s="18"/>
      <c r="BGA261" s="18"/>
      <c r="BGB261" s="18"/>
      <c r="BGC261" s="18"/>
      <c r="BGD261" s="18"/>
      <c r="BGE261" s="18"/>
      <c r="BGF261" s="18"/>
      <c r="BGG261" s="18"/>
      <c r="BGH261" s="18"/>
      <c r="BGI261" s="18"/>
      <c r="BGJ261" s="18"/>
      <c r="BGK261" s="18"/>
      <c r="BGL261" s="18"/>
      <c r="BGM261" s="18"/>
      <c r="BGN261" s="18"/>
      <c r="BGO261" s="18"/>
      <c r="BGP261" s="18"/>
      <c r="BGQ261" s="18"/>
      <c r="BGR261" s="18"/>
      <c r="BGS261" s="18"/>
      <c r="BGT261" s="18"/>
      <c r="BGU261" s="18"/>
      <c r="BGV261" s="18"/>
      <c r="BGW261" s="18"/>
      <c r="BGX261" s="18"/>
      <c r="BGY261" s="18"/>
      <c r="BGZ261" s="18"/>
      <c r="BHA261" s="18"/>
      <c r="BHB261" s="18"/>
      <c r="BHC261" s="18"/>
      <c r="BHD261" s="18"/>
      <c r="BHE261" s="18"/>
      <c r="BHF261" s="18"/>
      <c r="BHG261" s="18"/>
      <c r="BHH261" s="18"/>
      <c r="BHI261" s="18"/>
      <c r="BHJ261" s="18"/>
      <c r="BHK261" s="18"/>
      <c r="BHL261" s="18"/>
      <c r="BHM261" s="18"/>
      <c r="BHN261" s="18"/>
      <c r="BHO261" s="18"/>
      <c r="BHP261" s="18"/>
      <c r="BHQ261" s="18"/>
      <c r="BHR261" s="18"/>
      <c r="BHS261" s="18"/>
      <c r="BHT261" s="18"/>
      <c r="BHU261" s="18"/>
      <c r="BHV261" s="18"/>
      <c r="BHW261" s="18"/>
      <c r="BHX261" s="18"/>
      <c r="BHY261" s="18"/>
      <c r="BHZ261" s="18"/>
      <c r="BIA261" s="18"/>
      <c r="BIB261" s="18"/>
      <c r="BIC261" s="18"/>
      <c r="BID261" s="18"/>
      <c r="BIE261" s="18"/>
      <c r="BIF261" s="18"/>
      <c r="BIG261" s="18"/>
      <c r="BIH261" s="18"/>
      <c r="BII261" s="18"/>
      <c r="BIJ261" s="18"/>
      <c r="BIK261" s="18"/>
      <c r="BIL261" s="18"/>
      <c r="BIM261" s="18"/>
      <c r="BIN261" s="18"/>
      <c r="BIO261" s="18"/>
      <c r="BIP261" s="18"/>
      <c r="BIQ261" s="18"/>
      <c r="BIR261" s="18"/>
      <c r="BIS261" s="18"/>
      <c r="BIT261" s="18"/>
      <c r="BIU261" s="18"/>
      <c r="BIV261" s="18"/>
      <c r="BIW261" s="18"/>
      <c r="BIX261" s="18"/>
      <c r="BIY261" s="18"/>
      <c r="BIZ261" s="18"/>
      <c r="BJA261" s="18"/>
      <c r="BJB261" s="18"/>
      <c r="BJC261" s="18"/>
      <c r="BJD261" s="18"/>
      <c r="BJE261" s="18"/>
      <c r="BJF261" s="18"/>
      <c r="BJG261" s="18"/>
      <c r="BJH261" s="18"/>
      <c r="BJI261" s="18"/>
      <c r="BJJ261" s="18"/>
      <c r="BJK261" s="18"/>
      <c r="BJL261" s="18"/>
      <c r="BJM261" s="18"/>
      <c r="BJN261" s="18"/>
      <c r="BJO261" s="18"/>
      <c r="BJP261" s="18"/>
      <c r="BJQ261" s="18"/>
      <c r="BJR261" s="18"/>
      <c r="BJS261" s="18"/>
      <c r="BJT261" s="18"/>
      <c r="BJU261" s="18"/>
      <c r="BJV261" s="18"/>
      <c r="BJW261" s="18"/>
      <c r="BJX261" s="18"/>
      <c r="BJY261" s="18"/>
      <c r="BJZ261" s="18"/>
      <c r="BKA261" s="18"/>
      <c r="BKB261" s="18"/>
      <c r="BKC261" s="18"/>
      <c r="BKD261" s="18"/>
      <c r="BKE261" s="18"/>
      <c r="BKF261" s="18"/>
      <c r="BKG261" s="18"/>
      <c r="BKH261" s="18"/>
      <c r="BKI261" s="18"/>
      <c r="BKJ261" s="18"/>
      <c r="BKK261" s="18"/>
      <c r="BKL261" s="18"/>
      <c r="BKM261" s="18"/>
      <c r="BKN261" s="18"/>
      <c r="BKO261" s="18"/>
      <c r="BKP261" s="18"/>
      <c r="BKQ261" s="18"/>
      <c r="BKR261" s="18"/>
      <c r="BKS261" s="18"/>
      <c r="BKT261" s="18"/>
      <c r="BKU261" s="18"/>
      <c r="BKV261" s="18"/>
      <c r="BKW261" s="18"/>
      <c r="BKX261" s="18"/>
      <c r="BKY261" s="18"/>
      <c r="BKZ261" s="18"/>
      <c r="BLA261" s="18"/>
      <c r="BLB261" s="18"/>
      <c r="BLC261" s="18"/>
      <c r="BLD261" s="18"/>
      <c r="BLE261" s="18"/>
      <c r="BLF261" s="18"/>
      <c r="BLG261" s="18"/>
      <c r="BLH261" s="18"/>
      <c r="BLI261" s="18"/>
      <c r="BLJ261" s="18"/>
      <c r="BLK261" s="18"/>
      <c r="BLL261" s="18"/>
      <c r="BLM261" s="18"/>
      <c r="BLN261" s="18"/>
      <c r="BLO261" s="18"/>
      <c r="BLP261" s="18"/>
      <c r="BLQ261" s="18"/>
      <c r="BLR261" s="18"/>
      <c r="BLS261" s="18"/>
      <c r="BLT261" s="18"/>
      <c r="BLU261" s="18"/>
      <c r="BLV261" s="18"/>
      <c r="BLW261" s="18"/>
      <c r="BLX261" s="18"/>
      <c r="BLY261" s="18"/>
      <c r="BLZ261" s="18"/>
      <c r="BMA261" s="18"/>
      <c r="BMB261" s="18"/>
      <c r="BMC261" s="18"/>
      <c r="BMD261" s="18"/>
      <c r="BME261" s="18"/>
      <c r="BMF261" s="18"/>
      <c r="BMG261" s="18"/>
      <c r="BMH261" s="18"/>
      <c r="BMI261" s="18"/>
      <c r="BMJ261" s="18"/>
      <c r="BMK261" s="18"/>
      <c r="BML261" s="18"/>
      <c r="BMM261" s="18"/>
      <c r="BMN261" s="18"/>
      <c r="BMO261" s="18"/>
      <c r="BMP261" s="18"/>
      <c r="BMQ261" s="18"/>
      <c r="BMR261" s="18"/>
      <c r="BMS261" s="18"/>
      <c r="BMT261" s="18"/>
      <c r="BMU261" s="18"/>
      <c r="BMV261" s="18"/>
      <c r="BMW261" s="18"/>
      <c r="BMX261" s="18"/>
      <c r="BMY261" s="18"/>
      <c r="BMZ261" s="18"/>
      <c r="BNA261" s="18"/>
      <c r="BNB261" s="18"/>
      <c r="BNC261" s="18"/>
      <c r="BND261" s="18"/>
      <c r="BNE261" s="18"/>
      <c r="BNF261" s="18"/>
      <c r="BNG261" s="18"/>
      <c r="BNH261" s="18"/>
      <c r="BNI261" s="18"/>
      <c r="BNJ261" s="18"/>
      <c r="BNK261" s="18"/>
      <c r="BNL261" s="18"/>
      <c r="BNM261" s="18"/>
      <c r="BNN261" s="18"/>
      <c r="BNO261" s="18"/>
      <c r="BNP261" s="18"/>
      <c r="BNQ261" s="18"/>
      <c r="BNR261" s="18"/>
      <c r="BNS261" s="18"/>
      <c r="BNT261" s="18"/>
      <c r="BNU261" s="18"/>
      <c r="BNV261" s="18"/>
      <c r="BNW261" s="18"/>
      <c r="BNX261" s="18"/>
      <c r="BNY261" s="18"/>
      <c r="BNZ261" s="18"/>
      <c r="BOA261" s="18"/>
      <c r="BOB261" s="18"/>
      <c r="BOC261" s="18"/>
      <c r="BOD261" s="18"/>
      <c r="BOE261" s="18"/>
      <c r="BOF261" s="18"/>
      <c r="BOG261" s="18"/>
      <c r="BOH261" s="18"/>
      <c r="BOI261" s="18"/>
      <c r="BOJ261" s="18"/>
      <c r="BOK261" s="18"/>
      <c r="BOL261" s="18"/>
      <c r="BOM261" s="18"/>
      <c r="BON261" s="18"/>
      <c r="BOO261" s="18"/>
      <c r="BOP261" s="18"/>
      <c r="BOQ261" s="18"/>
      <c r="BOR261" s="18"/>
      <c r="BOS261" s="18"/>
      <c r="BOT261" s="18"/>
      <c r="BOU261" s="18"/>
      <c r="BOV261" s="18"/>
      <c r="BOW261" s="18"/>
      <c r="BOX261" s="18"/>
      <c r="BOY261" s="18"/>
      <c r="BOZ261" s="18"/>
      <c r="BPA261" s="18"/>
      <c r="BPB261" s="18"/>
      <c r="BPC261" s="18"/>
      <c r="BPD261" s="18"/>
      <c r="BPE261" s="18"/>
      <c r="BPF261" s="18"/>
      <c r="BPG261" s="18"/>
      <c r="BPH261" s="18"/>
      <c r="BPI261" s="18"/>
      <c r="BPJ261" s="18"/>
      <c r="BPK261" s="18"/>
      <c r="BPL261" s="18"/>
      <c r="BPM261" s="18"/>
      <c r="BPN261" s="18"/>
      <c r="BPO261" s="18"/>
      <c r="BPP261" s="18"/>
      <c r="BPQ261" s="18"/>
      <c r="BPR261" s="18"/>
      <c r="BPS261" s="18"/>
      <c r="BPT261" s="18"/>
      <c r="BPU261" s="18"/>
      <c r="BPV261" s="18"/>
      <c r="BPW261" s="18"/>
      <c r="BPX261" s="18"/>
      <c r="BPY261" s="18"/>
      <c r="BPZ261" s="18"/>
      <c r="BQA261" s="18"/>
      <c r="BQB261" s="18"/>
      <c r="BQC261" s="18"/>
      <c r="BQD261" s="18"/>
      <c r="BQE261" s="18"/>
      <c r="BQF261" s="18"/>
      <c r="BQG261" s="18"/>
      <c r="BQH261" s="18"/>
      <c r="BQI261" s="18"/>
      <c r="BQJ261" s="18"/>
      <c r="BQK261" s="18"/>
      <c r="BQL261" s="18"/>
      <c r="BQM261" s="18"/>
      <c r="BQN261" s="18"/>
      <c r="BQO261" s="18"/>
      <c r="BQP261" s="18"/>
      <c r="BQQ261" s="18"/>
      <c r="BQR261" s="18"/>
      <c r="BQS261" s="18"/>
      <c r="BQT261" s="18"/>
      <c r="BQU261" s="18"/>
      <c r="BQV261" s="18"/>
      <c r="BQW261" s="18"/>
      <c r="BQX261" s="18"/>
      <c r="BQY261" s="18"/>
      <c r="BQZ261" s="18"/>
      <c r="BRA261" s="18"/>
      <c r="BRB261" s="18"/>
      <c r="BRC261" s="18"/>
      <c r="BRD261" s="18"/>
      <c r="BRE261" s="18"/>
      <c r="BRF261" s="18"/>
      <c r="BRG261" s="18"/>
      <c r="BRH261" s="18"/>
      <c r="BRI261" s="18"/>
      <c r="BRJ261" s="18"/>
      <c r="BRK261" s="18"/>
      <c r="BRL261" s="18"/>
      <c r="BRM261" s="18"/>
      <c r="BRN261" s="18"/>
      <c r="BRO261" s="18"/>
      <c r="BRP261" s="18"/>
      <c r="BRQ261" s="18"/>
      <c r="BRR261" s="18"/>
      <c r="BRS261" s="18"/>
      <c r="BRT261" s="18"/>
      <c r="BRU261" s="18"/>
      <c r="BRV261" s="18"/>
      <c r="BRW261" s="18"/>
      <c r="BRX261" s="18"/>
      <c r="BRY261" s="18"/>
      <c r="BRZ261" s="18"/>
      <c r="BSA261" s="18"/>
      <c r="BSB261" s="18"/>
      <c r="BSC261" s="18"/>
      <c r="BSD261" s="18"/>
      <c r="BSE261" s="18"/>
      <c r="BSF261" s="18"/>
      <c r="BSG261" s="18"/>
      <c r="BSH261" s="18"/>
      <c r="BSI261" s="18"/>
      <c r="BSJ261" s="18"/>
      <c r="BSK261" s="18"/>
      <c r="BSL261" s="18"/>
      <c r="BSM261" s="18"/>
      <c r="BSN261" s="18"/>
      <c r="BSO261" s="18"/>
      <c r="BSP261" s="18"/>
      <c r="BSQ261" s="18"/>
      <c r="BSR261" s="18"/>
      <c r="BSS261" s="18"/>
      <c r="BST261" s="18"/>
      <c r="BSU261" s="18"/>
      <c r="BSV261" s="18"/>
      <c r="BSW261" s="18"/>
      <c r="BSX261" s="18"/>
      <c r="BSY261" s="18"/>
      <c r="BSZ261" s="18"/>
      <c r="BTA261" s="18"/>
      <c r="BTB261" s="18"/>
      <c r="BTC261" s="18"/>
      <c r="BTD261" s="18"/>
      <c r="BTE261" s="18"/>
      <c r="BTF261" s="18"/>
      <c r="BTG261" s="18"/>
      <c r="BTH261" s="18"/>
      <c r="BTI261" s="18"/>
    </row>
    <row r="262" spans="1:1881" s="811" customFormat="1" ht="110.25" customHeight="1" x14ac:dyDescent="0.3">
      <c r="A262" s="124">
        <v>622</v>
      </c>
      <c r="B262" s="812" t="s">
        <v>606</v>
      </c>
      <c r="C262" s="124" t="s">
        <v>689</v>
      </c>
      <c r="D262" s="124" t="s">
        <v>1445</v>
      </c>
      <c r="E262" s="710" t="e">
        <f>HLOOKUP($D$2,'2020 Data(H)'!$C$1:$CZ$432,282,FALSE)</f>
        <v>#N/A</v>
      </c>
      <c r="F262" s="306">
        <v>0</v>
      </c>
      <c r="G262" s="771"/>
      <c r="H262" s="17"/>
      <c r="I262" s="808"/>
      <c r="J262" s="18"/>
      <c r="K262" s="18"/>
      <c r="L262" s="18"/>
      <c r="M262" s="18"/>
      <c r="N262" s="308"/>
      <c r="O262" s="18"/>
      <c r="P262" s="18"/>
      <c r="Q262" s="18"/>
      <c r="R262" s="18"/>
      <c r="S262" s="18"/>
      <c r="T262" s="18"/>
      <c r="U262" s="18"/>
      <c r="V262" s="18"/>
      <c r="W262" s="18"/>
      <c r="X262" s="18"/>
      <c r="Y262" s="18"/>
      <c r="Z262" s="124"/>
      <c r="AA262" s="124"/>
      <c r="AB262" s="124"/>
      <c r="AC262" s="124"/>
      <c r="AD262" s="124"/>
      <c r="AE262" s="124"/>
      <c r="AF262" s="124"/>
      <c r="AG262" s="124"/>
      <c r="AH262" s="124"/>
      <c r="AI262" s="124"/>
      <c r="AJ262" s="124"/>
      <c r="AK262" s="124"/>
      <c r="AL262" s="124"/>
      <c r="AM262" s="124"/>
      <c r="AN262" s="124"/>
      <c r="AO262" s="124"/>
      <c r="AP262" s="124"/>
      <c r="AQ262" s="124"/>
      <c r="AR262" s="124"/>
      <c r="AS262" s="18"/>
      <c r="AT262" s="18"/>
      <c r="AU262" s="18"/>
      <c r="AV262" s="18"/>
      <c r="AW262" s="18"/>
      <c r="AX262" s="18"/>
      <c r="AY262" s="18"/>
      <c r="AZ262" s="18"/>
      <c r="BA262" s="18"/>
      <c r="BB262" s="18"/>
      <c r="BC262" s="18"/>
      <c r="BD262" s="18"/>
      <c r="BE262" s="18"/>
      <c r="BF262" s="18"/>
      <c r="BG262" s="18"/>
      <c r="BH262" s="18"/>
      <c r="BI262" s="18"/>
      <c r="BJ262" s="18"/>
      <c r="BK262" s="18"/>
      <c r="BL262" s="18"/>
      <c r="BM262" s="18"/>
      <c r="BN262" s="18"/>
      <c r="BO262" s="18"/>
      <c r="BP262" s="18"/>
      <c r="BQ262" s="18"/>
      <c r="BR262" s="18"/>
      <c r="BS262" s="18"/>
      <c r="BT262" s="18"/>
      <c r="BU262" s="18"/>
      <c r="BV262" s="18"/>
      <c r="BW262" s="18"/>
      <c r="BX262" s="18"/>
      <c r="BY262" s="18"/>
      <c r="BZ262" s="18"/>
      <c r="CA262" s="18"/>
      <c r="CB262" s="18"/>
      <c r="CC262" s="18"/>
      <c r="CD262" s="18"/>
      <c r="CE262" s="18"/>
      <c r="CF262" s="18"/>
      <c r="CG262" s="18"/>
      <c r="CH262" s="18"/>
      <c r="CI262" s="18"/>
      <c r="CJ262" s="18"/>
      <c r="CK262" s="18"/>
      <c r="CL262" s="18"/>
      <c r="CM262" s="18"/>
      <c r="CN262" s="18"/>
      <c r="CO262" s="18"/>
      <c r="CP262" s="18"/>
      <c r="CQ262" s="18"/>
      <c r="CR262" s="18"/>
      <c r="CS262" s="18"/>
      <c r="CT262" s="18"/>
      <c r="CU262" s="18"/>
      <c r="CV262" s="18"/>
      <c r="CW262" s="18"/>
      <c r="CX262" s="18"/>
      <c r="CY262" s="18"/>
      <c r="CZ262" s="18"/>
      <c r="DA262" s="18"/>
      <c r="DB262" s="18"/>
      <c r="DC262" s="18"/>
      <c r="DD262" s="18"/>
      <c r="DE262" s="18"/>
      <c r="DF262" s="18"/>
      <c r="DG262" s="18"/>
      <c r="DH262" s="18"/>
      <c r="DI262" s="18"/>
      <c r="DJ262" s="18"/>
      <c r="DK262" s="18"/>
      <c r="DL262" s="18"/>
      <c r="DM262" s="18"/>
      <c r="DN262" s="18"/>
      <c r="DO262" s="18"/>
      <c r="DP262" s="18"/>
      <c r="DQ262" s="18"/>
      <c r="DR262" s="18"/>
      <c r="DS262" s="18"/>
      <c r="DT262" s="18"/>
      <c r="DU262" s="18"/>
      <c r="DV262" s="18"/>
      <c r="DW262" s="18"/>
      <c r="DX262" s="18"/>
      <c r="DY262" s="18"/>
      <c r="DZ262" s="18"/>
      <c r="EA262" s="18"/>
      <c r="EB262" s="18"/>
      <c r="EC262" s="18"/>
      <c r="ED262" s="18"/>
      <c r="EE262" s="18"/>
      <c r="EF262" s="18"/>
      <c r="EG262" s="18"/>
      <c r="EH262" s="18"/>
      <c r="EI262" s="18"/>
      <c r="EJ262" s="18"/>
      <c r="EK262" s="18"/>
      <c r="EL262" s="18"/>
      <c r="EM262" s="18"/>
      <c r="EN262" s="18"/>
      <c r="EO262" s="18"/>
      <c r="EP262" s="18"/>
      <c r="EQ262" s="18"/>
      <c r="ER262" s="18"/>
      <c r="ES262" s="18"/>
      <c r="ET262" s="18"/>
      <c r="EU262" s="18"/>
      <c r="EV262" s="18"/>
      <c r="EW262" s="18"/>
      <c r="EX262" s="18"/>
      <c r="EY262" s="18"/>
      <c r="EZ262" s="18"/>
      <c r="FA262" s="18"/>
      <c r="FB262" s="18"/>
      <c r="FC262" s="18"/>
      <c r="FD262" s="18"/>
      <c r="FE262" s="18"/>
      <c r="FF262" s="18"/>
      <c r="FG262" s="18"/>
      <c r="FH262" s="18"/>
      <c r="FI262" s="18"/>
      <c r="FJ262" s="18"/>
      <c r="FK262" s="18"/>
      <c r="FL262" s="18"/>
      <c r="FM262" s="18"/>
      <c r="FN262" s="18"/>
      <c r="FO262" s="18"/>
      <c r="FP262" s="18"/>
      <c r="FQ262" s="18"/>
      <c r="FR262" s="18"/>
      <c r="FS262" s="18"/>
      <c r="FT262" s="18"/>
      <c r="FU262" s="18"/>
      <c r="FV262" s="18"/>
      <c r="FW262" s="18"/>
      <c r="FX262" s="18"/>
      <c r="FY262" s="18"/>
      <c r="FZ262" s="18"/>
      <c r="GA262" s="18"/>
      <c r="GB262" s="18"/>
      <c r="GC262" s="18"/>
      <c r="GD262" s="18"/>
      <c r="GE262" s="18"/>
      <c r="GF262" s="18"/>
      <c r="GG262" s="18"/>
      <c r="GH262" s="18"/>
      <c r="GI262" s="18"/>
      <c r="GJ262" s="18"/>
      <c r="GK262" s="18"/>
      <c r="GL262" s="18"/>
      <c r="GM262" s="18"/>
      <c r="GN262" s="18"/>
      <c r="GO262" s="18"/>
      <c r="GP262" s="18"/>
      <c r="GQ262" s="18"/>
      <c r="GR262" s="18"/>
      <c r="GS262" s="18"/>
      <c r="GT262" s="18"/>
      <c r="GU262" s="18"/>
      <c r="GV262" s="18"/>
      <c r="GW262" s="18"/>
      <c r="GX262" s="18"/>
      <c r="GY262" s="18"/>
      <c r="GZ262" s="18"/>
      <c r="HA262" s="18"/>
      <c r="HB262" s="18"/>
      <c r="HC262" s="18"/>
      <c r="HD262" s="18"/>
      <c r="HE262" s="18"/>
      <c r="HF262" s="18"/>
      <c r="HG262" s="18"/>
      <c r="HH262" s="18"/>
      <c r="HI262" s="18"/>
      <c r="HJ262" s="18"/>
      <c r="HK262" s="18"/>
      <c r="HL262" s="18"/>
      <c r="HM262" s="18"/>
      <c r="HN262" s="18"/>
      <c r="HO262" s="18"/>
      <c r="HP262" s="18"/>
      <c r="HQ262" s="18"/>
      <c r="HR262" s="18"/>
      <c r="HS262" s="18"/>
      <c r="HT262" s="18"/>
      <c r="HU262" s="18"/>
      <c r="HV262" s="18"/>
      <c r="HW262" s="18"/>
      <c r="HX262" s="18"/>
      <c r="HY262" s="18"/>
      <c r="HZ262" s="18"/>
      <c r="IA262" s="18"/>
      <c r="IB262" s="18"/>
      <c r="IC262" s="18"/>
      <c r="ID262" s="18"/>
      <c r="IE262" s="18"/>
      <c r="IF262" s="18"/>
      <c r="IG262" s="18"/>
      <c r="IH262" s="18"/>
      <c r="II262" s="18"/>
      <c r="IJ262" s="18"/>
      <c r="IK262" s="18"/>
      <c r="IL262" s="18"/>
      <c r="IM262" s="18"/>
      <c r="IN262" s="18"/>
      <c r="IO262" s="18"/>
      <c r="IP262" s="18"/>
      <c r="IQ262" s="18"/>
      <c r="IR262" s="18"/>
      <c r="IS262" s="18"/>
      <c r="IT262" s="18"/>
      <c r="IU262" s="18"/>
      <c r="IV262" s="18"/>
      <c r="IW262" s="18"/>
      <c r="IX262" s="18"/>
      <c r="IY262" s="18"/>
      <c r="IZ262" s="18"/>
      <c r="JA262" s="18"/>
      <c r="JB262" s="18"/>
      <c r="JC262" s="18"/>
      <c r="JD262" s="18"/>
      <c r="JE262" s="18"/>
      <c r="JF262" s="18"/>
      <c r="JG262" s="18"/>
      <c r="JH262" s="18"/>
      <c r="JI262" s="18"/>
      <c r="JJ262" s="18"/>
      <c r="JK262" s="18"/>
      <c r="JL262" s="18"/>
      <c r="JM262" s="18"/>
      <c r="JN262" s="18"/>
      <c r="JO262" s="18"/>
      <c r="JP262" s="18"/>
      <c r="JQ262" s="18"/>
      <c r="JR262" s="18"/>
      <c r="JS262" s="18"/>
      <c r="JT262" s="18"/>
      <c r="JU262" s="18"/>
      <c r="JV262" s="18"/>
      <c r="JW262" s="18"/>
      <c r="JX262" s="18"/>
      <c r="JY262" s="18"/>
      <c r="JZ262" s="18"/>
      <c r="KA262" s="18"/>
      <c r="KB262" s="18"/>
      <c r="KC262" s="18"/>
      <c r="KD262" s="18"/>
      <c r="KE262" s="18"/>
      <c r="KF262" s="18"/>
      <c r="KG262" s="18"/>
      <c r="KH262" s="18"/>
      <c r="KI262" s="18"/>
      <c r="KJ262" s="18"/>
      <c r="KK262" s="18"/>
      <c r="KL262" s="18"/>
      <c r="KM262" s="18"/>
      <c r="KN262" s="18"/>
      <c r="KO262" s="18"/>
      <c r="KP262" s="18"/>
      <c r="KQ262" s="18"/>
      <c r="KR262" s="18"/>
      <c r="KS262" s="18"/>
      <c r="KT262" s="18"/>
      <c r="KU262" s="18"/>
      <c r="KV262" s="18"/>
      <c r="KW262" s="18"/>
      <c r="KX262" s="18"/>
      <c r="KY262" s="18"/>
      <c r="KZ262" s="18"/>
      <c r="LA262" s="18"/>
      <c r="LB262" s="18"/>
      <c r="LC262" s="18"/>
      <c r="LD262" s="18"/>
      <c r="LE262" s="18"/>
      <c r="LF262" s="18"/>
      <c r="LG262" s="18"/>
      <c r="LH262" s="18"/>
      <c r="LI262" s="18"/>
      <c r="LJ262" s="18"/>
      <c r="LK262" s="18"/>
      <c r="LL262" s="18"/>
      <c r="LM262" s="18"/>
      <c r="LN262" s="18"/>
      <c r="LO262" s="18"/>
      <c r="LP262" s="18"/>
      <c r="LQ262" s="18"/>
      <c r="LR262" s="18"/>
      <c r="LS262" s="18"/>
      <c r="LT262" s="18"/>
      <c r="LU262" s="18"/>
      <c r="LV262" s="18"/>
      <c r="LW262" s="18"/>
      <c r="LX262" s="18"/>
      <c r="LY262" s="18"/>
      <c r="LZ262" s="18"/>
      <c r="MA262" s="18"/>
      <c r="MB262" s="18"/>
      <c r="MC262" s="18"/>
      <c r="MD262" s="18"/>
      <c r="ME262" s="18"/>
      <c r="MF262" s="18"/>
      <c r="MG262" s="18"/>
      <c r="MH262" s="18"/>
      <c r="MI262" s="18"/>
      <c r="MJ262" s="18"/>
      <c r="MK262" s="18"/>
      <c r="ML262" s="18"/>
      <c r="MM262" s="18"/>
      <c r="MN262" s="18"/>
      <c r="MO262" s="18"/>
      <c r="MP262" s="18"/>
      <c r="MQ262" s="18"/>
      <c r="MR262" s="18"/>
      <c r="MS262" s="18"/>
      <c r="MT262" s="18"/>
      <c r="MU262" s="18"/>
      <c r="MV262" s="18"/>
      <c r="MW262" s="18"/>
      <c r="MX262" s="18"/>
      <c r="MY262" s="18"/>
      <c r="MZ262" s="18"/>
      <c r="NA262" s="18"/>
      <c r="NB262" s="18"/>
      <c r="NC262" s="18"/>
      <c r="ND262" s="18"/>
      <c r="NE262" s="18"/>
      <c r="NF262" s="18"/>
      <c r="NG262" s="18"/>
      <c r="NH262" s="18"/>
      <c r="NI262" s="18"/>
      <c r="NJ262" s="18"/>
      <c r="NK262" s="18"/>
      <c r="NL262" s="18"/>
      <c r="NM262" s="18"/>
      <c r="NN262" s="18"/>
      <c r="NO262" s="18"/>
      <c r="NP262" s="18"/>
      <c r="NQ262" s="18"/>
      <c r="NR262" s="18"/>
      <c r="NS262" s="18"/>
      <c r="NT262" s="18"/>
      <c r="NU262" s="18"/>
      <c r="NV262" s="18"/>
      <c r="NW262" s="18"/>
      <c r="NX262" s="18"/>
      <c r="NY262" s="18"/>
      <c r="NZ262" s="18"/>
      <c r="OA262" s="18"/>
      <c r="OB262" s="18"/>
      <c r="OC262" s="18"/>
      <c r="OD262" s="18"/>
      <c r="OE262" s="18"/>
      <c r="OF262" s="18"/>
      <c r="OG262" s="18"/>
      <c r="OH262" s="18"/>
      <c r="OI262" s="18"/>
      <c r="OJ262" s="18"/>
      <c r="OK262" s="18"/>
      <c r="OL262" s="18"/>
      <c r="OM262" s="18"/>
      <c r="ON262" s="18"/>
      <c r="OO262" s="18"/>
      <c r="OP262" s="18"/>
      <c r="OQ262" s="18"/>
      <c r="OR262" s="18"/>
      <c r="OS262" s="18"/>
      <c r="OT262" s="18"/>
      <c r="OU262" s="18"/>
      <c r="OV262" s="18"/>
      <c r="OW262" s="18"/>
      <c r="OX262" s="18"/>
      <c r="OY262" s="18"/>
      <c r="OZ262" s="18"/>
      <c r="PA262" s="18"/>
      <c r="PB262" s="18"/>
      <c r="PC262" s="18"/>
      <c r="PD262" s="18"/>
      <c r="PE262" s="18"/>
      <c r="PF262" s="18"/>
      <c r="PG262" s="18"/>
      <c r="PH262" s="18"/>
      <c r="PI262" s="18"/>
      <c r="PJ262" s="18"/>
      <c r="PK262" s="18"/>
      <c r="PL262" s="18"/>
      <c r="PM262" s="18"/>
      <c r="PN262" s="18"/>
      <c r="PO262" s="18"/>
      <c r="PP262" s="18"/>
      <c r="PQ262" s="18"/>
      <c r="PR262" s="18"/>
      <c r="PS262" s="18"/>
      <c r="PT262" s="18"/>
      <c r="PU262" s="18"/>
      <c r="PV262" s="18"/>
      <c r="PW262" s="18"/>
      <c r="PX262" s="18"/>
      <c r="PY262" s="18"/>
      <c r="PZ262" s="18"/>
      <c r="QA262" s="18"/>
      <c r="QB262" s="18"/>
      <c r="QC262" s="18"/>
      <c r="QD262" s="18"/>
      <c r="QE262" s="18"/>
      <c r="QF262" s="18"/>
      <c r="QG262" s="18"/>
      <c r="QH262" s="18"/>
      <c r="QI262" s="18"/>
      <c r="QJ262" s="18"/>
      <c r="QK262" s="18"/>
      <c r="QL262" s="18"/>
      <c r="QM262" s="18"/>
      <c r="QN262" s="18"/>
      <c r="QO262" s="18"/>
      <c r="QP262" s="18"/>
      <c r="QQ262" s="18"/>
      <c r="QR262" s="18"/>
      <c r="QS262" s="18"/>
      <c r="QT262" s="18"/>
      <c r="QU262" s="18"/>
      <c r="QV262" s="18"/>
      <c r="QW262" s="18"/>
      <c r="QX262" s="18"/>
      <c r="QY262" s="18"/>
      <c r="QZ262" s="18"/>
      <c r="RA262" s="18"/>
      <c r="RB262" s="18"/>
      <c r="RC262" s="18"/>
      <c r="RD262" s="18"/>
      <c r="RE262" s="18"/>
      <c r="RF262" s="18"/>
      <c r="RG262" s="18"/>
      <c r="RH262" s="18"/>
      <c r="RI262" s="18"/>
      <c r="RJ262" s="18"/>
      <c r="RK262" s="18"/>
      <c r="RL262" s="18"/>
      <c r="RM262" s="18"/>
      <c r="RN262" s="18"/>
      <c r="RO262" s="18"/>
      <c r="RP262" s="18"/>
      <c r="RQ262" s="18"/>
      <c r="RR262" s="18"/>
      <c r="RS262" s="18"/>
      <c r="RT262" s="18"/>
      <c r="RU262" s="18"/>
      <c r="RV262" s="18"/>
      <c r="RW262" s="18"/>
      <c r="RX262" s="18"/>
      <c r="RY262" s="18"/>
      <c r="RZ262" s="18"/>
      <c r="SA262" s="18"/>
      <c r="SB262" s="18"/>
      <c r="SC262" s="18"/>
      <c r="SD262" s="18"/>
      <c r="SE262" s="18"/>
      <c r="SF262" s="18"/>
      <c r="SG262" s="18"/>
      <c r="SH262" s="18"/>
      <c r="SI262" s="18"/>
      <c r="SJ262" s="18"/>
      <c r="SK262" s="18"/>
      <c r="SL262" s="18"/>
      <c r="SM262" s="18"/>
      <c r="SN262" s="18"/>
      <c r="SO262" s="18"/>
      <c r="SP262" s="18"/>
      <c r="SQ262" s="18"/>
      <c r="SR262" s="18"/>
      <c r="SS262" s="18"/>
      <c r="ST262" s="18"/>
      <c r="SU262" s="18"/>
      <c r="SV262" s="18"/>
      <c r="SW262" s="18"/>
      <c r="SX262" s="18"/>
      <c r="SY262" s="18"/>
      <c r="SZ262" s="18"/>
      <c r="TA262" s="18"/>
      <c r="TB262" s="18"/>
      <c r="TC262" s="18"/>
      <c r="TD262" s="18"/>
      <c r="TE262" s="18"/>
      <c r="TF262" s="18"/>
      <c r="TG262" s="18"/>
      <c r="TH262" s="18"/>
      <c r="TI262" s="18"/>
      <c r="TJ262" s="18"/>
      <c r="TK262" s="18"/>
      <c r="TL262" s="18"/>
      <c r="TM262" s="18"/>
      <c r="TN262" s="18"/>
      <c r="TO262" s="18"/>
      <c r="TP262" s="18"/>
      <c r="TQ262" s="18"/>
      <c r="TR262" s="18"/>
      <c r="TS262" s="18"/>
      <c r="TT262" s="18"/>
      <c r="TU262" s="18"/>
      <c r="TV262" s="18"/>
      <c r="TW262" s="18"/>
      <c r="TX262" s="18"/>
      <c r="TY262" s="18"/>
      <c r="TZ262" s="18"/>
      <c r="UA262" s="18"/>
      <c r="UB262" s="18"/>
      <c r="UC262" s="18"/>
      <c r="UD262" s="18"/>
      <c r="UE262" s="18"/>
      <c r="UF262" s="18"/>
      <c r="UG262" s="18"/>
      <c r="UH262" s="18"/>
      <c r="UI262" s="18"/>
      <c r="UJ262" s="18"/>
      <c r="UK262" s="18"/>
      <c r="UL262" s="18"/>
      <c r="UM262" s="18"/>
      <c r="UN262" s="18"/>
      <c r="UO262" s="18"/>
      <c r="UP262" s="18"/>
      <c r="UQ262" s="18"/>
      <c r="UR262" s="18"/>
      <c r="US262" s="18"/>
      <c r="UT262" s="18"/>
      <c r="UU262" s="18"/>
      <c r="UV262" s="18"/>
      <c r="UW262" s="18"/>
      <c r="UX262" s="18"/>
      <c r="UY262" s="18"/>
      <c r="UZ262" s="18"/>
      <c r="VA262" s="18"/>
      <c r="VB262" s="18"/>
      <c r="VC262" s="18"/>
      <c r="VD262" s="18"/>
      <c r="VE262" s="18"/>
      <c r="VF262" s="18"/>
      <c r="VG262" s="18"/>
      <c r="VH262" s="18"/>
      <c r="VI262" s="18"/>
      <c r="VJ262" s="18"/>
      <c r="VK262" s="18"/>
      <c r="VL262" s="18"/>
      <c r="VM262" s="18"/>
      <c r="VN262" s="18"/>
      <c r="VO262" s="18"/>
      <c r="VP262" s="18"/>
      <c r="VQ262" s="18"/>
      <c r="VR262" s="18"/>
      <c r="VS262" s="18"/>
      <c r="VT262" s="18"/>
      <c r="VU262" s="18"/>
      <c r="VV262" s="18"/>
      <c r="VW262" s="18"/>
      <c r="VX262" s="18"/>
      <c r="VY262" s="18"/>
      <c r="VZ262" s="18"/>
      <c r="WA262" s="18"/>
      <c r="WB262" s="18"/>
      <c r="WC262" s="18"/>
      <c r="WD262" s="18"/>
      <c r="WE262" s="18"/>
      <c r="WF262" s="18"/>
      <c r="WG262" s="18"/>
      <c r="WH262" s="18"/>
      <c r="WI262" s="18"/>
      <c r="WJ262" s="18"/>
      <c r="WK262" s="18"/>
      <c r="WL262" s="18"/>
      <c r="WM262" s="18"/>
      <c r="WN262" s="18"/>
      <c r="WO262" s="18"/>
      <c r="WP262" s="18"/>
      <c r="WQ262" s="18"/>
      <c r="WR262" s="18"/>
      <c r="WS262" s="18"/>
      <c r="WT262" s="18"/>
      <c r="WU262" s="18"/>
      <c r="WV262" s="18"/>
      <c r="WW262" s="18"/>
      <c r="WX262" s="18"/>
      <c r="WY262" s="18"/>
      <c r="WZ262" s="18"/>
      <c r="XA262" s="18"/>
      <c r="XB262" s="18"/>
      <c r="XC262" s="18"/>
      <c r="XD262" s="18"/>
      <c r="XE262" s="18"/>
      <c r="XF262" s="18"/>
      <c r="XG262" s="18"/>
      <c r="XH262" s="18"/>
      <c r="XI262" s="18"/>
      <c r="XJ262" s="18"/>
      <c r="XK262" s="18"/>
      <c r="XL262" s="18"/>
      <c r="XM262" s="18"/>
      <c r="XN262" s="18"/>
      <c r="XO262" s="18"/>
      <c r="XP262" s="18"/>
      <c r="XQ262" s="18"/>
      <c r="XR262" s="18"/>
      <c r="XS262" s="18"/>
      <c r="XT262" s="18"/>
      <c r="XU262" s="18"/>
      <c r="XV262" s="18"/>
      <c r="XW262" s="18"/>
      <c r="XX262" s="18"/>
      <c r="XY262" s="18"/>
      <c r="XZ262" s="18"/>
      <c r="YA262" s="18"/>
      <c r="YB262" s="18"/>
      <c r="YC262" s="18"/>
      <c r="YD262" s="18"/>
      <c r="YE262" s="18"/>
      <c r="YF262" s="18"/>
      <c r="YG262" s="18"/>
      <c r="YH262" s="18"/>
      <c r="YI262" s="18"/>
      <c r="YJ262" s="18"/>
      <c r="YK262" s="18"/>
      <c r="YL262" s="18"/>
      <c r="YM262" s="18"/>
      <c r="YN262" s="18"/>
      <c r="YO262" s="18"/>
      <c r="YP262" s="18"/>
      <c r="YQ262" s="18"/>
      <c r="YR262" s="18"/>
      <c r="YS262" s="18"/>
      <c r="YT262" s="18"/>
      <c r="YU262" s="18"/>
      <c r="YV262" s="18"/>
      <c r="YW262" s="18"/>
      <c r="YX262" s="18"/>
      <c r="YY262" s="18"/>
      <c r="YZ262" s="18"/>
      <c r="ZA262" s="18"/>
      <c r="ZB262" s="18"/>
      <c r="ZC262" s="18"/>
      <c r="ZD262" s="18"/>
      <c r="ZE262" s="18"/>
      <c r="ZF262" s="18"/>
      <c r="ZG262" s="18"/>
      <c r="ZH262" s="18"/>
      <c r="ZI262" s="18"/>
      <c r="ZJ262" s="18"/>
      <c r="ZK262" s="18"/>
      <c r="ZL262" s="18"/>
      <c r="ZM262" s="18"/>
      <c r="ZN262" s="18"/>
      <c r="ZO262" s="18"/>
      <c r="ZP262" s="18"/>
      <c r="ZQ262" s="18"/>
      <c r="ZR262" s="18"/>
      <c r="ZS262" s="18"/>
      <c r="ZT262" s="18"/>
      <c r="ZU262" s="18"/>
      <c r="ZV262" s="18"/>
      <c r="ZW262" s="18"/>
      <c r="ZX262" s="18"/>
      <c r="ZY262" s="18"/>
      <c r="ZZ262" s="18"/>
      <c r="AAA262" s="18"/>
      <c r="AAB262" s="18"/>
      <c r="AAC262" s="18"/>
      <c r="AAD262" s="18"/>
      <c r="AAE262" s="18"/>
      <c r="AAF262" s="18"/>
      <c r="AAG262" s="18"/>
      <c r="AAH262" s="18"/>
      <c r="AAI262" s="18"/>
      <c r="AAJ262" s="18"/>
      <c r="AAK262" s="18"/>
      <c r="AAL262" s="18"/>
      <c r="AAM262" s="18"/>
      <c r="AAN262" s="18"/>
      <c r="AAO262" s="18"/>
      <c r="AAP262" s="18"/>
      <c r="AAQ262" s="18"/>
      <c r="AAR262" s="18"/>
      <c r="AAS262" s="18"/>
      <c r="AAT262" s="18"/>
      <c r="AAU262" s="18"/>
      <c r="AAV262" s="18"/>
      <c r="AAW262" s="18"/>
      <c r="AAX262" s="18"/>
      <c r="AAY262" s="18"/>
      <c r="AAZ262" s="18"/>
      <c r="ABA262" s="18"/>
      <c r="ABB262" s="18"/>
      <c r="ABC262" s="18"/>
      <c r="ABD262" s="18"/>
      <c r="ABE262" s="18"/>
      <c r="ABF262" s="18"/>
      <c r="ABG262" s="18"/>
      <c r="ABH262" s="18"/>
      <c r="ABI262" s="18"/>
      <c r="ABJ262" s="18"/>
      <c r="ABK262" s="18"/>
      <c r="ABL262" s="18"/>
      <c r="ABM262" s="18"/>
      <c r="ABN262" s="18"/>
      <c r="ABO262" s="18"/>
      <c r="ABP262" s="18"/>
      <c r="ABQ262" s="18"/>
      <c r="ABR262" s="18"/>
      <c r="ABS262" s="18"/>
      <c r="ABT262" s="18"/>
      <c r="ABU262" s="18"/>
      <c r="ABV262" s="18"/>
      <c r="ABW262" s="18"/>
      <c r="ABX262" s="18"/>
      <c r="ABY262" s="18"/>
      <c r="ABZ262" s="18"/>
      <c r="ACA262" s="18"/>
      <c r="ACB262" s="18"/>
      <c r="ACC262" s="18"/>
      <c r="ACD262" s="18"/>
      <c r="ACE262" s="18"/>
      <c r="ACF262" s="18"/>
      <c r="ACG262" s="18"/>
      <c r="ACH262" s="18"/>
      <c r="ACI262" s="18"/>
      <c r="ACJ262" s="18"/>
      <c r="ACK262" s="18"/>
      <c r="ACL262" s="18"/>
      <c r="ACM262" s="18"/>
      <c r="ACN262" s="18"/>
      <c r="ACO262" s="18"/>
      <c r="ACP262" s="18"/>
      <c r="ACQ262" s="18"/>
      <c r="ACR262" s="18"/>
      <c r="ACS262" s="18"/>
      <c r="ACT262" s="18"/>
      <c r="ACU262" s="18"/>
      <c r="ACV262" s="18"/>
      <c r="ACW262" s="18"/>
      <c r="ACX262" s="18"/>
      <c r="ACY262" s="18"/>
      <c r="ACZ262" s="18"/>
      <c r="ADA262" s="18"/>
      <c r="ADB262" s="18"/>
      <c r="ADC262" s="18"/>
      <c r="ADD262" s="18"/>
      <c r="ADE262" s="18"/>
      <c r="ADF262" s="18"/>
      <c r="ADG262" s="18"/>
      <c r="ADH262" s="18"/>
      <c r="ADI262" s="18"/>
      <c r="ADJ262" s="18"/>
      <c r="ADK262" s="18"/>
      <c r="ADL262" s="18"/>
      <c r="ADM262" s="18"/>
      <c r="ADN262" s="18"/>
      <c r="ADO262" s="18"/>
      <c r="ADP262" s="18"/>
      <c r="ADQ262" s="18"/>
      <c r="ADR262" s="18"/>
      <c r="ADS262" s="18"/>
      <c r="ADT262" s="18"/>
      <c r="ADU262" s="18"/>
      <c r="ADV262" s="18"/>
      <c r="ADW262" s="18"/>
      <c r="ADX262" s="18"/>
      <c r="ADY262" s="18"/>
      <c r="ADZ262" s="18"/>
      <c r="AEA262" s="18"/>
      <c r="AEB262" s="18"/>
      <c r="AEC262" s="18"/>
      <c r="AED262" s="18"/>
      <c r="AEE262" s="18"/>
      <c r="AEF262" s="18"/>
      <c r="AEG262" s="18"/>
      <c r="AEH262" s="18"/>
      <c r="AEI262" s="18"/>
      <c r="AEJ262" s="18"/>
      <c r="AEK262" s="18"/>
      <c r="AEL262" s="18"/>
      <c r="AEM262" s="18"/>
      <c r="AEN262" s="18"/>
      <c r="AEO262" s="18"/>
      <c r="AEP262" s="18"/>
      <c r="AEQ262" s="18"/>
      <c r="AER262" s="18"/>
      <c r="AES262" s="18"/>
      <c r="AET262" s="18"/>
      <c r="AEU262" s="18"/>
      <c r="AEV262" s="18"/>
      <c r="AEW262" s="18"/>
      <c r="AEX262" s="18"/>
      <c r="AEY262" s="18"/>
      <c r="AEZ262" s="18"/>
      <c r="AFA262" s="18"/>
      <c r="AFB262" s="18"/>
      <c r="AFC262" s="18"/>
      <c r="AFD262" s="18"/>
      <c r="AFE262" s="18"/>
      <c r="AFF262" s="18"/>
      <c r="AFG262" s="18"/>
      <c r="AFH262" s="18"/>
      <c r="AFI262" s="18"/>
      <c r="AFJ262" s="18"/>
      <c r="AFK262" s="18"/>
      <c r="AFL262" s="18"/>
      <c r="AFM262" s="18"/>
      <c r="AFN262" s="18"/>
      <c r="AFO262" s="18"/>
      <c r="AFP262" s="18"/>
      <c r="AFQ262" s="18"/>
      <c r="AFR262" s="18"/>
      <c r="AFS262" s="18"/>
      <c r="AFT262" s="18"/>
      <c r="AFU262" s="18"/>
      <c r="AFV262" s="18"/>
      <c r="AFW262" s="18"/>
      <c r="AFX262" s="18"/>
      <c r="AFY262" s="18"/>
      <c r="AFZ262" s="18"/>
      <c r="AGA262" s="18"/>
      <c r="AGB262" s="18"/>
      <c r="AGC262" s="18"/>
      <c r="AGD262" s="18"/>
      <c r="AGE262" s="18"/>
      <c r="AGF262" s="18"/>
      <c r="AGG262" s="18"/>
      <c r="AGH262" s="18"/>
      <c r="AGI262" s="18"/>
      <c r="AGJ262" s="18"/>
      <c r="AGK262" s="18"/>
      <c r="AGL262" s="18"/>
      <c r="AGM262" s="18"/>
      <c r="AGN262" s="18"/>
      <c r="AGO262" s="18"/>
      <c r="AGP262" s="18"/>
      <c r="AGQ262" s="18"/>
      <c r="AGR262" s="18"/>
      <c r="AGS262" s="18"/>
      <c r="AGT262" s="18"/>
      <c r="AGU262" s="18"/>
      <c r="AGV262" s="18"/>
      <c r="AGW262" s="18"/>
      <c r="AGX262" s="18"/>
      <c r="AGY262" s="18"/>
      <c r="AGZ262" s="18"/>
      <c r="AHA262" s="18"/>
      <c r="AHB262" s="18"/>
      <c r="AHC262" s="18"/>
      <c r="AHD262" s="18"/>
      <c r="AHE262" s="18"/>
      <c r="AHF262" s="18"/>
      <c r="AHG262" s="18"/>
      <c r="AHH262" s="18"/>
      <c r="AHI262" s="18"/>
      <c r="AHJ262" s="18"/>
      <c r="AHK262" s="18"/>
      <c r="AHL262" s="18"/>
      <c r="AHM262" s="18"/>
      <c r="AHN262" s="18"/>
      <c r="AHO262" s="18"/>
      <c r="AHP262" s="18"/>
      <c r="AHQ262" s="18"/>
      <c r="AHR262" s="18"/>
      <c r="AHS262" s="18"/>
      <c r="AHT262" s="18"/>
      <c r="AHU262" s="18"/>
      <c r="AHV262" s="18"/>
      <c r="AHW262" s="18"/>
      <c r="AHX262" s="18"/>
      <c r="AHY262" s="18"/>
      <c r="AHZ262" s="18"/>
      <c r="AIA262" s="18"/>
      <c r="AIB262" s="18"/>
      <c r="AIC262" s="18"/>
      <c r="AID262" s="18"/>
      <c r="AIE262" s="18"/>
      <c r="AIF262" s="18"/>
      <c r="AIG262" s="18"/>
      <c r="AIH262" s="18"/>
      <c r="AII262" s="18"/>
      <c r="AIJ262" s="18"/>
      <c r="AIK262" s="18"/>
      <c r="AIL262" s="18"/>
      <c r="AIM262" s="18"/>
      <c r="AIN262" s="18"/>
      <c r="AIO262" s="18"/>
      <c r="AIP262" s="18"/>
      <c r="AIQ262" s="18"/>
      <c r="AIR262" s="18"/>
      <c r="AIS262" s="18"/>
      <c r="AIT262" s="18"/>
      <c r="AIU262" s="18"/>
      <c r="AIV262" s="18"/>
      <c r="AIW262" s="18"/>
      <c r="AIX262" s="18"/>
      <c r="AIY262" s="18"/>
      <c r="AIZ262" s="18"/>
      <c r="AJA262" s="18"/>
      <c r="AJB262" s="18"/>
      <c r="AJC262" s="18"/>
      <c r="AJD262" s="18"/>
      <c r="AJE262" s="18"/>
      <c r="AJF262" s="18"/>
      <c r="AJG262" s="18"/>
      <c r="AJH262" s="18"/>
      <c r="AJI262" s="18"/>
      <c r="AJJ262" s="18"/>
      <c r="AJK262" s="18"/>
      <c r="AJL262" s="18"/>
      <c r="AJM262" s="18"/>
      <c r="AJN262" s="18"/>
      <c r="AJO262" s="18"/>
      <c r="AJP262" s="18"/>
      <c r="AJQ262" s="18"/>
      <c r="AJR262" s="18"/>
      <c r="AJS262" s="18"/>
      <c r="AJT262" s="18"/>
      <c r="AJU262" s="18"/>
      <c r="AJV262" s="18"/>
      <c r="AJW262" s="18"/>
      <c r="AJX262" s="18"/>
      <c r="AJY262" s="18"/>
      <c r="AJZ262" s="18"/>
      <c r="AKA262" s="18"/>
      <c r="AKB262" s="18"/>
      <c r="AKC262" s="18"/>
      <c r="AKD262" s="18"/>
      <c r="AKE262" s="18"/>
      <c r="AKF262" s="18"/>
      <c r="AKG262" s="18"/>
      <c r="AKH262" s="18"/>
      <c r="AKI262" s="18"/>
      <c r="AKJ262" s="18"/>
      <c r="AKK262" s="18"/>
      <c r="AKL262" s="18"/>
      <c r="AKM262" s="18"/>
      <c r="AKN262" s="18"/>
      <c r="AKO262" s="18"/>
      <c r="AKP262" s="18"/>
      <c r="AKQ262" s="18"/>
      <c r="AKR262" s="18"/>
      <c r="AKS262" s="18"/>
      <c r="AKT262" s="18"/>
      <c r="AKU262" s="18"/>
      <c r="AKV262" s="18"/>
      <c r="AKW262" s="18"/>
      <c r="AKX262" s="18"/>
      <c r="AKY262" s="18"/>
      <c r="AKZ262" s="18"/>
      <c r="ALA262" s="18"/>
      <c r="ALB262" s="18"/>
      <c r="ALC262" s="18"/>
      <c r="ALD262" s="18"/>
      <c r="ALE262" s="18"/>
      <c r="ALF262" s="18"/>
      <c r="ALG262" s="18"/>
      <c r="ALH262" s="18"/>
      <c r="ALI262" s="18"/>
      <c r="ALJ262" s="18"/>
      <c r="ALK262" s="18"/>
      <c r="ALL262" s="18"/>
      <c r="ALM262" s="18"/>
      <c r="ALN262" s="18"/>
      <c r="ALO262" s="18"/>
      <c r="ALP262" s="18"/>
      <c r="ALQ262" s="18"/>
      <c r="ALR262" s="18"/>
      <c r="ALS262" s="18"/>
      <c r="ALT262" s="18"/>
      <c r="ALU262" s="18"/>
      <c r="ALV262" s="18"/>
      <c r="ALW262" s="18"/>
      <c r="ALX262" s="18"/>
      <c r="ALY262" s="18"/>
      <c r="ALZ262" s="18"/>
      <c r="AMA262" s="18"/>
      <c r="AMB262" s="18"/>
      <c r="AMC262" s="18"/>
      <c r="AMD262" s="18"/>
      <c r="AME262" s="18"/>
      <c r="AMF262" s="18"/>
      <c r="AMG262" s="18"/>
      <c r="AMH262" s="18"/>
      <c r="AMI262" s="18"/>
      <c r="AMJ262" s="18"/>
      <c r="AMK262" s="18"/>
      <c r="AML262" s="18"/>
      <c r="AMM262" s="18"/>
      <c r="AMN262" s="18"/>
      <c r="AMO262" s="18"/>
      <c r="AMP262" s="18"/>
      <c r="AMQ262" s="18"/>
      <c r="AMR262" s="18"/>
      <c r="AMS262" s="18"/>
      <c r="AMT262" s="18"/>
      <c r="AMU262" s="18"/>
      <c r="AMV262" s="18"/>
      <c r="AMW262" s="18"/>
      <c r="AMX262" s="18"/>
      <c r="AMY262" s="18"/>
      <c r="AMZ262" s="18"/>
      <c r="ANA262" s="18"/>
      <c r="ANB262" s="18"/>
      <c r="ANC262" s="18"/>
      <c r="AND262" s="18"/>
      <c r="ANE262" s="18"/>
      <c r="ANF262" s="18"/>
      <c r="ANG262" s="18"/>
      <c r="ANH262" s="18"/>
      <c r="ANI262" s="18"/>
      <c r="ANJ262" s="18"/>
      <c r="ANK262" s="18"/>
      <c r="ANL262" s="18"/>
      <c r="ANM262" s="18"/>
      <c r="ANN262" s="18"/>
      <c r="ANO262" s="18"/>
      <c r="ANP262" s="18"/>
      <c r="ANQ262" s="18"/>
      <c r="ANR262" s="18"/>
      <c r="ANS262" s="18"/>
      <c r="ANT262" s="18"/>
      <c r="ANU262" s="18"/>
      <c r="ANV262" s="18"/>
      <c r="ANW262" s="18"/>
      <c r="ANX262" s="18"/>
      <c r="ANY262" s="18"/>
      <c r="ANZ262" s="18"/>
      <c r="AOA262" s="18"/>
      <c r="AOB262" s="18"/>
      <c r="AOC262" s="18"/>
      <c r="AOD262" s="18"/>
      <c r="AOE262" s="18"/>
      <c r="AOF262" s="18"/>
      <c r="AOG262" s="18"/>
      <c r="AOH262" s="18"/>
      <c r="AOI262" s="18"/>
      <c r="AOJ262" s="18"/>
      <c r="AOK262" s="18"/>
      <c r="AOL262" s="18"/>
      <c r="AOM262" s="18"/>
      <c r="AON262" s="18"/>
      <c r="AOO262" s="18"/>
      <c r="AOP262" s="18"/>
      <c r="AOQ262" s="18"/>
      <c r="AOR262" s="18"/>
      <c r="AOS262" s="18"/>
      <c r="AOT262" s="18"/>
      <c r="AOU262" s="18"/>
      <c r="AOV262" s="18"/>
      <c r="AOW262" s="18"/>
      <c r="AOX262" s="18"/>
      <c r="AOY262" s="18"/>
      <c r="AOZ262" s="18"/>
      <c r="APA262" s="18"/>
      <c r="APB262" s="18"/>
      <c r="APC262" s="18"/>
      <c r="APD262" s="18"/>
      <c r="APE262" s="18"/>
      <c r="APF262" s="18"/>
      <c r="APG262" s="18"/>
      <c r="APH262" s="18"/>
      <c r="API262" s="18"/>
      <c r="APJ262" s="18"/>
      <c r="APK262" s="18"/>
      <c r="APL262" s="18"/>
      <c r="APM262" s="18"/>
      <c r="APN262" s="18"/>
      <c r="APO262" s="18"/>
      <c r="APP262" s="18"/>
      <c r="APQ262" s="18"/>
      <c r="APR262" s="18"/>
      <c r="APS262" s="18"/>
      <c r="APT262" s="18"/>
      <c r="APU262" s="18"/>
      <c r="APV262" s="18"/>
      <c r="APW262" s="18"/>
      <c r="APX262" s="18"/>
      <c r="APY262" s="18"/>
      <c r="APZ262" s="18"/>
      <c r="AQA262" s="18"/>
      <c r="AQB262" s="18"/>
      <c r="AQC262" s="18"/>
      <c r="AQD262" s="18"/>
      <c r="AQE262" s="18"/>
      <c r="AQF262" s="18"/>
      <c r="AQG262" s="18"/>
      <c r="AQH262" s="18"/>
      <c r="AQI262" s="18"/>
      <c r="AQJ262" s="18"/>
      <c r="AQK262" s="18"/>
      <c r="AQL262" s="18"/>
      <c r="AQM262" s="18"/>
      <c r="AQN262" s="18"/>
      <c r="AQO262" s="18"/>
      <c r="AQP262" s="18"/>
      <c r="AQQ262" s="18"/>
      <c r="AQR262" s="18"/>
      <c r="AQS262" s="18"/>
      <c r="AQT262" s="18"/>
      <c r="AQU262" s="18"/>
      <c r="AQV262" s="18"/>
      <c r="AQW262" s="18"/>
      <c r="AQX262" s="18"/>
      <c r="AQY262" s="18"/>
      <c r="AQZ262" s="18"/>
      <c r="ARA262" s="18"/>
      <c r="ARB262" s="18"/>
      <c r="ARC262" s="18"/>
      <c r="ARD262" s="18"/>
      <c r="ARE262" s="18"/>
      <c r="ARF262" s="18"/>
      <c r="ARG262" s="18"/>
      <c r="ARH262" s="18"/>
      <c r="ARI262" s="18"/>
      <c r="ARJ262" s="18"/>
      <c r="ARK262" s="18"/>
      <c r="ARL262" s="18"/>
      <c r="ARM262" s="18"/>
      <c r="ARN262" s="18"/>
      <c r="ARO262" s="18"/>
      <c r="ARP262" s="18"/>
      <c r="ARQ262" s="18"/>
      <c r="ARR262" s="18"/>
      <c r="ARS262" s="18"/>
      <c r="ART262" s="18"/>
      <c r="ARU262" s="18"/>
      <c r="ARV262" s="18"/>
      <c r="ARW262" s="18"/>
      <c r="ARX262" s="18"/>
      <c r="ARY262" s="18"/>
      <c r="ARZ262" s="18"/>
      <c r="ASA262" s="18"/>
      <c r="ASB262" s="18"/>
      <c r="ASC262" s="18"/>
      <c r="ASD262" s="18"/>
      <c r="ASE262" s="18"/>
      <c r="ASF262" s="18"/>
      <c r="ASG262" s="18"/>
      <c r="ASH262" s="18"/>
      <c r="ASI262" s="18"/>
      <c r="ASJ262" s="18"/>
      <c r="ASK262" s="18"/>
      <c r="ASL262" s="18"/>
      <c r="ASM262" s="18"/>
      <c r="ASN262" s="18"/>
      <c r="ASO262" s="18"/>
      <c r="ASP262" s="18"/>
      <c r="ASQ262" s="18"/>
      <c r="ASR262" s="18"/>
      <c r="ASS262" s="18"/>
      <c r="AST262" s="18"/>
      <c r="ASU262" s="18"/>
      <c r="ASV262" s="18"/>
      <c r="ASW262" s="18"/>
      <c r="ASX262" s="18"/>
      <c r="ASY262" s="18"/>
      <c r="ASZ262" s="18"/>
      <c r="ATA262" s="18"/>
      <c r="ATB262" s="18"/>
      <c r="ATC262" s="18"/>
      <c r="ATD262" s="18"/>
      <c r="ATE262" s="18"/>
      <c r="ATF262" s="18"/>
      <c r="ATG262" s="18"/>
      <c r="ATH262" s="18"/>
      <c r="ATI262" s="18"/>
      <c r="ATJ262" s="18"/>
      <c r="ATK262" s="18"/>
      <c r="ATL262" s="18"/>
      <c r="ATM262" s="18"/>
      <c r="ATN262" s="18"/>
      <c r="ATO262" s="18"/>
      <c r="ATP262" s="18"/>
      <c r="ATQ262" s="18"/>
      <c r="ATR262" s="18"/>
      <c r="ATS262" s="18"/>
      <c r="ATT262" s="18"/>
      <c r="ATU262" s="18"/>
      <c r="ATV262" s="18"/>
      <c r="ATW262" s="18"/>
      <c r="ATX262" s="18"/>
      <c r="ATY262" s="18"/>
      <c r="ATZ262" s="18"/>
      <c r="AUA262" s="18"/>
      <c r="AUB262" s="18"/>
      <c r="AUC262" s="18"/>
      <c r="AUD262" s="18"/>
      <c r="AUE262" s="18"/>
      <c r="AUF262" s="18"/>
      <c r="AUG262" s="18"/>
      <c r="AUH262" s="18"/>
      <c r="AUI262" s="18"/>
      <c r="AUJ262" s="18"/>
      <c r="AUK262" s="18"/>
      <c r="AUL262" s="18"/>
      <c r="AUM262" s="18"/>
      <c r="AUN262" s="18"/>
      <c r="AUO262" s="18"/>
      <c r="AUP262" s="18"/>
      <c r="AUQ262" s="18"/>
      <c r="AUR262" s="18"/>
      <c r="AUS262" s="18"/>
      <c r="AUT262" s="18"/>
      <c r="AUU262" s="18"/>
      <c r="AUV262" s="18"/>
      <c r="AUW262" s="18"/>
      <c r="AUX262" s="18"/>
      <c r="AUY262" s="18"/>
      <c r="AUZ262" s="18"/>
      <c r="AVA262" s="18"/>
      <c r="AVB262" s="18"/>
      <c r="AVC262" s="18"/>
      <c r="AVD262" s="18"/>
      <c r="AVE262" s="18"/>
      <c r="AVF262" s="18"/>
      <c r="AVG262" s="18"/>
      <c r="AVH262" s="18"/>
      <c r="AVI262" s="18"/>
      <c r="AVJ262" s="18"/>
      <c r="AVK262" s="18"/>
      <c r="AVL262" s="18"/>
      <c r="AVM262" s="18"/>
      <c r="AVN262" s="18"/>
      <c r="AVO262" s="18"/>
      <c r="AVP262" s="18"/>
      <c r="AVQ262" s="18"/>
      <c r="AVR262" s="18"/>
      <c r="AVS262" s="18"/>
      <c r="AVT262" s="18"/>
      <c r="AVU262" s="18"/>
      <c r="AVV262" s="18"/>
      <c r="AVW262" s="18"/>
      <c r="AVX262" s="18"/>
      <c r="AVY262" s="18"/>
      <c r="AVZ262" s="18"/>
      <c r="AWA262" s="18"/>
      <c r="AWB262" s="18"/>
      <c r="AWC262" s="18"/>
      <c r="AWD262" s="18"/>
      <c r="AWE262" s="18"/>
      <c r="AWF262" s="18"/>
      <c r="AWG262" s="18"/>
      <c r="AWH262" s="18"/>
      <c r="AWI262" s="18"/>
      <c r="AWJ262" s="18"/>
      <c r="AWK262" s="18"/>
      <c r="AWL262" s="18"/>
      <c r="AWM262" s="18"/>
      <c r="AWN262" s="18"/>
      <c r="AWO262" s="18"/>
      <c r="AWP262" s="18"/>
      <c r="AWQ262" s="18"/>
      <c r="AWR262" s="18"/>
      <c r="AWS262" s="18"/>
      <c r="AWT262" s="18"/>
      <c r="AWU262" s="18"/>
      <c r="AWV262" s="18"/>
      <c r="AWW262" s="18"/>
      <c r="AWX262" s="18"/>
      <c r="AWY262" s="18"/>
      <c r="AWZ262" s="18"/>
      <c r="AXA262" s="18"/>
      <c r="AXB262" s="18"/>
      <c r="AXC262" s="18"/>
      <c r="AXD262" s="18"/>
      <c r="AXE262" s="18"/>
      <c r="AXF262" s="18"/>
      <c r="AXG262" s="18"/>
      <c r="AXH262" s="18"/>
      <c r="AXI262" s="18"/>
      <c r="AXJ262" s="18"/>
      <c r="AXK262" s="18"/>
      <c r="AXL262" s="18"/>
      <c r="AXM262" s="18"/>
      <c r="AXN262" s="18"/>
      <c r="AXO262" s="18"/>
      <c r="AXP262" s="18"/>
      <c r="AXQ262" s="18"/>
      <c r="AXR262" s="18"/>
      <c r="AXS262" s="18"/>
      <c r="AXT262" s="18"/>
      <c r="AXU262" s="18"/>
      <c r="AXV262" s="18"/>
      <c r="AXW262" s="18"/>
      <c r="AXX262" s="18"/>
      <c r="AXY262" s="18"/>
      <c r="AXZ262" s="18"/>
      <c r="AYA262" s="18"/>
      <c r="AYB262" s="18"/>
      <c r="AYC262" s="18"/>
      <c r="AYD262" s="18"/>
      <c r="AYE262" s="18"/>
      <c r="AYF262" s="18"/>
      <c r="AYG262" s="18"/>
      <c r="AYH262" s="18"/>
      <c r="AYI262" s="18"/>
      <c r="AYJ262" s="18"/>
      <c r="AYK262" s="18"/>
      <c r="AYL262" s="18"/>
      <c r="AYM262" s="18"/>
      <c r="AYN262" s="18"/>
      <c r="AYO262" s="18"/>
      <c r="AYP262" s="18"/>
      <c r="AYQ262" s="18"/>
      <c r="AYR262" s="18"/>
      <c r="AYS262" s="18"/>
      <c r="AYT262" s="18"/>
      <c r="AYU262" s="18"/>
      <c r="AYV262" s="18"/>
      <c r="AYW262" s="18"/>
      <c r="AYX262" s="18"/>
      <c r="AYY262" s="18"/>
      <c r="AYZ262" s="18"/>
      <c r="AZA262" s="18"/>
      <c r="AZB262" s="18"/>
      <c r="AZC262" s="18"/>
      <c r="AZD262" s="18"/>
      <c r="AZE262" s="18"/>
      <c r="AZF262" s="18"/>
      <c r="AZG262" s="18"/>
      <c r="AZH262" s="18"/>
      <c r="AZI262" s="18"/>
      <c r="AZJ262" s="18"/>
      <c r="AZK262" s="18"/>
      <c r="AZL262" s="18"/>
      <c r="AZM262" s="18"/>
      <c r="AZN262" s="18"/>
      <c r="AZO262" s="18"/>
      <c r="AZP262" s="18"/>
      <c r="AZQ262" s="18"/>
      <c r="AZR262" s="18"/>
      <c r="AZS262" s="18"/>
      <c r="AZT262" s="18"/>
      <c r="AZU262" s="18"/>
      <c r="AZV262" s="18"/>
      <c r="AZW262" s="18"/>
      <c r="AZX262" s="18"/>
      <c r="AZY262" s="18"/>
      <c r="AZZ262" s="18"/>
      <c r="BAA262" s="18"/>
      <c r="BAB262" s="18"/>
      <c r="BAC262" s="18"/>
      <c r="BAD262" s="18"/>
      <c r="BAE262" s="18"/>
      <c r="BAF262" s="18"/>
      <c r="BAG262" s="18"/>
      <c r="BAH262" s="18"/>
      <c r="BAI262" s="18"/>
      <c r="BAJ262" s="18"/>
      <c r="BAK262" s="18"/>
      <c r="BAL262" s="18"/>
      <c r="BAM262" s="18"/>
      <c r="BAN262" s="18"/>
      <c r="BAO262" s="18"/>
      <c r="BAP262" s="18"/>
      <c r="BAQ262" s="18"/>
      <c r="BAR262" s="18"/>
      <c r="BAS262" s="18"/>
      <c r="BAT262" s="18"/>
      <c r="BAU262" s="18"/>
      <c r="BAV262" s="18"/>
      <c r="BAW262" s="18"/>
      <c r="BAX262" s="18"/>
      <c r="BAY262" s="18"/>
      <c r="BAZ262" s="18"/>
      <c r="BBA262" s="18"/>
      <c r="BBB262" s="18"/>
      <c r="BBC262" s="18"/>
      <c r="BBD262" s="18"/>
      <c r="BBE262" s="18"/>
      <c r="BBF262" s="18"/>
      <c r="BBG262" s="18"/>
      <c r="BBH262" s="18"/>
      <c r="BBI262" s="18"/>
      <c r="BBJ262" s="18"/>
      <c r="BBK262" s="18"/>
      <c r="BBL262" s="18"/>
      <c r="BBM262" s="18"/>
      <c r="BBN262" s="18"/>
      <c r="BBO262" s="18"/>
      <c r="BBP262" s="18"/>
      <c r="BBQ262" s="18"/>
      <c r="BBR262" s="18"/>
      <c r="BBS262" s="18"/>
      <c r="BBT262" s="18"/>
      <c r="BBU262" s="18"/>
      <c r="BBV262" s="18"/>
      <c r="BBW262" s="18"/>
      <c r="BBX262" s="18"/>
      <c r="BBY262" s="18"/>
      <c r="BBZ262" s="18"/>
      <c r="BCA262" s="18"/>
      <c r="BCB262" s="18"/>
      <c r="BCC262" s="18"/>
      <c r="BCD262" s="18"/>
      <c r="BCE262" s="18"/>
      <c r="BCF262" s="18"/>
      <c r="BCG262" s="18"/>
      <c r="BCH262" s="18"/>
      <c r="BCI262" s="18"/>
      <c r="BCJ262" s="18"/>
      <c r="BCK262" s="18"/>
      <c r="BCL262" s="18"/>
      <c r="BCM262" s="18"/>
      <c r="BCN262" s="18"/>
      <c r="BCO262" s="18"/>
      <c r="BCP262" s="18"/>
      <c r="BCQ262" s="18"/>
      <c r="BCR262" s="18"/>
      <c r="BCS262" s="18"/>
      <c r="BCT262" s="18"/>
      <c r="BCU262" s="18"/>
      <c r="BCV262" s="18"/>
      <c r="BCW262" s="18"/>
      <c r="BCX262" s="18"/>
      <c r="BCY262" s="18"/>
      <c r="BCZ262" s="18"/>
      <c r="BDA262" s="18"/>
      <c r="BDB262" s="18"/>
      <c r="BDC262" s="18"/>
      <c r="BDD262" s="18"/>
      <c r="BDE262" s="18"/>
      <c r="BDF262" s="18"/>
      <c r="BDG262" s="18"/>
      <c r="BDH262" s="18"/>
      <c r="BDI262" s="18"/>
      <c r="BDJ262" s="18"/>
      <c r="BDK262" s="18"/>
      <c r="BDL262" s="18"/>
      <c r="BDM262" s="18"/>
      <c r="BDN262" s="18"/>
      <c r="BDO262" s="18"/>
      <c r="BDP262" s="18"/>
      <c r="BDQ262" s="18"/>
      <c r="BDR262" s="18"/>
      <c r="BDS262" s="18"/>
      <c r="BDT262" s="18"/>
      <c r="BDU262" s="18"/>
      <c r="BDV262" s="18"/>
      <c r="BDW262" s="18"/>
      <c r="BDX262" s="18"/>
      <c r="BDY262" s="18"/>
      <c r="BDZ262" s="18"/>
      <c r="BEA262" s="18"/>
      <c r="BEB262" s="18"/>
      <c r="BEC262" s="18"/>
      <c r="BED262" s="18"/>
      <c r="BEE262" s="18"/>
      <c r="BEF262" s="18"/>
      <c r="BEG262" s="18"/>
      <c r="BEH262" s="18"/>
      <c r="BEI262" s="18"/>
      <c r="BEJ262" s="18"/>
      <c r="BEK262" s="18"/>
      <c r="BEL262" s="18"/>
      <c r="BEM262" s="18"/>
      <c r="BEN262" s="18"/>
      <c r="BEO262" s="18"/>
      <c r="BEP262" s="18"/>
      <c r="BEQ262" s="18"/>
      <c r="BER262" s="18"/>
      <c r="BES262" s="18"/>
      <c r="BET262" s="18"/>
      <c r="BEU262" s="18"/>
      <c r="BEV262" s="18"/>
      <c r="BEW262" s="18"/>
      <c r="BEX262" s="18"/>
      <c r="BEY262" s="18"/>
      <c r="BEZ262" s="18"/>
      <c r="BFA262" s="18"/>
      <c r="BFB262" s="18"/>
      <c r="BFC262" s="18"/>
      <c r="BFD262" s="18"/>
      <c r="BFE262" s="18"/>
      <c r="BFF262" s="18"/>
      <c r="BFG262" s="18"/>
      <c r="BFH262" s="18"/>
      <c r="BFI262" s="18"/>
      <c r="BFJ262" s="18"/>
      <c r="BFK262" s="18"/>
      <c r="BFL262" s="18"/>
      <c r="BFM262" s="18"/>
      <c r="BFN262" s="18"/>
      <c r="BFO262" s="18"/>
      <c r="BFP262" s="18"/>
      <c r="BFQ262" s="18"/>
      <c r="BFR262" s="18"/>
      <c r="BFS262" s="18"/>
      <c r="BFT262" s="18"/>
      <c r="BFU262" s="18"/>
      <c r="BFV262" s="18"/>
      <c r="BFW262" s="18"/>
      <c r="BFX262" s="18"/>
      <c r="BFY262" s="18"/>
      <c r="BFZ262" s="18"/>
      <c r="BGA262" s="18"/>
      <c r="BGB262" s="18"/>
      <c r="BGC262" s="18"/>
      <c r="BGD262" s="18"/>
      <c r="BGE262" s="18"/>
      <c r="BGF262" s="18"/>
      <c r="BGG262" s="18"/>
      <c r="BGH262" s="18"/>
      <c r="BGI262" s="18"/>
      <c r="BGJ262" s="18"/>
      <c r="BGK262" s="18"/>
      <c r="BGL262" s="18"/>
      <c r="BGM262" s="18"/>
      <c r="BGN262" s="18"/>
      <c r="BGO262" s="18"/>
      <c r="BGP262" s="18"/>
      <c r="BGQ262" s="18"/>
      <c r="BGR262" s="18"/>
      <c r="BGS262" s="18"/>
      <c r="BGT262" s="18"/>
      <c r="BGU262" s="18"/>
      <c r="BGV262" s="18"/>
      <c r="BGW262" s="18"/>
      <c r="BGX262" s="18"/>
      <c r="BGY262" s="18"/>
      <c r="BGZ262" s="18"/>
      <c r="BHA262" s="18"/>
      <c r="BHB262" s="18"/>
      <c r="BHC262" s="18"/>
      <c r="BHD262" s="18"/>
      <c r="BHE262" s="18"/>
      <c r="BHF262" s="18"/>
      <c r="BHG262" s="18"/>
      <c r="BHH262" s="18"/>
      <c r="BHI262" s="18"/>
      <c r="BHJ262" s="18"/>
      <c r="BHK262" s="18"/>
      <c r="BHL262" s="18"/>
      <c r="BHM262" s="18"/>
      <c r="BHN262" s="18"/>
      <c r="BHO262" s="18"/>
      <c r="BHP262" s="18"/>
      <c r="BHQ262" s="18"/>
      <c r="BHR262" s="18"/>
      <c r="BHS262" s="18"/>
      <c r="BHT262" s="18"/>
      <c r="BHU262" s="18"/>
      <c r="BHV262" s="18"/>
      <c r="BHW262" s="18"/>
      <c r="BHX262" s="18"/>
      <c r="BHY262" s="18"/>
      <c r="BHZ262" s="18"/>
      <c r="BIA262" s="18"/>
      <c r="BIB262" s="18"/>
      <c r="BIC262" s="18"/>
      <c r="BID262" s="18"/>
      <c r="BIE262" s="18"/>
      <c r="BIF262" s="18"/>
      <c r="BIG262" s="18"/>
      <c r="BIH262" s="18"/>
      <c r="BII262" s="18"/>
      <c r="BIJ262" s="18"/>
      <c r="BIK262" s="18"/>
      <c r="BIL262" s="18"/>
      <c r="BIM262" s="18"/>
      <c r="BIN262" s="18"/>
      <c r="BIO262" s="18"/>
      <c r="BIP262" s="18"/>
      <c r="BIQ262" s="18"/>
      <c r="BIR262" s="18"/>
      <c r="BIS262" s="18"/>
      <c r="BIT262" s="18"/>
      <c r="BIU262" s="18"/>
      <c r="BIV262" s="18"/>
      <c r="BIW262" s="18"/>
      <c r="BIX262" s="18"/>
      <c r="BIY262" s="18"/>
      <c r="BIZ262" s="18"/>
      <c r="BJA262" s="18"/>
      <c r="BJB262" s="18"/>
      <c r="BJC262" s="18"/>
      <c r="BJD262" s="18"/>
      <c r="BJE262" s="18"/>
      <c r="BJF262" s="18"/>
      <c r="BJG262" s="18"/>
      <c r="BJH262" s="18"/>
      <c r="BJI262" s="18"/>
      <c r="BJJ262" s="18"/>
      <c r="BJK262" s="18"/>
      <c r="BJL262" s="18"/>
      <c r="BJM262" s="18"/>
      <c r="BJN262" s="18"/>
      <c r="BJO262" s="18"/>
      <c r="BJP262" s="18"/>
      <c r="BJQ262" s="18"/>
      <c r="BJR262" s="18"/>
      <c r="BJS262" s="18"/>
      <c r="BJT262" s="18"/>
      <c r="BJU262" s="18"/>
      <c r="BJV262" s="18"/>
      <c r="BJW262" s="18"/>
      <c r="BJX262" s="18"/>
      <c r="BJY262" s="18"/>
      <c r="BJZ262" s="18"/>
      <c r="BKA262" s="18"/>
      <c r="BKB262" s="18"/>
      <c r="BKC262" s="18"/>
      <c r="BKD262" s="18"/>
      <c r="BKE262" s="18"/>
      <c r="BKF262" s="18"/>
      <c r="BKG262" s="18"/>
      <c r="BKH262" s="18"/>
      <c r="BKI262" s="18"/>
      <c r="BKJ262" s="18"/>
      <c r="BKK262" s="18"/>
      <c r="BKL262" s="18"/>
      <c r="BKM262" s="18"/>
      <c r="BKN262" s="18"/>
      <c r="BKO262" s="18"/>
      <c r="BKP262" s="18"/>
      <c r="BKQ262" s="18"/>
      <c r="BKR262" s="18"/>
      <c r="BKS262" s="18"/>
      <c r="BKT262" s="18"/>
      <c r="BKU262" s="18"/>
      <c r="BKV262" s="18"/>
      <c r="BKW262" s="18"/>
      <c r="BKX262" s="18"/>
      <c r="BKY262" s="18"/>
      <c r="BKZ262" s="18"/>
      <c r="BLA262" s="18"/>
      <c r="BLB262" s="18"/>
      <c r="BLC262" s="18"/>
      <c r="BLD262" s="18"/>
      <c r="BLE262" s="18"/>
      <c r="BLF262" s="18"/>
      <c r="BLG262" s="18"/>
      <c r="BLH262" s="18"/>
      <c r="BLI262" s="18"/>
      <c r="BLJ262" s="18"/>
      <c r="BLK262" s="18"/>
      <c r="BLL262" s="18"/>
      <c r="BLM262" s="18"/>
      <c r="BLN262" s="18"/>
      <c r="BLO262" s="18"/>
      <c r="BLP262" s="18"/>
      <c r="BLQ262" s="18"/>
      <c r="BLR262" s="18"/>
      <c r="BLS262" s="18"/>
      <c r="BLT262" s="18"/>
      <c r="BLU262" s="18"/>
      <c r="BLV262" s="18"/>
      <c r="BLW262" s="18"/>
      <c r="BLX262" s="18"/>
      <c r="BLY262" s="18"/>
      <c r="BLZ262" s="18"/>
      <c r="BMA262" s="18"/>
      <c r="BMB262" s="18"/>
      <c r="BMC262" s="18"/>
      <c r="BMD262" s="18"/>
      <c r="BME262" s="18"/>
      <c r="BMF262" s="18"/>
      <c r="BMG262" s="18"/>
      <c r="BMH262" s="18"/>
      <c r="BMI262" s="18"/>
      <c r="BMJ262" s="18"/>
      <c r="BMK262" s="18"/>
      <c r="BML262" s="18"/>
      <c r="BMM262" s="18"/>
      <c r="BMN262" s="18"/>
      <c r="BMO262" s="18"/>
      <c r="BMP262" s="18"/>
      <c r="BMQ262" s="18"/>
      <c r="BMR262" s="18"/>
      <c r="BMS262" s="18"/>
      <c r="BMT262" s="18"/>
      <c r="BMU262" s="18"/>
      <c r="BMV262" s="18"/>
      <c r="BMW262" s="18"/>
      <c r="BMX262" s="18"/>
      <c r="BMY262" s="18"/>
      <c r="BMZ262" s="18"/>
      <c r="BNA262" s="18"/>
      <c r="BNB262" s="18"/>
      <c r="BNC262" s="18"/>
      <c r="BND262" s="18"/>
      <c r="BNE262" s="18"/>
      <c r="BNF262" s="18"/>
      <c r="BNG262" s="18"/>
      <c r="BNH262" s="18"/>
      <c r="BNI262" s="18"/>
      <c r="BNJ262" s="18"/>
      <c r="BNK262" s="18"/>
      <c r="BNL262" s="18"/>
      <c r="BNM262" s="18"/>
      <c r="BNN262" s="18"/>
      <c r="BNO262" s="18"/>
      <c r="BNP262" s="18"/>
      <c r="BNQ262" s="18"/>
      <c r="BNR262" s="18"/>
      <c r="BNS262" s="18"/>
      <c r="BNT262" s="18"/>
      <c r="BNU262" s="18"/>
      <c r="BNV262" s="18"/>
      <c r="BNW262" s="18"/>
      <c r="BNX262" s="18"/>
      <c r="BNY262" s="18"/>
      <c r="BNZ262" s="18"/>
      <c r="BOA262" s="18"/>
      <c r="BOB262" s="18"/>
      <c r="BOC262" s="18"/>
      <c r="BOD262" s="18"/>
      <c r="BOE262" s="18"/>
      <c r="BOF262" s="18"/>
      <c r="BOG262" s="18"/>
      <c r="BOH262" s="18"/>
      <c r="BOI262" s="18"/>
      <c r="BOJ262" s="18"/>
      <c r="BOK262" s="18"/>
      <c r="BOL262" s="18"/>
      <c r="BOM262" s="18"/>
      <c r="BON262" s="18"/>
      <c r="BOO262" s="18"/>
      <c r="BOP262" s="18"/>
      <c r="BOQ262" s="18"/>
      <c r="BOR262" s="18"/>
      <c r="BOS262" s="18"/>
      <c r="BOT262" s="18"/>
      <c r="BOU262" s="18"/>
      <c r="BOV262" s="18"/>
      <c r="BOW262" s="18"/>
      <c r="BOX262" s="18"/>
      <c r="BOY262" s="18"/>
      <c r="BOZ262" s="18"/>
      <c r="BPA262" s="18"/>
      <c r="BPB262" s="18"/>
      <c r="BPC262" s="18"/>
      <c r="BPD262" s="18"/>
      <c r="BPE262" s="18"/>
      <c r="BPF262" s="18"/>
      <c r="BPG262" s="18"/>
      <c r="BPH262" s="18"/>
      <c r="BPI262" s="18"/>
      <c r="BPJ262" s="18"/>
      <c r="BPK262" s="18"/>
      <c r="BPL262" s="18"/>
      <c r="BPM262" s="18"/>
      <c r="BPN262" s="18"/>
      <c r="BPO262" s="18"/>
      <c r="BPP262" s="18"/>
      <c r="BPQ262" s="18"/>
      <c r="BPR262" s="18"/>
      <c r="BPS262" s="18"/>
      <c r="BPT262" s="18"/>
      <c r="BPU262" s="18"/>
      <c r="BPV262" s="18"/>
      <c r="BPW262" s="18"/>
      <c r="BPX262" s="18"/>
      <c r="BPY262" s="18"/>
      <c r="BPZ262" s="18"/>
      <c r="BQA262" s="18"/>
      <c r="BQB262" s="18"/>
      <c r="BQC262" s="18"/>
      <c r="BQD262" s="18"/>
      <c r="BQE262" s="18"/>
      <c r="BQF262" s="18"/>
      <c r="BQG262" s="18"/>
      <c r="BQH262" s="18"/>
      <c r="BQI262" s="18"/>
      <c r="BQJ262" s="18"/>
      <c r="BQK262" s="18"/>
      <c r="BQL262" s="18"/>
      <c r="BQM262" s="18"/>
      <c r="BQN262" s="18"/>
      <c r="BQO262" s="18"/>
      <c r="BQP262" s="18"/>
      <c r="BQQ262" s="18"/>
      <c r="BQR262" s="18"/>
      <c r="BQS262" s="18"/>
      <c r="BQT262" s="18"/>
      <c r="BQU262" s="18"/>
      <c r="BQV262" s="18"/>
      <c r="BQW262" s="18"/>
      <c r="BQX262" s="18"/>
      <c r="BQY262" s="18"/>
      <c r="BQZ262" s="18"/>
      <c r="BRA262" s="18"/>
      <c r="BRB262" s="18"/>
      <c r="BRC262" s="18"/>
      <c r="BRD262" s="18"/>
      <c r="BRE262" s="18"/>
      <c r="BRF262" s="18"/>
      <c r="BRG262" s="18"/>
      <c r="BRH262" s="18"/>
      <c r="BRI262" s="18"/>
      <c r="BRJ262" s="18"/>
      <c r="BRK262" s="18"/>
      <c r="BRL262" s="18"/>
      <c r="BRM262" s="18"/>
      <c r="BRN262" s="18"/>
      <c r="BRO262" s="18"/>
      <c r="BRP262" s="18"/>
      <c r="BRQ262" s="18"/>
      <c r="BRR262" s="18"/>
      <c r="BRS262" s="18"/>
      <c r="BRT262" s="18"/>
      <c r="BRU262" s="18"/>
      <c r="BRV262" s="18"/>
      <c r="BRW262" s="18"/>
      <c r="BRX262" s="18"/>
      <c r="BRY262" s="18"/>
      <c r="BRZ262" s="18"/>
      <c r="BSA262" s="18"/>
      <c r="BSB262" s="18"/>
      <c r="BSC262" s="18"/>
      <c r="BSD262" s="18"/>
      <c r="BSE262" s="18"/>
      <c r="BSF262" s="18"/>
      <c r="BSG262" s="18"/>
      <c r="BSH262" s="18"/>
      <c r="BSI262" s="18"/>
      <c r="BSJ262" s="18"/>
      <c r="BSK262" s="18"/>
      <c r="BSL262" s="18"/>
      <c r="BSM262" s="18"/>
      <c r="BSN262" s="18"/>
      <c r="BSO262" s="18"/>
      <c r="BSP262" s="18"/>
      <c r="BSQ262" s="18"/>
      <c r="BSR262" s="18"/>
      <c r="BSS262" s="18"/>
      <c r="BST262" s="18"/>
      <c r="BSU262" s="18"/>
      <c r="BSV262" s="18"/>
      <c r="BSW262" s="18"/>
      <c r="BSX262" s="18"/>
      <c r="BSY262" s="18"/>
      <c r="BSZ262" s="18"/>
      <c r="BTA262" s="18"/>
      <c r="BTB262" s="18"/>
      <c r="BTC262" s="18"/>
      <c r="BTD262" s="18"/>
      <c r="BTE262" s="18"/>
      <c r="BTF262" s="18"/>
      <c r="BTG262" s="18"/>
      <c r="BTH262" s="18"/>
      <c r="BTI262" s="18"/>
    </row>
    <row r="263" spans="1:1881" s="811" customFormat="1" ht="225" customHeight="1" x14ac:dyDescent="0.3">
      <c r="A263" s="108">
        <v>577</v>
      </c>
      <c r="B263" s="712"/>
      <c r="C263" s="712" t="s">
        <v>543</v>
      </c>
      <c r="D263" s="363" t="s">
        <v>653</v>
      </c>
      <c r="E263" s="1116"/>
      <c r="F263" s="306"/>
      <c r="G263" s="1117" t="str">
        <f>IF(F263="Yes","In this cell - Please include the name of the plan, a brief description of the benefit and the population group that received the benefits."," ")</f>
        <v xml:space="preserve"> </v>
      </c>
      <c r="H263" s="17"/>
      <c r="I263" s="808"/>
      <c r="J263" s="616"/>
      <c r="K263" s="18"/>
      <c r="L263" s="18"/>
      <c r="M263" s="18"/>
      <c r="N263" s="308"/>
      <c r="O263" s="18"/>
      <c r="P263" s="18"/>
      <c r="Q263" s="18"/>
      <c r="R263" s="18"/>
      <c r="S263" s="18"/>
      <c r="T263" s="18"/>
      <c r="U263" s="18"/>
      <c r="V263" s="18"/>
      <c r="W263" s="18"/>
      <c r="X263" s="18"/>
      <c r="Y263" s="18"/>
      <c r="Z263" s="108"/>
      <c r="AA263" s="108"/>
      <c r="AB263" s="108"/>
      <c r="AC263" s="108"/>
      <c r="AD263" s="108"/>
      <c r="AE263" s="108"/>
      <c r="AF263" s="108"/>
      <c r="AG263" s="108"/>
      <c r="AH263" s="108"/>
      <c r="AI263" s="108"/>
      <c r="AJ263" s="108"/>
      <c r="AK263" s="108"/>
      <c r="AL263" s="108"/>
      <c r="AM263" s="108"/>
      <c r="AN263" s="108"/>
      <c r="AO263" s="108"/>
      <c r="AP263" s="108"/>
      <c r="AQ263" s="108"/>
      <c r="AR263" s="108"/>
      <c r="AS263" s="18"/>
      <c r="AT263" s="18"/>
      <c r="AU263" s="18"/>
      <c r="AV263" s="18"/>
      <c r="AW263" s="18"/>
      <c r="AX263" s="18"/>
      <c r="AY263" s="18"/>
      <c r="AZ263" s="18"/>
      <c r="BA263" s="18"/>
      <c r="BB263" s="18"/>
      <c r="BC263" s="18"/>
      <c r="BD263" s="18"/>
      <c r="BE263" s="18"/>
      <c r="BF263" s="18"/>
      <c r="BG263" s="18"/>
      <c r="BH263" s="18"/>
      <c r="BI263" s="18"/>
      <c r="BJ263" s="18"/>
      <c r="BK263" s="18"/>
      <c r="BL263" s="18"/>
      <c r="BM263" s="18"/>
      <c r="BN263" s="18"/>
      <c r="BO263" s="18"/>
      <c r="BP263" s="18"/>
      <c r="BQ263" s="18"/>
      <c r="BR263" s="18"/>
      <c r="BS263" s="18"/>
      <c r="BT263" s="18"/>
      <c r="BU263" s="18"/>
      <c r="BV263" s="18"/>
      <c r="BW263" s="18"/>
      <c r="BX263" s="18"/>
      <c r="BY263" s="18"/>
      <c r="BZ263" s="18"/>
      <c r="CA263" s="18"/>
      <c r="CB263" s="18"/>
      <c r="CC263" s="18"/>
      <c r="CD263" s="18"/>
      <c r="CE263" s="18"/>
      <c r="CF263" s="18"/>
      <c r="CG263" s="18"/>
      <c r="CH263" s="18"/>
      <c r="CI263" s="18"/>
      <c r="CJ263" s="18"/>
      <c r="CK263" s="18"/>
      <c r="CL263" s="18"/>
      <c r="CM263" s="18"/>
      <c r="CN263" s="18"/>
      <c r="CO263" s="18"/>
      <c r="CP263" s="18"/>
      <c r="CQ263" s="18"/>
      <c r="CR263" s="18"/>
      <c r="CS263" s="18"/>
      <c r="CT263" s="18"/>
      <c r="CU263" s="18"/>
      <c r="CV263" s="18"/>
      <c r="CW263" s="18"/>
      <c r="CX263" s="18"/>
      <c r="CY263" s="18"/>
      <c r="CZ263" s="18"/>
      <c r="DA263" s="18"/>
      <c r="DB263" s="18"/>
      <c r="DC263" s="18"/>
      <c r="DD263" s="18"/>
      <c r="DE263" s="18"/>
      <c r="DF263" s="18"/>
      <c r="DG263" s="18"/>
      <c r="DH263" s="18"/>
      <c r="DI263" s="18"/>
      <c r="DJ263" s="18"/>
      <c r="DK263" s="18"/>
      <c r="DL263" s="18"/>
      <c r="DM263" s="18"/>
      <c r="DN263" s="18"/>
      <c r="DO263" s="18"/>
      <c r="DP263" s="18"/>
      <c r="DQ263" s="18"/>
      <c r="DR263" s="18"/>
      <c r="DS263" s="18"/>
      <c r="DT263" s="18"/>
      <c r="DU263" s="18"/>
      <c r="DV263" s="18"/>
      <c r="DW263" s="18"/>
      <c r="DX263" s="18"/>
      <c r="DY263" s="18"/>
      <c r="DZ263" s="18"/>
      <c r="EA263" s="18"/>
      <c r="EB263" s="18"/>
      <c r="EC263" s="18"/>
      <c r="ED263" s="18"/>
      <c r="EE263" s="18"/>
      <c r="EF263" s="18"/>
      <c r="EG263" s="18"/>
      <c r="EH263" s="18"/>
      <c r="EI263" s="18"/>
      <c r="EJ263" s="18"/>
      <c r="EK263" s="18"/>
      <c r="EL263" s="18"/>
      <c r="EM263" s="18"/>
      <c r="EN263" s="18"/>
      <c r="EO263" s="18"/>
      <c r="EP263" s="18"/>
      <c r="EQ263" s="18"/>
      <c r="ER263" s="18"/>
      <c r="ES263" s="18"/>
      <c r="ET263" s="18"/>
      <c r="EU263" s="18"/>
      <c r="EV263" s="18"/>
      <c r="EW263" s="18"/>
      <c r="EX263" s="18"/>
      <c r="EY263" s="18"/>
      <c r="EZ263" s="18"/>
      <c r="FA263" s="18"/>
      <c r="FB263" s="18"/>
      <c r="FC263" s="18"/>
      <c r="FD263" s="18"/>
      <c r="FE263" s="18"/>
      <c r="FF263" s="18"/>
      <c r="FG263" s="18"/>
      <c r="FH263" s="18"/>
      <c r="FI263" s="18"/>
      <c r="FJ263" s="18"/>
      <c r="FK263" s="18"/>
      <c r="FL263" s="18"/>
      <c r="FM263" s="18"/>
      <c r="FN263" s="18"/>
      <c r="FO263" s="18"/>
      <c r="FP263" s="18"/>
      <c r="FQ263" s="18"/>
      <c r="FR263" s="18"/>
      <c r="FS263" s="18"/>
      <c r="FT263" s="18"/>
      <c r="FU263" s="18"/>
      <c r="FV263" s="18"/>
      <c r="FW263" s="18"/>
      <c r="FX263" s="18"/>
      <c r="FY263" s="18"/>
      <c r="FZ263" s="18"/>
      <c r="GA263" s="18"/>
      <c r="GB263" s="18"/>
      <c r="GC263" s="18"/>
      <c r="GD263" s="18"/>
      <c r="GE263" s="18"/>
      <c r="GF263" s="18"/>
      <c r="GG263" s="18"/>
      <c r="GH263" s="18"/>
      <c r="GI263" s="18"/>
      <c r="GJ263" s="18"/>
      <c r="GK263" s="18"/>
      <c r="GL263" s="18"/>
      <c r="GM263" s="18"/>
      <c r="GN263" s="18"/>
      <c r="GO263" s="18"/>
      <c r="GP263" s="18"/>
      <c r="GQ263" s="18"/>
      <c r="GR263" s="18"/>
      <c r="GS263" s="18"/>
      <c r="GT263" s="18"/>
      <c r="GU263" s="18"/>
      <c r="GV263" s="18"/>
      <c r="GW263" s="18"/>
      <c r="GX263" s="18"/>
      <c r="GY263" s="18"/>
      <c r="GZ263" s="18"/>
      <c r="HA263" s="18"/>
      <c r="HB263" s="18"/>
      <c r="HC263" s="18"/>
      <c r="HD263" s="18"/>
      <c r="HE263" s="18"/>
      <c r="HF263" s="18"/>
      <c r="HG263" s="18"/>
      <c r="HH263" s="18"/>
      <c r="HI263" s="18"/>
      <c r="HJ263" s="18"/>
      <c r="HK263" s="18"/>
      <c r="HL263" s="18"/>
      <c r="HM263" s="18"/>
      <c r="HN263" s="18"/>
      <c r="HO263" s="18"/>
      <c r="HP263" s="18"/>
      <c r="HQ263" s="18"/>
      <c r="HR263" s="18"/>
      <c r="HS263" s="18"/>
      <c r="HT263" s="18"/>
      <c r="HU263" s="18"/>
      <c r="HV263" s="18"/>
      <c r="HW263" s="18"/>
      <c r="HX263" s="18"/>
      <c r="HY263" s="18"/>
      <c r="HZ263" s="18"/>
      <c r="IA263" s="18"/>
      <c r="IB263" s="18"/>
      <c r="IC263" s="18"/>
      <c r="ID263" s="18"/>
      <c r="IE263" s="18"/>
      <c r="IF263" s="18"/>
      <c r="IG263" s="18"/>
      <c r="IH263" s="18"/>
      <c r="II263" s="18"/>
      <c r="IJ263" s="18"/>
      <c r="IK263" s="18"/>
      <c r="IL263" s="18"/>
      <c r="IM263" s="18"/>
      <c r="IN263" s="18"/>
      <c r="IO263" s="18"/>
      <c r="IP263" s="18"/>
      <c r="IQ263" s="18"/>
      <c r="IR263" s="18"/>
      <c r="IS263" s="18"/>
      <c r="IT263" s="18"/>
      <c r="IU263" s="18"/>
      <c r="IV263" s="18"/>
      <c r="IW263" s="18"/>
      <c r="IX263" s="18"/>
      <c r="IY263" s="18"/>
      <c r="IZ263" s="18"/>
      <c r="JA263" s="18"/>
      <c r="JB263" s="18"/>
      <c r="JC263" s="18"/>
      <c r="JD263" s="18"/>
      <c r="JE263" s="18"/>
      <c r="JF263" s="18"/>
      <c r="JG263" s="18"/>
      <c r="JH263" s="18"/>
      <c r="JI263" s="18"/>
      <c r="JJ263" s="18"/>
      <c r="JK263" s="18"/>
      <c r="JL263" s="18"/>
      <c r="JM263" s="18"/>
      <c r="JN263" s="18"/>
      <c r="JO263" s="18"/>
      <c r="JP263" s="18"/>
      <c r="JQ263" s="18"/>
      <c r="JR263" s="18"/>
      <c r="JS263" s="18"/>
      <c r="JT263" s="18"/>
      <c r="JU263" s="18"/>
      <c r="JV263" s="18"/>
      <c r="JW263" s="18"/>
      <c r="JX263" s="18"/>
      <c r="JY263" s="18"/>
      <c r="JZ263" s="18"/>
      <c r="KA263" s="18"/>
      <c r="KB263" s="18"/>
      <c r="KC263" s="18"/>
      <c r="KD263" s="18"/>
      <c r="KE263" s="18"/>
      <c r="KF263" s="18"/>
      <c r="KG263" s="18"/>
      <c r="KH263" s="18"/>
      <c r="KI263" s="18"/>
      <c r="KJ263" s="18"/>
      <c r="KK263" s="18"/>
      <c r="KL263" s="18"/>
      <c r="KM263" s="18"/>
      <c r="KN263" s="18"/>
      <c r="KO263" s="18"/>
      <c r="KP263" s="18"/>
      <c r="KQ263" s="18"/>
      <c r="KR263" s="18"/>
      <c r="KS263" s="18"/>
      <c r="KT263" s="18"/>
      <c r="KU263" s="18"/>
      <c r="KV263" s="18"/>
      <c r="KW263" s="18"/>
      <c r="KX263" s="18"/>
      <c r="KY263" s="18"/>
      <c r="KZ263" s="18"/>
      <c r="LA263" s="18"/>
      <c r="LB263" s="18"/>
      <c r="LC263" s="18"/>
      <c r="LD263" s="18"/>
      <c r="LE263" s="18"/>
      <c r="LF263" s="18"/>
      <c r="LG263" s="18"/>
      <c r="LH263" s="18"/>
      <c r="LI263" s="18"/>
      <c r="LJ263" s="18"/>
      <c r="LK263" s="18"/>
      <c r="LL263" s="18"/>
      <c r="LM263" s="18"/>
      <c r="LN263" s="18"/>
      <c r="LO263" s="18"/>
      <c r="LP263" s="18"/>
      <c r="LQ263" s="18"/>
      <c r="LR263" s="18"/>
      <c r="LS263" s="18"/>
      <c r="LT263" s="18"/>
      <c r="LU263" s="18"/>
      <c r="LV263" s="18"/>
      <c r="LW263" s="18"/>
      <c r="LX263" s="18"/>
      <c r="LY263" s="18"/>
      <c r="LZ263" s="18"/>
      <c r="MA263" s="18"/>
      <c r="MB263" s="18"/>
      <c r="MC263" s="18"/>
      <c r="MD263" s="18"/>
      <c r="ME263" s="18"/>
      <c r="MF263" s="18"/>
      <c r="MG263" s="18"/>
      <c r="MH263" s="18"/>
      <c r="MI263" s="18"/>
      <c r="MJ263" s="18"/>
      <c r="MK263" s="18"/>
      <c r="ML263" s="18"/>
      <c r="MM263" s="18"/>
      <c r="MN263" s="18"/>
      <c r="MO263" s="18"/>
      <c r="MP263" s="18"/>
      <c r="MQ263" s="18"/>
      <c r="MR263" s="18"/>
      <c r="MS263" s="18"/>
      <c r="MT263" s="18"/>
      <c r="MU263" s="18"/>
      <c r="MV263" s="18"/>
      <c r="MW263" s="18"/>
      <c r="MX263" s="18"/>
      <c r="MY263" s="18"/>
      <c r="MZ263" s="18"/>
      <c r="NA263" s="18"/>
      <c r="NB263" s="18"/>
      <c r="NC263" s="18"/>
      <c r="ND263" s="18"/>
      <c r="NE263" s="18"/>
      <c r="NF263" s="18"/>
      <c r="NG263" s="18"/>
      <c r="NH263" s="18"/>
      <c r="NI263" s="18"/>
      <c r="NJ263" s="18"/>
      <c r="NK263" s="18"/>
      <c r="NL263" s="18"/>
      <c r="NM263" s="18"/>
      <c r="NN263" s="18"/>
      <c r="NO263" s="18"/>
      <c r="NP263" s="18"/>
      <c r="NQ263" s="18"/>
      <c r="NR263" s="18"/>
      <c r="NS263" s="18"/>
      <c r="NT263" s="18"/>
      <c r="NU263" s="18"/>
      <c r="NV263" s="18"/>
      <c r="NW263" s="18"/>
      <c r="NX263" s="18"/>
      <c r="NY263" s="18"/>
      <c r="NZ263" s="18"/>
      <c r="OA263" s="18"/>
      <c r="OB263" s="18"/>
      <c r="OC263" s="18"/>
      <c r="OD263" s="18"/>
      <c r="OE263" s="18"/>
      <c r="OF263" s="18"/>
      <c r="OG263" s="18"/>
      <c r="OH263" s="18"/>
      <c r="OI263" s="18"/>
      <c r="OJ263" s="18"/>
      <c r="OK263" s="18"/>
      <c r="OL263" s="18"/>
      <c r="OM263" s="18"/>
      <c r="ON263" s="18"/>
      <c r="OO263" s="18"/>
      <c r="OP263" s="18"/>
      <c r="OQ263" s="18"/>
      <c r="OR263" s="18"/>
      <c r="OS263" s="18"/>
      <c r="OT263" s="18"/>
      <c r="OU263" s="18"/>
      <c r="OV263" s="18"/>
      <c r="OW263" s="18"/>
      <c r="OX263" s="18"/>
      <c r="OY263" s="18"/>
      <c r="OZ263" s="18"/>
      <c r="PA263" s="18"/>
      <c r="PB263" s="18"/>
      <c r="PC263" s="18"/>
      <c r="PD263" s="18"/>
      <c r="PE263" s="18"/>
      <c r="PF263" s="18"/>
      <c r="PG263" s="18"/>
      <c r="PH263" s="18"/>
      <c r="PI263" s="18"/>
      <c r="PJ263" s="18"/>
      <c r="PK263" s="18"/>
      <c r="PL263" s="18"/>
      <c r="PM263" s="18"/>
      <c r="PN263" s="18"/>
      <c r="PO263" s="18"/>
      <c r="PP263" s="18"/>
      <c r="PQ263" s="18"/>
      <c r="PR263" s="18"/>
      <c r="PS263" s="18"/>
      <c r="PT263" s="18"/>
      <c r="PU263" s="18"/>
      <c r="PV263" s="18"/>
      <c r="PW263" s="18"/>
      <c r="PX263" s="18"/>
      <c r="PY263" s="18"/>
      <c r="PZ263" s="18"/>
      <c r="QA263" s="18"/>
      <c r="QB263" s="18"/>
      <c r="QC263" s="18"/>
      <c r="QD263" s="18"/>
      <c r="QE263" s="18"/>
      <c r="QF263" s="18"/>
      <c r="QG263" s="18"/>
      <c r="QH263" s="18"/>
      <c r="QI263" s="18"/>
      <c r="QJ263" s="18"/>
      <c r="QK263" s="18"/>
      <c r="QL263" s="18"/>
      <c r="QM263" s="18"/>
      <c r="QN263" s="18"/>
      <c r="QO263" s="18"/>
      <c r="QP263" s="18"/>
      <c r="QQ263" s="18"/>
      <c r="QR263" s="18"/>
      <c r="QS263" s="18"/>
      <c r="QT263" s="18"/>
      <c r="QU263" s="18"/>
      <c r="QV263" s="18"/>
      <c r="QW263" s="18"/>
      <c r="QX263" s="18"/>
      <c r="QY263" s="18"/>
      <c r="QZ263" s="18"/>
      <c r="RA263" s="18"/>
      <c r="RB263" s="18"/>
      <c r="RC263" s="18"/>
      <c r="RD263" s="18"/>
      <c r="RE263" s="18"/>
      <c r="RF263" s="18"/>
      <c r="RG263" s="18"/>
      <c r="RH263" s="18"/>
      <c r="RI263" s="18"/>
      <c r="RJ263" s="18"/>
      <c r="RK263" s="18"/>
      <c r="RL263" s="18"/>
      <c r="RM263" s="18"/>
      <c r="RN263" s="18"/>
      <c r="RO263" s="18"/>
      <c r="RP263" s="18"/>
      <c r="RQ263" s="18"/>
      <c r="RR263" s="18"/>
      <c r="RS263" s="18"/>
      <c r="RT263" s="18"/>
      <c r="RU263" s="18"/>
      <c r="RV263" s="18"/>
      <c r="RW263" s="18"/>
      <c r="RX263" s="18"/>
      <c r="RY263" s="18"/>
      <c r="RZ263" s="18"/>
      <c r="SA263" s="18"/>
      <c r="SB263" s="18"/>
      <c r="SC263" s="18"/>
      <c r="SD263" s="18"/>
      <c r="SE263" s="18"/>
      <c r="SF263" s="18"/>
      <c r="SG263" s="18"/>
      <c r="SH263" s="18"/>
      <c r="SI263" s="18"/>
      <c r="SJ263" s="18"/>
      <c r="SK263" s="18"/>
      <c r="SL263" s="18"/>
      <c r="SM263" s="18"/>
      <c r="SN263" s="18"/>
      <c r="SO263" s="18"/>
      <c r="SP263" s="18"/>
      <c r="SQ263" s="18"/>
      <c r="SR263" s="18"/>
      <c r="SS263" s="18"/>
      <c r="ST263" s="18"/>
      <c r="SU263" s="18"/>
      <c r="SV263" s="18"/>
      <c r="SW263" s="18"/>
      <c r="SX263" s="18"/>
      <c r="SY263" s="18"/>
      <c r="SZ263" s="18"/>
      <c r="TA263" s="18"/>
      <c r="TB263" s="18"/>
      <c r="TC263" s="18"/>
      <c r="TD263" s="18"/>
      <c r="TE263" s="18"/>
      <c r="TF263" s="18"/>
      <c r="TG263" s="18"/>
      <c r="TH263" s="18"/>
      <c r="TI263" s="18"/>
      <c r="TJ263" s="18"/>
      <c r="TK263" s="18"/>
      <c r="TL263" s="18"/>
      <c r="TM263" s="18"/>
      <c r="TN263" s="18"/>
      <c r="TO263" s="18"/>
      <c r="TP263" s="18"/>
      <c r="TQ263" s="18"/>
      <c r="TR263" s="18"/>
      <c r="TS263" s="18"/>
      <c r="TT263" s="18"/>
      <c r="TU263" s="18"/>
      <c r="TV263" s="18"/>
      <c r="TW263" s="18"/>
      <c r="TX263" s="18"/>
      <c r="TY263" s="18"/>
      <c r="TZ263" s="18"/>
      <c r="UA263" s="18"/>
      <c r="UB263" s="18"/>
      <c r="UC263" s="18"/>
      <c r="UD263" s="18"/>
      <c r="UE263" s="18"/>
      <c r="UF263" s="18"/>
      <c r="UG263" s="18"/>
      <c r="UH263" s="18"/>
      <c r="UI263" s="18"/>
      <c r="UJ263" s="18"/>
      <c r="UK263" s="18"/>
      <c r="UL263" s="18"/>
      <c r="UM263" s="18"/>
      <c r="UN263" s="18"/>
      <c r="UO263" s="18"/>
      <c r="UP263" s="18"/>
      <c r="UQ263" s="18"/>
      <c r="UR263" s="18"/>
      <c r="US263" s="18"/>
      <c r="UT263" s="18"/>
      <c r="UU263" s="18"/>
      <c r="UV263" s="18"/>
      <c r="UW263" s="18"/>
      <c r="UX263" s="18"/>
      <c r="UY263" s="18"/>
      <c r="UZ263" s="18"/>
      <c r="VA263" s="18"/>
      <c r="VB263" s="18"/>
      <c r="VC263" s="18"/>
      <c r="VD263" s="18"/>
      <c r="VE263" s="18"/>
      <c r="VF263" s="18"/>
      <c r="VG263" s="18"/>
      <c r="VH263" s="18"/>
      <c r="VI263" s="18"/>
      <c r="VJ263" s="18"/>
      <c r="VK263" s="18"/>
      <c r="VL263" s="18"/>
      <c r="VM263" s="18"/>
      <c r="VN263" s="18"/>
      <c r="VO263" s="18"/>
      <c r="VP263" s="18"/>
      <c r="VQ263" s="18"/>
      <c r="VR263" s="18"/>
      <c r="VS263" s="18"/>
      <c r="VT263" s="18"/>
      <c r="VU263" s="18"/>
      <c r="VV263" s="18"/>
      <c r="VW263" s="18"/>
      <c r="VX263" s="18"/>
      <c r="VY263" s="18"/>
      <c r="VZ263" s="18"/>
      <c r="WA263" s="18"/>
      <c r="WB263" s="18"/>
      <c r="WC263" s="18"/>
      <c r="WD263" s="18"/>
      <c r="WE263" s="18"/>
      <c r="WF263" s="18"/>
      <c r="WG263" s="18"/>
      <c r="WH263" s="18"/>
      <c r="WI263" s="18"/>
      <c r="WJ263" s="18"/>
      <c r="WK263" s="18"/>
      <c r="WL263" s="18"/>
      <c r="WM263" s="18"/>
      <c r="WN263" s="18"/>
      <c r="WO263" s="18"/>
      <c r="WP263" s="18"/>
      <c r="WQ263" s="18"/>
      <c r="WR263" s="18"/>
      <c r="WS263" s="18"/>
      <c r="WT263" s="18"/>
      <c r="WU263" s="18"/>
      <c r="WV263" s="18"/>
      <c r="WW263" s="18"/>
      <c r="WX263" s="18"/>
      <c r="WY263" s="18"/>
      <c r="WZ263" s="18"/>
      <c r="XA263" s="18"/>
      <c r="XB263" s="18"/>
      <c r="XC263" s="18"/>
      <c r="XD263" s="18"/>
      <c r="XE263" s="18"/>
      <c r="XF263" s="18"/>
      <c r="XG263" s="18"/>
      <c r="XH263" s="18"/>
      <c r="XI263" s="18"/>
      <c r="XJ263" s="18"/>
      <c r="XK263" s="18"/>
      <c r="XL263" s="18"/>
      <c r="XM263" s="18"/>
      <c r="XN263" s="18"/>
      <c r="XO263" s="18"/>
      <c r="XP263" s="18"/>
      <c r="XQ263" s="18"/>
      <c r="XR263" s="18"/>
      <c r="XS263" s="18"/>
      <c r="XT263" s="18"/>
      <c r="XU263" s="18"/>
      <c r="XV263" s="18"/>
      <c r="XW263" s="18"/>
      <c r="XX263" s="18"/>
      <c r="XY263" s="18"/>
      <c r="XZ263" s="18"/>
      <c r="YA263" s="18"/>
      <c r="YB263" s="18"/>
      <c r="YC263" s="18"/>
      <c r="YD263" s="18"/>
      <c r="YE263" s="18"/>
      <c r="YF263" s="18"/>
      <c r="YG263" s="18"/>
      <c r="YH263" s="18"/>
      <c r="YI263" s="18"/>
      <c r="YJ263" s="18"/>
      <c r="YK263" s="18"/>
      <c r="YL263" s="18"/>
      <c r="YM263" s="18"/>
      <c r="YN263" s="18"/>
      <c r="YO263" s="18"/>
      <c r="YP263" s="18"/>
      <c r="YQ263" s="18"/>
      <c r="YR263" s="18"/>
      <c r="YS263" s="18"/>
      <c r="YT263" s="18"/>
      <c r="YU263" s="18"/>
      <c r="YV263" s="18"/>
      <c r="YW263" s="18"/>
      <c r="YX263" s="18"/>
      <c r="YY263" s="18"/>
      <c r="YZ263" s="18"/>
      <c r="ZA263" s="18"/>
      <c r="ZB263" s="18"/>
      <c r="ZC263" s="18"/>
      <c r="ZD263" s="18"/>
      <c r="ZE263" s="18"/>
      <c r="ZF263" s="18"/>
      <c r="ZG263" s="18"/>
      <c r="ZH263" s="18"/>
      <c r="ZI263" s="18"/>
      <c r="ZJ263" s="18"/>
      <c r="ZK263" s="18"/>
      <c r="ZL263" s="18"/>
      <c r="ZM263" s="18"/>
      <c r="ZN263" s="18"/>
      <c r="ZO263" s="18"/>
      <c r="ZP263" s="18"/>
      <c r="ZQ263" s="18"/>
      <c r="ZR263" s="18"/>
      <c r="ZS263" s="18"/>
      <c r="ZT263" s="18"/>
      <c r="ZU263" s="18"/>
      <c r="ZV263" s="18"/>
      <c r="ZW263" s="18"/>
      <c r="ZX263" s="18"/>
      <c r="ZY263" s="18"/>
      <c r="ZZ263" s="18"/>
      <c r="AAA263" s="18"/>
      <c r="AAB263" s="18"/>
      <c r="AAC263" s="18"/>
      <c r="AAD263" s="18"/>
      <c r="AAE263" s="18"/>
      <c r="AAF263" s="18"/>
      <c r="AAG263" s="18"/>
      <c r="AAH263" s="18"/>
      <c r="AAI263" s="18"/>
      <c r="AAJ263" s="18"/>
      <c r="AAK263" s="18"/>
      <c r="AAL263" s="18"/>
      <c r="AAM263" s="18"/>
      <c r="AAN263" s="18"/>
      <c r="AAO263" s="18"/>
      <c r="AAP263" s="18"/>
      <c r="AAQ263" s="18"/>
      <c r="AAR263" s="18"/>
      <c r="AAS263" s="18"/>
      <c r="AAT263" s="18"/>
      <c r="AAU263" s="18"/>
      <c r="AAV263" s="18"/>
      <c r="AAW263" s="18"/>
      <c r="AAX263" s="18"/>
      <c r="AAY263" s="18"/>
      <c r="AAZ263" s="18"/>
      <c r="ABA263" s="18"/>
      <c r="ABB263" s="18"/>
      <c r="ABC263" s="18"/>
      <c r="ABD263" s="18"/>
      <c r="ABE263" s="18"/>
      <c r="ABF263" s="18"/>
      <c r="ABG263" s="18"/>
      <c r="ABH263" s="18"/>
      <c r="ABI263" s="18"/>
      <c r="ABJ263" s="18"/>
      <c r="ABK263" s="18"/>
      <c r="ABL263" s="18"/>
      <c r="ABM263" s="18"/>
      <c r="ABN263" s="18"/>
      <c r="ABO263" s="18"/>
      <c r="ABP263" s="18"/>
      <c r="ABQ263" s="18"/>
      <c r="ABR263" s="18"/>
      <c r="ABS263" s="18"/>
      <c r="ABT263" s="18"/>
      <c r="ABU263" s="18"/>
      <c r="ABV263" s="18"/>
      <c r="ABW263" s="18"/>
      <c r="ABX263" s="18"/>
      <c r="ABY263" s="18"/>
      <c r="ABZ263" s="18"/>
      <c r="ACA263" s="18"/>
      <c r="ACB263" s="18"/>
      <c r="ACC263" s="18"/>
      <c r="ACD263" s="18"/>
      <c r="ACE263" s="18"/>
      <c r="ACF263" s="18"/>
      <c r="ACG263" s="18"/>
      <c r="ACH263" s="18"/>
      <c r="ACI263" s="18"/>
      <c r="ACJ263" s="18"/>
      <c r="ACK263" s="18"/>
      <c r="ACL263" s="18"/>
      <c r="ACM263" s="18"/>
      <c r="ACN263" s="18"/>
      <c r="ACO263" s="18"/>
      <c r="ACP263" s="18"/>
      <c r="ACQ263" s="18"/>
      <c r="ACR263" s="18"/>
      <c r="ACS263" s="18"/>
      <c r="ACT263" s="18"/>
      <c r="ACU263" s="18"/>
      <c r="ACV263" s="18"/>
      <c r="ACW263" s="18"/>
      <c r="ACX263" s="18"/>
      <c r="ACY263" s="18"/>
      <c r="ACZ263" s="18"/>
      <c r="ADA263" s="18"/>
      <c r="ADB263" s="18"/>
      <c r="ADC263" s="18"/>
      <c r="ADD263" s="18"/>
      <c r="ADE263" s="18"/>
      <c r="ADF263" s="18"/>
      <c r="ADG263" s="18"/>
      <c r="ADH263" s="18"/>
      <c r="ADI263" s="18"/>
      <c r="ADJ263" s="18"/>
      <c r="ADK263" s="18"/>
      <c r="ADL263" s="18"/>
      <c r="ADM263" s="18"/>
      <c r="ADN263" s="18"/>
      <c r="ADO263" s="18"/>
      <c r="ADP263" s="18"/>
      <c r="ADQ263" s="18"/>
      <c r="ADR263" s="18"/>
      <c r="ADS263" s="18"/>
      <c r="ADT263" s="18"/>
      <c r="ADU263" s="18"/>
      <c r="ADV263" s="18"/>
      <c r="ADW263" s="18"/>
      <c r="ADX263" s="18"/>
      <c r="ADY263" s="18"/>
      <c r="ADZ263" s="18"/>
      <c r="AEA263" s="18"/>
      <c r="AEB263" s="18"/>
      <c r="AEC263" s="18"/>
      <c r="AED263" s="18"/>
      <c r="AEE263" s="18"/>
      <c r="AEF263" s="18"/>
      <c r="AEG263" s="18"/>
      <c r="AEH263" s="18"/>
      <c r="AEI263" s="18"/>
      <c r="AEJ263" s="18"/>
      <c r="AEK263" s="18"/>
      <c r="AEL263" s="18"/>
      <c r="AEM263" s="18"/>
      <c r="AEN263" s="18"/>
      <c r="AEO263" s="18"/>
      <c r="AEP263" s="18"/>
      <c r="AEQ263" s="18"/>
      <c r="AER263" s="18"/>
      <c r="AES263" s="18"/>
      <c r="AET263" s="18"/>
      <c r="AEU263" s="18"/>
      <c r="AEV263" s="18"/>
      <c r="AEW263" s="18"/>
      <c r="AEX263" s="18"/>
      <c r="AEY263" s="18"/>
      <c r="AEZ263" s="18"/>
      <c r="AFA263" s="18"/>
      <c r="AFB263" s="18"/>
      <c r="AFC263" s="18"/>
      <c r="AFD263" s="18"/>
      <c r="AFE263" s="18"/>
      <c r="AFF263" s="18"/>
      <c r="AFG263" s="18"/>
      <c r="AFH263" s="18"/>
      <c r="AFI263" s="18"/>
      <c r="AFJ263" s="18"/>
      <c r="AFK263" s="18"/>
      <c r="AFL263" s="18"/>
      <c r="AFM263" s="18"/>
      <c r="AFN263" s="18"/>
      <c r="AFO263" s="18"/>
      <c r="AFP263" s="18"/>
      <c r="AFQ263" s="18"/>
      <c r="AFR263" s="18"/>
      <c r="AFS263" s="18"/>
      <c r="AFT263" s="18"/>
      <c r="AFU263" s="18"/>
      <c r="AFV263" s="18"/>
      <c r="AFW263" s="18"/>
      <c r="AFX263" s="18"/>
      <c r="AFY263" s="18"/>
      <c r="AFZ263" s="18"/>
      <c r="AGA263" s="18"/>
      <c r="AGB263" s="18"/>
      <c r="AGC263" s="18"/>
      <c r="AGD263" s="18"/>
      <c r="AGE263" s="18"/>
      <c r="AGF263" s="18"/>
      <c r="AGG263" s="18"/>
      <c r="AGH263" s="18"/>
      <c r="AGI263" s="18"/>
      <c r="AGJ263" s="18"/>
      <c r="AGK263" s="18"/>
      <c r="AGL263" s="18"/>
      <c r="AGM263" s="18"/>
      <c r="AGN263" s="18"/>
      <c r="AGO263" s="18"/>
      <c r="AGP263" s="18"/>
      <c r="AGQ263" s="18"/>
      <c r="AGR263" s="18"/>
      <c r="AGS263" s="18"/>
      <c r="AGT263" s="18"/>
      <c r="AGU263" s="18"/>
      <c r="AGV263" s="18"/>
      <c r="AGW263" s="18"/>
      <c r="AGX263" s="18"/>
      <c r="AGY263" s="18"/>
      <c r="AGZ263" s="18"/>
      <c r="AHA263" s="18"/>
      <c r="AHB263" s="18"/>
      <c r="AHC263" s="18"/>
      <c r="AHD263" s="18"/>
      <c r="AHE263" s="18"/>
      <c r="AHF263" s="18"/>
      <c r="AHG263" s="18"/>
      <c r="AHH263" s="18"/>
      <c r="AHI263" s="18"/>
      <c r="AHJ263" s="18"/>
      <c r="AHK263" s="18"/>
      <c r="AHL263" s="18"/>
      <c r="AHM263" s="18"/>
      <c r="AHN263" s="18"/>
      <c r="AHO263" s="18"/>
      <c r="AHP263" s="18"/>
      <c r="AHQ263" s="18"/>
      <c r="AHR263" s="18"/>
      <c r="AHS263" s="18"/>
      <c r="AHT263" s="18"/>
      <c r="AHU263" s="18"/>
      <c r="AHV263" s="18"/>
      <c r="AHW263" s="18"/>
      <c r="AHX263" s="18"/>
      <c r="AHY263" s="18"/>
      <c r="AHZ263" s="18"/>
      <c r="AIA263" s="18"/>
      <c r="AIB263" s="18"/>
      <c r="AIC263" s="18"/>
      <c r="AID263" s="18"/>
      <c r="AIE263" s="18"/>
      <c r="AIF263" s="18"/>
      <c r="AIG263" s="18"/>
      <c r="AIH263" s="18"/>
      <c r="AII263" s="18"/>
      <c r="AIJ263" s="18"/>
      <c r="AIK263" s="18"/>
      <c r="AIL263" s="18"/>
      <c r="AIM263" s="18"/>
      <c r="AIN263" s="18"/>
      <c r="AIO263" s="18"/>
      <c r="AIP263" s="18"/>
      <c r="AIQ263" s="18"/>
      <c r="AIR263" s="18"/>
      <c r="AIS263" s="18"/>
      <c r="AIT263" s="18"/>
      <c r="AIU263" s="18"/>
      <c r="AIV263" s="18"/>
      <c r="AIW263" s="18"/>
      <c r="AIX263" s="18"/>
      <c r="AIY263" s="18"/>
      <c r="AIZ263" s="18"/>
      <c r="AJA263" s="18"/>
      <c r="AJB263" s="18"/>
      <c r="AJC263" s="18"/>
      <c r="AJD263" s="18"/>
      <c r="AJE263" s="18"/>
      <c r="AJF263" s="18"/>
      <c r="AJG263" s="18"/>
      <c r="AJH263" s="18"/>
      <c r="AJI263" s="18"/>
      <c r="AJJ263" s="18"/>
      <c r="AJK263" s="18"/>
      <c r="AJL263" s="18"/>
      <c r="AJM263" s="18"/>
      <c r="AJN263" s="18"/>
      <c r="AJO263" s="18"/>
      <c r="AJP263" s="18"/>
      <c r="AJQ263" s="18"/>
      <c r="AJR263" s="18"/>
      <c r="AJS263" s="18"/>
      <c r="AJT263" s="18"/>
      <c r="AJU263" s="18"/>
      <c r="AJV263" s="18"/>
      <c r="AJW263" s="18"/>
      <c r="AJX263" s="18"/>
      <c r="AJY263" s="18"/>
      <c r="AJZ263" s="18"/>
      <c r="AKA263" s="18"/>
      <c r="AKB263" s="18"/>
      <c r="AKC263" s="18"/>
      <c r="AKD263" s="18"/>
      <c r="AKE263" s="18"/>
      <c r="AKF263" s="18"/>
      <c r="AKG263" s="18"/>
      <c r="AKH263" s="18"/>
      <c r="AKI263" s="18"/>
      <c r="AKJ263" s="18"/>
      <c r="AKK263" s="18"/>
      <c r="AKL263" s="18"/>
      <c r="AKM263" s="18"/>
      <c r="AKN263" s="18"/>
      <c r="AKO263" s="18"/>
      <c r="AKP263" s="18"/>
      <c r="AKQ263" s="18"/>
      <c r="AKR263" s="18"/>
      <c r="AKS263" s="18"/>
      <c r="AKT263" s="18"/>
      <c r="AKU263" s="18"/>
      <c r="AKV263" s="18"/>
      <c r="AKW263" s="18"/>
      <c r="AKX263" s="18"/>
      <c r="AKY263" s="18"/>
      <c r="AKZ263" s="18"/>
      <c r="ALA263" s="18"/>
      <c r="ALB263" s="18"/>
      <c r="ALC263" s="18"/>
      <c r="ALD263" s="18"/>
      <c r="ALE263" s="18"/>
      <c r="ALF263" s="18"/>
      <c r="ALG263" s="18"/>
      <c r="ALH263" s="18"/>
      <c r="ALI263" s="18"/>
      <c r="ALJ263" s="18"/>
      <c r="ALK263" s="18"/>
      <c r="ALL263" s="18"/>
      <c r="ALM263" s="18"/>
      <c r="ALN263" s="18"/>
      <c r="ALO263" s="18"/>
      <c r="ALP263" s="18"/>
      <c r="ALQ263" s="18"/>
      <c r="ALR263" s="18"/>
      <c r="ALS263" s="18"/>
      <c r="ALT263" s="18"/>
      <c r="ALU263" s="18"/>
      <c r="ALV263" s="18"/>
      <c r="ALW263" s="18"/>
      <c r="ALX263" s="18"/>
      <c r="ALY263" s="18"/>
      <c r="ALZ263" s="18"/>
      <c r="AMA263" s="18"/>
      <c r="AMB263" s="18"/>
      <c r="AMC263" s="18"/>
      <c r="AMD263" s="18"/>
      <c r="AME263" s="18"/>
      <c r="AMF263" s="18"/>
      <c r="AMG263" s="18"/>
      <c r="AMH263" s="18"/>
      <c r="AMI263" s="18"/>
      <c r="AMJ263" s="18"/>
      <c r="AMK263" s="18"/>
      <c r="AML263" s="18"/>
      <c r="AMM263" s="18"/>
      <c r="AMN263" s="18"/>
      <c r="AMO263" s="18"/>
      <c r="AMP263" s="18"/>
      <c r="AMQ263" s="18"/>
      <c r="AMR263" s="18"/>
      <c r="AMS263" s="18"/>
      <c r="AMT263" s="18"/>
      <c r="AMU263" s="18"/>
      <c r="AMV263" s="18"/>
      <c r="AMW263" s="18"/>
      <c r="AMX263" s="18"/>
      <c r="AMY263" s="18"/>
      <c r="AMZ263" s="18"/>
      <c r="ANA263" s="18"/>
      <c r="ANB263" s="18"/>
      <c r="ANC263" s="18"/>
      <c r="AND263" s="18"/>
      <c r="ANE263" s="18"/>
      <c r="ANF263" s="18"/>
      <c r="ANG263" s="18"/>
      <c r="ANH263" s="18"/>
      <c r="ANI263" s="18"/>
      <c r="ANJ263" s="18"/>
      <c r="ANK263" s="18"/>
      <c r="ANL263" s="18"/>
      <c r="ANM263" s="18"/>
      <c r="ANN263" s="18"/>
      <c r="ANO263" s="18"/>
      <c r="ANP263" s="18"/>
      <c r="ANQ263" s="18"/>
      <c r="ANR263" s="18"/>
      <c r="ANS263" s="18"/>
      <c r="ANT263" s="18"/>
      <c r="ANU263" s="18"/>
      <c r="ANV263" s="18"/>
      <c r="ANW263" s="18"/>
      <c r="ANX263" s="18"/>
      <c r="ANY263" s="18"/>
      <c r="ANZ263" s="18"/>
      <c r="AOA263" s="18"/>
      <c r="AOB263" s="18"/>
      <c r="AOC263" s="18"/>
      <c r="AOD263" s="18"/>
      <c r="AOE263" s="18"/>
      <c r="AOF263" s="18"/>
      <c r="AOG263" s="18"/>
      <c r="AOH263" s="18"/>
      <c r="AOI263" s="18"/>
      <c r="AOJ263" s="18"/>
      <c r="AOK263" s="18"/>
      <c r="AOL263" s="18"/>
      <c r="AOM263" s="18"/>
      <c r="AON263" s="18"/>
      <c r="AOO263" s="18"/>
      <c r="AOP263" s="18"/>
      <c r="AOQ263" s="18"/>
      <c r="AOR263" s="18"/>
      <c r="AOS263" s="18"/>
      <c r="AOT263" s="18"/>
      <c r="AOU263" s="18"/>
      <c r="AOV263" s="18"/>
      <c r="AOW263" s="18"/>
      <c r="AOX263" s="18"/>
      <c r="AOY263" s="18"/>
      <c r="AOZ263" s="18"/>
      <c r="APA263" s="18"/>
      <c r="APB263" s="18"/>
      <c r="APC263" s="18"/>
      <c r="APD263" s="18"/>
      <c r="APE263" s="18"/>
      <c r="APF263" s="18"/>
      <c r="APG263" s="18"/>
      <c r="APH263" s="18"/>
      <c r="API263" s="18"/>
      <c r="APJ263" s="18"/>
      <c r="APK263" s="18"/>
      <c r="APL263" s="18"/>
      <c r="APM263" s="18"/>
      <c r="APN263" s="18"/>
      <c r="APO263" s="18"/>
      <c r="APP263" s="18"/>
      <c r="APQ263" s="18"/>
      <c r="APR263" s="18"/>
      <c r="APS263" s="18"/>
      <c r="APT263" s="18"/>
      <c r="APU263" s="18"/>
      <c r="APV263" s="18"/>
      <c r="APW263" s="18"/>
      <c r="APX263" s="18"/>
      <c r="APY263" s="18"/>
      <c r="APZ263" s="18"/>
      <c r="AQA263" s="18"/>
      <c r="AQB263" s="18"/>
      <c r="AQC263" s="18"/>
      <c r="AQD263" s="18"/>
      <c r="AQE263" s="18"/>
      <c r="AQF263" s="18"/>
      <c r="AQG263" s="18"/>
      <c r="AQH263" s="18"/>
      <c r="AQI263" s="18"/>
      <c r="AQJ263" s="18"/>
      <c r="AQK263" s="18"/>
      <c r="AQL263" s="18"/>
      <c r="AQM263" s="18"/>
      <c r="AQN263" s="18"/>
      <c r="AQO263" s="18"/>
      <c r="AQP263" s="18"/>
      <c r="AQQ263" s="18"/>
      <c r="AQR263" s="18"/>
      <c r="AQS263" s="18"/>
      <c r="AQT263" s="18"/>
      <c r="AQU263" s="18"/>
      <c r="AQV263" s="18"/>
      <c r="AQW263" s="18"/>
      <c r="AQX263" s="18"/>
      <c r="AQY263" s="18"/>
      <c r="AQZ263" s="18"/>
      <c r="ARA263" s="18"/>
      <c r="ARB263" s="18"/>
      <c r="ARC263" s="18"/>
      <c r="ARD263" s="18"/>
      <c r="ARE263" s="18"/>
      <c r="ARF263" s="18"/>
      <c r="ARG263" s="18"/>
      <c r="ARH263" s="18"/>
      <c r="ARI263" s="18"/>
      <c r="ARJ263" s="18"/>
      <c r="ARK263" s="18"/>
      <c r="ARL263" s="18"/>
      <c r="ARM263" s="18"/>
      <c r="ARN263" s="18"/>
      <c r="ARO263" s="18"/>
      <c r="ARP263" s="18"/>
      <c r="ARQ263" s="18"/>
      <c r="ARR263" s="18"/>
      <c r="ARS263" s="18"/>
      <c r="ART263" s="18"/>
      <c r="ARU263" s="18"/>
      <c r="ARV263" s="18"/>
      <c r="ARW263" s="18"/>
      <c r="ARX263" s="18"/>
      <c r="ARY263" s="18"/>
      <c r="ARZ263" s="18"/>
      <c r="ASA263" s="18"/>
      <c r="ASB263" s="18"/>
      <c r="ASC263" s="18"/>
      <c r="ASD263" s="18"/>
      <c r="ASE263" s="18"/>
      <c r="ASF263" s="18"/>
      <c r="ASG263" s="18"/>
      <c r="ASH263" s="18"/>
      <c r="ASI263" s="18"/>
      <c r="ASJ263" s="18"/>
      <c r="ASK263" s="18"/>
      <c r="ASL263" s="18"/>
      <c r="ASM263" s="18"/>
      <c r="ASN263" s="18"/>
      <c r="ASO263" s="18"/>
      <c r="ASP263" s="18"/>
      <c r="ASQ263" s="18"/>
      <c r="ASR263" s="18"/>
      <c r="ASS263" s="18"/>
      <c r="AST263" s="18"/>
      <c r="ASU263" s="18"/>
      <c r="ASV263" s="18"/>
      <c r="ASW263" s="18"/>
      <c r="ASX263" s="18"/>
      <c r="ASY263" s="18"/>
      <c r="ASZ263" s="18"/>
      <c r="ATA263" s="18"/>
      <c r="ATB263" s="18"/>
      <c r="ATC263" s="18"/>
      <c r="ATD263" s="18"/>
      <c r="ATE263" s="18"/>
      <c r="ATF263" s="18"/>
      <c r="ATG263" s="18"/>
      <c r="ATH263" s="18"/>
      <c r="ATI263" s="18"/>
      <c r="ATJ263" s="18"/>
      <c r="ATK263" s="18"/>
      <c r="ATL263" s="18"/>
      <c r="ATM263" s="18"/>
      <c r="ATN263" s="18"/>
      <c r="ATO263" s="18"/>
      <c r="ATP263" s="18"/>
      <c r="ATQ263" s="18"/>
      <c r="ATR263" s="18"/>
      <c r="ATS263" s="18"/>
      <c r="ATT263" s="18"/>
      <c r="ATU263" s="18"/>
      <c r="ATV263" s="18"/>
      <c r="ATW263" s="18"/>
      <c r="ATX263" s="18"/>
      <c r="ATY263" s="18"/>
      <c r="ATZ263" s="18"/>
      <c r="AUA263" s="18"/>
      <c r="AUB263" s="18"/>
      <c r="AUC263" s="18"/>
      <c r="AUD263" s="18"/>
      <c r="AUE263" s="18"/>
      <c r="AUF263" s="18"/>
      <c r="AUG263" s="18"/>
      <c r="AUH263" s="18"/>
      <c r="AUI263" s="18"/>
      <c r="AUJ263" s="18"/>
      <c r="AUK263" s="18"/>
      <c r="AUL263" s="18"/>
      <c r="AUM263" s="18"/>
      <c r="AUN263" s="18"/>
      <c r="AUO263" s="18"/>
      <c r="AUP263" s="18"/>
      <c r="AUQ263" s="18"/>
      <c r="AUR263" s="18"/>
      <c r="AUS263" s="18"/>
      <c r="AUT263" s="18"/>
      <c r="AUU263" s="18"/>
      <c r="AUV263" s="18"/>
      <c r="AUW263" s="18"/>
      <c r="AUX263" s="18"/>
      <c r="AUY263" s="18"/>
      <c r="AUZ263" s="18"/>
      <c r="AVA263" s="18"/>
      <c r="AVB263" s="18"/>
      <c r="AVC263" s="18"/>
      <c r="AVD263" s="18"/>
      <c r="AVE263" s="18"/>
      <c r="AVF263" s="18"/>
      <c r="AVG263" s="18"/>
      <c r="AVH263" s="18"/>
      <c r="AVI263" s="18"/>
      <c r="AVJ263" s="18"/>
      <c r="AVK263" s="18"/>
      <c r="AVL263" s="18"/>
      <c r="AVM263" s="18"/>
      <c r="AVN263" s="18"/>
      <c r="AVO263" s="18"/>
      <c r="AVP263" s="18"/>
      <c r="AVQ263" s="18"/>
      <c r="AVR263" s="18"/>
      <c r="AVS263" s="18"/>
      <c r="AVT263" s="18"/>
      <c r="AVU263" s="18"/>
      <c r="AVV263" s="18"/>
      <c r="AVW263" s="18"/>
      <c r="AVX263" s="18"/>
      <c r="AVY263" s="18"/>
      <c r="AVZ263" s="18"/>
      <c r="AWA263" s="18"/>
      <c r="AWB263" s="18"/>
      <c r="AWC263" s="18"/>
      <c r="AWD263" s="18"/>
      <c r="AWE263" s="18"/>
      <c r="AWF263" s="18"/>
      <c r="AWG263" s="18"/>
      <c r="AWH263" s="18"/>
      <c r="AWI263" s="18"/>
      <c r="AWJ263" s="18"/>
      <c r="AWK263" s="18"/>
      <c r="AWL263" s="18"/>
      <c r="AWM263" s="18"/>
      <c r="AWN263" s="18"/>
      <c r="AWO263" s="18"/>
      <c r="AWP263" s="18"/>
      <c r="AWQ263" s="18"/>
      <c r="AWR263" s="18"/>
      <c r="AWS263" s="18"/>
      <c r="AWT263" s="18"/>
      <c r="AWU263" s="18"/>
      <c r="AWV263" s="18"/>
      <c r="AWW263" s="18"/>
      <c r="AWX263" s="18"/>
      <c r="AWY263" s="18"/>
      <c r="AWZ263" s="18"/>
      <c r="AXA263" s="18"/>
      <c r="AXB263" s="18"/>
      <c r="AXC263" s="18"/>
      <c r="AXD263" s="18"/>
      <c r="AXE263" s="18"/>
      <c r="AXF263" s="18"/>
      <c r="AXG263" s="18"/>
      <c r="AXH263" s="18"/>
      <c r="AXI263" s="18"/>
      <c r="AXJ263" s="18"/>
      <c r="AXK263" s="18"/>
      <c r="AXL263" s="18"/>
      <c r="AXM263" s="18"/>
      <c r="AXN263" s="18"/>
      <c r="AXO263" s="18"/>
      <c r="AXP263" s="18"/>
      <c r="AXQ263" s="18"/>
      <c r="AXR263" s="18"/>
      <c r="AXS263" s="18"/>
      <c r="AXT263" s="18"/>
      <c r="AXU263" s="18"/>
      <c r="AXV263" s="18"/>
      <c r="AXW263" s="18"/>
      <c r="AXX263" s="18"/>
      <c r="AXY263" s="18"/>
      <c r="AXZ263" s="18"/>
      <c r="AYA263" s="18"/>
      <c r="AYB263" s="18"/>
      <c r="AYC263" s="18"/>
      <c r="AYD263" s="18"/>
      <c r="AYE263" s="18"/>
      <c r="AYF263" s="18"/>
      <c r="AYG263" s="18"/>
      <c r="AYH263" s="18"/>
      <c r="AYI263" s="18"/>
      <c r="AYJ263" s="18"/>
      <c r="AYK263" s="18"/>
      <c r="AYL263" s="18"/>
      <c r="AYM263" s="18"/>
      <c r="AYN263" s="18"/>
      <c r="AYO263" s="18"/>
      <c r="AYP263" s="18"/>
      <c r="AYQ263" s="18"/>
      <c r="AYR263" s="18"/>
      <c r="AYS263" s="18"/>
      <c r="AYT263" s="18"/>
      <c r="AYU263" s="18"/>
      <c r="AYV263" s="18"/>
      <c r="AYW263" s="18"/>
      <c r="AYX263" s="18"/>
      <c r="AYY263" s="18"/>
      <c r="AYZ263" s="18"/>
      <c r="AZA263" s="18"/>
      <c r="AZB263" s="18"/>
      <c r="AZC263" s="18"/>
      <c r="AZD263" s="18"/>
      <c r="AZE263" s="18"/>
      <c r="AZF263" s="18"/>
      <c r="AZG263" s="18"/>
      <c r="AZH263" s="18"/>
      <c r="AZI263" s="18"/>
      <c r="AZJ263" s="18"/>
      <c r="AZK263" s="18"/>
      <c r="AZL263" s="18"/>
      <c r="AZM263" s="18"/>
      <c r="AZN263" s="18"/>
      <c r="AZO263" s="18"/>
      <c r="AZP263" s="18"/>
      <c r="AZQ263" s="18"/>
      <c r="AZR263" s="18"/>
      <c r="AZS263" s="18"/>
      <c r="AZT263" s="18"/>
      <c r="AZU263" s="18"/>
      <c r="AZV263" s="18"/>
      <c r="AZW263" s="18"/>
      <c r="AZX263" s="18"/>
      <c r="AZY263" s="18"/>
      <c r="AZZ263" s="18"/>
      <c r="BAA263" s="18"/>
      <c r="BAB263" s="18"/>
      <c r="BAC263" s="18"/>
      <c r="BAD263" s="18"/>
      <c r="BAE263" s="18"/>
      <c r="BAF263" s="18"/>
      <c r="BAG263" s="18"/>
      <c r="BAH263" s="18"/>
      <c r="BAI263" s="18"/>
      <c r="BAJ263" s="18"/>
      <c r="BAK263" s="18"/>
      <c r="BAL263" s="18"/>
      <c r="BAM263" s="18"/>
      <c r="BAN263" s="18"/>
      <c r="BAO263" s="18"/>
      <c r="BAP263" s="18"/>
      <c r="BAQ263" s="18"/>
      <c r="BAR263" s="18"/>
      <c r="BAS263" s="18"/>
      <c r="BAT263" s="18"/>
      <c r="BAU263" s="18"/>
      <c r="BAV263" s="18"/>
      <c r="BAW263" s="18"/>
      <c r="BAX263" s="18"/>
      <c r="BAY263" s="18"/>
      <c r="BAZ263" s="18"/>
      <c r="BBA263" s="18"/>
      <c r="BBB263" s="18"/>
      <c r="BBC263" s="18"/>
      <c r="BBD263" s="18"/>
      <c r="BBE263" s="18"/>
      <c r="BBF263" s="18"/>
      <c r="BBG263" s="18"/>
      <c r="BBH263" s="18"/>
      <c r="BBI263" s="18"/>
      <c r="BBJ263" s="18"/>
      <c r="BBK263" s="18"/>
      <c r="BBL263" s="18"/>
      <c r="BBM263" s="18"/>
      <c r="BBN263" s="18"/>
      <c r="BBO263" s="18"/>
      <c r="BBP263" s="18"/>
      <c r="BBQ263" s="18"/>
      <c r="BBR263" s="18"/>
      <c r="BBS263" s="18"/>
      <c r="BBT263" s="18"/>
      <c r="BBU263" s="18"/>
      <c r="BBV263" s="18"/>
      <c r="BBW263" s="18"/>
      <c r="BBX263" s="18"/>
      <c r="BBY263" s="18"/>
      <c r="BBZ263" s="18"/>
      <c r="BCA263" s="18"/>
      <c r="BCB263" s="18"/>
      <c r="BCC263" s="18"/>
      <c r="BCD263" s="18"/>
      <c r="BCE263" s="18"/>
      <c r="BCF263" s="18"/>
      <c r="BCG263" s="18"/>
      <c r="BCH263" s="18"/>
      <c r="BCI263" s="18"/>
      <c r="BCJ263" s="18"/>
      <c r="BCK263" s="18"/>
      <c r="BCL263" s="18"/>
      <c r="BCM263" s="18"/>
      <c r="BCN263" s="18"/>
      <c r="BCO263" s="18"/>
      <c r="BCP263" s="18"/>
      <c r="BCQ263" s="18"/>
      <c r="BCR263" s="18"/>
      <c r="BCS263" s="18"/>
      <c r="BCT263" s="18"/>
      <c r="BCU263" s="18"/>
      <c r="BCV263" s="18"/>
      <c r="BCW263" s="18"/>
      <c r="BCX263" s="18"/>
      <c r="BCY263" s="18"/>
      <c r="BCZ263" s="18"/>
      <c r="BDA263" s="18"/>
      <c r="BDB263" s="18"/>
      <c r="BDC263" s="18"/>
      <c r="BDD263" s="18"/>
      <c r="BDE263" s="18"/>
      <c r="BDF263" s="18"/>
      <c r="BDG263" s="18"/>
      <c r="BDH263" s="18"/>
      <c r="BDI263" s="18"/>
      <c r="BDJ263" s="18"/>
      <c r="BDK263" s="18"/>
      <c r="BDL263" s="18"/>
      <c r="BDM263" s="18"/>
      <c r="BDN263" s="18"/>
      <c r="BDO263" s="18"/>
      <c r="BDP263" s="18"/>
      <c r="BDQ263" s="18"/>
      <c r="BDR263" s="18"/>
      <c r="BDS263" s="18"/>
      <c r="BDT263" s="18"/>
      <c r="BDU263" s="18"/>
      <c r="BDV263" s="18"/>
      <c r="BDW263" s="18"/>
      <c r="BDX263" s="18"/>
      <c r="BDY263" s="18"/>
      <c r="BDZ263" s="18"/>
      <c r="BEA263" s="18"/>
      <c r="BEB263" s="18"/>
      <c r="BEC263" s="18"/>
      <c r="BED263" s="18"/>
      <c r="BEE263" s="18"/>
      <c r="BEF263" s="18"/>
      <c r="BEG263" s="18"/>
      <c r="BEH263" s="18"/>
      <c r="BEI263" s="18"/>
      <c r="BEJ263" s="18"/>
      <c r="BEK263" s="18"/>
      <c r="BEL263" s="18"/>
      <c r="BEM263" s="18"/>
      <c r="BEN263" s="18"/>
      <c r="BEO263" s="18"/>
      <c r="BEP263" s="18"/>
      <c r="BEQ263" s="18"/>
      <c r="BER263" s="18"/>
      <c r="BES263" s="18"/>
      <c r="BET263" s="18"/>
      <c r="BEU263" s="18"/>
      <c r="BEV263" s="18"/>
      <c r="BEW263" s="18"/>
      <c r="BEX263" s="18"/>
      <c r="BEY263" s="18"/>
      <c r="BEZ263" s="18"/>
      <c r="BFA263" s="18"/>
      <c r="BFB263" s="18"/>
      <c r="BFC263" s="18"/>
      <c r="BFD263" s="18"/>
      <c r="BFE263" s="18"/>
      <c r="BFF263" s="18"/>
      <c r="BFG263" s="18"/>
      <c r="BFH263" s="18"/>
      <c r="BFI263" s="18"/>
      <c r="BFJ263" s="18"/>
      <c r="BFK263" s="18"/>
      <c r="BFL263" s="18"/>
      <c r="BFM263" s="18"/>
      <c r="BFN263" s="18"/>
      <c r="BFO263" s="18"/>
      <c r="BFP263" s="18"/>
      <c r="BFQ263" s="18"/>
      <c r="BFR263" s="18"/>
      <c r="BFS263" s="18"/>
      <c r="BFT263" s="18"/>
      <c r="BFU263" s="18"/>
      <c r="BFV263" s="18"/>
      <c r="BFW263" s="18"/>
      <c r="BFX263" s="18"/>
      <c r="BFY263" s="18"/>
      <c r="BFZ263" s="18"/>
      <c r="BGA263" s="18"/>
      <c r="BGB263" s="18"/>
      <c r="BGC263" s="18"/>
      <c r="BGD263" s="18"/>
      <c r="BGE263" s="18"/>
      <c r="BGF263" s="18"/>
      <c r="BGG263" s="18"/>
      <c r="BGH263" s="18"/>
      <c r="BGI263" s="18"/>
      <c r="BGJ263" s="18"/>
      <c r="BGK263" s="18"/>
      <c r="BGL263" s="18"/>
      <c r="BGM263" s="18"/>
      <c r="BGN263" s="18"/>
      <c r="BGO263" s="18"/>
      <c r="BGP263" s="18"/>
      <c r="BGQ263" s="18"/>
      <c r="BGR263" s="18"/>
      <c r="BGS263" s="18"/>
      <c r="BGT263" s="18"/>
      <c r="BGU263" s="18"/>
      <c r="BGV263" s="18"/>
      <c r="BGW263" s="18"/>
      <c r="BGX263" s="18"/>
      <c r="BGY263" s="18"/>
      <c r="BGZ263" s="18"/>
      <c r="BHA263" s="18"/>
      <c r="BHB263" s="18"/>
      <c r="BHC263" s="18"/>
      <c r="BHD263" s="18"/>
      <c r="BHE263" s="18"/>
      <c r="BHF263" s="18"/>
      <c r="BHG263" s="18"/>
      <c r="BHH263" s="18"/>
      <c r="BHI263" s="18"/>
      <c r="BHJ263" s="18"/>
      <c r="BHK263" s="18"/>
      <c r="BHL263" s="18"/>
      <c r="BHM263" s="18"/>
      <c r="BHN263" s="18"/>
      <c r="BHO263" s="18"/>
      <c r="BHP263" s="18"/>
      <c r="BHQ263" s="18"/>
      <c r="BHR263" s="18"/>
      <c r="BHS263" s="18"/>
      <c r="BHT263" s="18"/>
      <c r="BHU263" s="18"/>
      <c r="BHV263" s="18"/>
      <c r="BHW263" s="18"/>
      <c r="BHX263" s="18"/>
      <c r="BHY263" s="18"/>
      <c r="BHZ263" s="18"/>
      <c r="BIA263" s="18"/>
      <c r="BIB263" s="18"/>
      <c r="BIC263" s="18"/>
      <c r="BID263" s="18"/>
      <c r="BIE263" s="18"/>
      <c r="BIF263" s="18"/>
      <c r="BIG263" s="18"/>
      <c r="BIH263" s="18"/>
      <c r="BII263" s="18"/>
      <c r="BIJ263" s="18"/>
      <c r="BIK263" s="18"/>
      <c r="BIL263" s="18"/>
      <c r="BIM263" s="18"/>
      <c r="BIN263" s="18"/>
      <c r="BIO263" s="18"/>
      <c r="BIP263" s="18"/>
      <c r="BIQ263" s="18"/>
      <c r="BIR263" s="18"/>
      <c r="BIS263" s="18"/>
      <c r="BIT263" s="18"/>
      <c r="BIU263" s="18"/>
      <c r="BIV263" s="18"/>
      <c r="BIW263" s="18"/>
      <c r="BIX263" s="18"/>
      <c r="BIY263" s="18"/>
      <c r="BIZ263" s="18"/>
      <c r="BJA263" s="18"/>
      <c r="BJB263" s="18"/>
      <c r="BJC263" s="18"/>
      <c r="BJD263" s="18"/>
      <c r="BJE263" s="18"/>
      <c r="BJF263" s="18"/>
      <c r="BJG263" s="18"/>
      <c r="BJH263" s="18"/>
      <c r="BJI263" s="18"/>
      <c r="BJJ263" s="18"/>
      <c r="BJK263" s="18"/>
      <c r="BJL263" s="18"/>
      <c r="BJM263" s="18"/>
      <c r="BJN263" s="18"/>
      <c r="BJO263" s="18"/>
      <c r="BJP263" s="18"/>
      <c r="BJQ263" s="18"/>
      <c r="BJR263" s="18"/>
      <c r="BJS263" s="18"/>
      <c r="BJT263" s="18"/>
      <c r="BJU263" s="18"/>
      <c r="BJV263" s="18"/>
      <c r="BJW263" s="18"/>
      <c r="BJX263" s="18"/>
      <c r="BJY263" s="18"/>
      <c r="BJZ263" s="18"/>
      <c r="BKA263" s="18"/>
      <c r="BKB263" s="18"/>
      <c r="BKC263" s="18"/>
      <c r="BKD263" s="18"/>
      <c r="BKE263" s="18"/>
      <c r="BKF263" s="18"/>
      <c r="BKG263" s="18"/>
      <c r="BKH263" s="18"/>
      <c r="BKI263" s="18"/>
      <c r="BKJ263" s="18"/>
      <c r="BKK263" s="18"/>
      <c r="BKL263" s="18"/>
      <c r="BKM263" s="18"/>
      <c r="BKN263" s="18"/>
      <c r="BKO263" s="18"/>
      <c r="BKP263" s="18"/>
      <c r="BKQ263" s="18"/>
      <c r="BKR263" s="18"/>
      <c r="BKS263" s="18"/>
      <c r="BKT263" s="18"/>
      <c r="BKU263" s="18"/>
      <c r="BKV263" s="18"/>
      <c r="BKW263" s="18"/>
      <c r="BKX263" s="18"/>
      <c r="BKY263" s="18"/>
      <c r="BKZ263" s="18"/>
      <c r="BLA263" s="18"/>
      <c r="BLB263" s="18"/>
      <c r="BLC263" s="18"/>
      <c r="BLD263" s="18"/>
      <c r="BLE263" s="18"/>
      <c r="BLF263" s="18"/>
      <c r="BLG263" s="18"/>
      <c r="BLH263" s="18"/>
      <c r="BLI263" s="18"/>
      <c r="BLJ263" s="18"/>
      <c r="BLK263" s="18"/>
      <c r="BLL263" s="18"/>
      <c r="BLM263" s="18"/>
      <c r="BLN263" s="18"/>
      <c r="BLO263" s="18"/>
      <c r="BLP263" s="18"/>
      <c r="BLQ263" s="18"/>
      <c r="BLR263" s="18"/>
      <c r="BLS263" s="18"/>
      <c r="BLT263" s="18"/>
      <c r="BLU263" s="18"/>
      <c r="BLV263" s="18"/>
      <c r="BLW263" s="18"/>
      <c r="BLX263" s="18"/>
      <c r="BLY263" s="18"/>
      <c r="BLZ263" s="18"/>
      <c r="BMA263" s="18"/>
      <c r="BMB263" s="18"/>
      <c r="BMC263" s="18"/>
      <c r="BMD263" s="18"/>
      <c r="BME263" s="18"/>
      <c r="BMF263" s="18"/>
      <c r="BMG263" s="18"/>
      <c r="BMH263" s="18"/>
      <c r="BMI263" s="18"/>
      <c r="BMJ263" s="18"/>
      <c r="BMK263" s="18"/>
      <c r="BML263" s="18"/>
      <c r="BMM263" s="18"/>
      <c r="BMN263" s="18"/>
      <c r="BMO263" s="18"/>
      <c r="BMP263" s="18"/>
      <c r="BMQ263" s="18"/>
      <c r="BMR263" s="18"/>
      <c r="BMS263" s="18"/>
      <c r="BMT263" s="18"/>
      <c r="BMU263" s="18"/>
      <c r="BMV263" s="18"/>
      <c r="BMW263" s="18"/>
      <c r="BMX263" s="18"/>
      <c r="BMY263" s="18"/>
      <c r="BMZ263" s="18"/>
      <c r="BNA263" s="18"/>
      <c r="BNB263" s="18"/>
      <c r="BNC263" s="18"/>
      <c r="BND263" s="18"/>
      <c r="BNE263" s="18"/>
      <c r="BNF263" s="18"/>
      <c r="BNG263" s="18"/>
      <c r="BNH263" s="18"/>
      <c r="BNI263" s="18"/>
      <c r="BNJ263" s="18"/>
      <c r="BNK263" s="18"/>
      <c r="BNL263" s="18"/>
      <c r="BNM263" s="18"/>
      <c r="BNN263" s="18"/>
      <c r="BNO263" s="18"/>
      <c r="BNP263" s="18"/>
      <c r="BNQ263" s="18"/>
      <c r="BNR263" s="18"/>
      <c r="BNS263" s="18"/>
      <c r="BNT263" s="18"/>
      <c r="BNU263" s="18"/>
      <c r="BNV263" s="18"/>
      <c r="BNW263" s="18"/>
      <c r="BNX263" s="18"/>
      <c r="BNY263" s="18"/>
      <c r="BNZ263" s="18"/>
      <c r="BOA263" s="18"/>
      <c r="BOB263" s="18"/>
      <c r="BOC263" s="18"/>
      <c r="BOD263" s="18"/>
      <c r="BOE263" s="18"/>
      <c r="BOF263" s="18"/>
      <c r="BOG263" s="18"/>
      <c r="BOH263" s="18"/>
      <c r="BOI263" s="18"/>
      <c r="BOJ263" s="18"/>
      <c r="BOK263" s="18"/>
      <c r="BOL263" s="18"/>
      <c r="BOM263" s="18"/>
      <c r="BON263" s="18"/>
      <c r="BOO263" s="18"/>
      <c r="BOP263" s="18"/>
      <c r="BOQ263" s="18"/>
      <c r="BOR263" s="18"/>
      <c r="BOS263" s="18"/>
      <c r="BOT263" s="18"/>
      <c r="BOU263" s="18"/>
      <c r="BOV263" s="18"/>
      <c r="BOW263" s="18"/>
      <c r="BOX263" s="18"/>
      <c r="BOY263" s="18"/>
      <c r="BOZ263" s="18"/>
      <c r="BPA263" s="18"/>
      <c r="BPB263" s="18"/>
      <c r="BPC263" s="18"/>
      <c r="BPD263" s="18"/>
      <c r="BPE263" s="18"/>
      <c r="BPF263" s="18"/>
      <c r="BPG263" s="18"/>
      <c r="BPH263" s="18"/>
      <c r="BPI263" s="18"/>
      <c r="BPJ263" s="18"/>
      <c r="BPK263" s="18"/>
      <c r="BPL263" s="18"/>
      <c r="BPM263" s="18"/>
      <c r="BPN263" s="18"/>
      <c r="BPO263" s="18"/>
      <c r="BPP263" s="18"/>
      <c r="BPQ263" s="18"/>
      <c r="BPR263" s="18"/>
      <c r="BPS263" s="18"/>
      <c r="BPT263" s="18"/>
      <c r="BPU263" s="18"/>
      <c r="BPV263" s="18"/>
      <c r="BPW263" s="18"/>
      <c r="BPX263" s="18"/>
      <c r="BPY263" s="18"/>
      <c r="BPZ263" s="18"/>
      <c r="BQA263" s="18"/>
      <c r="BQB263" s="18"/>
      <c r="BQC263" s="18"/>
      <c r="BQD263" s="18"/>
      <c r="BQE263" s="18"/>
      <c r="BQF263" s="18"/>
      <c r="BQG263" s="18"/>
      <c r="BQH263" s="18"/>
      <c r="BQI263" s="18"/>
      <c r="BQJ263" s="18"/>
      <c r="BQK263" s="18"/>
      <c r="BQL263" s="18"/>
      <c r="BQM263" s="18"/>
      <c r="BQN263" s="18"/>
      <c r="BQO263" s="18"/>
      <c r="BQP263" s="18"/>
      <c r="BQQ263" s="18"/>
      <c r="BQR263" s="18"/>
      <c r="BQS263" s="18"/>
      <c r="BQT263" s="18"/>
      <c r="BQU263" s="18"/>
      <c r="BQV263" s="18"/>
      <c r="BQW263" s="18"/>
      <c r="BQX263" s="18"/>
      <c r="BQY263" s="18"/>
      <c r="BQZ263" s="18"/>
      <c r="BRA263" s="18"/>
      <c r="BRB263" s="18"/>
      <c r="BRC263" s="18"/>
      <c r="BRD263" s="18"/>
      <c r="BRE263" s="18"/>
      <c r="BRF263" s="18"/>
      <c r="BRG263" s="18"/>
      <c r="BRH263" s="18"/>
      <c r="BRI263" s="18"/>
      <c r="BRJ263" s="18"/>
      <c r="BRK263" s="18"/>
      <c r="BRL263" s="18"/>
      <c r="BRM263" s="18"/>
      <c r="BRN263" s="18"/>
      <c r="BRO263" s="18"/>
      <c r="BRP263" s="18"/>
      <c r="BRQ263" s="18"/>
      <c r="BRR263" s="18"/>
      <c r="BRS263" s="18"/>
      <c r="BRT263" s="18"/>
      <c r="BRU263" s="18"/>
      <c r="BRV263" s="18"/>
      <c r="BRW263" s="18"/>
      <c r="BRX263" s="18"/>
      <c r="BRY263" s="18"/>
      <c r="BRZ263" s="18"/>
      <c r="BSA263" s="18"/>
      <c r="BSB263" s="18"/>
      <c r="BSC263" s="18"/>
      <c r="BSD263" s="18"/>
      <c r="BSE263" s="18"/>
      <c r="BSF263" s="18"/>
      <c r="BSG263" s="18"/>
      <c r="BSH263" s="18"/>
      <c r="BSI263" s="18"/>
      <c r="BSJ263" s="18"/>
      <c r="BSK263" s="18"/>
      <c r="BSL263" s="18"/>
      <c r="BSM263" s="18"/>
      <c r="BSN263" s="18"/>
      <c r="BSO263" s="18"/>
      <c r="BSP263" s="18"/>
      <c r="BSQ263" s="18"/>
      <c r="BSR263" s="18"/>
      <c r="BSS263" s="18"/>
      <c r="BST263" s="18"/>
      <c r="BSU263" s="18"/>
      <c r="BSV263" s="18"/>
      <c r="BSW263" s="18"/>
      <c r="BSX263" s="18"/>
      <c r="BSY263" s="18"/>
      <c r="BSZ263" s="18"/>
      <c r="BTA263" s="18"/>
      <c r="BTB263" s="18"/>
      <c r="BTC263" s="18"/>
      <c r="BTD263" s="18"/>
      <c r="BTE263" s="18"/>
      <c r="BTF263" s="18"/>
      <c r="BTG263" s="18"/>
      <c r="BTH263" s="18"/>
      <c r="BTI263" s="18"/>
    </row>
    <row r="264" spans="1:1881" s="811" customFormat="1" ht="30.75" hidden="1" customHeight="1" x14ac:dyDescent="0.3">
      <c r="A264" s="108"/>
      <c r="B264" s="868" t="s">
        <v>528</v>
      </c>
      <c r="C264" s="869"/>
      <c r="D264" s="96"/>
      <c r="E264" s="810"/>
      <c r="F264" s="813"/>
      <c r="G264" s="770"/>
      <c r="H264" s="17"/>
      <c r="I264" s="79"/>
      <c r="J264" s="18"/>
      <c r="K264" s="18"/>
      <c r="L264" s="18"/>
      <c r="M264" s="18"/>
      <c r="N264" s="308"/>
      <c r="O264" s="18"/>
      <c r="P264" s="18"/>
      <c r="Q264" s="18"/>
      <c r="R264" s="18"/>
      <c r="S264" s="18"/>
      <c r="T264" s="18"/>
      <c r="U264" s="18"/>
      <c r="V264" s="18"/>
      <c r="W264" s="18"/>
      <c r="X264" s="18"/>
      <c r="Y264" s="18"/>
      <c r="Z264" s="108"/>
      <c r="AA264" s="108"/>
      <c r="AB264" s="108"/>
      <c r="AC264" s="108"/>
      <c r="AD264" s="108"/>
      <c r="AE264" s="108"/>
      <c r="AF264" s="108"/>
      <c r="AG264" s="108"/>
      <c r="AH264" s="108"/>
      <c r="AI264" s="108"/>
      <c r="AJ264" s="108"/>
      <c r="AK264" s="108"/>
      <c r="AL264" s="108"/>
      <c r="AM264" s="108"/>
      <c r="AN264" s="108"/>
      <c r="AO264" s="108"/>
      <c r="AP264" s="108"/>
      <c r="AQ264" s="108"/>
      <c r="AR264" s="108"/>
      <c r="AS264" s="18"/>
      <c r="AT264" s="18"/>
      <c r="AU264" s="18"/>
      <c r="AV264" s="18"/>
      <c r="AW264" s="18"/>
      <c r="AX264" s="18"/>
      <c r="AY264" s="18"/>
      <c r="AZ264" s="18"/>
      <c r="BA264" s="18"/>
      <c r="BB264" s="18"/>
      <c r="BC264" s="18"/>
      <c r="BD264" s="18"/>
      <c r="BE264" s="18"/>
      <c r="BF264" s="18"/>
      <c r="BG264" s="18"/>
      <c r="BH264" s="18"/>
      <c r="BI264" s="18"/>
      <c r="BJ264" s="18"/>
      <c r="BK264" s="18"/>
      <c r="BL264" s="18"/>
      <c r="BM264" s="18"/>
      <c r="BN264" s="18"/>
      <c r="BO264" s="18"/>
      <c r="BP264" s="18"/>
      <c r="BQ264" s="18"/>
      <c r="BR264" s="18"/>
      <c r="BS264" s="18"/>
      <c r="BT264" s="18"/>
      <c r="BU264" s="18"/>
      <c r="BV264" s="18"/>
      <c r="BW264" s="18"/>
      <c r="BX264" s="18"/>
      <c r="BY264" s="18"/>
      <c r="BZ264" s="18"/>
      <c r="CA264" s="18"/>
      <c r="CB264" s="18"/>
      <c r="CC264" s="18"/>
      <c r="CD264" s="18"/>
      <c r="CE264" s="18"/>
      <c r="CF264" s="18"/>
      <c r="CG264" s="18"/>
      <c r="CH264" s="18"/>
      <c r="CI264" s="18"/>
      <c r="CJ264" s="18"/>
      <c r="CK264" s="18"/>
      <c r="CL264" s="18"/>
      <c r="CM264" s="18"/>
      <c r="CN264" s="18"/>
      <c r="CO264" s="18"/>
      <c r="CP264" s="18"/>
      <c r="CQ264" s="18"/>
      <c r="CR264" s="18"/>
      <c r="CS264" s="18"/>
      <c r="CT264" s="18"/>
      <c r="CU264" s="18"/>
      <c r="CV264" s="18"/>
      <c r="CW264" s="18"/>
      <c r="CX264" s="18"/>
      <c r="CY264" s="18"/>
      <c r="CZ264" s="18"/>
      <c r="DA264" s="18"/>
      <c r="DB264" s="18"/>
      <c r="DC264" s="18"/>
      <c r="DD264" s="18"/>
      <c r="DE264" s="18"/>
      <c r="DF264" s="18"/>
      <c r="DG264" s="18"/>
      <c r="DH264" s="18"/>
      <c r="DI264" s="18"/>
      <c r="DJ264" s="18"/>
      <c r="DK264" s="18"/>
      <c r="DL264" s="18"/>
      <c r="DM264" s="18"/>
      <c r="DN264" s="18"/>
      <c r="DO264" s="18"/>
      <c r="DP264" s="18"/>
      <c r="DQ264" s="18"/>
      <c r="DR264" s="18"/>
      <c r="DS264" s="18"/>
      <c r="DT264" s="18"/>
      <c r="DU264" s="18"/>
      <c r="DV264" s="18"/>
      <c r="DW264" s="18"/>
      <c r="DX264" s="18"/>
      <c r="DY264" s="18"/>
      <c r="DZ264" s="18"/>
      <c r="EA264" s="18"/>
      <c r="EB264" s="18"/>
      <c r="EC264" s="18"/>
      <c r="ED264" s="18"/>
      <c r="EE264" s="18"/>
      <c r="EF264" s="18"/>
      <c r="EG264" s="18"/>
      <c r="EH264" s="18"/>
      <c r="EI264" s="18"/>
      <c r="EJ264" s="18"/>
      <c r="EK264" s="18"/>
      <c r="EL264" s="18"/>
      <c r="EM264" s="18"/>
      <c r="EN264" s="18"/>
      <c r="EO264" s="18"/>
      <c r="EP264" s="18"/>
      <c r="EQ264" s="18"/>
      <c r="ER264" s="18"/>
      <c r="ES264" s="18"/>
      <c r="ET264" s="18"/>
      <c r="EU264" s="18"/>
      <c r="EV264" s="18"/>
      <c r="EW264" s="18"/>
      <c r="EX264" s="18"/>
      <c r="EY264" s="18"/>
      <c r="EZ264" s="18"/>
      <c r="FA264" s="18"/>
      <c r="FB264" s="18"/>
      <c r="FC264" s="18"/>
      <c r="FD264" s="18"/>
      <c r="FE264" s="18"/>
      <c r="FF264" s="18"/>
      <c r="FG264" s="18"/>
      <c r="FH264" s="18"/>
      <c r="FI264" s="18"/>
      <c r="FJ264" s="18"/>
      <c r="FK264" s="18"/>
      <c r="FL264" s="18"/>
      <c r="FM264" s="18"/>
      <c r="FN264" s="18"/>
      <c r="FO264" s="18"/>
      <c r="FP264" s="18"/>
      <c r="FQ264" s="18"/>
      <c r="FR264" s="18"/>
      <c r="FS264" s="18"/>
      <c r="FT264" s="18"/>
      <c r="FU264" s="18"/>
      <c r="FV264" s="18"/>
      <c r="FW264" s="18"/>
      <c r="FX264" s="18"/>
      <c r="FY264" s="18"/>
      <c r="FZ264" s="18"/>
      <c r="GA264" s="18"/>
      <c r="GB264" s="18"/>
      <c r="GC264" s="18"/>
      <c r="GD264" s="18"/>
      <c r="GE264" s="18"/>
      <c r="GF264" s="18"/>
      <c r="GG264" s="18"/>
      <c r="GH264" s="18"/>
      <c r="GI264" s="18"/>
      <c r="GJ264" s="18"/>
      <c r="GK264" s="18"/>
      <c r="GL264" s="18"/>
      <c r="GM264" s="18"/>
      <c r="GN264" s="18"/>
      <c r="GO264" s="18"/>
      <c r="GP264" s="18"/>
      <c r="GQ264" s="18"/>
      <c r="GR264" s="18"/>
      <c r="GS264" s="18"/>
      <c r="GT264" s="18"/>
      <c r="GU264" s="18"/>
      <c r="GV264" s="18"/>
      <c r="GW264" s="18"/>
      <c r="GX264" s="18"/>
      <c r="GY264" s="18"/>
      <c r="GZ264" s="18"/>
      <c r="HA264" s="18"/>
      <c r="HB264" s="18"/>
      <c r="HC264" s="18"/>
      <c r="HD264" s="18"/>
      <c r="HE264" s="18"/>
      <c r="HF264" s="18"/>
      <c r="HG264" s="18"/>
      <c r="HH264" s="18"/>
      <c r="HI264" s="18"/>
      <c r="HJ264" s="18"/>
      <c r="HK264" s="18"/>
      <c r="HL264" s="18"/>
      <c r="HM264" s="18"/>
      <c r="HN264" s="18"/>
      <c r="HO264" s="18"/>
      <c r="HP264" s="18"/>
      <c r="HQ264" s="18"/>
      <c r="HR264" s="18"/>
      <c r="HS264" s="18"/>
      <c r="HT264" s="18"/>
      <c r="HU264" s="18"/>
      <c r="HV264" s="18"/>
      <c r="HW264" s="18"/>
      <c r="HX264" s="18"/>
      <c r="HY264" s="18"/>
      <c r="HZ264" s="18"/>
      <c r="IA264" s="18"/>
      <c r="IB264" s="18"/>
      <c r="IC264" s="18"/>
      <c r="ID264" s="18"/>
      <c r="IE264" s="18"/>
      <c r="IF264" s="18"/>
      <c r="IG264" s="18"/>
      <c r="IH264" s="18"/>
      <c r="II264" s="18"/>
      <c r="IJ264" s="18"/>
      <c r="IK264" s="18"/>
      <c r="IL264" s="18"/>
      <c r="IM264" s="18"/>
      <c r="IN264" s="18"/>
      <c r="IO264" s="18"/>
      <c r="IP264" s="18"/>
      <c r="IQ264" s="18"/>
      <c r="IR264" s="18"/>
      <c r="IS264" s="18"/>
      <c r="IT264" s="18"/>
      <c r="IU264" s="18"/>
      <c r="IV264" s="18"/>
      <c r="IW264" s="18"/>
      <c r="IX264" s="18"/>
      <c r="IY264" s="18"/>
      <c r="IZ264" s="18"/>
      <c r="JA264" s="18"/>
      <c r="JB264" s="18"/>
      <c r="JC264" s="18"/>
      <c r="JD264" s="18"/>
      <c r="JE264" s="18"/>
      <c r="JF264" s="18"/>
      <c r="JG264" s="18"/>
      <c r="JH264" s="18"/>
      <c r="JI264" s="18"/>
      <c r="JJ264" s="18"/>
      <c r="JK264" s="18"/>
      <c r="JL264" s="18"/>
      <c r="JM264" s="18"/>
      <c r="JN264" s="18"/>
      <c r="JO264" s="18"/>
      <c r="JP264" s="18"/>
      <c r="JQ264" s="18"/>
      <c r="JR264" s="18"/>
      <c r="JS264" s="18"/>
      <c r="JT264" s="18"/>
      <c r="JU264" s="18"/>
      <c r="JV264" s="18"/>
      <c r="JW264" s="18"/>
      <c r="JX264" s="18"/>
      <c r="JY264" s="18"/>
      <c r="JZ264" s="18"/>
      <c r="KA264" s="18"/>
      <c r="KB264" s="18"/>
      <c r="KC264" s="18"/>
      <c r="KD264" s="18"/>
      <c r="KE264" s="18"/>
      <c r="KF264" s="18"/>
      <c r="KG264" s="18"/>
      <c r="KH264" s="18"/>
      <c r="KI264" s="18"/>
      <c r="KJ264" s="18"/>
      <c r="KK264" s="18"/>
      <c r="KL264" s="18"/>
      <c r="KM264" s="18"/>
      <c r="KN264" s="18"/>
      <c r="KO264" s="18"/>
      <c r="KP264" s="18"/>
      <c r="KQ264" s="18"/>
      <c r="KR264" s="18"/>
      <c r="KS264" s="18"/>
      <c r="KT264" s="18"/>
      <c r="KU264" s="18"/>
      <c r="KV264" s="18"/>
      <c r="KW264" s="18"/>
      <c r="KX264" s="18"/>
      <c r="KY264" s="18"/>
      <c r="KZ264" s="18"/>
      <c r="LA264" s="18"/>
      <c r="LB264" s="18"/>
      <c r="LC264" s="18"/>
      <c r="LD264" s="18"/>
      <c r="LE264" s="18"/>
      <c r="LF264" s="18"/>
      <c r="LG264" s="18"/>
      <c r="LH264" s="18"/>
      <c r="LI264" s="18"/>
      <c r="LJ264" s="18"/>
      <c r="LK264" s="18"/>
      <c r="LL264" s="18"/>
      <c r="LM264" s="18"/>
      <c r="LN264" s="18"/>
      <c r="LO264" s="18"/>
      <c r="LP264" s="18"/>
      <c r="LQ264" s="18"/>
      <c r="LR264" s="18"/>
      <c r="LS264" s="18"/>
      <c r="LT264" s="18"/>
      <c r="LU264" s="18"/>
      <c r="LV264" s="18"/>
      <c r="LW264" s="18"/>
      <c r="LX264" s="18"/>
      <c r="LY264" s="18"/>
      <c r="LZ264" s="18"/>
      <c r="MA264" s="18"/>
      <c r="MB264" s="18"/>
      <c r="MC264" s="18"/>
      <c r="MD264" s="18"/>
      <c r="ME264" s="18"/>
      <c r="MF264" s="18"/>
      <c r="MG264" s="18"/>
      <c r="MH264" s="18"/>
      <c r="MI264" s="18"/>
      <c r="MJ264" s="18"/>
      <c r="MK264" s="18"/>
      <c r="ML264" s="18"/>
      <c r="MM264" s="18"/>
      <c r="MN264" s="18"/>
      <c r="MO264" s="18"/>
      <c r="MP264" s="18"/>
      <c r="MQ264" s="18"/>
      <c r="MR264" s="18"/>
      <c r="MS264" s="18"/>
      <c r="MT264" s="18"/>
      <c r="MU264" s="18"/>
      <c r="MV264" s="18"/>
      <c r="MW264" s="18"/>
      <c r="MX264" s="18"/>
      <c r="MY264" s="18"/>
      <c r="MZ264" s="18"/>
      <c r="NA264" s="18"/>
      <c r="NB264" s="18"/>
      <c r="NC264" s="18"/>
      <c r="ND264" s="18"/>
      <c r="NE264" s="18"/>
      <c r="NF264" s="18"/>
      <c r="NG264" s="18"/>
      <c r="NH264" s="18"/>
      <c r="NI264" s="18"/>
      <c r="NJ264" s="18"/>
      <c r="NK264" s="18"/>
      <c r="NL264" s="18"/>
      <c r="NM264" s="18"/>
      <c r="NN264" s="18"/>
      <c r="NO264" s="18"/>
      <c r="NP264" s="18"/>
      <c r="NQ264" s="18"/>
      <c r="NR264" s="18"/>
      <c r="NS264" s="18"/>
      <c r="NT264" s="18"/>
      <c r="NU264" s="18"/>
      <c r="NV264" s="18"/>
      <c r="NW264" s="18"/>
      <c r="NX264" s="18"/>
      <c r="NY264" s="18"/>
      <c r="NZ264" s="18"/>
      <c r="OA264" s="18"/>
      <c r="OB264" s="18"/>
      <c r="OC264" s="18"/>
      <c r="OD264" s="18"/>
      <c r="OE264" s="18"/>
      <c r="OF264" s="18"/>
      <c r="OG264" s="18"/>
      <c r="OH264" s="18"/>
      <c r="OI264" s="18"/>
      <c r="OJ264" s="18"/>
      <c r="OK264" s="18"/>
      <c r="OL264" s="18"/>
      <c r="OM264" s="18"/>
      <c r="ON264" s="18"/>
      <c r="OO264" s="18"/>
      <c r="OP264" s="18"/>
      <c r="OQ264" s="18"/>
      <c r="OR264" s="18"/>
      <c r="OS264" s="18"/>
      <c r="OT264" s="18"/>
      <c r="OU264" s="18"/>
      <c r="OV264" s="18"/>
      <c r="OW264" s="18"/>
      <c r="OX264" s="18"/>
      <c r="OY264" s="18"/>
      <c r="OZ264" s="18"/>
      <c r="PA264" s="18"/>
      <c r="PB264" s="18"/>
      <c r="PC264" s="18"/>
      <c r="PD264" s="18"/>
      <c r="PE264" s="18"/>
      <c r="PF264" s="18"/>
      <c r="PG264" s="18"/>
      <c r="PH264" s="18"/>
      <c r="PI264" s="18"/>
      <c r="PJ264" s="18"/>
      <c r="PK264" s="18"/>
      <c r="PL264" s="18"/>
      <c r="PM264" s="18"/>
      <c r="PN264" s="18"/>
      <c r="PO264" s="18"/>
      <c r="PP264" s="18"/>
      <c r="PQ264" s="18"/>
      <c r="PR264" s="18"/>
      <c r="PS264" s="18"/>
      <c r="PT264" s="18"/>
      <c r="PU264" s="18"/>
      <c r="PV264" s="18"/>
      <c r="PW264" s="18"/>
      <c r="PX264" s="18"/>
      <c r="PY264" s="18"/>
      <c r="PZ264" s="18"/>
      <c r="QA264" s="18"/>
      <c r="QB264" s="18"/>
      <c r="QC264" s="18"/>
      <c r="QD264" s="18"/>
      <c r="QE264" s="18"/>
      <c r="QF264" s="18"/>
      <c r="QG264" s="18"/>
      <c r="QH264" s="18"/>
      <c r="QI264" s="18"/>
      <c r="QJ264" s="18"/>
      <c r="QK264" s="18"/>
      <c r="QL264" s="18"/>
      <c r="QM264" s="18"/>
      <c r="QN264" s="18"/>
      <c r="QO264" s="18"/>
      <c r="QP264" s="18"/>
      <c r="QQ264" s="18"/>
      <c r="QR264" s="18"/>
      <c r="QS264" s="18"/>
      <c r="QT264" s="18"/>
      <c r="QU264" s="18"/>
      <c r="QV264" s="18"/>
      <c r="QW264" s="18"/>
      <c r="QX264" s="18"/>
      <c r="QY264" s="18"/>
      <c r="QZ264" s="18"/>
      <c r="RA264" s="18"/>
      <c r="RB264" s="18"/>
      <c r="RC264" s="18"/>
      <c r="RD264" s="18"/>
      <c r="RE264" s="18"/>
      <c r="RF264" s="18"/>
      <c r="RG264" s="18"/>
      <c r="RH264" s="18"/>
      <c r="RI264" s="18"/>
      <c r="RJ264" s="18"/>
      <c r="RK264" s="18"/>
      <c r="RL264" s="18"/>
      <c r="RM264" s="18"/>
      <c r="RN264" s="18"/>
      <c r="RO264" s="18"/>
      <c r="RP264" s="18"/>
      <c r="RQ264" s="18"/>
      <c r="RR264" s="18"/>
      <c r="RS264" s="18"/>
      <c r="RT264" s="18"/>
      <c r="RU264" s="18"/>
      <c r="RV264" s="18"/>
      <c r="RW264" s="18"/>
      <c r="RX264" s="18"/>
      <c r="RY264" s="18"/>
      <c r="RZ264" s="18"/>
      <c r="SA264" s="18"/>
      <c r="SB264" s="18"/>
      <c r="SC264" s="18"/>
      <c r="SD264" s="18"/>
      <c r="SE264" s="18"/>
      <c r="SF264" s="18"/>
      <c r="SG264" s="18"/>
      <c r="SH264" s="18"/>
      <c r="SI264" s="18"/>
      <c r="SJ264" s="18"/>
      <c r="SK264" s="18"/>
      <c r="SL264" s="18"/>
      <c r="SM264" s="18"/>
      <c r="SN264" s="18"/>
      <c r="SO264" s="18"/>
      <c r="SP264" s="18"/>
      <c r="SQ264" s="18"/>
      <c r="SR264" s="18"/>
      <c r="SS264" s="18"/>
      <c r="ST264" s="18"/>
      <c r="SU264" s="18"/>
      <c r="SV264" s="18"/>
      <c r="SW264" s="18"/>
      <c r="SX264" s="18"/>
      <c r="SY264" s="18"/>
      <c r="SZ264" s="18"/>
      <c r="TA264" s="18"/>
      <c r="TB264" s="18"/>
      <c r="TC264" s="18"/>
      <c r="TD264" s="18"/>
      <c r="TE264" s="18"/>
      <c r="TF264" s="18"/>
      <c r="TG264" s="18"/>
      <c r="TH264" s="18"/>
      <c r="TI264" s="18"/>
      <c r="TJ264" s="18"/>
      <c r="TK264" s="18"/>
      <c r="TL264" s="18"/>
      <c r="TM264" s="18"/>
      <c r="TN264" s="18"/>
      <c r="TO264" s="18"/>
      <c r="TP264" s="18"/>
      <c r="TQ264" s="18"/>
      <c r="TR264" s="18"/>
      <c r="TS264" s="18"/>
      <c r="TT264" s="18"/>
      <c r="TU264" s="18"/>
      <c r="TV264" s="18"/>
      <c r="TW264" s="18"/>
      <c r="TX264" s="18"/>
      <c r="TY264" s="18"/>
      <c r="TZ264" s="18"/>
      <c r="UA264" s="18"/>
      <c r="UB264" s="18"/>
      <c r="UC264" s="18"/>
      <c r="UD264" s="18"/>
      <c r="UE264" s="18"/>
      <c r="UF264" s="18"/>
      <c r="UG264" s="18"/>
      <c r="UH264" s="18"/>
      <c r="UI264" s="18"/>
      <c r="UJ264" s="18"/>
      <c r="UK264" s="18"/>
      <c r="UL264" s="18"/>
      <c r="UM264" s="18"/>
      <c r="UN264" s="18"/>
      <c r="UO264" s="18"/>
      <c r="UP264" s="18"/>
      <c r="UQ264" s="18"/>
      <c r="UR264" s="18"/>
      <c r="US264" s="18"/>
      <c r="UT264" s="18"/>
      <c r="UU264" s="18"/>
      <c r="UV264" s="18"/>
      <c r="UW264" s="18"/>
      <c r="UX264" s="18"/>
      <c r="UY264" s="18"/>
      <c r="UZ264" s="18"/>
      <c r="VA264" s="18"/>
      <c r="VB264" s="18"/>
      <c r="VC264" s="18"/>
      <c r="VD264" s="18"/>
      <c r="VE264" s="18"/>
      <c r="VF264" s="18"/>
      <c r="VG264" s="18"/>
      <c r="VH264" s="18"/>
      <c r="VI264" s="18"/>
      <c r="VJ264" s="18"/>
      <c r="VK264" s="18"/>
      <c r="VL264" s="18"/>
      <c r="VM264" s="18"/>
      <c r="VN264" s="18"/>
      <c r="VO264" s="18"/>
      <c r="VP264" s="18"/>
      <c r="VQ264" s="18"/>
      <c r="VR264" s="18"/>
      <c r="VS264" s="18"/>
      <c r="VT264" s="18"/>
      <c r="VU264" s="18"/>
      <c r="VV264" s="18"/>
      <c r="VW264" s="18"/>
      <c r="VX264" s="18"/>
      <c r="VY264" s="18"/>
      <c r="VZ264" s="18"/>
      <c r="WA264" s="18"/>
      <c r="WB264" s="18"/>
      <c r="WC264" s="18"/>
      <c r="WD264" s="18"/>
      <c r="WE264" s="18"/>
      <c r="WF264" s="18"/>
      <c r="WG264" s="18"/>
      <c r="WH264" s="18"/>
      <c r="WI264" s="18"/>
      <c r="WJ264" s="18"/>
      <c r="WK264" s="18"/>
      <c r="WL264" s="18"/>
      <c r="WM264" s="18"/>
      <c r="WN264" s="18"/>
      <c r="WO264" s="18"/>
      <c r="WP264" s="18"/>
      <c r="WQ264" s="18"/>
      <c r="WR264" s="18"/>
      <c r="WS264" s="18"/>
      <c r="WT264" s="18"/>
      <c r="WU264" s="18"/>
      <c r="WV264" s="18"/>
      <c r="WW264" s="18"/>
      <c r="WX264" s="18"/>
      <c r="WY264" s="18"/>
      <c r="WZ264" s="18"/>
      <c r="XA264" s="18"/>
      <c r="XB264" s="18"/>
      <c r="XC264" s="18"/>
      <c r="XD264" s="18"/>
      <c r="XE264" s="18"/>
      <c r="XF264" s="18"/>
      <c r="XG264" s="18"/>
      <c r="XH264" s="18"/>
      <c r="XI264" s="18"/>
      <c r="XJ264" s="18"/>
      <c r="XK264" s="18"/>
      <c r="XL264" s="18"/>
      <c r="XM264" s="18"/>
      <c r="XN264" s="18"/>
      <c r="XO264" s="18"/>
      <c r="XP264" s="18"/>
      <c r="XQ264" s="18"/>
      <c r="XR264" s="18"/>
      <c r="XS264" s="18"/>
      <c r="XT264" s="18"/>
      <c r="XU264" s="18"/>
      <c r="XV264" s="18"/>
      <c r="XW264" s="18"/>
      <c r="XX264" s="18"/>
      <c r="XY264" s="18"/>
      <c r="XZ264" s="18"/>
      <c r="YA264" s="18"/>
      <c r="YB264" s="18"/>
      <c r="YC264" s="18"/>
      <c r="YD264" s="18"/>
      <c r="YE264" s="18"/>
      <c r="YF264" s="18"/>
      <c r="YG264" s="18"/>
      <c r="YH264" s="18"/>
      <c r="YI264" s="18"/>
      <c r="YJ264" s="18"/>
      <c r="YK264" s="18"/>
      <c r="YL264" s="18"/>
      <c r="YM264" s="18"/>
      <c r="YN264" s="18"/>
      <c r="YO264" s="18"/>
      <c r="YP264" s="18"/>
      <c r="YQ264" s="18"/>
      <c r="YR264" s="18"/>
      <c r="YS264" s="18"/>
      <c r="YT264" s="18"/>
      <c r="YU264" s="18"/>
      <c r="YV264" s="18"/>
      <c r="YW264" s="18"/>
      <c r="YX264" s="18"/>
      <c r="YY264" s="18"/>
      <c r="YZ264" s="18"/>
      <c r="ZA264" s="18"/>
      <c r="ZB264" s="18"/>
      <c r="ZC264" s="18"/>
      <c r="ZD264" s="18"/>
      <c r="ZE264" s="18"/>
      <c r="ZF264" s="18"/>
      <c r="ZG264" s="18"/>
      <c r="ZH264" s="18"/>
      <c r="ZI264" s="18"/>
      <c r="ZJ264" s="18"/>
      <c r="ZK264" s="18"/>
      <c r="ZL264" s="18"/>
      <c r="ZM264" s="18"/>
      <c r="ZN264" s="18"/>
      <c r="ZO264" s="18"/>
      <c r="ZP264" s="18"/>
      <c r="ZQ264" s="18"/>
      <c r="ZR264" s="18"/>
      <c r="ZS264" s="18"/>
      <c r="ZT264" s="18"/>
      <c r="ZU264" s="18"/>
      <c r="ZV264" s="18"/>
      <c r="ZW264" s="18"/>
      <c r="ZX264" s="18"/>
      <c r="ZY264" s="18"/>
      <c r="ZZ264" s="18"/>
      <c r="AAA264" s="18"/>
      <c r="AAB264" s="18"/>
      <c r="AAC264" s="18"/>
      <c r="AAD264" s="18"/>
      <c r="AAE264" s="18"/>
      <c r="AAF264" s="18"/>
      <c r="AAG264" s="18"/>
      <c r="AAH264" s="18"/>
      <c r="AAI264" s="18"/>
      <c r="AAJ264" s="18"/>
      <c r="AAK264" s="18"/>
      <c r="AAL264" s="18"/>
      <c r="AAM264" s="18"/>
      <c r="AAN264" s="18"/>
      <c r="AAO264" s="18"/>
      <c r="AAP264" s="18"/>
      <c r="AAQ264" s="18"/>
      <c r="AAR264" s="18"/>
      <c r="AAS264" s="18"/>
      <c r="AAT264" s="18"/>
      <c r="AAU264" s="18"/>
      <c r="AAV264" s="18"/>
      <c r="AAW264" s="18"/>
      <c r="AAX264" s="18"/>
      <c r="AAY264" s="18"/>
      <c r="AAZ264" s="18"/>
      <c r="ABA264" s="18"/>
      <c r="ABB264" s="18"/>
      <c r="ABC264" s="18"/>
      <c r="ABD264" s="18"/>
      <c r="ABE264" s="18"/>
      <c r="ABF264" s="18"/>
      <c r="ABG264" s="18"/>
      <c r="ABH264" s="18"/>
      <c r="ABI264" s="18"/>
      <c r="ABJ264" s="18"/>
      <c r="ABK264" s="18"/>
      <c r="ABL264" s="18"/>
      <c r="ABM264" s="18"/>
      <c r="ABN264" s="18"/>
      <c r="ABO264" s="18"/>
      <c r="ABP264" s="18"/>
      <c r="ABQ264" s="18"/>
      <c r="ABR264" s="18"/>
      <c r="ABS264" s="18"/>
      <c r="ABT264" s="18"/>
      <c r="ABU264" s="18"/>
      <c r="ABV264" s="18"/>
      <c r="ABW264" s="18"/>
      <c r="ABX264" s="18"/>
      <c r="ABY264" s="18"/>
      <c r="ABZ264" s="18"/>
      <c r="ACA264" s="18"/>
      <c r="ACB264" s="18"/>
      <c r="ACC264" s="18"/>
      <c r="ACD264" s="18"/>
      <c r="ACE264" s="18"/>
      <c r="ACF264" s="18"/>
      <c r="ACG264" s="18"/>
      <c r="ACH264" s="18"/>
      <c r="ACI264" s="18"/>
      <c r="ACJ264" s="18"/>
      <c r="ACK264" s="18"/>
      <c r="ACL264" s="18"/>
      <c r="ACM264" s="18"/>
      <c r="ACN264" s="18"/>
      <c r="ACO264" s="18"/>
      <c r="ACP264" s="18"/>
      <c r="ACQ264" s="18"/>
      <c r="ACR264" s="18"/>
      <c r="ACS264" s="18"/>
      <c r="ACT264" s="18"/>
      <c r="ACU264" s="18"/>
      <c r="ACV264" s="18"/>
      <c r="ACW264" s="18"/>
      <c r="ACX264" s="18"/>
      <c r="ACY264" s="18"/>
      <c r="ACZ264" s="18"/>
      <c r="ADA264" s="18"/>
      <c r="ADB264" s="18"/>
      <c r="ADC264" s="18"/>
      <c r="ADD264" s="18"/>
      <c r="ADE264" s="18"/>
      <c r="ADF264" s="18"/>
      <c r="ADG264" s="18"/>
      <c r="ADH264" s="18"/>
      <c r="ADI264" s="18"/>
      <c r="ADJ264" s="18"/>
      <c r="ADK264" s="18"/>
      <c r="ADL264" s="18"/>
      <c r="ADM264" s="18"/>
      <c r="ADN264" s="18"/>
      <c r="ADO264" s="18"/>
      <c r="ADP264" s="18"/>
      <c r="ADQ264" s="18"/>
      <c r="ADR264" s="18"/>
      <c r="ADS264" s="18"/>
      <c r="ADT264" s="18"/>
      <c r="ADU264" s="18"/>
      <c r="ADV264" s="18"/>
      <c r="ADW264" s="18"/>
      <c r="ADX264" s="18"/>
      <c r="ADY264" s="18"/>
      <c r="ADZ264" s="18"/>
      <c r="AEA264" s="18"/>
      <c r="AEB264" s="18"/>
      <c r="AEC264" s="18"/>
      <c r="AED264" s="18"/>
      <c r="AEE264" s="18"/>
      <c r="AEF264" s="18"/>
      <c r="AEG264" s="18"/>
      <c r="AEH264" s="18"/>
      <c r="AEI264" s="18"/>
      <c r="AEJ264" s="18"/>
      <c r="AEK264" s="18"/>
      <c r="AEL264" s="18"/>
      <c r="AEM264" s="18"/>
      <c r="AEN264" s="18"/>
      <c r="AEO264" s="18"/>
      <c r="AEP264" s="18"/>
      <c r="AEQ264" s="18"/>
      <c r="AER264" s="18"/>
      <c r="AES264" s="18"/>
      <c r="AET264" s="18"/>
      <c r="AEU264" s="18"/>
      <c r="AEV264" s="18"/>
      <c r="AEW264" s="18"/>
      <c r="AEX264" s="18"/>
      <c r="AEY264" s="18"/>
      <c r="AEZ264" s="18"/>
      <c r="AFA264" s="18"/>
      <c r="AFB264" s="18"/>
      <c r="AFC264" s="18"/>
      <c r="AFD264" s="18"/>
      <c r="AFE264" s="18"/>
      <c r="AFF264" s="18"/>
      <c r="AFG264" s="18"/>
      <c r="AFH264" s="18"/>
      <c r="AFI264" s="18"/>
      <c r="AFJ264" s="18"/>
      <c r="AFK264" s="18"/>
      <c r="AFL264" s="18"/>
      <c r="AFM264" s="18"/>
      <c r="AFN264" s="18"/>
      <c r="AFO264" s="18"/>
      <c r="AFP264" s="18"/>
      <c r="AFQ264" s="18"/>
      <c r="AFR264" s="18"/>
      <c r="AFS264" s="18"/>
      <c r="AFT264" s="18"/>
      <c r="AFU264" s="18"/>
      <c r="AFV264" s="18"/>
      <c r="AFW264" s="18"/>
      <c r="AFX264" s="18"/>
      <c r="AFY264" s="18"/>
      <c r="AFZ264" s="18"/>
      <c r="AGA264" s="18"/>
      <c r="AGB264" s="18"/>
      <c r="AGC264" s="18"/>
      <c r="AGD264" s="18"/>
      <c r="AGE264" s="18"/>
      <c r="AGF264" s="18"/>
      <c r="AGG264" s="18"/>
      <c r="AGH264" s="18"/>
      <c r="AGI264" s="18"/>
      <c r="AGJ264" s="18"/>
      <c r="AGK264" s="18"/>
      <c r="AGL264" s="18"/>
      <c r="AGM264" s="18"/>
      <c r="AGN264" s="18"/>
      <c r="AGO264" s="18"/>
      <c r="AGP264" s="18"/>
      <c r="AGQ264" s="18"/>
      <c r="AGR264" s="18"/>
      <c r="AGS264" s="18"/>
      <c r="AGT264" s="18"/>
      <c r="AGU264" s="18"/>
      <c r="AGV264" s="18"/>
      <c r="AGW264" s="18"/>
      <c r="AGX264" s="18"/>
      <c r="AGY264" s="18"/>
      <c r="AGZ264" s="18"/>
      <c r="AHA264" s="18"/>
      <c r="AHB264" s="18"/>
      <c r="AHC264" s="18"/>
      <c r="AHD264" s="18"/>
      <c r="AHE264" s="18"/>
      <c r="AHF264" s="18"/>
      <c r="AHG264" s="18"/>
      <c r="AHH264" s="18"/>
      <c r="AHI264" s="18"/>
      <c r="AHJ264" s="18"/>
      <c r="AHK264" s="18"/>
      <c r="AHL264" s="18"/>
      <c r="AHM264" s="18"/>
      <c r="AHN264" s="18"/>
      <c r="AHO264" s="18"/>
      <c r="AHP264" s="18"/>
      <c r="AHQ264" s="18"/>
      <c r="AHR264" s="18"/>
      <c r="AHS264" s="18"/>
      <c r="AHT264" s="18"/>
      <c r="AHU264" s="18"/>
      <c r="AHV264" s="18"/>
      <c r="AHW264" s="18"/>
      <c r="AHX264" s="18"/>
      <c r="AHY264" s="18"/>
      <c r="AHZ264" s="18"/>
      <c r="AIA264" s="18"/>
      <c r="AIB264" s="18"/>
      <c r="AIC264" s="18"/>
      <c r="AID264" s="18"/>
      <c r="AIE264" s="18"/>
      <c r="AIF264" s="18"/>
      <c r="AIG264" s="18"/>
      <c r="AIH264" s="18"/>
      <c r="AII264" s="18"/>
      <c r="AIJ264" s="18"/>
      <c r="AIK264" s="18"/>
      <c r="AIL264" s="18"/>
      <c r="AIM264" s="18"/>
      <c r="AIN264" s="18"/>
      <c r="AIO264" s="18"/>
      <c r="AIP264" s="18"/>
      <c r="AIQ264" s="18"/>
      <c r="AIR264" s="18"/>
      <c r="AIS264" s="18"/>
      <c r="AIT264" s="18"/>
      <c r="AIU264" s="18"/>
      <c r="AIV264" s="18"/>
      <c r="AIW264" s="18"/>
      <c r="AIX264" s="18"/>
      <c r="AIY264" s="18"/>
      <c r="AIZ264" s="18"/>
      <c r="AJA264" s="18"/>
      <c r="AJB264" s="18"/>
      <c r="AJC264" s="18"/>
      <c r="AJD264" s="18"/>
      <c r="AJE264" s="18"/>
      <c r="AJF264" s="18"/>
      <c r="AJG264" s="18"/>
      <c r="AJH264" s="18"/>
      <c r="AJI264" s="18"/>
      <c r="AJJ264" s="18"/>
      <c r="AJK264" s="18"/>
      <c r="AJL264" s="18"/>
      <c r="AJM264" s="18"/>
      <c r="AJN264" s="18"/>
      <c r="AJO264" s="18"/>
      <c r="AJP264" s="18"/>
      <c r="AJQ264" s="18"/>
      <c r="AJR264" s="18"/>
      <c r="AJS264" s="18"/>
      <c r="AJT264" s="18"/>
      <c r="AJU264" s="18"/>
      <c r="AJV264" s="18"/>
      <c r="AJW264" s="18"/>
      <c r="AJX264" s="18"/>
      <c r="AJY264" s="18"/>
      <c r="AJZ264" s="18"/>
      <c r="AKA264" s="18"/>
      <c r="AKB264" s="18"/>
      <c r="AKC264" s="18"/>
      <c r="AKD264" s="18"/>
      <c r="AKE264" s="18"/>
      <c r="AKF264" s="18"/>
      <c r="AKG264" s="18"/>
      <c r="AKH264" s="18"/>
      <c r="AKI264" s="18"/>
      <c r="AKJ264" s="18"/>
      <c r="AKK264" s="18"/>
      <c r="AKL264" s="18"/>
      <c r="AKM264" s="18"/>
      <c r="AKN264" s="18"/>
      <c r="AKO264" s="18"/>
      <c r="AKP264" s="18"/>
      <c r="AKQ264" s="18"/>
      <c r="AKR264" s="18"/>
      <c r="AKS264" s="18"/>
      <c r="AKT264" s="18"/>
      <c r="AKU264" s="18"/>
      <c r="AKV264" s="18"/>
      <c r="AKW264" s="18"/>
      <c r="AKX264" s="18"/>
      <c r="AKY264" s="18"/>
      <c r="AKZ264" s="18"/>
      <c r="ALA264" s="18"/>
      <c r="ALB264" s="18"/>
      <c r="ALC264" s="18"/>
      <c r="ALD264" s="18"/>
      <c r="ALE264" s="18"/>
      <c r="ALF264" s="18"/>
      <c r="ALG264" s="18"/>
      <c r="ALH264" s="18"/>
      <c r="ALI264" s="18"/>
      <c r="ALJ264" s="18"/>
      <c r="ALK264" s="18"/>
      <c r="ALL264" s="18"/>
      <c r="ALM264" s="18"/>
      <c r="ALN264" s="18"/>
      <c r="ALO264" s="18"/>
      <c r="ALP264" s="18"/>
      <c r="ALQ264" s="18"/>
      <c r="ALR264" s="18"/>
      <c r="ALS264" s="18"/>
      <c r="ALT264" s="18"/>
      <c r="ALU264" s="18"/>
      <c r="ALV264" s="18"/>
      <c r="ALW264" s="18"/>
      <c r="ALX264" s="18"/>
      <c r="ALY264" s="18"/>
      <c r="ALZ264" s="18"/>
      <c r="AMA264" s="18"/>
      <c r="AMB264" s="18"/>
      <c r="AMC264" s="18"/>
      <c r="AMD264" s="18"/>
      <c r="AME264" s="18"/>
      <c r="AMF264" s="18"/>
      <c r="AMG264" s="18"/>
      <c r="AMH264" s="18"/>
      <c r="AMI264" s="18"/>
      <c r="AMJ264" s="18"/>
      <c r="AMK264" s="18"/>
      <c r="AML264" s="18"/>
      <c r="AMM264" s="18"/>
      <c r="AMN264" s="18"/>
      <c r="AMO264" s="18"/>
      <c r="AMP264" s="18"/>
      <c r="AMQ264" s="18"/>
      <c r="AMR264" s="18"/>
      <c r="AMS264" s="18"/>
      <c r="AMT264" s="18"/>
      <c r="AMU264" s="18"/>
      <c r="AMV264" s="18"/>
      <c r="AMW264" s="18"/>
      <c r="AMX264" s="18"/>
      <c r="AMY264" s="18"/>
      <c r="AMZ264" s="18"/>
      <c r="ANA264" s="18"/>
      <c r="ANB264" s="18"/>
      <c r="ANC264" s="18"/>
      <c r="AND264" s="18"/>
      <c r="ANE264" s="18"/>
      <c r="ANF264" s="18"/>
      <c r="ANG264" s="18"/>
      <c r="ANH264" s="18"/>
      <c r="ANI264" s="18"/>
      <c r="ANJ264" s="18"/>
      <c r="ANK264" s="18"/>
      <c r="ANL264" s="18"/>
      <c r="ANM264" s="18"/>
      <c r="ANN264" s="18"/>
      <c r="ANO264" s="18"/>
      <c r="ANP264" s="18"/>
      <c r="ANQ264" s="18"/>
      <c r="ANR264" s="18"/>
      <c r="ANS264" s="18"/>
      <c r="ANT264" s="18"/>
      <c r="ANU264" s="18"/>
      <c r="ANV264" s="18"/>
      <c r="ANW264" s="18"/>
      <c r="ANX264" s="18"/>
      <c r="ANY264" s="18"/>
      <c r="ANZ264" s="18"/>
      <c r="AOA264" s="18"/>
      <c r="AOB264" s="18"/>
      <c r="AOC264" s="18"/>
      <c r="AOD264" s="18"/>
      <c r="AOE264" s="18"/>
      <c r="AOF264" s="18"/>
      <c r="AOG264" s="18"/>
      <c r="AOH264" s="18"/>
      <c r="AOI264" s="18"/>
      <c r="AOJ264" s="18"/>
      <c r="AOK264" s="18"/>
      <c r="AOL264" s="18"/>
      <c r="AOM264" s="18"/>
      <c r="AON264" s="18"/>
      <c r="AOO264" s="18"/>
      <c r="AOP264" s="18"/>
      <c r="AOQ264" s="18"/>
      <c r="AOR264" s="18"/>
      <c r="AOS264" s="18"/>
      <c r="AOT264" s="18"/>
      <c r="AOU264" s="18"/>
      <c r="AOV264" s="18"/>
      <c r="AOW264" s="18"/>
      <c r="AOX264" s="18"/>
      <c r="AOY264" s="18"/>
      <c r="AOZ264" s="18"/>
      <c r="APA264" s="18"/>
      <c r="APB264" s="18"/>
      <c r="APC264" s="18"/>
      <c r="APD264" s="18"/>
      <c r="APE264" s="18"/>
      <c r="APF264" s="18"/>
      <c r="APG264" s="18"/>
      <c r="APH264" s="18"/>
      <c r="API264" s="18"/>
      <c r="APJ264" s="18"/>
      <c r="APK264" s="18"/>
      <c r="APL264" s="18"/>
      <c r="APM264" s="18"/>
      <c r="APN264" s="18"/>
      <c r="APO264" s="18"/>
      <c r="APP264" s="18"/>
      <c r="APQ264" s="18"/>
      <c r="APR264" s="18"/>
      <c r="APS264" s="18"/>
      <c r="APT264" s="18"/>
      <c r="APU264" s="18"/>
      <c r="APV264" s="18"/>
      <c r="APW264" s="18"/>
      <c r="APX264" s="18"/>
      <c r="APY264" s="18"/>
      <c r="APZ264" s="18"/>
      <c r="AQA264" s="18"/>
      <c r="AQB264" s="18"/>
      <c r="AQC264" s="18"/>
      <c r="AQD264" s="18"/>
      <c r="AQE264" s="18"/>
      <c r="AQF264" s="18"/>
      <c r="AQG264" s="18"/>
      <c r="AQH264" s="18"/>
      <c r="AQI264" s="18"/>
      <c r="AQJ264" s="18"/>
      <c r="AQK264" s="18"/>
      <c r="AQL264" s="18"/>
      <c r="AQM264" s="18"/>
      <c r="AQN264" s="18"/>
      <c r="AQO264" s="18"/>
      <c r="AQP264" s="18"/>
      <c r="AQQ264" s="18"/>
      <c r="AQR264" s="18"/>
      <c r="AQS264" s="18"/>
      <c r="AQT264" s="18"/>
      <c r="AQU264" s="18"/>
      <c r="AQV264" s="18"/>
      <c r="AQW264" s="18"/>
      <c r="AQX264" s="18"/>
      <c r="AQY264" s="18"/>
      <c r="AQZ264" s="18"/>
      <c r="ARA264" s="18"/>
      <c r="ARB264" s="18"/>
      <c r="ARC264" s="18"/>
      <c r="ARD264" s="18"/>
      <c r="ARE264" s="18"/>
      <c r="ARF264" s="18"/>
      <c r="ARG264" s="18"/>
      <c r="ARH264" s="18"/>
      <c r="ARI264" s="18"/>
      <c r="ARJ264" s="18"/>
      <c r="ARK264" s="18"/>
      <c r="ARL264" s="18"/>
      <c r="ARM264" s="18"/>
      <c r="ARN264" s="18"/>
      <c r="ARO264" s="18"/>
      <c r="ARP264" s="18"/>
      <c r="ARQ264" s="18"/>
      <c r="ARR264" s="18"/>
      <c r="ARS264" s="18"/>
      <c r="ART264" s="18"/>
      <c r="ARU264" s="18"/>
      <c r="ARV264" s="18"/>
      <c r="ARW264" s="18"/>
      <c r="ARX264" s="18"/>
      <c r="ARY264" s="18"/>
      <c r="ARZ264" s="18"/>
      <c r="ASA264" s="18"/>
      <c r="ASB264" s="18"/>
      <c r="ASC264" s="18"/>
      <c r="ASD264" s="18"/>
      <c r="ASE264" s="18"/>
      <c r="ASF264" s="18"/>
      <c r="ASG264" s="18"/>
      <c r="ASH264" s="18"/>
      <c r="ASI264" s="18"/>
      <c r="ASJ264" s="18"/>
      <c r="ASK264" s="18"/>
      <c r="ASL264" s="18"/>
      <c r="ASM264" s="18"/>
      <c r="ASN264" s="18"/>
      <c r="ASO264" s="18"/>
      <c r="ASP264" s="18"/>
      <c r="ASQ264" s="18"/>
      <c r="ASR264" s="18"/>
      <c r="ASS264" s="18"/>
      <c r="AST264" s="18"/>
      <c r="ASU264" s="18"/>
      <c r="ASV264" s="18"/>
      <c r="ASW264" s="18"/>
      <c r="ASX264" s="18"/>
      <c r="ASY264" s="18"/>
      <c r="ASZ264" s="18"/>
      <c r="ATA264" s="18"/>
      <c r="ATB264" s="18"/>
      <c r="ATC264" s="18"/>
      <c r="ATD264" s="18"/>
      <c r="ATE264" s="18"/>
      <c r="ATF264" s="18"/>
      <c r="ATG264" s="18"/>
      <c r="ATH264" s="18"/>
      <c r="ATI264" s="18"/>
      <c r="ATJ264" s="18"/>
      <c r="ATK264" s="18"/>
      <c r="ATL264" s="18"/>
      <c r="ATM264" s="18"/>
      <c r="ATN264" s="18"/>
      <c r="ATO264" s="18"/>
      <c r="ATP264" s="18"/>
      <c r="ATQ264" s="18"/>
      <c r="ATR264" s="18"/>
      <c r="ATS264" s="18"/>
      <c r="ATT264" s="18"/>
      <c r="ATU264" s="18"/>
      <c r="ATV264" s="18"/>
      <c r="ATW264" s="18"/>
      <c r="ATX264" s="18"/>
      <c r="ATY264" s="18"/>
      <c r="ATZ264" s="18"/>
      <c r="AUA264" s="18"/>
      <c r="AUB264" s="18"/>
      <c r="AUC264" s="18"/>
      <c r="AUD264" s="18"/>
      <c r="AUE264" s="18"/>
      <c r="AUF264" s="18"/>
      <c r="AUG264" s="18"/>
      <c r="AUH264" s="18"/>
      <c r="AUI264" s="18"/>
      <c r="AUJ264" s="18"/>
      <c r="AUK264" s="18"/>
      <c r="AUL264" s="18"/>
      <c r="AUM264" s="18"/>
      <c r="AUN264" s="18"/>
      <c r="AUO264" s="18"/>
      <c r="AUP264" s="18"/>
      <c r="AUQ264" s="18"/>
      <c r="AUR264" s="18"/>
      <c r="AUS264" s="18"/>
      <c r="AUT264" s="18"/>
      <c r="AUU264" s="18"/>
      <c r="AUV264" s="18"/>
      <c r="AUW264" s="18"/>
      <c r="AUX264" s="18"/>
      <c r="AUY264" s="18"/>
      <c r="AUZ264" s="18"/>
      <c r="AVA264" s="18"/>
      <c r="AVB264" s="18"/>
      <c r="AVC264" s="18"/>
      <c r="AVD264" s="18"/>
      <c r="AVE264" s="18"/>
      <c r="AVF264" s="18"/>
      <c r="AVG264" s="18"/>
      <c r="AVH264" s="18"/>
      <c r="AVI264" s="18"/>
      <c r="AVJ264" s="18"/>
      <c r="AVK264" s="18"/>
      <c r="AVL264" s="18"/>
      <c r="AVM264" s="18"/>
      <c r="AVN264" s="18"/>
      <c r="AVO264" s="18"/>
      <c r="AVP264" s="18"/>
      <c r="AVQ264" s="18"/>
      <c r="AVR264" s="18"/>
      <c r="AVS264" s="18"/>
      <c r="AVT264" s="18"/>
      <c r="AVU264" s="18"/>
      <c r="AVV264" s="18"/>
      <c r="AVW264" s="18"/>
      <c r="AVX264" s="18"/>
      <c r="AVY264" s="18"/>
      <c r="AVZ264" s="18"/>
      <c r="AWA264" s="18"/>
      <c r="AWB264" s="18"/>
      <c r="AWC264" s="18"/>
      <c r="AWD264" s="18"/>
      <c r="AWE264" s="18"/>
      <c r="AWF264" s="18"/>
      <c r="AWG264" s="18"/>
      <c r="AWH264" s="18"/>
      <c r="AWI264" s="18"/>
      <c r="AWJ264" s="18"/>
      <c r="AWK264" s="18"/>
      <c r="AWL264" s="18"/>
      <c r="AWM264" s="18"/>
      <c r="AWN264" s="18"/>
      <c r="AWO264" s="18"/>
      <c r="AWP264" s="18"/>
      <c r="AWQ264" s="18"/>
      <c r="AWR264" s="18"/>
      <c r="AWS264" s="18"/>
      <c r="AWT264" s="18"/>
      <c r="AWU264" s="18"/>
      <c r="AWV264" s="18"/>
      <c r="AWW264" s="18"/>
      <c r="AWX264" s="18"/>
      <c r="AWY264" s="18"/>
      <c r="AWZ264" s="18"/>
      <c r="AXA264" s="18"/>
      <c r="AXB264" s="18"/>
      <c r="AXC264" s="18"/>
      <c r="AXD264" s="18"/>
      <c r="AXE264" s="18"/>
      <c r="AXF264" s="18"/>
      <c r="AXG264" s="18"/>
      <c r="AXH264" s="18"/>
      <c r="AXI264" s="18"/>
      <c r="AXJ264" s="18"/>
      <c r="AXK264" s="18"/>
      <c r="AXL264" s="18"/>
      <c r="AXM264" s="18"/>
      <c r="AXN264" s="18"/>
      <c r="AXO264" s="18"/>
      <c r="AXP264" s="18"/>
      <c r="AXQ264" s="18"/>
      <c r="AXR264" s="18"/>
      <c r="AXS264" s="18"/>
      <c r="AXT264" s="18"/>
      <c r="AXU264" s="18"/>
      <c r="AXV264" s="18"/>
      <c r="AXW264" s="18"/>
      <c r="AXX264" s="18"/>
      <c r="AXY264" s="18"/>
      <c r="AXZ264" s="18"/>
      <c r="AYA264" s="18"/>
      <c r="AYB264" s="18"/>
      <c r="AYC264" s="18"/>
      <c r="AYD264" s="18"/>
      <c r="AYE264" s="18"/>
      <c r="AYF264" s="18"/>
      <c r="AYG264" s="18"/>
      <c r="AYH264" s="18"/>
      <c r="AYI264" s="18"/>
      <c r="AYJ264" s="18"/>
      <c r="AYK264" s="18"/>
      <c r="AYL264" s="18"/>
      <c r="AYM264" s="18"/>
      <c r="AYN264" s="18"/>
      <c r="AYO264" s="18"/>
      <c r="AYP264" s="18"/>
      <c r="AYQ264" s="18"/>
      <c r="AYR264" s="18"/>
      <c r="AYS264" s="18"/>
      <c r="AYT264" s="18"/>
      <c r="AYU264" s="18"/>
      <c r="AYV264" s="18"/>
      <c r="AYW264" s="18"/>
      <c r="AYX264" s="18"/>
      <c r="AYY264" s="18"/>
      <c r="AYZ264" s="18"/>
      <c r="AZA264" s="18"/>
      <c r="AZB264" s="18"/>
      <c r="AZC264" s="18"/>
      <c r="AZD264" s="18"/>
      <c r="AZE264" s="18"/>
      <c r="AZF264" s="18"/>
      <c r="AZG264" s="18"/>
      <c r="AZH264" s="18"/>
      <c r="AZI264" s="18"/>
      <c r="AZJ264" s="18"/>
      <c r="AZK264" s="18"/>
      <c r="AZL264" s="18"/>
      <c r="AZM264" s="18"/>
      <c r="AZN264" s="18"/>
      <c r="AZO264" s="18"/>
      <c r="AZP264" s="18"/>
      <c r="AZQ264" s="18"/>
      <c r="AZR264" s="18"/>
      <c r="AZS264" s="18"/>
      <c r="AZT264" s="18"/>
      <c r="AZU264" s="18"/>
      <c r="AZV264" s="18"/>
      <c r="AZW264" s="18"/>
      <c r="AZX264" s="18"/>
      <c r="AZY264" s="18"/>
      <c r="AZZ264" s="18"/>
      <c r="BAA264" s="18"/>
      <c r="BAB264" s="18"/>
      <c r="BAC264" s="18"/>
      <c r="BAD264" s="18"/>
      <c r="BAE264" s="18"/>
      <c r="BAF264" s="18"/>
      <c r="BAG264" s="18"/>
      <c r="BAH264" s="18"/>
      <c r="BAI264" s="18"/>
      <c r="BAJ264" s="18"/>
      <c r="BAK264" s="18"/>
      <c r="BAL264" s="18"/>
      <c r="BAM264" s="18"/>
      <c r="BAN264" s="18"/>
      <c r="BAO264" s="18"/>
      <c r="BAP264" s="18"/>
      <c r="BAQ264" s="18"/>
      <c r="BAR264" s="18"/>
      <c r="BAS264" s="18"/>
      <c r="BAT264" s="18"/>
      <c r="BAU264" s="18"/>
      <c r="BAV264" s="18"/>
      <c r="BAW264" s="18"/>
      <c r="BAX264" s="18"/>
      <c r="BAY264" s="18"/>
      <c r="BAZ264" s="18"/>
      <c r="BBA264" s="18"/>
      <c r="BBB264" s="18"/>
      <c r="BBC264" s="18"/>
      <c r="BBD264" s="18"/>
      <c r="BBE264" s="18"/>
      <c r="BBF264" s="18"/>
      <c r="BBG264" s="18"/>
      <c r="BBH264" s="18"/>
      <c r="BBI264" s="18"/>
      <c r="BBJ264" s="18"/>
      <c r="BBK264" s="18"/>
      <c r="BBL264" s="18"/>
      <c r="BBM264" s="18"/>
      <c r="BBN264" s="18"/>
      <c r="BBO264" s="18"/>
      <c r="BBP264" s="18"/>
      <c r="BBQ264" s="18"/>
      <c r="BBR264" s="18"/>
      <c r="BBS264" s="18"/>
      <c r="BBT264" s="18"/>
      <c r="BBU264" s="18"/>
      <c r="BBV264" s="18"/>
      <c r="BBW264" s="18"/>
      <c r="BBX264" s="18"/>
      <c r="BBY264" s="18"/>
      <c r="BBZ264" s="18"/>
      <c r="BCA264" s="18"/>
      <c r="BCB264" s="18"/>
      <c r="BCC264" s="18"/>
      <c r="BCD264" s="18"/>
      <c r="BCE264" s="18"/>
      <c r="BCF264" s="18"/>
      <c r="BCG264" s="18"/>
      <c r="BCH264" s="18"/>
      <c r="BCI264" s="18"/>
      <c r="BCJ264" s="18"/>
      <c r="BCK264" s="18"/>
      <c r="BCL264" s="18"/>
      <c r="BCM264" s="18"/>
      <c r="BCN264" s="18"/>
      <c r="BCO264" s="18"/>
      <c r="BCP264" s="18"/>
      <c r="BCQ264" s="18"/>
      <c r="BCR264" s="18"/>
      <c r="BCS264" s="18"/>
      <c r="BCT264" s="18"/>
      <c r="BCU264" s="18"/>
      <c r="BCV264" s="18"/>
      <c r="BCW264" s="18"/>
      <c r="BCX264" s="18"/>
      <c r="BCY264" s="18"/>
      <c r="BCZ264" s="18"/>
      <c r="BDA264" s="18"/>
      <c r="BDB264" s="18"/>
      <c r="BDC264" s="18"/>
      <c r="BDD264" s="18"/>
      <c r="BDE264" s="18"/>
      <c r="BDF264" s="18"/>
      <c r="BDG264" s="18"/>
      <c r="BDH264" s="18"/>
      <c r="BDI264" s="18"/>
      <c r="BDJ264" s="18"/>
      <c r="BDK264" s="18"/>
      <c r="BDL264" s="18"/>
      <c r="BDM264" s="18"/>
      <c r="BDN264" s="18"/>
      <c r="BDO264" s="18"/>
      <c r="BDP264" s="18"/>
      <c r="BDQ264" s="18"/>
      <c r="BDR264" s="18"/>
      <c r="BDS264" s="18"/>
      <c r="BDT264" s="18"/>
      <c r="BDU264" s="18"/>
      <c r="BDV264" s="18"/>
      <c r="BDW264" s="18"/>
      <c r="BDX264" s="18"/>
      <c r="BDY264" s="18"/>
      <c r="BDZ264" s="18"/>
      <c r="BEA264" s="18"/>
      <c r="BEB264" s="18"/>
      <c r="BEC264" s="18"/>
      <c r="BED264" s="18"/>
      <c r="BEE264" s="18"/>
      <c r="BEF264" s="18"/>
      <c r="BEG264" s="18"/>
      <c r="BEH264" s="18"/>
      <c r="BEI264" s="18"/>
      <c r="BEJ264" s="18"/>
      <c r="BEK264" s="18"/>
      <c r="BEL264" s="18"/>
      <c r="BEM264" s="18"/>
      <c r="BEN264" s="18"/>
      <c r="BEO264" s="18"/>
      <c r="BEP264" s="18"/>
      <c r="BEQ264" s="18"/>
      <c r="BER264" s="18"/>
      <c r="BES264" s="18"/>
      <c r="BET264" s="18"/>
      <c r="BEU264" s="18"/>
      <c r="BEV264" s="18"/>
      <c r="BEW264" s="18"/>
      <c r="BEX264" s="18"/>
      <c r="BEY264" s="18"/>
      <c r="BEZ264" s="18"/>
      <c r="BFA264" s="18"/>
      <c r="BFB264" s="18"/>
      <c r="BFC264" s="18"/>
      <c r="BFD264" s="18"/>
      <c r="BFE264" s="18"/>
      <c r="BFF264" s="18"/>
      <c r="BFG264" s="18"/>
      <c r="BFH264" s="18"/>
      <c r="BFI264" s="18"/>
      <c r="BFJ264" s="18"/>
      <c r="BFK264" s="18"/>
      <c r="BFL264" s="18"/>
      <c r="BFM264" s="18"/>
      <c r="BFN264" s="18"/>
      <c r="BFO264" s="18"/>
      <c r="BFP264" s="18"/>
      <c r="BFQ264" s="18"/>
      <c r="BFR264" s="18"/>
      <c r="BFS264" s="18"/>
      <c r="BFT264" s="18"/>
      <c r="BFU264" s="18"/>
      <c r="BFV264" s="18"/>
      <c r="BFW264" s="18"/>
      <c r="BFX264" s="18"/>
      <c r="BFY264" s="18"/>
      <c r="BFZ264" s="18"/>
      <c r="BGA264" s="18"/>
      <c r="BGB264" s="18"/>
      <c r="BGC264" s="18"/>
      <c r="BGD264" s="18"/>
      <c r="BGE264" s="18"/>
      <c r="BGF264" s="18"/>
      <c r="BGG264" s="18"/>
      <c r="BGH264" s="18"/>
      <c r="BGI264" s="18"/>
      <c r="BGJ264" s="18"/>
      <c r="BGK264" s="18"/>
      <c r="BGL264" s="18"/>
      <c r="BGM264" s="18"/>
      <c r="BGN264" s="18"/>
      <c r="BGO264" s="18"/>
      <c r="BGP264" s="18"/>
      <c r="BGQ264" s="18"/>
      <c r="BGR264" s="18"/>
      <c r="BGS264" s="18"/>
      <c r="BGT264" s="18"/>
      <c r="BGU264" s="18"/>
      <c r="BGV264" s="18"/>
      <c r="BGW264" s="18"/>
      <c r="BGX264" s="18"/>
      <c r="BGY264" s="18"/>
      <c r="BGZ264" s="18"/>
      <c r="BHA264" s="18"/>
      <c r="BHB264" s="18"/>
      <c r="BHC264" s="18"/>
      <c r="BHD264" s="18"/>
      <c r="BHE264" s="18"/>
      <c r="BHF264" s="18"/>
      <c r="BHG264" s="18"/>
      <c r="BHH264" s="18"/>
      <c r="BHI264" s="18"/>
      <c r="BHJ264" s="18"/>
      <c r="BHK264" s="18"/>
      <c r="BHL264" s="18"/>
      <c r="BHM264" s="18"/>
      <c r="BHN264" s="18"/>
      <c r="BHO264" s="18"/>
      <c r="BHP264" s="18"/>
      <c r="BHQ264" s="18"/>
      <c r="BHR264" s="18"/>
      <c r="BHS264" s="18"/>
      <c r="BHT264" s="18"/>
      <c r="BHU264" s="18"/>
      <c r="BHV264" s="18"/>
      <c r="BHW264" s="18"/>
      <c r="BHX264" s="18"/>
      <c r="BHY264" s="18"/>
      <c r="BHZ264" s="18"/>
      <c r="BIA264" s="18"/>
      <c r="BIB264" s="18"/>
      <c r="BIC264" s="18"/>
      <c r="BID264" s="18"/>
      <c r="BIE264" s="18"/>
      <c r="BIF264" s="18"/>
      <c r="BIG264" s="18"/>
      <c r="BIH264" s="18"/>
      <c r="BII264" s="18"/>
      <c r="BIJ264" s="18"/>
      <c r="BIK264" s="18"/>
      <c r="BIL264" s="18"/>
      <c r="BIM264" s="18"/>
      <c r="BIN264" s="18"/>
      <c r="BIO264" s="18"/>
      <c r="BIP264" s="18"/>
      <c r="BIQ264" s="18"/>
      <c r="BIR264" s="18"/>
      <c r="BIS264" s="18"/>
      <c r="BIT264" s="18"/>
      <c r="BIU264" s="18"/>
      <c r="BIV264" s="18"/>
      <c r="BIW264" s="18"/>
      <c r="BIX264" s="18"/>
      <c r="BIY264" s="18"/>
      <c r="BIZ264" s="18"/>
      <c r="BJA264" s="18"/>
      <c r="BJB264" s="18"/>
      <c r="BJC264" s="18"/>
      <c r="BJD264" s="18"/>
      <c r="BJE264" s="18"/>
      <c r="BJF264" s="18"/>
      <c r="BJG264" s="18"/>
      <c r="BJH264" s="18"/>
      <c r="BJI264" s="18"/>
      <c r="BJJ264" s="18"/>
      <c r="BJK264" s="18"/>
      <c r="BJL264" s="18"/>
      <c r="BJM264" s="18"/>
      <c r="BJN264" s="18"/>
      <c r="BJO264" s="18"/>
      <c r="BJP264" s="18"/>
      <c r="BJQ264" s="18"/>
      <c r="BJR264" s="18"/>
      <c r="BJS264" s="18"/>
      <c r="BJT264" s="18"/>
      <c r="BJU264" s="18"/>
      <c r="BJV264" s="18"/>
      <c r="BJW264" s="18"/>
      <c r="BJX264" s="18"/>
      <c r="BJY264" s="18"/>
      <c r="BJZ264" s="18"/>
      <c r="BKA264" s="18"/>
      <c r="BKB264" s="18"/>
      <c r="BKC264" s="18"/>
      <c r="BKD264" s="18"/>
      <c r="BKE264" s="18"/>
      <c r="BKF264" s="18"/>
      <c r="BKG264" s="18"/>
      <c r="BKH264" s="18"/>
      <c r="BKI264" s="18"/>
      <c r="BKJ264" s="18"/>
      <c r="BKK264" s="18"/>
      <c r="BKL264" s="18"/>
      <c r="BKM264" s="18"/>
      <c r="BKN264" s="18"/>
      <c r="BKO264" s="18"/>
      <c r="BKP264" s="18"/>
      <c r="BKQ264" s="18"/>
      <c r="BKR264" s="18"/>
      <c r="BKS264" s="18"/>
      <c r="BKT264" s="18"/>
      <c r="BKU264" s="18"/>
      <c r="BKV264" s="18"/>
      <c r="BKW264" s="18"/>
      <c r="BKX264" s="18"/>
      <c r="BKY264" s="18"/>
      <c r="BKZ264" s="18"/>
      <c r="BLA264" s="18"/>
      <c r="BLB264" s="18"/>
      <c r="BLC264" s="18"/>
      <c r="BLD264" s="18"/>
      <c r="BLE264" s="18"/>
      <c r="BLF264" s="18"/>
      <c r="BLG264" s="18"/>
      <c r="BLH264" s="18"/>
      <c r="BLI264" s="18"/>
      <c r="BLJ264" s="18"/>
      <c r="BLK264" s="18"/>
      <c r="BLL264" s="18"/>
      <c r="BLM264" s="18"/>
      <c r="BLN264" s="18"/>
      <c r="BLO264" s="18"/>
      <c r="BLP264" s="18"/>
      <c r="BLQ264" s="18"/>
      <c r="BLR264" s="18"/>
      <c r="BLS264" s="18"/>
      <c r="BLT264" s="18"/>
      <c r="BLU264" s="18"/>
      <c r="BLV264" s="18"/>
      <c r="BLW264" s="18"/>
      <c r="BLX264" s="18"/>
      <c r="BLY264" s="18"/>
      <c r="BLZ264" s="18"/>
      <c r="BMA264" s="18"/>
      <c r="BMB264" s="18"/>
      <c r="BMC264" s="18"/>
      <c r="BMD264" s="18"/>
      <c r="BME264" s="18"/>
      <c r="BMF264" s="18"/>
      <c r="BMG264" s="18"/>
      <c r="BMH264" s="18"/>
      <c r="BMI264" s="18"/>
      <c r="BMJ264" s="18"/>
      <c r="BMK264" s="18"/>
      <c r="BML264" s="18"/>
      <c r="BMM264" s="18"/>
      <c r="BMN264" s="18"/>
      <c r="BMO264" s="18"/>
      <c r="BMP264" s="18"/>
      <c r="BMQ264" s="18"/>
      <c r="BMR264" s="18"/>
      <c r="BMS264" s="18"/>
      <c r="BMT264" s="18"/>
      <c r="BMU264" s="18"/>
      <c r="BMV264" s="18"/>
      <c r="BMW264" s="18"/>
      <c r="BMX264" s="18"/>
      <c r="BMY264" s="18"/>
      <c r="BMZ264" s="18"/>
      <c r="BNA264" s="18"/>
      <c r="BNB264" s="18"/>
      <c r="BNC264" s="18"/>
      <c r="BND264" s="18"/>
      <c r="BNE264" s="18"/>
      <c r="BNF264" s="18"/>
      <c r="BNG264" s="18"/>
      <c r="BNH264" s="18"/>
      <c r="BNI264" s="18"/>
      <c r="BNJ264" s="18"/>
      <c r="BNK264" s="18"/>
      <c r="BNL264" s="18"/>
      <c r="BNM264" s="18"/>
      <c r="BNN264" s="18"/>
      <c r="BNO264" s="18"/>
      <c r="BNP264" s="18"/>
      <c r="BNQ264" s="18"/>
      <c r="BNR264" s="18"/>
      <c r="BNS264" s="18"/>
      <c r="BNT264" s="18"/>
      <c r="BNU264" s="18"/>
      <c r="BNV264" s="18"/>
      <c r="BNW264" s="18"/>
      <c r="BNX264" s="18"/>
      <c r="BNY264" s="18"/>
      <c r="BNZ264" s="18"/>
      <c r="BOA264" s="18"/>
      <c r="BOB264" s="18"/>
      <c r="BOC264" s="18"/>
      <c r="BOD264" s="18"/>
      <c r="BOE264" s="18"/>
      <c r="BOF264" s="18"/>
      <c r="BOG264" s="18"/>
      <c r="BOH264" s="18"/>
      <c r="BOI264" s="18"/>
      <c r="BOJ264" s="18"/>
      <c r="BOK264" s="18"/>
      <c r="BOL264" s="18"/>
      <c r="BOM264" s="18"/>
      <c r="BON264" s="18"/>
      <c r="BOO264" s="18"/>
      <c r="BOP264" s="18"/>
      <c r="BOQ264" s="18"/>
      <c r="BOR264" s="18"/>
      <c r="BOS264" s="18"/>
      <c r="BOT264" s="18"/>
      <c r="BOU264" s="18"/>
      <c r="BOV264" s="18"/>
      <c r="BOW264" s="18"/>
      <c r="BOX264" s="18"/>
      <c r="BOY264" s="18"/>
      <c r="BOZ264" s="18"/>
      <c r="BPA264" s="18"/>
      <c r="BPB264" s="18"/>
      <c r="BPC264" s="18"/>
      <c r="BPD264" s="18"/>
      <c r="BPE264" s="18"/>
      <c r="BPF264" s="18"/>
      <c r="BPG264" s="18"/>
      <c r="BPH264" s="18"/>
      <c r="BPI264" s="18"/>
      <c r="BPJ264" s="18"/>
      <c r="BPK264" s="18"/>
      <c r="BPL264" s="18"/>
      <c r="BPM264" s="18"/>
      <c r="BPN264" s="18"/>
      <c r="BPO264" s="18"/>
      <c r="BPP264" s="18"/>
      <c r="BPQ264" s="18"/>
      <c r="BPR264" s="18"/>
      <c r="BPS264" s="18"/>
      <c r="BPT264" s="18"/>
      <c r="BPU264" s="18"/>
      <c r="BPV264" s="18"/>
      <c r="BPW264" s="18"/>
      <c r="BPX264" s="18"/>
      <c r="BPY264" s="18"/>
      <c r="BPZ264" s="18"/>
      <c r="BQA264" s="18"/>
      <c r="BQB264" s="18"/>
      <c r="BQC264" s="18"/>
      <c r="BQD264" s="18"/>
      <c r="BQE264" s="18"/>
      <c r="BQF264" s="18"/>
      <c r="BQG264" s="18"/>
      <c r="BQH264" s="18"/>
      <c r="BQI264" s="18"/>
      <c r="BQJ264" s="18"/>
      <c r="BQK264" s="18"/>
      <c r="BQL264" s="18"/>
      <c r="BQM264" s="18"/>
      <c r="BQN264" s="18"/>
      <c r="BQO264" s="18"/>
      <c r="BQP264" s="18"/>
      <c r="BQQ264" s="18"/>
      <c r="BQR264" s="18"/>
      <c r="BQS264" s="18"/>
      <c r="BQT264" s="18"/>
      <c r="BQU264" s="18"/>
      <c r="BQV264" s="18"/>
      <c r="BQW264" s="18"/>
      <c r="BQX264" s="18"/>
      <c r="BQY264" s="18"/>
      <c r="BQZ264" s="18"/>
      <c r="BRA264" s="18"/>
      <c r="BRB264" s="18"/>
      <c r="BRC264" s="18"/>
      <c r="BRD264" s="18"/>
      <c r="BRE264" s="18"/>
      <c r="BRF264" s="18"/>
      <c r="BRG264" s="18"/>
      <c r="BRH264" s="18"/>
      <c r="BRI264" s="18"/>
      <c r="BRJ264" s="18"/>
      <c r="BRK264" s="18"/>
      <c r="BRL264" s="18"/>
      <c r="BRM264" s="18"/>
      <c r="BRN264" s="18"/>
      <c r="BRO264" s="18"/>
      <c r="BRP264" s="18"/>
      <c r="BRQ264" s="18"/>
      <c r="BRR264" s="18"/>
      <c r="BRS264" s="18"/>
      <c r="BRT264" s="18"/>
      <c r="BRU264" s="18"/>
      <c r="BRV264" s="18"/>
      <c r="BRW264" s="18"/>
      <c r="BRX264" s="18"/>
      <c r="BRY264" s="18"/>
      <c r="BRZ264" s="18"/>
      <c r="BSA264" s="18"/>
      <c r="BSB264" s="18"/>
      <c r="BSC264" s="18"/>
      <c r="BSD264" s="18"/>
      <c r="BSE264" s="18"/>
      <c r="BSF264" s="18"/>
      <c r="BSG264" s="18"/>
      <c r="BSH264" s="18"/>
      <c r="BSI264" s="18"/>
      <c r="BSJ264" s="18"/>
      <c r="BSK264" s="18"/>
      <c r="BSL264" s="18"/>
      <c r="BSM264" s="18"/>
      <c r="BSN264" s="18"/>
      <c r="BSO264" s="18"/>
      <c r="BSP264" s="18"/>
      <c r="BSQ264" s="18"/>
      <c r="BSR264" s="18"/>
      <c r="BSS264" s="18"/>
      <c r="BST264" s="18"/>
      <c r="BSU264" s="18"/>
      <c r="BSV264" s="18"/>
      <c r="BSW264" s="18"/>
      <c r="BSX264" s="18"/>
      <c r="BSY264" s="18"/>
      <c r="BSZ264" s="18"/>
      <c r="BTA264" s="18"/>
      <c r="BTB264" s="18"/>
      <c r="BTC264" s="18"/>
      <c r="BTD264" s="18"/>
      <c r="BTE264" s="18"/>
      <c r="BTF264" s="18"/>
      <c r="BTG264" s="18"/>
      <c r="BTH264" s="18"/>
      <c r="BTI264" s="18"/>
    </row>
    <row r="265" spans="1:1881" s="811" customFormat="1" ht="81.75" hidden="1" customHeight="1" x14ac:dyDescent="0.3">
      <c r="A265" s="108">
        <v>598</v>
      </c>
      <c r="B265" s="712" t="s">
        <v>59</v>
      </c>
      <c r="C265" s="712" t="s">
        <v>529</v>
      </c>
      <c r="D265" s="749" t="s">
        <v>657</v>
      </c>
      <c r="E265" s="710" t="e">
        <f>HLOOKUP($D$2,'2020 Data(H)'!$C$1:$CZ$432,258,FALSE)</f>
        <v>#N/A</v>
      </c>
      <c r="F265" s="306">
        <v>0</v>
      </c>
      <c r="G265" s="771">
        <f>IF(F265&lt;0,"Error: Enter as positive.",)</f>
        <v>0</v>
      </c>
      <c r="H265" s="771"/>
      <c r="I265" s="808"/>
      <c r="J265" s="616"/>
      <c r="K265" s="18"/>
      <c r="L265" s="18"/>
      <c r="M265" s="18"/>
      <c r="N265" s="308"/>
      <c r="O265" s="18"/>
      <c r="P265" s="18"/>
      <c r="Q265" s="18"/>
      <c r="R265" s="18"/>
      <c r="S265" s="18"/>
      <c r="T265" s="18"/>
      <c r="U265" s="18"/>
      <c r="V265" s="18"/>
      <c r="W265" s="18"/>
      <c r="X265" s="18"/>
      <c r="Y265" s="18"/>
      <c r="Z265" s="108"/>
      <c r="AA265" s="108"/>
      <c r="AB265" s="108"/>
      <c r="AC265" s="108"/>
      <c r="AD265" s="108"/>
      <c r="AE265" s="108"/>
      <c r="AF265" s="108"/>
      <c r="AG265" s="108"/>
      <c r="AH265" s="108"/>
      <c r="AI265" s="108"/>
      <c r="AJ265" s="108"/>
      <c r="AK265" s="108"/>
      <c r="AL265" s="108"/>
      <c r="AM265" s="108"/>
      <c r="AN265" s="108"/>
      <c r="AO265" s="108"/>
      <c r="AP265" s="108"/>
      <c r="AQ265" s="108"/>
      <c r="AR265" s="108"/>
      <c r="AS265" s="18"/>
      <c r="AT265" s="18"/>
      <c r="AU265" s="18"/>
      <c r="AV265" s="18"/>
      <c r="AW265" s="18"/>
      <c r="AX265" s="18"/>
      <c r="AY265" s="18"/>
      <c r="AZ265" s="18"/>
      <c r="BA265" s="18"/>
      <c r="BB265" s="18"/>
      <c r="BC265" s="18"/>
      <c r="BD265" s="18"/>
      <c r="BE265" s="18"/>
      <c r="BF265" s="18"/>
      <c r="BG265" s="18"/>
      <c r="BH265" s="18"/>
      <c r="BI265" s="18"/>
      <c r="BJ265" s="18"/>
      <c r="BK265" s="18"/>
      <c r="BL265" s="18"/>
      <c r="BM265" s="18"/>
      <c r="BN265" s="18"/>
      <c r="BO265" s="18"/>
      <c r="BP265" s="18"/>
      <c r="BQ265" s="18"/>
      <c r="BR265" s="18"/>
      <c r="BS265" s="18"/>
      <c r="BT265" s="18"/>
      <c r="BU265" s="18"/>
      <c r="BV265" s="18"/>
      <c r="BW265" s="18"/>
      <c r="BX265" s="18"/>
      <c r="BY265" s="18"/>
      <c r="BZ265" s="18"/>
      <c r="CA265" s="18"/>
      <c r="CB265" s="18"/>
      <c r="CC265" s="18"/>
      <c r="CD265" s="18"/>
      <c r="CE265" s="18"/>
      <c r="CF265" s="18"/>
      <c r="CG265" s="18"/>
      <c r="CH265" s="18"/>
      <c r="CI265" s="18"/>
      <c r="CJ265" s="18"/>
      <c r="CK265" s="18"/>
      <c r="CL265" s="18"/>
      <c r="CM265" s="18"/>
      <c r="CN265" s="18"/>
      <c r="CO265" s="18"/>
      <c r="CP265" s="18"/>
      <c r="CQ265" s="18"/>
      <c r="CR265" s="18"/>
      <c r="CS265" s="18"/>
      <c r="CT265" s="18"/>
      <c r="CU265" s="18"/>
      <c r="CV265" s="18"/>
      <c r="CW265" s="18"/>
      <c r="CX265" s="18"/>
      <c r="CY265" s="18"/>
      <c r="CZ265" s="18"/>
      <c r="DA265" s="18"/>
      <c r="DB265" s="18"/>
      <c r="DC265" s="18"/>
      <c r="DD265" s="18"/>
      <c r="DE265" s="18"/>
      <c r="DF265" s="18"/>
      <c r="DG265" s="18"/>
      <c r="DH265" s="18"/>
      <c r="DI265" s="18"/>
      <c r="DJ265" s="18"/>
      <c r="DK265" s="18"/>
      <c r="DL265" s="18"/>
      <c r="DM265" s="18"/>
      <c r="DN265" s="18"/>
      <c r="DO265" s="18"/>
      <c r="DP265" s="18"/>
      <c r="DQ265" s="18"/>
      <c r="DR265" s="18"/>
      <c r="DS265" s="18"/>
      <c r="DT265" s="18"/>
      <c r="DU265" s="18"/>
      <c r="DV265" s="18"/>
      <c r="DW265" s="18"/>
      <c r="DX265" s="18"/>
      <c r="DY265" s="18"/>
      <c r="DZ265" s="18"/>
      <c r="EA265" s="18"/>
      <c r="EB265" s="18"/>
      <c r="EC265" s="18"/>
      <c r="ED265" s="18"/>
      <c r="EE265" s="18"/>
      <c r="EF265" s="18"/>
      <c r="EG265" s="18"/>
      <c r="EH265" s="18"/>
      <c r="EI265" s="18"/>
      <c r="EJ265" s="18"/>
      <c r="EK265" s="18"/>
      <c r="EL265" s="18"/>
      <c r="EM265" s="18"/>
      <c r="EN265" s="18"/>
      <c r="EO265" s="18"/>
      <c r="EP265" s="18"/>
      <c r="EQ265" s="18"/>
      <c r="ER265" s="18"/>
      <c r="ES265" s="18"/>
      <c r="ET265" s="18"/>
      <c r="EU265" s="18"/>
      <c r="EV265" s="18"/>
      <c r="EW265" s="18"/>
      <c r="EX265" s="18"/>
      <c r="EY265" s="18"/>
      <c r="EZ265" s="18"/>
      <c r="FA265" s="18"/>
      <c r="FB265" s="18"/>
      <c r="FC265" s="18"/>
      <c r="FD265" s="18"/>
      <c r="FE265" s="18"/>
      <c r="FF265" s="18"/>
      <c r="FG265" s="18"/>
      <c r="FH265" s="18"/>
      <c r="FI265" s="18"/>
      <c r="FJ265" s="18"/>
      <c r="FK265" s="18"/>
      <c r="FL265" s="18"/>
      <c r="FM265" s="18"/>
      <c r="FN265" s="18"/>
      <c r="FO265" s="18"/>
      <c r="FP265" s="18"/>
      <c r="FQ265" s="18"/>
      <c r="FR265" s="18"/>
      <c r="FS265" s="18"/>
      <c r="FT265" s="18"/>
      <c r="FU265" s="18"/>
      <c r="FV265" s="18"/>
      <c r="FW265" s="18"/>
      <c r="FX265" s="18"/>
      <c r="FY265" s="18"/>
      <c r="FZ265" s="18"/>
      <c r="GA265" s="18"/>
      <c r="GB265" s="18"/>
      <c r="GC265" s="18"/>
      <c r="GD265" s="18"/>
      <c r="GE265" s="18"/>
      <c r="GF265" s="18"/>
      <c r="GG265" s="18"/>
      <c r="GH265" s="18"/>
      <c r="GI265" s="18"/>
      <c r="GJ265" s="18"/>
      <c r="GK265" s="18"/>
      <c r="GL265" s="18"/>
      <c r="GM265" s="18"/>
      <c r="GN265" s="18"/>
      <c r="GO265" s="18"/>
      <c r="GP265" s="18"/>
      <c r="GQ265" s="18"/>
      <c r="GR265" s="18"/>
      <c r="GS265" s="18"/>
      <c r="GT265" s="18"/>
      <c r="GU265" s="18"/>
      <c r="GV265" s="18"/>
      <c r="GW265" s="18"/>
      <c r="GX265" s="18"/>
      <c r="GY265" s="18"/>
      <c r="GZ265" s="18"/>
      <c r="HA265" s="18"/>
      <c r="HB265" s="18"/>
      <c r="HC265" s="18"/>
      <c r="HD265" s="18"/>
      <c r="HE265" s="18"/>
      <c r="HF265" s="18"/>
      <c r="HG265" s="18"/>
      <c r="HH265" s="18"/>
      <c r="HI265" s="18"/>
      <c r="HJ265" s="18"/>
      <c r="HK265" s="18"/>
      <c r="HL265" s="18"/>
      <c r="HM265" s="18"/>
      <c r="HN265" s="18"/>
      <c r="HO265" s="18"/>
      <c r="HP265" s="18"/>
      <c r="HQ265" s="18"/>
      <c r="HR265" s="18"/>
      <c r="HS265" s="18"/>
      <c r="HT265" s="18"/>
      <c r="HU265" s="18"/>
      <c r="HV265" s="18"/>
      <c r="HW265" s="18"/>
      <c r="HX265" s="18"/>
      <c r="HY265" s="18"/>
      <c r="HZ265" s="18"/>
      <c r="IA265" s="18"/>
      <c r="IB265" s="18"/>
      <c r="IC265" s="18"/>
      <c r="ID265" s="18"/>
      <c r="IE265" s="18"/>
      <c r="IF265" s="18"/>
      <c r="IG265" s="18"/>
      <c r="IH265" s="18"/>
      <c r="II265" s="18"/>
      <c r="IJ265" s="18"/>
      <c r="IK265" s="18"/>
      <c r="IL265" s="18"/>
      <c r="IM265" s="18"/>
      <c r="IN265" s="18"/>
      <c r="IO265" s="18"/>
      <c r="IP265" s="18"/>
      <c r="IQ265" s="18"/>
      <c r="IR265" s="18"/>
      <c r="IS265" s="18"/>
      <c r="IT265" s="18"/>
      <c r="IU265" s="18"/>
      <c r="IV265" s="18"/>
      <c r="IW265" s="18"/>
      <c r="IX265" s="18"/>
      <c r="IY265" s="18"/>
      <c r="IZ265" s="18"/>
      <c r="JA265" s="18"/>
      <c r="JB265" s="18"/>
      <c r="JC265" s="18"/>
      <c r="JD265" s="18"/>
      <c r="JE265" s="18"/>
      <c r="JF265" s="18"/>
      <c r="JG265" s="18"/>
      <c r="JH265" s="18"/>
      <c r="JI265" s="18"/>
      <c r="JJ265" s="18"/>
      <c r="JK265" s="18"/>
      <c r="JL265" s="18"/>
      <c r="JM265" s="18"/>
      <c r="JN265" s="18"/>
      <c r="JO265" s="18"/>
      <c r="JP265" s="18"/>
      <c r="JQ265" s="18"/>
      <c r="JR265" s="18"/>
      <c r="JS265" s="18"/>
      <c r="JT265" s="18"/>
      <c r="JU265" s="18"/>
      <c r="JV265" s="18"/>
      <c r="JW265" s="18"/>
      <c r="JX265" s="18"/>
      <c r="JY265" s="18"/>
      <c r="JZ265" s="18"/>
      <c r="KA265" s="18"/>
      <c r="KB265" s="18"/>
      <c r="KC265" s="18"/>
      <c r="KD265" s="18"/>
      <c r="KE265" s="18"/>
      <c r="KF265" s="18"/>
      <c r="KG265" s="18"/>
      <c r="KH265" s="18"/>
      <c r="KI265" s="18"/>
      <c r="KJ265" s="18"/>
      <c r="KK265" s="18"/>
      <c r="KL265" s="18"/>
      <c r="KM265" s="18"/>
      <c r="KN265" s="18"/>
      <c r="KO265" s="18"/>
      <c r="KP265" s="18"/>
      <c r="KQ265" s="18"/>
      <c r="KR265" s="18"/>
      <c r="KS265" s="18"/>
      <c r="KT265" s="18"/>
      <c r="KU265" s="18"/>
      <c r="KV265" s="18"/>
      <c r="KW265" s="18"/>
      <c r="KX265" s="18"/>
      <c r="KY265" s="18"/>
      <c r="KZ265" s="18"/>
      <c r="LA265" s="18"/>
      <c r="LB265" s="18"/>
      <c r="LC265" s="18"/>
      <c r="LD265" s="18"/>
      <c r="LE265" s="18"/>
      <c r="LF265" s="18"/>
      <c r="LG265" s="18"/>
      <c r="LH265" s="18"/>
      <c r="LI265" s="18"/>
      <c r="LJ265" s="18"/>
      <c r="LK265" s="18"/>
      <c r="LL265" s="18"/>
      <c r="LM265" s="18"/>
      <c r="LN265" s="18"/>
      <c r="LO265" s="18"/>
      <c r="LP265" s="18"/>
      <c r="LQ265" s="18"/>
      <c r="LR265" s="18"/>
      <c r="LS265" s="18"/>
      <c r="LT265" s="18"/>
      <c r="LU265" s="18"/>
      <c r="LV265" s="18"/>
      <c r="LW265" s="18"/>
      <c r="LX265" s="18"/>
      <c r="LY265" s="18"/>
      <c r="LZ265" s="18"/>
      <c r="MA265" s="18"/>
      <c r="MB265" s="18"/>
      <c r="MC265" s="18"/>
      <c r="MD265" s="18"/>
      <c r="ME265" s="18"/>
      <c r="MF265" s="18"/>
      <c r="MG265" s="18"/>
      <c r="MH265" s="18"/>
      <c r="MI265" s="18"/>
      <c r="MJ265" s="18"/>
      <c r="MK265" s="18"/>
      <c r="ML265" s="18"/>
      <c r="MM265" s="18"/>
      <c r="MN265" s="18"/>
      <c r="MO265" s="18"/>
      <c r="MP265" s="18"/>
      <c r="MQ265" s="18"/>
      <c r="MR265" s="18"/>
      <c r="MS265" s="18"/>
      <c r="MT265" s="18"/>
      <c r="MU265" s="18"/>
      <c r="MV265" s="18"/>
      <c r="MW265" s="18"/>
      <c r="MX265" s="18"/>
      <c r="MY265" s="18"/>
      <c r="MZ265" s="18"/>
      <c r="NA265" s="18"/>
      <c r="NB265" s="18"/>
      <c r="NC265" s="18"/>
      <c r="ND265" s="18"/>
      <c r="NE265" s="18"/>
      <c r="NF265" s="18"/>
      <c r="NG265" s="18"/>
      <c r="NH265" s="18"/>
      <c r="NI265" s="18"/>
      <c r="NJ265" s="18"/>
      <c r="NK265" s="18"/>
      <c r="NL265" s="18"/>
      <c r="NM265" s="18"/>
      <c r="NN265" s="18"/>
      <c r="NO265" s="18"/>
      <c r="NP265" s="18"/>
      <c r="NQ265" s="18"/>
      <c r="NR265" s="18"/>
      <c r="NS265" s="18"/>
      <c r="NT265" s="18"/>
      <c r="NU265" s="18"/>
      <c r="NV265" s="18"/>
      <c r="NW265" s="18"/>
      <c r="NX265" s="18"/>
      <c r="NY265" s="18"/>
      <c r="NZ265" s="18"/>
      <c r="OA265" s="18"/>
      <c r="OB265" s="18"/>
      <c r="OC265" s="18"/>
      <c r="OD265" s="18"/>
      <c r="OE265" s="18"/>
      <c r="OF265" s="18"/>
      <c r="OG265" s="18"/>
      <c r="OH265" s="18"/>
      <c r="OI265" s="18"/>
      <c r="OJ265" s="18"/>
      <c r="OK265" s="18"/>
      <c r="OL265" s="18"/>
      <c r="OM265" s="18"/>
      <c r="ON265" s="18"/>
      <c r="OO265" s="18"/>
      <c r="OP265" s="18"/>
      <c r="OQ265" s="18"/>
      <c r="OR265" s="18"/>
      <c r="OS265" s="18"/>
      <c r="OT265" s="18"/>
      <c r="OU265" s="18"/>
      <c r="OV265" s="18"/>
      <c r="OW265" s="18"/>
      <c r="OX265" s="18"/>
      <c r="OY265" s="18"/>
      <c r="OZ265" s="18"/>
      <c r="PA265" s="18"/>
      <c r="PB265" s="18"/>
      <c r="PC265" s="18"/>
      <c r="PD265" s="18"/>
      <c r="PE265" s="18"/>
      <c r="PF265" s="18"/>
      <c r="PG265" s="18"/>
      <c r="PH265" s="18"/>
      <c r="PI265" s="18"/>
      <c r="PJ265" s="18"/>
      <c r="PK265" s="18"/>
      <c r="PL265" s="18"/>
      <c r="PM265" s="18"/>
      <c r="PN265" s="18"/>
      <c r="PO265" s="18"/>
      <c r="PP265" s="18"/>
      <c r="PQ265" s="18"/>
      <c r="PR265" s="18"/>
      <c r="PS265" s="18"/>
      <c r="PT265" s="18"/>
      <c r="PU265" s="18"/>
      <c r="PV265" s="18"/>
      <c r="PW265" s="18"/>
      <c r="PX265" s="18"/>
      <c r="PY265" s="18"/>
      <c r="PZ265" s="18"/>
      <c r="QA265" s="18"/>
      <c r="QB265" s="18"/>
      <c r="QC265" s="18"/>
      <c r="QD265" s="18"/>
      <c r="QE265" s="18"/>
      <c r="QF265" s="18"/>
      <c r="QG265" s="18"/>
      <c r="QH265" s="18"/>
      <c r="QI265" s="18"/>
      <c r="QJ265" s="18"/>
      <c r="QK265" s="18"/>
      <c r="QL265" s="18"/>
      <c r="QM265" s="18"/>
      <c r="QN265" s="18"/>
      <c r="QO265" s="18"/>
      <c r="QP265" s="18"/>
      <c r="QQ265" s="18"/>
      <c r="QR265" s="18"/>
      <c r="QS265" s="18"/>
      <c r="QT265" s="18"/>
      <c r="QU265" s="18"/>
      <c r="QV265" s="18"/>
      <c r="QW265" s="18"/>
      <c r="QX265" s="18"/>
      <c r="QY265" s="18"/>
      <c r="QZ265" s="18"/>
      <c r="RA265" s="18"/>
      <c r="RB265" s="18"/>
      <c r="RC265" s="18"/>
      <c r="RD265" s="18"/>
      <c r="RE265" s="18"/>
      <c r="RF265" s="18"/>
      <c r="RG265" s="18"/>
      <c r="RH265" s="18"/>
      <c r="RI265" s="18"/>
      <c r="RJ265" s="18"/>
      <c r="RK265" s="18"/>
      <c r="RL265" s="18"/>
      <c r="RM265" s="18"/>
      <c r="RN265" s="18"/>
      <c r="RO265" s="18"/>
      <c r="RP265" s="18"/>
      <c r="RQ265" s="18"/>
      <c r="RR265" s="18"/>
      <c r="RS265" s="18"/>
      <c r="RT265" s="18"/>
      <c r="RU265" s="18"/>
      <c r="RV265" s="18"/>
      <c r="RW265" s="18"/>
      <c r="RX265" s="18"/>
      <c r="RY265" s="18"/>
      <c r="RZ265" s="18"/>
      <c r="SA265" s="18"/>
      <c r="SB265" s="18"/>
      <c r="SC265" s="18"/>
      <c r="SD265" s="18"/>
      <c r="SE265" s="18"/>
      <c r="SF265" s="18"/>
      <c r="SG265" s="18"/>
      <c r="SH265" s="18"/>
      <c r="SI265" s="18"/>
      <c r="SJ265" s="18"/>
      <c r="SK265" s="18"/>
      <c r="SL265" s="18"/>
      <c r="SM265" s="18"/>
      <c r="SN265" s="18"/>
      <c r="SO265" s="18"/>
      <c r="SP265" s="18"/>
      <c r="SQ265" s="18"/>
      <c r="SR265" s="18"/>
      <c r="SS265" s="18"/>
      <c r="ST265" s="18"/>
      <c r="SU265" s="18"/>
      <c r="SV265" s="18"/>
      <c r="SW265" s="18"/>
      <c r="SX265" s="18"/>
      <c r="SY265" s="18"/>
      <c r="SZ265" s="18"/>
      <c r="TA265" s="18"/>
      <c r="TB265" s="18"/>
      <c r="TC265" s="18"/>
      <c r="TD265" s="18"/>
      <c r="TE265" s="18"/>
      <c r="TF265" s="18"/>
      <c r="TG265" s="18"/>
      <c r="TH265" s="18"/>
      <c r="TI265" s="18"/>
      <c r="TJ265" s="18"/>
      <c r="TK265" s="18"/>
      <c r="TL265" s="18"/>
      <c r="TM265" s="18"/>
      <c r="TN265" s="18"/>
      <c r="TO265" s="18"/>
      <c r="TP265" s="18"/>
      <c r="TQ265" s="18"/>
      <c r="TR265" s="18"/>
      <c r="TS265" s="18"/>
      <c r="TT265" s="18"/>
      <c r="TU265" s="18"/>
      <c r="TV265" s="18"/>
      <c r="TW265" s="18"/>
      <c r="TX265" s="18"/>
      <c r="TY265" s="18"/>
      <c r="TZ265" s="18"/>
      <c r="UA265" s="18"/>
      <c r="UB265" s="18"/>
      <c r="UC265" s="18"/>
      <c r="UD265" s="18"/>
      <c r="UE265" s="18"/>
      <c r="UF265" s="18"/>
      <c r="UG265" s="18"/>
      <c r="UH265" s="18"/>
      <c r="UI265" s="18"/>
      <c r="UJ265" s="18"/>
      <c r="UK265" s="18"/>
      <c r="UL265" s="18"/>
      <c r="UM265" s="18"/>
      <c r="UN265" s="18"/>
      <c r="UO265" s="18"/>
      <c r="UP265" s="18"/>
      <c r="UQ265" s="18"/>
      <c r="UR265" s="18"/>
      <c r="US265" s="18"/>
      <c r="UT265" s="18"/>
      <c r="UU265" s="18"/>
      <c r="UV265" s="18"/>
      <c r="UW265" s="18"/>
      <c r="UX265" s="18"/>
      <c r="UY265" s="18"/>
      <c r="UZ265" s="18"/>
      <c r="VA265" s="18"/>
      <c r="VB265" s="18"/>
      <c r="VC265" s="18"/>
      <c r="VD265" s="18"/>
      <c r="VE265" s="18"/>
      <c r="VF265" s="18"/>
      <c r="VG265" s="18"/>
      <c r="VH265" s="18"/>
      <c r="VI265" s="18"/>
      <c r="VJ265" s="18"/>
      <c r="VK265" s="18"/>
      <c r="VL265" s="18"/>
      <c r="VM265" s="18"/>
      <c r="VN265" s="18"/>
      <c r="VO265" s="18"/>
      <c r="VP265" s="18"/>
      <c r="VQ265" s="18"/>
      <c r="VR265" s="18"/>
      <c r="VS265" s="18"/>
      <c r="VT265" s="18"/>
      <c r="VU265" s="18"/>
      <c r="VV265" s="18"/>
      <c r="VW265" s="18"/>
      <c r="VX265" s="18"/>
      <c r="VY265" s="18"/>
      <c r="VZ265" s="18"/>
      <c r="WA265" s="18"/>
      <c r="WB265" s="18"/>
      <c r="WC265" s="18"/>
      <c r="WD265" s="18"/>
      <c r="WE265" s="18"/>
      <c r="WF265" s="18"/>
      <c r="WG265" s="18"/>
      <c r="WH265" s="18"/>
      <c r="WI265" s="18"/>
      <c r="WJ265" s="18"/>
      <c r="WK265" s="18"/>
      <c r="WL265" s="18"/>
      <c r="WM265" s="18"/>
      <c r="WN265" s="18"/>
      <c r="WO265" s="18"/>
      <c r="WP265" s="18"/>
      <c r="WQ265" s="18"/>
      <c r="WR265" s="18"/>
      <c r="WS265" s="18"/>
      <c r="WT265" s="18"/>
      <c r="WU265" s="18"/>
      <c r="WV265" s="18"/>
      <c r="WW265" s="18"/>
      <c r="WX265" s="18"/>
      <c r="WY265" s="18"/>
      <c r="WZ265" s="18"/>
      <c r="XA265" s="18"/>
      <c r="XB265" s="18"/>
      <c r="XC265" s="18"/>
      <c r="XD265" s="18"/>
      <c r="XE265" s="18"/>
      <c r="XF265" s="18"/>
      <c r="XG265" s="18"/>
      <c r="XH265" s="18"/>
      <c r="XI265" s="18"/>
      <c r="XJ265" s="18"/>
      <c r="XK265" s="18"/>
      <c r="XL265" s="18"/>
      <c r="XM265" s="18"/>
      <c r="XN265" s="18"/>
      <c r="XO265" s="18"/>
      <c r="XP265" s="18"/>
      <c r="XQ265" s="18"/>
      <c r="XR265" s="18"/>
      <c r="XS265" s="18"/>
      <c r="XT265" s="18"/>
      <c r="XU265" s="18"/>
      <c r="XV265" s="18"/>
      <c r="XW265" s="18"/>
      <c r="XX265" s="18"/>
      <c r="XY265" s="18"/>
      <c r="XZ265" s="18"/>
      <c r="YA265" s="18"/>
      <c r="YB265" s="18"/>
      <c r="YC265" s="18"/>
      <c r="YD265" s="18"/>
      <c r="YE265" s="18"/>
      <c r="YF265" s="18"/>
      <c r="YG265" s="18"/>
      <c r="YH265" s="18"/>
      <c r="YI265" s="18"/>
      <c r="YJ265" s="18"/>
      <c r="YK265" s="18"/>
      <c r="YL265" s="18"/>
      <c r="YM265" s="18"/>
      <c r="YN265" s="18"/>
      <c r="YO265" s="18"/>
      <c r="YP265" s="18"/>
      <c r="YQ265" s="18"/>
      <c r="YR265" s="18"/>
      <c r="YS265" s="18"/>
      <c r="YT265" s="18"/>
      <c r="YU265" s="18"/>
      <c r="YV265" s="18"/>
      <c r="YW265" s="18"/>
      <c r="YX265" s="18"/>
      <c r="YY265" s="18"/>
      <c r="YZ265" s="18"/>
      <c r="ZA265" s="18"/>
      <c r="ZB265" s="18"/>
      <c r="ZC265" s="18"/>
      <c r="ZD265" s="18"/>
      <c r="ZE265" s="18"/>
      <c r="ZF265" s="18"/>
      <c r="ZG265" s="18"/>
      <c r="ZH265" s="18"/>
      <c r="ZI265" s="18"/>
      <c r="ZJ265" s="18"/>
      <c r="ZK265" s="18"/>
      <c r="ZL265" s="18"/>
      <c r="ZM265" s="18"/>
      <c r="ZN265" s="18"/>
      <c r="ZO265" s="18"/>
      <c r="ZP265" s="18"/>
      <c r="ZQ265" s="18"/>
      <c r="ZR265" s="18"/>
      <c r="ZS265" s="18"/>
      <c r="ZT265" s="18"/>
      <c r="ZU265" s="18"/>
      <c r="ZV265" s="18"/>
      <c r="ZW265" s="18"/>
      <c r="ZX265" s="18"/>
      <c r="ZY265" s="18"/>
      <c r="ZZ265" s="18"/>
      <c r="AAA265" s="18"/>
      <c r="AAB265" s="18"/>
      <c r="AAC265" s="18"/>
      <c r="AAD265" s="18"/>
      <c r="AAE265" s="18"/>
      <c r="AAF265" s="18"/>
      <c r="AAG265" s="18"/>
      <c r="AAH265" s="18"/>
      <c r="AAI265" s="18"/>
      <c r="AAJ265" s="18"/>
      <c r="AAK265" s="18"/>
      <c r="AAL265" s="18"/>
      <c r="AAM265" s="18"/>
      <c r="AAN265" s="18"/>
      <c r="AAO265" s="18"/>
      <c r="AAP265" s="18"/>
      <c r="AAQ265" s="18"/>
      <c r="AAR265" s="18"/>
      <c r="AAS265" s="18"/>
      <c r="AAT265" s="18"/>
      <c r="AAU265" s="18"/>
      <c r="AAV265" s="18"/>
      <c r="AAW265" s="18"/>
      <c r="AAX265" s="18"/>
      <c r="AAY265" s="18"/>
      <c r="AAZ265" s="18"/>
      <c r="ABA265" s="18"/>
      <c r="ABB265" s="18"/>
      <c r="ABC265" s="18"/>
      <c r="ABD265" s="18"/>
      <c r="ABE265" s="18"/>
      <c r="ABF265" s="18"/>
      <c r="ABG265" s="18"/>
      <c r="ABH265" s="18"/>
      <c r="ABI265" s="18"/>
      <c r="ABJ265" s="18"/>
      <c r="ABK265" s="18"/>
      <c r="ABL265" s="18"/>
      <c r="ABM265" s="18"/>
      <c r="ABN265" s="18"/>
      <c r="ABO265" s="18"/>
      <c r="ABP265" s="18"/>
      <c r="ABQ265" s="18"/>
      <c r="ABR265" s="18"/>
      <c r="ABS265" s="18"/>
      <c r="ABT265" s="18"/>
      <c r="ABU265" s="18"/>
      <c r="ABV265" s="18"/>
      <c r="ABW265" s="18"/>
      <c r="ABX265" s="18"/>
      <c r="ABY265" s="18"/>
      <c r="ABZ265" s="18"/>
      <c r="ACA265" s="18"/>
      <c r="ACB265" s="18"/>
      <c r="ACC265" s="18"/>
      <c r="ACD265" s="18"/>
      <c r="ACE265" s="18"/>
      <c r="ACF265" s="18"/>
      <c r="ACG265" s="18"/>
      <c r="ACH265" s="18"/>
      <c r="ACI265" s="18"/>
      <c r="ACJ265" s="18"/>
      <c r="ACK265" s="18"/>
      <c r="ACL265" s="18"/>
      <c r="ACM265" s="18"/>
      <c r="ACN265" s="18"/>
      <c r="ACO265" s="18"/>
      <c r="ACP265" s="18"/>
      <c r="ACQ265" s="18"/>
      <c r="ACR265" s="18"/>
      <c r="ACS265" s="18"/>
      <c r="ACT265" s="18"/>
      <c r="ACU265" s="18"/>
      <c r="ACV265" s="18"/>
      <c r="ACW265" s="18"/>
      <c r="ACX265" s="18"/>
      <c r="ACY265" s="18"/>
      <c r="ACZ265" s="18"/>
      <c r="ADA265" s="18"/>
      <c r="ADB265" s="18"/>
      <c r="ADC265" s="18"/>
      <c r="ADD265" s="18"/>
      <c r="ADE265" s="18"/>
      <c r="ADF265" s="18"/>
      <c r="ADG265" s="18"/>
      <c r="ADH265" s="18"/>
      <c r="ADI265" s="18"/>
      <c r="ADJ265" s="18"/>
      <c r="ADK265" s="18"/>
      <c r="ADL265" s="18"/>
      <c r="ADM265" s="18"/>
      <c r="ADN265" s="18"/>
      <c r="ADO265" s="18"/>
      <c r="ADP265" s="18"/>
      <c r="ADQ265" s="18"/>
      <c r="ADR265" s="18"/>
      <c r="ADS265" s="18"/>
      <c r="ADT265" s="18"/>
      <c r="ADU265" s="18"/>
      <c r="ADV265" s="18"/>
      <c r="ADW265" s="18"/>
      <c r="ADX265" s="18"/>
      <c r="ADY265" s="18"/>
      <c r="ADZ265" s="18"/>
      <c r="AEA265" s="18"/>
      <c r="AEB265" s="18"/>
      <c r="AEC265" s="18"/>
      <c r="AED265" s="18"/>
      <c r="AEE265" s="18"/>
      <c r="AEF265" s="18"/>
      <c r="AEG265" s="18"/>
      <c r="AEH265" s="18"/>
      <c r="AEI265" s="18"/>
      <c r="AEJ265" s="18"/>
      <c r="AEK265" s="18"/>
      <c r="AEL265" s="18"/>
      <c r="AEM265" s="18"/>
      <c r="AEN265" s="18"/>
      <c r="AEO265" s="18"/>
      <c r="AEP265" s="18"/>
      <c r="AEQ265" s="18"/>
      <c r="AER265" s="18"/>
      <c r="AES265" s="18"/>
      <c r="AET265" s="18"/>
      <c r="AEU265" s="18"/>
      <c r="AEV265" s="18"/>
      <c r="AEW265" s="18"/>
      <c r="AEX265" s="18"/>
      <c r="AEY265" s="18"/>
      <c r="AEZ265" s="18"/>
      <c r="AFA265" s="18"/>
      <c r="AFB265" s="18"/>
      <c r="AFC265" s="18"/>
      <c r="AFD265" s="18"/>
      <c r="AFE265" s="18"/>
      <c r="AFF265" s="18"/>
      <c r="AFG265" s="18"/>
      <c r="AFH265" s="18"/>
      <c r="AFI265" s="18"/>
      <c r="AFJ265" s="18"/>
      <c r="AFK265" s="18"/>
      <c r="AFL265" s="18"/>
      <c r="AFM265" s="18"/>
      <c r="AFN265" s="18"/>
      <c r="AFO265" s="18"/>
      <c r="AFP265" s="18"/>
      <c r="AFQ265" s="18"/>
      <c r="AFR265" s="18"/>
      <c r="AFS265" s="18"/>
      <c r="AFT265" s="18"/>
      <c r="AFU265" s="18"/>
      <c r="AFV265" s="18"/>
      <c r="AFW265" s="18"/>
      <c r="AFX265" s="18"/>
      <c r="AFY265" s="18"/>
      <c r="AFZ265" s="18"/>
      <c r="AGA265" s="18"/>
      <c r="AGB265" s="18"/>
      <c r="AGC265" s="18"/>
      <c r="AGD265" s="18"/>
      <c r="AGE265" s="18"/>
      <c r="AGF265" s="18"/>
      <c r="AGG265" s="18"/>
      <c r="AGH265" s="18"/>
      <c r="AGI265" s="18"/>
      <c r="AGJ265" s="18"/>
      <c r="AGK265" s="18"/>
      <c r="AGL265" s="18"/>
      <c r="AGM265" s="18"/>
      <c r="AGN265" s="18"/>
      <c r="AGO265" s="18"/>
      <c r="AGP265" s="18"/>
      <c r="AGQ265" s="18"/>
      <c r="AGR265" s="18"/>
      <c r="AGS265" s="18"/>
      <c r="AGT265" s="18"/>
      <c r="AGU265" s="18"/>
      <c r="AGV265" s="18"/>
      <c r="AGW265" s="18"/>
      <c r="AGX265" s="18"/>
      <c r="AGY265" s="18"/>
      <c r="AGZ265" s="18"/>
      <c r="AHA265" s="18"/>
      <c r="AHB265" s="18"/>
      <c r="AHC265" s="18"/>
      <c r="AHD265" s="18"/>
      <c r="AHE265" s="18"/>
      <c r="AHF265" s="18"/>
      <c r="AHG265" s="18"/>
      <c r="AHH265" s="18"/>
      <c r="AHI265" s="18"/>
      <c r="AHJ265" s="18"/>
      <c r="AHK265" s="18"/>
      <c r="AHL265" s="18"/>
      <c r="AHM265" s="18"/>
      <c r="AHN265" s="18"/>
      <c r="AHO265" s="18"/>
      <c r="AHP265" s="18"/>
      <c r="AHQ265" s="18"/>
      <c r="AHR265" s="18"/>
      <c r="AHS265" s="18"/>
      <c r="AHT265" s="18"/>
      <c r="AHU265" s="18"/>
      <c r="AHV265" s="18"/>
      <c r="AHW265" s="18"/>
      <c r="AHX265" s="18"/>
      <c r="AHY265" s="18"/>
      <c r="AHZ265" s="18"/>
      <c r="AIA265" s="18"/>
      <c r="AIB265" s="18"/>
      <c r="AIC265" s="18"/>
      <c r="AID265" s="18"/>
      <c r="AIE265" s="18"/>
      <c r="AIF265" s="18"/>
      <c r="AIG265" s="18"/>
      <c r="AIH265" s="18"/>
      <c r="AII265" s="18"/>
      <c r="AIJ265" s="18"/>
      <c r="AIK265" s="18"/>
      <c r="AIL265" s="18"/>
      <c r="AIM265" s="18"/>
      <c r="AIN265" s="18"/>
      <c r="AIO265" s="18"/>
      <c r="AIP265" s="18"/>
      <c r="AIQ265" s="18"/>
      <c r="AIR265" s="18"/>
      <c r="AIS265" s="18"/>
      <c r="AIT265" s="18"/>
      <c r="AIU265" s="18"/>
      <c r="AIV265" s="18"/>
      <c r="AIW265" s="18"/>
      <c r="AIX265" s="18"/>
      <c r="AIY265" s="18"/>
      <c r="AIZ265" s="18"/>
      <c r="AJA265" s="18"/>
      <c r="AJB265" s="18"/>
      <c r="AJC265" s="18"/>
      <c r="AJD265" s="18"/>
      <c r="AJE265" s="18"/>
      <c r="AJF265" s="18"/>
      <c r="AJG265" s="18"/>
      <c r="AJH265" s="18"/>
      <c r="AJI265" s="18"/>
      <c r="AJJ265" s="18"/>
      <c r="AJK265" s="18"/>
      <c r="AJL265" s="18"/>
      <c r="AJM265" s="18"/>
      <c r="AJN265" s="18"/>
      <c r="AJO265" s="18"/>
      <c r="AJP265" s="18"/>
      <c r="AJQ265" s="18"/>
      <c r="AJR265" s="18"/>
      <c r="AJS265" s="18"/>
      <c r="AJT265" s="18"/>
      <c r="AJU265" s="18"/>
      <c r="AJV265" s="18"/>
      <c r="AJW265" s="18"/>
      <c r="AJX265" s="18"/>
      <c r="AJY265" s="18"/>
      <c r="AJZ265" s="18"/>
      <c r="AKA265" s="18"/>
      <c r="AKB265" s="18"/>
      <c r="AKC265" s="18"/>
      <c r="AKD265" s="18"/>
      <c r="AKE265" s="18"/>
      <c r="AKF265" s="18"/>
      <c r="AKG265" s="18"/>
      <c r="AKH265" s="18"/>
      <c r="AKI265" s="18"/>
      <c r="AKJ265" s="18"/>
      <c r="AKK265" s="18"/>
      <c r="AKL265" s="18"/>
      <c r="AKM265" s="18"/>
      <c r="AKN265" s="18"/>
      <c r="AKO265" s="18"/>
      <c r="AKP265" s="18"/>
      <c r="AKQ265" s="18"/>
      <c r="AKR265" s="18"/>
      <c r="AKS265" s="18"/>
      <c r="AKT265" s="18"/>
      <c r="AKU265" s="18"/>
      <c r="AKV265" s="18"/>
      <c r="AKW265" s="18"/>
      <c r="AKX265" s="18"/>
      <c r="AKY265" s="18"/>
      <c r="AKZ265" s="18"/>
      <c r="ALA265" s="18"/>
      <c r="ALB265" s="18"/>
      <c r="ALC265" s="18"/>
      <c r="ALD265" s="18"/>
      <c r="ALE265" s="18"/>
      <c r="ALF265" s="18"/>
      <c r="ALG265" s="18"/>
      <c r="ALH265" s="18"/>
      <c r="ALI265" s="18"/>
      <c r="ALJ265" s="18"/>
      <c r="ALK265" s="18"/>
      <c r="ALL265" s="18"/>
      <c r="ALM265" s="18"/>
      <c r="ALN265" s="18"/>
      <c r="ALO265" s="18"/>
      <c r="ALP265" s="18"/>
      <c r="ALQ265" s="18"/>
      <c r="ALR265" s="18"/>
      <c r="ALS265" s="18"/>
      <c r="ALT265" s="18"/>
      <c r="ALU265" s="18"/>
      <c r="ALV265" s="18"/>
      <c r="ALW265" s="18"/>
      <c r="ALX265" s="18"/>
      <c r="ALY265" s="18"/>
      <c r="ALZ265" s="18"/>
      <c r="AMA265" s="18"/>
      <c r="AMB265" s="18"/>
      <c r="AMC265" s="18"/>
      <c r="AMD265" s="18"/>
      <c r="AME265" s="18"/>
      <c r="AMF265" s="18"/>
      <c r="AMG265" s="18"/>
      <c r="AMH265" s="18"/>
      <c r="AMI265" s="18"/>
      <c r="AMJ265" s="18"/>
      <c r="AMK265" s="18"/>
      <c r="AML265" s="18"/>
      <c r="AMM265" s="18"/>
      <c r="AMN265" s="18"/>
      <c r="AMO265" s="18"/>
      <c r="AMP265" s="18"/>
      <c r="AMQ265" s="18"/>
      <c r="AMR265" s="18"/>
      <c r="AMS265" s="18"/>
      <c r="AMT265" s="18"/>
      <c r="AMU265" s="18"/>
      <c r="AMV265" s="18"/>
      <c r="AMW265" s="18"/>
      <c r="AMX265" s="18"/>
      <c r="AMY265" s="18"/>
      <c r="AMZ265" s="18"/>
      <c r="ANA265" s="18"/>
      <c r="ANB265" s="18"/>
      <c r="ANC265" s="18"/>
      <c r="AND265" s="18"/>
      <c r="ANE265" s="18"/>
      <c r="ANF265" s="18"/>
      <c r="ANG265" s="18"/>
      <c r="ANH265" s="18"/>
      <c r="ANI265" s="18"/>
      <c r="ANJ265" s="18"/>
      <c r="ANK265" s="18"/>
      <c r="ANL265" s="18"/>
      <c r="ANM265" s="18"/>
      <c r="ANN265" s="18"/>
      <c r="ANO265" s="18"/>
      <c r="ANP265" s="18"/>
      <c r="ANQ265" s="18"/>
      <c r="ANR265" s="18"/>
      <c r="ANS265" s="18"/>
      <c r="ANT265" s="18"/>
      <c r="ANU265" s="18"/>
      <c r="ANV265" s="18"/>
      <c r="ANW265" s="18"/>
      <c r="ANX265" s="18"/>
      <c r="ANY265" s="18"/>
      <c r="ANZ265" s="18"/>
      <c r="AOA265" s="18"/>
      <c r="AOB265" s="18"/>
      <c r="AOC265" s="18"/>
      <c r="AOD265" s="18"/>
      <c r="AOE265" s="18"/>
      <c r="AOF265" s="18"/>
      <c r="AOG265" s="18"/>
      <c r="AOH265" s="18"/>
      <c r="AOI265" s="18"/>
      <c r="AOJ265" s="18"/>
      <c r="AOK265" s="18"/>
      <c r="AOL265" s="18"/>
      <c r="AOM265" s="18"/>
      <c r="AON265" s="18"/>
      <c r="AOO265" s="18"/>
      <c r="AOP265" s="18"/>
      <c r="AOQ265" s="18"/>
      <c r="AOR265" s="18"/>
      <c r="AOS265" s="18"/>
      <c r="AOT265" s="18"/>
      <c r="AOU265" s="18"/>
      <c r="AOV265" s="18"/>
      <c r="AOW265" s="18"/>
      <c r="AOX265" s="18"/>
      <c r="AOY265" s="18"/>
      <c r="AOZ265" s="18"/>
      <c r="APA265" s="18"/>
      <c r="APB265" s="18"/>
      <c r="APC265" s="18"/>
      <c r="APD265" s="18"/>
      <c r="APE265" s="18"/>
      <c r="APF265" s="18"/>
      <c r="APG265" s="18"/>
      <c r="APH265" s="18"/>
      <c r="API265" s="18"/>
      <c r="APJ265" s="18"/>
      <c r="APK265" s="18"/>
      <c r="APL265" s="18"/>
      <c r="APM265" s="18"/>
      <c r="APN265" s="18"/>
      <c r="APO265" s="18"/>
      <c r="APP265" s="18"/>
      <c r="APQ265" s="18"/>
      <c r="APR265" s="18"/>
      <c r="APS265" s="18"/>
      <c r="APT265" s="18"/>
      <c r="APU265" s="18"/>
      <c r="APV265" s="18"/>
      <c r="APW265" s="18"/>
      <c r="APX265" s="18"/>
      <c r="APY265" s="18"/>
      <c r="APZ265" s="18"/>
      <c r="AQA265" s="18"/>
      <c r="AQB265" s="18"/>
      <c r="AQC265" s="18"/>
      <c r="AQD265" s="18"/>
      <c r="AQE265" s="18"/>
      <c r="AQF265" s="18"/>
      <c r="AQG265" s="18"/>
      <c r="AQH265" s="18"/>
      <c r="AQI265" s="18"/>
      <c r="AQJ265" s="18"/>
      <c r="AQK265" s="18"/>
      <c r="AQL265" s="18"/>
      <c r="AQM265" s="18"/>
      <c r="AQN265" s="18"/>
      <c r="AQO265" s="18"/>
      <c r="AQP265" s="18"/>
      <c r="AQQ265" s="18"/>
      <c r="AQR265" s="18"/>
      <c r="AQS265" s="18"/>
      <c r="AQT265" s="18"/>
      <c r="AQU265" s="18"/>
      <c r="AQV265" s="18"/>
      <c r="AQW265" s="18"/>
      <c r="AQX265" s="18"/>
      <c r="AQY265" s="18"/>
      <c r="AQZ265" s="18"/>
      <c r="ARA265" s="18"/>
      <c r="ARB265" s="18"/>
      <c r="ARC265" s="18"/>
      <c r="ARD265" s="18"/>
      <c r="ARE265" s="18"/>
      <c r="ARF265" s="18"/>
      <c r="ARG265" s="18"/>
      <c r="ARH265" s="18"/>
      <c r="ARI265" s="18"/>
      <c r="ARJ265" s="18"/>
      <c r="ARK265" s="18"/>
      <c r="ARL265" s="18"/>
      <c r="ARM265" s="18"/>
      <c r="ARN265" s="18"/>
      <c r="ARO265" s="18"/>
      <c r="ARP265" s="18"/>
      <c r="ARQ265" s="18"/>
      <c r="ARR265" s="18"/>
      <c r="ARS265" s="18"/>
      <c r="ART265" s="18"/>
      <c r="ARU265" s="18"/>
      <c r="ARV265" s="18"/>
      <c r="ARW265" s="18"/>
      <c r="ARX265" s="18"/>
      <c r="ARY265" s="18"/>
      <c r="ARZ265" s="18"/>
      <c r="ASA265" s="18"/>
      <c r="ASB265" s="18"/>
      <c r="ASC265" s="18"/>
      <c r="ASD265" s="18"/>
      <c r="ASE265" s="18"/>
      <c r="ASF265" s="18"/>
      <c r="ASG265" s="18"/>
      <c r="ASH265" s="18"/>
      <c r="ASI265" s="18"/>
      <c r="ASJ265" s="18"/>
      <c r="ASK265" s="18"/>
      <c r="ASL265" s="18"/>
      <c r="ASM265" s="18"/>
      <c r="ASN265" s="18"/>
      <c r="ASO265" s="18"/>
      <c r="ASP265" s="18"/>
      <c r="ASQ265" s="18"/>
      <c r="ASR265" s="18"/>
      <c r="ASS265" s="18"/>
      <c r="AST265" s="18"/>
      <c r="ASU265" s="18"/>
      <c r="ASV265" s="18"/>
      <c r="ASW265" s="18"/>
      <c r="ASX265" s="18"/>
      <c r="ASY265" s="18"/>
      <c r="ASZ265" s="18"/>
      <c r="ATA265" s="18"/>
      <c r="ATB265" s="18"/>
      <c r="ATC265" s="18"/>
      <c r="ATD265" s="18"/>
      <c r="ATE265" s="18"/>
      <c r="ATF265" s="18"/>
      <c r="ATG265" s="18"/>
      <c r="ATH265" s="18"/>
      <c r="ATI265" s="18"/>
      <c r="ATJ265" s="18"/>
      <c r="ATK265" s="18"/>
      <c r="ATL265" s="18"/>
      <c r="ATM265" s="18"/>
      <c r="ATN265" s="18"/>
      <c r="ATO265" s="18"/>
      <c r="ATP265" s="18"/>
      <c r="ATQ265" s="18"/>
      <c r="ATR265" s="18"/>
      <c r="ATS265" s="18"/>
      <c r="ATT265" s="18"/>
      <c r="ATU265" s="18"/>
      <c r="ATV265" s="18"/>
      <c r="ATW265" s="18"/>
      <c r="ATX265" s="18"/>
      <c r="ATY265" s="18"/>
      <c r="ATZ265" s="18"/>
      <c r="AUA265" s="18"/>
      <c r="AUB265" s="18"/>
      <c r="AUC265" s="18"/>
      <c r="AUD265" s="18"/>
      <c r="AUE265" s="18"/>
      <c r="AUF265" s="18"/>
      <c r="AUG265" s="18"/>
      <c r="AUH265" s="18"/>
      <c r="AUI265" s="18"/>
      <c r="AUJ265" s="18"/>
      <c r="AUK265" s="18"/>
      <c r="AUL265" s="18"/>
      <c r="AUM265" s="18"/>
      <c r="AUN265" s="18"/>
      <c r="AUO265" s="18"/>
      <c r="AUP265" s="18"/>
      <c r="AUQ265" s="18"/>
      <c r="AUR265" s="18"/>
      <c r="AUS265" s="18"/>
      <c r="AUT265" s="18"/>
      <c r="AUU265" s="18"/>
      <c r="AUV265" s="18"/>
      <c r="AUW265" s="18"/>
      <c r="AUX265" s="18"/>
      <c r="AUY265" s="18"/>
      <c r="AUZ265" s="18"/>
      <c r="AVA265" s="18"/>
      <c r="AVB265" s="18"/>
      <c r="AVC265" s="18"/>
      <c r="AVD265" s="18"/>
      <c r="AVE265" s="18"/>
      <c r="AVF265" s="18"/>
      <c r="AVG265" s="18"/>
      <c r="AVH265" s="18"/>
      <c r="AVI265" s="18"/>
      <c r="AVJ265" s="18"/>
      <c r="AVK265" s="18"/>
      <c r="AVL265" s="18"/>
      <c r="AVM265" s="18"/>
      <c r="AVN265" s="18"/>
      <c r="AVO265" s="18"/>
      <c r="AVP265" s="18"/>
      <c r="AVQ265" s="18"/>
      <c r="AVR265" s="18"/>
      <c r="AVS265" s="18"/>
      <c r="AVT265" s="18"/>
      <c r="AVU265" s="18"/>
      <c r="AVV265" s="18"/>
      <c r="AVW265" s="18"/>
      <c r="AVX265" s="18"/>
      <c r="AVY265" s="18"/>
      <c r="AVZ265" s="18"/>
      <c r="AWA265" s="18"/>
      <c r="AWB265" s="18"/>
      <c r="AWC265" s="18"/>
      <c r="AWD265" s="18"/>
      <c r="AWE265" s="18"/>
      <c r="AWF265" s="18"/>
      <c r="AWG265" s="18"/>
      <c r="AWH265" s="18"/>
      <c r="AWI265" s="18"/>
      <c r="AWJ265" s="18"/>
      <c r="AWK265" s="18"/>
      <c r="AWL265" s="18"/>
      <c r="AWM265" s="18"/>
      <c r="AWN265" s="18"/>
      <c r="AWO265" s="18"/>
      <c r="AWP265" s="18"/>
      <c r="AWQ265" s="18"/>
      <c r="AWR265" s="18"/>
      <c r="AWS265" s="18"/>
      <c r="AWT265" s="18"/>
      <c r="AWU265" s="18"/>
      <c r="AWV265" s="18"/>
      <c r="AWW265" s="18"/>
      <c r="AWX265" s="18"/>
      <c r="AWY265" s="18"/>
      <c r="AWZ265" s="18"/>
      <c r="AXA265" s="18"/>
      <c r="AXB265" s="18"/>
      <c r="AXC265" s="18"/>
      <c r="AXD265" s="18"/>
      <c r="AXE265" s="18"/>
      <c r="AXF265" s="18"/>
      <c r="AXG265" s="18"/>
      <c r="AXH265" s="18"/>
      <c r="AXI265" s="18"/>
      <c r="AXJ265" s="18"/>
      <c r="AXK265" s="18"/>
      <c r="AXL265" s="18"/>
      <c r="AXM265" s="18"/>
      <c r="AXN265" s="18"/>
      <c r="AXO265" s="18"/>
      <c r="AXP265" s="18"/>
      <c r="AXQ265" s="18"/>
      <c r="AXR265" s="18"/>
      <c r="AXS265" s="18"/>
      <c r="AXT265" s="18"/>
      <c r="AXU265" s="18"/>
      <c r="AXV265" s="18"/>
      <c r="AXW265" s="18"/>
      <c r="AXX265" s="18"/>
      <c r="AXY265" s="18"/>
      <c r="AXZ265" s="18"/>
      <c r="AYA265" s="18"/>
      <c r="AYB265" s="18"/>
      <c r="AYC265" s="18"/>
      <c r="AYD265" s="18"/>
      <c r="AYE265" s="18"/>
      <c r="AYF265" s="18"/>
      <c r="AYG265" s="18"/>
      <c r="AYH265" s="18"/>
      <c r="AYI265" s="18"/>
      <c r="AYJ265" s="18"/>
      <c r="AYK265" s="18"/>
      <c r="AYL265" s="18"/>
      <c r="AYM265" s="18"/>
      <c r="AYN265" s="18"/>
      <c r="AYO265" s="18"/>
      <c r="AYP265" s="18"/>
      <c r="AYQ265" s="18"/>
      <c r="AYR265" s="18"/>
      <c r="AYS265" s="18"/>
      <c r="AYT265" s="18"/>
      <c r="AYU265" s="18"/>
      <c r="AYV265" s="18"/>
      <c r="AYW265" s="18"/>
      <c r="AYX265" s="18"/>
      <c r="AYY265" s="18"/>
      <c r="AYZ265" s="18"/>
      <c r="AZA265" s="18"/>
      <c r="AZB265" s="18"/>
      <c r="AZC265" s="18"/>
      <c r="AZD265" s="18"/>
      <c r="AZE265" s="18"/>
      <c r="AZF265" s="18"/>
      <c r="AZG265" s="18"/>
      <c r="AZH265" s="18"/>
      <c r="AZI265" s="18"/>
      <c r="AZJ265" s="18"/>
      <c r="AZK265" s="18"/>
      <c r="AZL265" s="18"/>
      <c r="AZM265" s="18"/>
      <c r="AZN265" s="18"/>
      <c r="AZO265" s="18"/>
      <c r="AZP265" s="18"/>
      <c r="AZQ265" s="18"/>
      <c r="AZR265" s="18"/>
      <c r="AZS265" s="18"/>
      <c r="AZT265" s="18"/>
      <c r="AZU265" s="18"/>
      <c r="AZV265" s="18"/>
      <c r="AZW265" s="18"/>
      <c r="AZX265" s="18"/>
      <c r="AZY265" s="18"/>
      <c r="AZZ265" s="18"/>
      <c r="BAA265" s="18"/>
      <c r="BAB265" s="18"/>
      <c r="BAC265" s="18"/>
      <c r="BAD265" s="18"/>
      <c r="BAE265" s="18"/>
      <c r="BAF265" s="18"/>
      <c r="BAG265" s="18"/>
      <c r="BAH265" s="18"/>
      <c r="BAI265" s="18"/>
      <c r="BAJ265" s="18"/>
      <c r="BAK265" s="18"/>
      <c r="BAL265" s="18"/>
      <c r="BAM265" s="18"/>
      <c r="BAN265" s="18"/>
      <c r="BAO265" s="18"/>
      <c r="BAP265" s="18"/>
      <c r="BAQ265" s="18"/>
      <c r="BAR265" s="18"/>
      <c r="BAS265" s="18"/>
      <c r="BAT265" s="18"/>
      <c r="BAU265" s="18"/>
      <c r="BAV265" s="18"/>
      <c r="BAW265" s="18"/>
      <c r="BAX265" s="18"/>
      <c r="BAY265" s="18"/>
      <c r="BAZ265" s="18"/>
      <c r="BBA265" s="18"/>
      <c r="BBB265" s="18"/>
      <c r="BBC265" s="18"/>
      <c r="BBD265" s="18"/>
      <c r="BBE265" s="18"/>
      <c r="BBF265" s="18"/>
      <c r="BBG265" s="18"/>
      <c r="BBH265" s="18"/>
      <c r="BBI265" s="18"/>
      <c r="BBJ265" s="18"/>
      <c r="BBK265" s="18"/>
      <c r="BBL265" s="18"/>
      <c r="BBM265" s="18"/>
      <c r="BBN265" s="18"/>
      <c r="BBO265" s="18"/>
      <c r="BBP265" s="18"/>
      <c r="BBQ265" s="18"/>
      <c r="BBR265" s="18"/>
      <c r="BBS265" s="18"/>
      <c r="BBT265" s="18"/>
      <c r="BBU265" s="18"/>
      <c r="BBV265" s="18"/>
      <c r="BBW265" s="18"/>
      <c r="BBX265" s="18"/>
      <c r="BBY265" s="18"/>
      <c r="BBZ265" s="18"/>
      <c r="BCA265" s="18"/>
      <c r="BCB265" s="18"/>
      <c r="BCC265" s="18"/>
      <c r="BCD265" s="18"/>
      <c r="BCE265" s="18"/>
      <c r="BCF265" s="18"/>
      <c r="BCG265" s="18"/>
      <c r="BCH265" s="18"/>
      <c r="BCI265" s="18"/>
      <c r="BCJ265" s="18"/>
      <c r="BCK265" s="18"/>
      <c r="BCL265" s="18"/>
      <c r="BCM265" s="18"/>
      <c r="BCN265" s="18"/>
      <c r="BCO265" s="18"/>
      <c r="BCP265" s="18"/>
      <c r="BCQ265" s="18"/>
      <c r="BCR265" s="18"/>
      <c r="BCS265" s="18"/>
      <c r="BCT265" s="18"/>
      <c r="BCU265" s="18"/>
      <c r="BCV265" s="18"/>
      <c r="BCW265" s="18"/>
      <c r="BCX265" s="18"/>
      <c r="BCY265" s="18"/>
      <c r="BCZ265" s="18"/>
      <c r="BDA265" s="18"/>
      <c r="BDB265" s="18"/>
      <c r="BDC265" s="18"/>
      <c r="BDD265" s="18"/>
      <c r="BDE265" s="18"/>
      <c r="BDF265" s="18"/>
      <c r="BDG265" s="18"/>
      <c r="BDH265" s="18"/>
      <c r="BDI265" s="18"/>
      <c r="BDJ265" s="18"/>
      <c r="BDK265" s="18"/>
      <c r="BDL265" s="18"/>
      <c r="BDM265" s="18"/>
      <c r="BDN265" s="18"/>
      <c r="BDO265" s="18"/>
      <c r="BDP265" s="18"/>
      <c r="BDQ265" s="18"/>
      <c r="BDR265" s="18"/>
      <c r="BDS265" s="18"/>
      <c r="BDT265" s="18"/>
      <c r="BDU265" s="18"/>
      <c r="BDV265" s="18"/>
      <c r="BDW265" s="18"/>
      <c r="BDX265" s="18"/>
      <c r="BDY265" s="18"/>
      <c r="BDZ265" s="18"/>
      <c r="BEA265" s="18"/>
      <c r="BEB265" s="18"/>
      <c r="BEC265" s="18"/>
      <c r="BED265" s="18"/>
      <c r="BEE265" s="18"/>
      <c r="BEF265" s="18"/>
      <c r="BEG265" s="18"/>
      <c r="BEH265" s="18"/>
      <c r="BEI265" s="18"/>
      <c r="BEJ265" s="18"/>
      <c r="BEK265" s="18"/>
      <c r="BEL265" s="18"/>
      <c r="BEM265" s="18"/>
      <c r="BEN265" s="18"/>
      <c r="BEO265" s="18"/>
      <c r="BEP265" s="18"/>
      <c r="BEQ265" s="18"/>
      <c r="BER265" s="18"/>
      <c r="BES265" s="18"/>
      <c r="BET265" s="18"/>
      <c r="BEU265" s="18"/>
      <c r="BEV265" s="18"/>
      <c r="BEW265" s="18"/>
      <c r="BEX265" s="18"/>
      <c r="BEY265" s="18"/>
      <c r="BEZ265" s="18"/>
      <c r="BFA265" s="18"/>
      <c r="BFB265" s="18"/>
      <c r="BFC265" s="18"/>
      <c r="BFD265" s="18"/>
      <c r="BFE265" s="18"/>
      <c r="BFF265" s="18"/>
      <c r="BFG265" s="18"/>
      <c r="BFH265" s="18"/>
      <c r="BFI265" s="18"/>
      <c r="BFJ265" s="18"/>
      <c r="BFK265" s="18"/>
      <c r="BFL265" s="18"/>
      <c r="BFM265" s="18"/>
      <c r="BFN265" s="18"/>
      <c r="BFO265" s="18"/>
      <c r="BFP265" s="18"/>
      <c r="BFQ265" s="18"/>
      <c r="BFR265" s="18"/>
      <c r="BFS265" s="18"/>
      <c r="BFT265" s="18"/>
      <c r="BFU265" s="18"/>
      <c r="BFV265" s="18"/>
      <c r="BFW265" s="18"/>
      <c r="BFX265" s="18"/>
      <c r="BFY265" s="18"/>
      <c r="BFZ265" s="18"/>
      <c r="BGA265" s="18"/>
      <c r="BGB265" s="18"/>
      <c r="BGC265" s="18"/>
      <c r="BGD265" s="18"/>
      <c r="BGE265" s="18"/>
      <c r="BGF265" s="18"/>
      <c r="BGG265" s="18"/>
      <c r="BGH265" s="18"/>
      <c r="BGI265" s="18"/>
      <c r="BGJ265" s="18"/>
      <c r="BGK265" s="18"/>
      <c r="BGL265" s="18"/>
      <c r="BGM265" s="18"/>
      <c r="BGN265" s="18"/>
      <c r="BGO265" s="18"/>
      <c r="BGP265" s="18"/>
      <c r="BGQ265" s="18"/>
      <c r="BGR265" s="18"/>
      <c r="BGS265" s="18"/>
      <c r="BGT265" s="18"/>
      <c r="BGU265" s="18"/>
      <c r="BGV265" s="18"/>
      <c r="BGW265" s="18"/>
      <c r="BGX265" s="18"/>
      <c r="BGY265" s="18"/>
      <c r="BGZ265" s="18"/>
      <c r="BHA265" s="18"/>
      <c r="BHB265" s="18"/>
      <c r="BHC265" s="18"/>
      <c r="BHD265" s="18"/>
      <c r="BHE265" s="18"/>
      <c r="BHF265" s="18"/>
      <c r="BHG265" s="18"/>
      <c r="BHH265" s="18"/>
      <c r="BHI265" s="18"/>
      <c r="BHJ265" s="18"/>
      <c r="BHK265" s="18"/>
      <c r="BHL265" s="18"/>
      <c r="BHM265" s="18"/>
      <c r="BHN265" s="18"/>
      <c r="BHO265" s="18"/>
      <c r="BHP265" s="18"/>
      <c r="BHQ265" s="18"/>
      <c r="BHR265" s="18"/>
      <c r="BHS265" s="18"/>
      <c r="BHT265" s="18"/>
      <c r="BHU265" s="18"/>
      <c r="BHV265" s="18"/>
      <c r="BHW265" s="18"/>
      <c r="BHX265" s="18"/>
      <c r="BHY265" s="18"/>
      <c r="BHZ265" s="18"/>
      <c r="BIA265" s="18"/>
      <c r="BIB265" s="18"/>
      <c r="BIC265" s="18"/>
      <c r="BID265" s="18"/>
      <c r="BIE265" s="18"/>
      <c r="BIF265" s="18"/>
      <c r="BIG265" s="18"/>
      <c r="BIH265" s="18"/>
      <c r="BII265" s="18"/>
      <c r="BIJ265" s="18"/>
      <c r="BIK265" s="18"/>
      <c r="BIL265" s="18"/>
      <c r="BIM265" s="18"/>
      <c r="BIN265" s="18"/>
      <c r="BIO265" s="18"/>
      <c r="BIP265" s="18"/>
      <c r="BIQ265" s="18"/>
      <c r="BIR265" s="18"/>
      <c r="BIS265" s="18"/>
      <c r="BIT265" s="18"/>
      <c r="BIU265" s="18"/>
      <c r="BIV265" s="18"/>
      <c r="BIW265" s="18"/>
      <c r="BIX265" s="18"/>
      <c r="BIY265" s="18"/>
      <c r="BIZ265" s="18"/>
      <c r="BJA265" s="18"/>
      <c r="BJB265" s="18"/>
      <c r="BJC265" s="18"/>
      <c r="BJD265" s="18"/>
      <c r="BJE265" s="18"/>
      <c r="BJF265" s="18"/>
      <c r="BJG265" s="18"/>
      <c r="BJH265" s="18"/>
      <c r="BJI265" s="18"/>
      <c r="BJJ265" s="18"/>
      <c r="BJK265" s="18"/>
      <c r="BJL265" s="18"/>
      <c r="BJM265" s="18"/>
      <c r="BJN265" s="18"/>
      <c r="BJO265" s="18"/>
      <c r="BJP265" s="18"/>
      <c r="BJQ265" s="18"/>
      <c r="BJR265" s="18"/>
      <c r="BJS265" s="18"/>
      <c r="BJT265" s="18"/>
      <c r="BJU265" s="18"/>
      <c r="BJV265" s="18"/>
      <c r="BJW265" s="18"/>
      <c r="BJX265" s="18"/>
      <c r="BJY265" s="18"/>
      <c r="BJZ265" s="18"/>
      <c r="BKA265" s="18"/>
      <c r="BKB265" s="18"/>
      <c r="BKC265" s="18"/>
      <c r="BKD265" s="18"/>
      <c r="BKE265" s="18"/>
      <c r="BKF265" s="18"/>
      <c r="BKG265" s="18"/>
      <c r="BKH265" s="18"/>
      <c r="BKI265" s="18"/>
      <c r="BKJ265" s="18"/>
      <c r="BKK265" s="18"/>
      <c r="BKL265" s="18"/>
      <c r="BKM265" s="18"/>
      <c r="BKN265" s="18"/>
      <c r="BKO265" s="18"/>
      <c r="BKP265" s="18"/>
      <c r="BKQ265" s="18"/>
      <c r="BKR265" s="18"/>
      <c r="BKS265" s="18"/>
      <c r="BKT265" s="18"/>
      <c r="BKU265" s="18"/>
      <c r="BKV265" s="18"/>
      <c r="BKW265" s="18"/>
      <c r="BKX265" s="18"/>
      <c r="BKY265" s="18"/>
      <c r="BKZ265" s="18"/>
      <c r="BLA265" s="18"/>
      <c r="BLB265" s="18"/>
      <c r="BLC265" s="18"/>
      <c r="BLD265" s="18"/>
      <c r="BLE265" s="18"/>
      <c r="BLF265" s="18"/>
      <c r="BLG265" s="18"/>
      <c r="BLH265" s="18"/>
      <c r="BLI265" s="18"/>
      <c r="BLJ265" s="18"/>
      <c r="BLK265" s="18"/>
      <c r="BLL265" s="18"/>
      <c r="BLM265" s="18"/>
      <c r="BLN265" s="18"/>
      <c r="BLO265" s="18"/>
      <c r="BLP265" s="18"/>
      <c r="BLQ265" s="18"/>
      <c r="BLR265" s="18"/>
      <c r="BLS265" s="18"/>
      <c r="BLT265" s="18"/>
      <c r="BLU265" s="18"/>
      <c r="BLV265" s="18"/>
      <c r="BLW265" s="18"/>
      <c r="BLX265" s="18"/>
      <c r="BLY265" s="18"/>
      <c r="BLZ265" s="18"/>
      <c r="BMA265" s="18"/>
      <c r="BMB265" s="18"/>
      <c r="BMC265" s="18"/>
      <c r="BMD265" s="18"/>
      <c r="BME265" s="18"/>
      <c r="BMF265" s="18"/>
      <c r="BMG265" s="18"/>
      <c r="BMH265" s="18"/>
      <c r="BMI265" s="18"/>
      <c r="BMJ265" s="18"/>
      <c r="BMK265" s="18"/>
      <c r="BML265" s="18"/>
      <c r="BMM265" s="18"/>
      <c r="BMN265" s="18"/>
      <c r="BMO265" s="18"/>
      <c r="BMP265" s="18"/>
      <c r="BMQ265" s="18"/>
      <c r="BMR265" s="18"/>
      <c r="BMS265" s="18"/>
      <c r="BMT265" s="18"/>
      <c r="BMU265" s="18"/>
      <c r="BMV265" s="18"/>
      <c r="BMW265" s="18"/>
      <c r="BMX265" s="18"/>
      <c r="BMY265" s="18"/>
      <c r="BMZ265" s="18"/>
      <c r="BNA265" s="18"/>
      <c r="BNB265" s="18"/>
      <c r="BNC265" s="18"/>
      <c r="BND265" s="18"/>
      <c r="BNE265" s="18"/>
      <c r="BNF265" s="18"/>
      <c r="BNG265" s="18"/>
      <c r="BNH265" s="18"/>
      <c r="BNI265" s="18"/>
      <c r="BNJ265" s="18"/>
      <c r="BNK265" s="18"/>
      <c r="BNL265" s="18"/>
      <c r="BNM265" s="18"/>
      <c r="BNN265" s="18"/>
      <c r="BNO265" s="18"/>
      <c r="BNP265" s="18"/>
      <c r="BNQ265" s="18"/>
      <c r="BNR265" s="18"/>
      <c r="BNS265" s="18"/>
      <c r="BNT265" s="18"/>
      <c r="BNU265" s="18"/>
      <c r="BNV265" s="18"/>
      <c r="BNW265" s="18"/>
      <c r="BNX265" s="18"/>
      <c r="BNY265" s="18"/>
      <c r="BNZ265" s="18"/>
      <c r="BOA265" s="18"/>
      <c r="BOB265" s="18"/>
      <c r="BOC265" s="18"/>
      <c r="BOD265" s="18"/>
      <c r="BOE265" s="18"/>
      <c r="BOF265" s="18"/>
      <c r="BOG265" s="18"/>
      <c r="BOH265" s="18"/>
      <c r="BOI265" s="18"/>
      <c r="BOJ265" s="18"/>
      <c r="BOK265" s="18"/>
      <c r="BOL265" s="18"/>
      <c r="BOM265" s="18"/>
      <c r="BON265" s="18"/>
      <c r="BOO265" s="18"/>
      <c r="BOP265" s="18"/>
      <c r="BOQ265" s="18"/>
      <c r="BOR265" s="18"/>
      <c r="BOS265" s="18"/>
      <c r="BOT265" s="18"/>
      <c r="BOU265" s="18"/>
      <c r="BOV265" s="18"/>
      <c r="BOW265" s="18"/>
      <c r="BOX265" s="18"/>
      <c r="BOY265" s="18"/>
      <c r="BOZ265" s="18"/>
      <c r="BPA265" s="18"/>
      <c r="BPB265" s="18"/>
      <c r="BPC265" s="18"/>
      <c r="BPD265" s="18"/>
      <c r="BPE265" s="18"/>
      <c r="BPF265" s="18"/>
      <c r="BPG265" s="18"/>
      <c r="BPH265" s="18"/>
      <c r="BPI265" s="18"/>
      <c r="BPJ265" s="18"/>
      <c r="BPK265" s="18"/>
      <c r="BPL265" s="18"/>
      <c r="BPM265" s="18"/>
      <c r="BPN265" s="18"/>
      <c r="BPO265" s="18"/>
      <c r="BPP265" s="18"/>
      <c r="BPQ265" s="18"/>
      <c r="BPR265" s="18"/>
      <c r="BPS265" s="18"/>
      <c r="BPT265" s="18"/>
      <c r="BPU265" s="18"/>
      <c r="BPV265" s="18"/>
      <c r="BPW265" s="18"/>
      <c r="BPX265" s="18"/>
      <c r="BPY265" s="18"/>
      <c r="BPZ265" s="18"/>
      <c r="BQA265" s="18"/>
      <c r="BQB265" s="18"/>
      <c r="BQC265" s="18"/>
      <c r="BQD265" s="18"/>
      <c r="BQE265" s="18"/>
      <c r="BQF265" s="18"/>
      <c r="BQG265" s="18"/>
      <c r="BQH265" s="18"/>
      <c r="BQI265" s="18"/>
      <c r="BQJ265" s="18"/>
      <c r="BQK265" s="18"/>
      <c r="BQL265" s="18"/>
      <c r="BQM265" s="18"/>
      <c r="BQN265" s="18"/>
      <c r="BQO265" s="18"/>
      <c r="BQP265" s="18"/>
      <c r="BQQ265" s="18"/>
      <c r="BQR265" s="18"/>
      <c r="BQS265" s="18"/>
      <c r="BQT265" s="18"/>
      <c r="BQU265" s="18"/>
      <c r="BQV265" s="18"/>
      <c r="BQW265" s="18"/>
      <c r="BQX265" s="18"/>
      <c r="BQY265" s="18"/>
      <c r="BQZ265" s="18"/>
      <c r="BRA265" s="18"/>
      <c r="BRB265" s="18"/>
      <c r="BRC265" s="18"/>
      <c r="BRD265" s="18"/>
      <c r="BRE265" s="18"/>
      <c r="BRF265" s="18"/>
      <c r="BRG265" s="18"/>
      <c r="BRH265" s="18"/>
      <c r="BRI265" s="18"/>
      <c r="BRJ265" s="18"/>
      <c r="BRK265" s="18"/>
      <c r="BRL265" s="18"/>
      <c r="BRM265" s="18"/>
      <c r="BRN265" s="18"/>
      <c r="BRO265" s="18"/>
      <c r="BRP265" s="18"/>
      <c r="BRQ265" s="18"/>
      <c r="BRR265" s="18"/>
      <c r="BRS265" s="18"/>
      <c r="BRT265" s="18"/>
      <c r="BRU265" s="18"/>
      <c r="BRV265" s="18"/>
      <c r="BRW265" s="18"/>
      <c r="BRX265" s="18"/>
      <c r="BRY265" s="18"/>
      <c r="BRZ265" s="18"/>
      <c r="BSA265" s="18"/>
      <c r="BSB265" s="18"/>
      <c r="BSC265" s="18"/>
      <c r="BSD265" s="18"/>
      <c r="BSE265" s="18"/>
      <c r="BSF265" s="18"/>
      <c r="BSG265" s="18"/>
      <c r="BSH265" s="18"/>
      <c r="BSI265" s="18"/>
      <c r="BSJ265" s="18"/>
      <c r="BSK265" s="18"/>
      <c r="BSL265" s="18"/>
      <c r="BSM265" s="18"/>
      <c r="BSN265" s="18"/>
      <c r="BSO265" s="18"/>
      <c r="BSP265" s="18"/>
      <c r="BSQ265" s="18"/>
      <c r="BSR265" s="18"/>
      <c r="BSS265" s="18"/>
      <c r="BST265" s="18"/>
      <c r="BSU265" s="18"/>
      <c r="BSV265" s="18"/>
      <c r="BSW265" s="18"/>
      <c r="BSX265" s="18"/>
      <c r="BSY265" s="18"/>
      <c r="BSZ265" s="18"/>
      <c r="BTA265" s="18"/>
      <c r="BTB265" s="18"/>
      <c r="BTC265" s="18"/>
      <c r="BTD265" s="18"/>
      <c r="BTE265" s="18"/>
      <c r="BTF265" s="18"/>
      <c r="BTG265" s="18"/>
      <c r="BTH265" s="18"/>
      <c r="BTI265" s="18"/>
    </row>
    <row r="266" spans="1:1881" s="811" customFormat="1" ht="53.25" hidden="1" customHeight="1" x14ac:dyDescent="0.3">
      <c r="A266" s="108">
        <v>599</v>
      </c>
      <c r="B266" s="712" t="s">
        <v>59</v>
      </c>
      <c r="C266" s="712" t="s">
        <v>529</v>
      </c>
      <c r="D266" s="29" t="s">
        <v>658</v>
      </c>
      <c r="E266" s="710" t="e">
        <f>HLOOKUP($D$2,'2020 Data(H)'!$C$1:$CZ$432,259,FALSE)</f>
        <v>#N/A</v>
      </c>
      <c r="F266" s="306">
        <v>0</v>
      </c>
      <c r="G266" s="815" t="str">
        <f>IF(ISBLANK(F266),"Please do not leave blank","")</f>
        <v/>
      </c>
      <c r="H266" s="771">
        <f>IF(F266&lt;0,"Error: Enter as positive.",)</f>
        <v>0</v>
      </c>
      <c r="I266" s="79"/>
      <c r="J266" s="809"/>
      <c r="K266" s="18"/>
      <c r="L266" s="18"/>
      <c r="M266" s="18"/>
      <c r="N266" s="308"/>
      <c r="O266" s="18"/>
      <c r="P266" s="18"/>
      <c r="Q266" s="18"/>
      <c r="R266" s="18"/>
      <c r="S266" s="18"/>
      <c r="T266" s="18"/>
      <c r="U266" s="18"/>
      <c r="V266" s="18"/>
      <c r="W266" s="18"/>
      <c r="X266" s="18"/>
      <c r="Y266" s="18"/>
      <c r="Z266" s="108"/>
      <c r="AA266" s="108"/>
      <c r="AB266" s="108"/>
      <c r="AC266" s="108"/>
      <c r="AD266" s="108"/>
      <c r="AE266" s="108"/>
      <c r="AF266" s="108"/>
      <c r="AG266" s="108"/>
      <c r="AH266" s="108"/>
      <c r="AI266" s="108"/>
      <c r="AJ266" s="108"/>
      <c r="AK266" s="108"/>
      <c r="AL266" s="108"/>
      <c r="AM266" s="108"/>
      <c r="AN266" s="108"/>
      <c r="AO266" s="108"/>
      <c r="AP266" s="108"/>
      <c r="AQ266" s="108"/>
      <c r="AR266" s="108"/>
      <c r="AS266" s="18"/>
      <c r="AT266" s="18"/>
      <c r="AU266" s="18"/>
      <c r="AV266" s="18"/>
      <c r="AW266" s="18"/>
      <c r="AX266" s="18"/>
      <c r="AY266" s="18"/>
      <c r="AZ266" s="18"/>
      <c r="BA266" s="18"/>
      <c r="BB266" s="18"/>
      <c r="BC266" s="18"/>
      <c r="BD266" s="18"/>
      <c r="BE266" s="18"/>
      <c r="BF266" s="18"/>
      <c r="BG266" s="18"/>
      <c r="BH266" s="18"/>
      <c r="BI266" s="18"/>
      <c r="BJ266" s="18"/>
      <c r="BK266" s="18"/>
      <c r="BL266" s="18"/>
      <c r="BM266" s="18"/>
      <c r="BN266" s="18"/>
      <c r="BO266" s="18"/>
      <c r="BP266" s="18"/>
      <c r="BQ266" s="18"/>
      <c r="BR266" s="18"/>
      <c r="BS266" s="18"/>
      <c r="BT266" s="18"/>
      <c r="BU266" s="18"/>
      <c r="BV266" s="18"/>
      <c r="BW266" s="18"/>
      <c r="BX266" s="18"/>
      <c r="BY266" s="18"/>
      <c r="BZ266" s="18"/>
      <c r="CA266" s="18"/>
      <c r="CB266" s="18"/>
      <c r="CC266" s="18"/>
      <c r="CD266" s="18"/>
      <c r="CE266" s="18"/>
      <c r="CF266" s="18"/>
      <c r="CG266" s="18"/>
      <c r="CH266" s="18"/>
      <c r="CI266" s="18"/>
      <c r="CJ266" s="18"/>
      <c r="CK266" s="18"/>
      <c r="CL266" s="18"/>
      <c r="CM266" s="18"/>
      <c r="CN266" s="18"/>
      <c r="CO266" s="18"/>
      <c r="CP266" s="18"/>
      <c r="CQ266" s="18"/>
      <c r="CR266" s="18"/>
      <c r="CS266" s="18"/>
      <c r="CT266" s="18"/>
      <c r="CU266" s="18"/>
      <c r="CV266" s="18"/>
      <c r="CW266" s="18"/>
      <c r="CX266" s="18"/>
      <c r="CY266" s="18"/>
      <c r="CZ266" s="18"/>
      <c r="DA266" s="18"/>
      <c r="DB266" s="18"/>
      <c r="DC266" s="18"/>
      <c r="DD266" s="18"/>
      <c r="DE266" s="18"/>
      <c r="DF266" s="18"/>
      <c r="DG266" s="18"/>
      <c r="DH266" s="18"/>
      <c r="DI266" s="18"/>
      <c r="DJ266" s="18"/>
      <c r="DK266" s="18"/>
      <c r="DL266" s="18"/>
      <c r="DM266" s="18"/>
      <c r="DN266" s="18"/>
      <c r="DO266" s="18"/>
      <c r="DP266" s="18"/>
      <c r="DQ266" s="18"/>
      <c r="DR266" s="18"/>
      <c r="DS266" s="18"/>
      <c r="DT266" s="18"/>
      <c r="DU266" s="18"/>
      <c r="DV266" s="18"/>
      <c r="DW266" s="18"/>
      <c r="DX266" s="18"/>
      <c r="DY266" s="18"/>
      <c r="DZ266" s="18"/>
      <c r="EA266" s="18"/>
      <c r="EB266" s="18"/>
      <c r="EC266" s="18"/>
      <c r="ED266" s="18"/>
      <c r="EE266" s="18"/>
      <c r="EF266" s="18"/>
      <c r="EG266" s="18"/>
      <c r="EH266" s="18"/>
      <c r="EI266" s="18"/>
      <c r="EJ266" s="18"/>
      <c r="EK266" s="18"/>
      <c r="EL266" s="18"/>
      <c r="EM266" s="18"/>
      <c r="EN266" s="18"/>
      <c r="EO266" s="18"/>
      <c r="EP266" s="18"/>
      <c r="EQ266" s="18"/>
      <c r="ER266" s="18"/>
      <c r="ES266" s="18"/>
      <c r="ET266" s="18"/>
      <c r="EU266" s="18"/>
      <c r="EV266" s="18"/>
      <c r="EW266" s="18"/>
      <c r="EX266" s="18"/>
      <c r="EY266" s="18"/>
      <c r="EZ266" s="18"/>
      <c r="FA266" s="18"/>
      <c r="FB266" s="18"/>
      <c r="FC266" s="18"/>
      <c r="FD266" s="18"/>
      <c r="FE266" s="18"/>
      <c r="FF266" s="18"/>
      <c r="FG266" s="18"/>
      <c r="FH266" s="18"/>
      <c r="FI266" s="18"/>
      <c r="FJ266" s="18"/>
      <c r="FK266" s="18"/>
      <c r="FL266" s="18"/>
      <c r="FM266" s="18"/>
      <c r="FN266" s="18"/>
      <c r="FO266" s="18"/>
      <c r="FP266" s="18"/>
      <c r="FQ266" s="18"/>
      <c r="FR266" s="18"/>
      <c r="FS266" s="18"/>
      <c r="FT266" s="18"/>
      <c r="FU266" s="18"/>
      <c r="FV266" s="18"/>
      <c r="FW266" s="18"/>
      <c r="FX266" s="18"/>
      <c r="FY266" s="18"/>
      <c r="FZ266" s="18"/>
      <c r="GA266" s="18"/>
      <c r="GB266" s="18"/>
      <c r="GC266" s="18"/>
      <c r="GD266" s="18"/>
      <c r="GE266" s="18"/>
      <c r="GF266" s="18"/>
      <c r="GG266" s="18"/>
      <c r="GH266" s="18"/>
      <c r="GI266" s="18"/>
      <c r="GJ266" s="18"/>
      <c r="GK266" s="18"/>
      <c r="GL266" s="18"/>
      <c r="GM266" s="18"/>
      <c r="GN266" s="18"/>
      <c r="GO266" s="18"/>
      <c r="GP266" s="18"/>
      <c r="GQ266" s="18"/>
      <c r="GR266" s="18"/>
      <c r="GS266" s="18"/>
      <c r="GT266" s="18"/>
      <c r="GU266" s="18"/>
      <c r="GV266" s="18"/>
      <c r="GW266" s="18"/>
      <c r="GX266" s="18"/>
      <c r="GY266" s="18"/>
      <c r="GZ266" s="18"/>
      <c r="HA266" s="18"/>
      <c r="HB266" s="18"/>
      <c r="HC266" s="18"/>
      <c r="HD266" s="18"/>
      <c r="HE266" s="18"/>
      <c r="HF266" s="18"/>
      <c r="HG266" s="18"/>
      <c r="HH266" s="18"/>
      <c r="HI266" s="18"/>
      <c r="HJ266" s="18"/>
      <c r="HK266" s="18"/>
      <c r="HL266" s="18"/>
      <c r="HM266" s="18"/>
      <c r="HN266" s="18"/>
      <c r="HO266" s="18"/>
      <c r="HP266" s="18"/>
      <c r="HQ266" s="18"/>
      <c r="HR266" s="18"/>
      <c r="HS266" s="18"/>
      <c r="HT266" s="18"/>
      <c r="HU266" s="18"/>
      <c r="HV266" s="18"/>
      <c r="HW266" s="18"/>
      <c r="HX266" s="18"/>
      <c r="HY266" s="18"/>
      <c r="HZ266" s="18"/>
      <c r="IA266" s="18"/>
      <c r="IB266" s="18"/>
      <c r="IC266" s="18"/>
      <c r="ID266" s="18"/>
      <c r="IE266" s="18"/>
      <c r="IF266" s="18"/>
      <c r="IG266" s="18"/>
      <c r="IH266" s="18"/>
      <c r="II266" s="18"/>
      <c r="IJ266" s="18"/>
      <c r="IK266" s="18"/>
      <c r="IL266" s="18"/>
      <c r="IM266" s="18"/>
      <c r="IN266" s="18"/>
      <c r="IO266" s="18"/>
      <c r="IP266" s="18"/>
      <c r="IQ266" s="18"/>
      <c r="IR266" s="18"/>
      <c r="IS266" s="18"/>
      <c r="IT266" s="18"/>
      <c r="IU266" s="18"/>
      <c r="IV266" s="18"/>
      <c r="IW266" s="18"/>
      <c r="IX266" s="18"/>
      <c r="IY266" s="18"/>
      <c r="IZ266" s="18"/>
      <c r="JA266" s="18"/>
      <c r="JB266" s="18"/>
      <c r="JC266" s="18"/>
      <c r="JD266" s="18"/>
      <c r="JE266" s="18"/>
      <c r="JF266" s="18"/>
      <c r="JG266" s="18"/>
      <c r="JH266" s="18"/>
      <c r="JI266" s="18"/>
      <c r="JJ266" s="18"/>
      <c r="JK266" s="18"/>
      <c r="JL266" s="18"/>
      <c r="JM266" s="18"/>
      <c r="JN266" s="18"/>
      <c r="JO266" s="18"/>
      <c r="JP266" s="18"/>
      <c r="JQ266" s="18"/>
      <c r="JR266" s="18"/>
      <c r="JS266" s="18"/>
      <c r="JT266" s="18"/>
      <c r="JU266" s="18"/>
      <c r="JV266" s="18"/>
      <c r="JW266" s="18"/>
      <c r="JX266" s="18"/>
      <c r="JY266" s="18"/>
      <c r="JZ266" s="18"/>
      <c r="KA266" s="18"/>
      <c r="KB266" s="18"/>
      <c r="KC266" s="18"/>
      <c r="KD266" s="18"/>
      <c r="KE266" s="18"/>
      <c r="KF266" s="18"/>
      <c r="KG266" s="18"/>
      <c r="KH266" s="18"/>
      <c r="KI266" s="18"/>
      <c r="KJ266" s="18"/>
      <c r="KK266" s="18"/>
      <c r="KL266" s="18"/>
      <c r="KM266" s="18"/>
      <c r="KN266" s="18"/>
      <c r="KO266" s="18"/>
      <c r="KP266" s="18"/>
      <c r="KQ266" s="18"/>
      <c r="KR266" s="18"/>
      <c r="KS266" s="18"/>
      <c r="KT266" s="18"/>
      <c r="KU266" s="18"/>
      <c r="KV266" s="18"/>
      <c r="KW266" s="18"/>
      <c r="KX266" s="18"/>
      <c r="KY266" s="18"/>
      <c r="KZ266" s="18"/>
      <c r="LA266" s="18"/>
      <c r="LB266" s="18"/>
      <c r="LC266" s="18"/>
      <c r="LD266" s="18"/>
      <c r="LE266" s="18"/>
      <c r="LF266" s="18"/>
      <c r="LG266" s="18"/>
      <c r="LH266" s="18"/>
      <c r="LI266" s="18"/>
      <c r="LJ266" s="18"/>
      <c r="LK266" s="18"/>
      <c r="LL266" s="18"/>
      <c r="LM266" s="18"/>
      <c r="LN266" s="18"/>
      <c r="LO266" s="18"/>
      <c r="LP266" s="18"/>
      <c r="LQ266" s="18"/>
      <c r="LR266" s="18"/>
      <c r="LS266" s="18"/>
      <c r="LT266" s="18"/>
      <c r="LU266" s="18"/>
      <c r="LV266" s="18"/>
      <c r="LW266" s="18"/>
      <c r="LX266" s="18"/>
      <c r="LY266" s="18"/>
      <c r="LZ266" s="18"/>
      <c r="MA266" s="18"/>
      <c r="MB266" s="18"/>
      <c r="MC266" s="18"/>
      <c r="MD266" s="18"/>
      <c r="ME266" s="18"/>
      <c r="MF266" s="18"/>
      <c r="MG266" s="18"/>
      <c r="MH266" s="18"/>
      <c r="MI266" s="18"/>
      <c r="MJ266" s="18"/>
      <c r="MK266" s="18"/>
      <c r="ML266" s="18"/>
      <c r="MM266" s="18"/>
      <c r="MN266" s="18"/>
      <c r="MO266" s="18"/>
      <c r="MP266" s="18"/>
      <c r="MQ266" s="18"/>
      <c r="MR266" s="18"/>
      <c r="MS266" s="18"/>
      <c r="MT266" s="18"/>
      <c r="MU266" s="18"/>
      <c r="MV266" s="18"/>
      <c r="MW266" s="18"/>
      <c r="MX266" s="18"/>
      <c r="MY266" s="18"/>
      <c r="MZ266" s="18"/>
      <c r="NA266" s="18"/>
      <c r="NB266" s="18"/>
      <c r="NC266" s="18"/>
      <c r="ND266" s="18"/>
      <c r="NE266" s="18"/>
      <c r="NF266" s="18"/>
      <c r="NG266" s="18"/>
      <c r="NH266" s="18"/>
      <c r="NI266" s="18"/>
      <c r="NJ266" s="18"/>
      <c r="NK266" s="18"/>
      <c r="NL266" s="18"/>
      <c r="NM266" s="18"/>
      <c r="NN266" s="18"/>
      <c r="NO266" s="18"/>
      <c r="NP266" s="18"/>
      <c r="NQ266" s="18"/>
      <c r="NR266" s="18"/>
      <c r="NS266" s="18"/>
      <c r="NT266" s="18"/>
      <c r="NU266" s="18"/>
      <c r="NV266" s="18"/>
      <c r="NW266" s="18"/>
      <c r="NX266" s="18"/>
      <c r="NY266" s="18"/>
      <c r="NZ266" s="18"/>
      <c r="OA266" s="18"/>
      <c r="OB266" s="18"/>
      <c r="OC266" s="18"/>
      <c r="OD266" s="18"/>
      <c r="OE266" s="18"/>
      <c r="OF266" s="18"/>
      <c r="OG266" s="18"/>
      <c r="OH266" s="18"/>
      <c r="OI266" s="18"/>
      <c r="OJ266" s="18"/>
      <c r="OK266" s="18"/>
      <c r="OL266" s="18"/>
      <c r="OM266" s="18"/>
      <c r="ON266" s="18"/>
      <c r="OO266" s="18"/>
      <c r="OP266" s="18"/>
      <c r="OQ266" s="18"/>
      <c r="OR266" s="18"/>
      <c r="OS266" s="18"/>
      <c r="OT266" s="18"/>
      <c r="OU266" s="18"/>
      <c r="OV266" s="18"/>
      <c r="OW266" s="18"/>
      <c r="OX266" s="18"/>
      <c r="OY266" s="18"/>
      <c r="OZ266" s="18"/>
      <c r="PA266" s="18"/>
      <c r="PB266" s="18"/>
      <c r="PC266" s="18"/>
      <c r="PD266" s="18"/>
      <c r="PE266" s="18"/>
      <c r="PF266" s="18"/>
      <c r="PG266" s="18"/>
      <c r="PH266" s="18"/>
      <c r="PI266" s="18"/>
      <c r="PJ266" s="18"/>
      <c r="PK266" s="18"/>
      <c r="PL266" s="18"/>
      <c r="PM266" s="18"/>
      <c r="PN266" s="18"/>
      <c r="PO266" s="18"/>
      <c r="PP266" s="18"/>
      <c r="PQ266" s="18"/>
      <c r="PR266" s="18"/>
      <c r="PS266" s="18"/>
      <c r="PT266" s="18"/>
      <c r="PU266" s="18"/>
      <c r="PV266" s="18"/>
      <c r="PW266" s="18"/>
      <c r="PX266" s="18"/>
      <c r="PY266" s="18"/>
      <c r="PZ266" s="18"/>
      <c r="QA266" s="18"/>
      <c r="QB266" s="18"/>
      <c r="QC266" s="18"/>
      <c r="QD266" s="18"/>
      <c r="QE266" s="18"/>
      <c r="QF266" s="18"/>
      <c r="QG266" s="18"/>
      <c r="QH266" s="18"/>
      <c r="QI266" s="18"/>
      <c r="QJ266" s="18"/>
      <c r="QK266" s="18"/>
      <c r="QL266" s="18"/>
      <c r="QM266" s="18"/>
      <c r="QN266" s="18"/>
      <c r="QO266" s="18"/>
      <c r="QP266" s="18"/>
      <c r="QQ266" s="18"/>
      <c r="QR266" s="18"/>
      <c r="QS266" s="18"/>
      <c r="QT266" s="18"/>
      <c r="QU266" s="18"/>
      <c r="QV266" s="18"/>
      <c r="QW266" s="18"/>
      <c r="QX266" s="18"/>
      <c r="QY266" s="18"/>
      <c r="QZ266" s="18"/>
      <c r="RA266" s="18"/>
      <c r="RB266" s="18"/>
      <c r="RC266" s="18"/>
      <c r="RD266" s="18"/>
      <c r="RE266" s="18"/>
      <c r="RF266" s="18"/>
      <c r="RG266" s="18"/>
      <c r="RH266" s="18"/>
      <c r="RI266" s="18"/>
      <c r="RJ266" s="18"/>
      <c r="RK266" s="18"/>
      <c r="RL266" s="18"/>
      <c r="RM266" s="18"/>
      <c r="RN266" s="18"/>
      <c r="RO266" s="18"/>
      <c r="RP266" s="18"/>
      <c r="RQ266" s="18"/>
      <c r="RR266" s="18"/>
      <c r="RS266" s="18"/>
      <c r="RT266" s="18"/>
      <c r="RU266" s="18"/>
      <c r="RV266" s="18"/>
      <c r="RW266" s="18"/>
      <c r="RX266" s="18"/>
      <c r="RY266" s="18"/>
      <c r="RZ266" s="18"/>
      <c r="SA266" s="18"/>
      <c r="SB266" s="18"/>
      <c r="SC266" s="18"/>
      <c r="SD266" s="18"/>
      <c r="SE266" s="18"/>
      <c r="SF266" s="18"/>
      <c r="SG266" s="18"/>
      <c r="SH266" s="18"/>
      <c r="SI266" s="18"/>
      <c r="SJ266" s="18"/>
      <c r="SK266" s="18"/>
      <c r="SL266" s="18"/>
      <c r="SM266" s="18"/>
      <c r="SN266" s="18"/>
      <c r="SO266" s="18"/>
      <c r="SP266" s="18"/>
      <c r="SQ266" s="18"/>
      <c r="SR266" s="18"/>
      <c r="SS266" s="18"/>
      <c r="ST266" s="18"/>
      <c r="SU266" s="18"/>
      <c r="SV266" s="18"/>
      <c r="SW266" s="18"/>
      <c r="SX266" s="18"/>
      <c r="SY266" s="18"/>
      <c r="SZ266" s="18"/>
      <c r="TA266" s="18"/>
      <c r="TB266" s="18"/>
      <c r="TC266" s="18"/>
      <c r="TD266" s="18"/>
      <c r="TE266" s="18"/>
      <c r="TF266" s="18"/>
      <c r="TG266" s="18"/>
      <c r="TH266" s="18"/>
      <c r="TI266" s="18"/>
      <c r="TJ266" s="18"/>
      <c r="TK266" s="18"/>
      <c r="TL266" s="18"/>
      <c r="TM266" s="18"/>
      <c r="TN266" s="18"/>
      <c r="TO266" s="18"/>
      <c r="TP266" s="18"/>
      <c r="TQ266" s="18"/>
      <c r="TR266" s="18"/>
      <c r="TS266" s="18"/>
      <c r="TT266" s="18"/>
      <c r="TU266" s="18"/>
      <c r="TV266" s="18"/>
      <c r="TW266" s="18"/>
      <c r="TX266" s="18"/>
      <c r="TY266" s="18"/>
      <c r="TZ266" s="18"/>
      <c r="UA266" s="18"/>
      <c r="UB266" s="18"/>
      <c r="UC266" s="18"/>
      <c r="UD266" s="18"/>
      <c r="UE266" s="18"/>
      <c r="UF266" s="18"/>
      <c r="UG266" s="18"/>
      <c r="UH266" s="18"/>
      <c r="UI266" s="18"/>
      <c r="UJ266" s="18"/>
      <c r="UK266" s="18"/>
      <c r="UL266" s="18"/>
      <c r="UM266" s="18"/>
      <c r="UN266" s="18"/>
      <c r="UO266" s="18"/>
      <c r="UP266" s="18"/>
      <c r="UQ266" s="18"/>
      <c r="UR266" s="18"/>
      <c r="US266" s="18"/>
      <c r="UT266" s="18"/>
      <c r="UU266" s="18"/>
      <c r="UV266" s="18"/>
      <c r="UW266" s="18"/>
      <c r="UX266" s="18"/>
      <c r="UY266" s="18"/>
      <c r="UZ266" s="18"/>
      <c r="VA266" s="18"/>
      <c r="VB266" s="18"/>
      <c r="VC266" s="18"/>
      <c r="VD266" s="18"/>
      <c r="VE266" s="18"/>
      <c r="VF266" s="18"/>
      <c r="VG266" s="18"/>
      <c r="VH266" s="18"/>
      <c r="VI266" s="18"/>
      <c r="VJ266" s="18"/>
      <c r="VK266" s="18"/>
      <c r="VL266" s="18"/>
      <c r="VM266" s="18"/>
      <c r="VN266" s="18"/>
      <c r="VO266" s="18"/>
      <c r="VP266" s="18"/>
      <c r="VQ266" s="18"/>
      <c r="VR266" s="18"/>
      <c r="VS266" s="18"/>
      <c r="VT266" s="18"/>
      <c r="VU266" s="18"/>
      <c r="VV266" s="18"/>
      <c r="VW266" s="18"/>
      <c r="VX266" s="18"/>
      <c r="VY266" s="18"/>
      <c r="VZ266" s="18"/>
      <c r="WA266" s="18"/>
      <c r="WB266" s="18"/>
      <c r="WC266" s="18"/>
      <c r="WD266" s="18"/>
      <c r="WE266" s="18"/>
      <c r="WF266" s="18"/>
      <c r="WG266" s="18"/>
      <c r="WH266" s="18"/>
      <c r="WI266" s="18"/>
      <c r="WJ266" s="18"/>
      <c r="WK266" s="18"/>
      <c r="WL266" s="18"/>
      <c r="WM266" s="18"/>
      <c r="WN266" s="18"/>
      <c r="WO266" s="18"/>
      <c r="WP266" s="18"/>
      <c r="WQ266" s="18"/>
      <c r="WR266" s="18"/>
      <c r="WS266" s="18"/>
      <c r="WT266" s="18"/>
      <c r="WU266" s="18"/>
      <c r="WV266" s="18"/>
      <c r="WW266" s="18"/>
      <c r="WX266" s="18"/>
      <c r="WY266" s="18"/>
      <c r="WZ266" s="18"/>
      <c r="XA266" s="18"/>
      <c r="XB266" s="18"/>
      <c r="XC266" s="18"/>
      <c r="XD266" s="18"/>
      <c r="XE266" s="18"/>
      <c r="XF266" s="18"/>
      <c r="XG266" s="18"/>
      <c r="XH266" s="18"/>
      <c r="XI266" s="18"/>
      <c r="XJ266" s="18"/>
      <c r="XK266" s="18"/>
      <c r="XL266" s="18"/>
      <c r="XM266" s="18"/>
      <c r="XN266" s="18"/>
      <c r="XO266" s="18"/>
      <c r="XP266" s="18"/>
      <c r="XQ266" s="18"/>
      <c r="XR266" s="18"/>
      <c r="XS266" s="18"/>
      <c r="XT266" s="18"/>
      <c r="XU266" s="18"/>
      <c r="XV266" s="18"/>
      <c r="XW266" s="18"/>
      <c r="XX266" s="18"/>
      <c r="XY266" s="18"/>
      <c r="XZ266" s="18"/>
      <c r="YA266" s="18"/>
      <c r="YB266" s="18"/>
      <c r="YC266" s="18"/>
      <c r="YD266" s="18"/>
      <c r="YE266" s="18"/>
      <c r="YF266" s="18"/>
      <c r="YG266" s="18"/>
      <c r="YH266" s="18"/>
      <c r="YI266" s="18"/>
      <c r="YJ266" s="18"/>
      <c r="YK266" s="18"/>
      <c r="YL266" s="18"/>
      <c r="YM266" s="18"/>
      <c r="YN266" s="18"/>
      <c r="YO266" s="18"/>
      <c r="YP266" s="18"/>
      <c r="YQ266" s="18"/>
      <c r="YR266" s="18"/>
      <c r="YS266" s="18"/>
      <c r="YT266" s="18"/>
      <c r="YU266" s="18"/>
      <c r="YV266" s="18"/>
      <c r="YW266" s="18"/>
      <c r="YX266" s="18"/>
      <c r="YY266" s="18"/>
      <c r="YZ266" s="18"/>
      <c r="ZA266" s="18"/>
      <c r="ZB266" s="18"/>
      <c r="ZC266" s="18"/>
      <c r="ZD266" s="18"/>
      <c r="ZE266" s="18"/>
      <c r="ZF266" s="18"/>
      <c r="ZG266" s="18"/>
      <c r="ZH266" s="18"/>
      <c r="ZI266" s="18"/>
      <c r="ZJ266" s="18"/>
      <c r="ZK266" s="18"/>
      <c r="ZL266" s="18"/>
      <c r="ZM266" s="18"/>
      <c r="ZN266" s="18"/>
      <c r="ZO266" s="18"/>
      <c r="ZP266" s="18"/>
      <c r="ZQ266" s="18"/>
      <c r="ZR266" s="18"/>
      <c r="ZS266" s="18"/>
      <c r="ZT266" s="18"/>
      <c r="ZU266" s="18"/>
      <c r="ZV266" s="18"/>
      <c r="ZW266" s="18"/>
      <c r="ZX266" s="18"/>
      <c r="ZY266" s="18"/>
      <c r="ZZ266" s="18"/>
      <c r="AAA266" s="18"/>
      <c r="AAB266" s="18"/>
      <c r="AAC266" s="18"/>
      <c r="AAD266" s="18"/>
      <c r="AAE266" s="18"/>
      <c r="AAF266" s="18"/>
      <c r="AAG266" s="18"/>
      <c r="AAH266" s="18"/>
      <c r="AAI266" s="18"/>
      <c r="AAJ266" s="18"/>
      <c r="AAK266" s="18"/>
      <c r="AAL266" s="18"/>
      <c r="AAM266" s="18"/>
      <c r="AAN266" s="18"/>
      <c r="AAO266" s="18"/>
      <c r="AAP266" s="18"/>
      <c r="AAQ266" s="18"/>
      <c r="AAR266" s="18"/>
      <c r="AAS266" s="18"/>
      <c r="AAT266" s="18"/>
      <c r="AAU266" s="18"/>
      <c r="AAV266" s="18"/>
      <c r="AAW266" s="18"/>
      <c r="AAX266" s="18"/>
      <c r="AAY266" s="18"/>
      <c r="AAZ266" s="18"/>
      <c r="ABA266" s="18"/>
      <c r="ABB266" s="18"/>
      <c r="ABC266" s="18"/>
      <c r="ABD266" s="18"/>
      <c r="ABE266" s="18"/>
      <c r="ABF266" s="18"/>
      <c r="ABG266" s="18"/>
      <c r="ABH266" s="18"/>
      <c r="ABI266" s="18"/>
      <c r="ABJ266" s="18"/>
      <c r="ABK266" s="18"/>
      <c r="ABL266" s="18"/>
      <c r="ABM266" s="18"/>
      <c r="ABN266" s="18"/>
      <c r="ABO266" s="18"/>
      <c r="ABP266" s="18"/>
      <c r="ABQ266" s="18"/>
      <c r="ABR266" s="18"/>
      <c r="ABS266" s="18"/>
      <c r="ABT266" s="18"/>
      <c r="ABU266" s="18"/>
      <c r="ABV266" s="18"/>
      <c r="ABW266" s="18"/>
      <c r="ABX266" s="18"/>
      <c r="ABY266" s="18"/>
      <c r="ABZ266" s="18"/>
      <c r="ACA266" s="18"/>
      <c r="ACB266" s="18"/>
      <c r="ACC266" s="18"/>
      <c r="ACD266" s="18"/>
      <c r="ACE266" s="18"/>
      <c r="ACF266" s="18"/>
      <c r="ACG266" s="18"/>
      <c r="ACH266" s="18"/>
      <c r="ACI266" s="18"/>
      <c r="ACJ266" s="18"/>
      <c r="ACK266" s="18"/>
      <c r="ACL266" s="18"/>
      <c r="ACM266" s="18"/>
      <c r="ACN266" s="18"/>
      <c r="ACO266" s="18"/>
      <c r="ACP266" s="18"/>
      <c r="ACQ266" s="18"/>
      <c r="ACR266" s="18"/>
      <c r="ACS266" s="18"/>
      <c r="ACT266" s="18"/>
      <c r="ACU266" s="18"/>
      <c r="ACV266" s="18"/>
      <c r="ACW266" s="18"/>
      <c r="ACX266" s="18"/>
      <c r="ACY266" s="18"/>
      <c r="ACZ266" s="18"/>
      <c r="ADA266" s="18"/>
      <c r="ADB266" s="18"/>
      <c r="ADC266" s="18"/>
      <c r="ADD266" s="18"/>
      <c r="ADE266" s="18"/>
      <c r="ADF266" s="18"/>
      <c r="ADG266" s="18"/>
      <c r="ADH266" s="18"/>
      <c r="ADI266" s="18"/>
      <c r="ADJ266" s="18"/>
      <c r="ADK266" s="18"/>
      <c r="ADL266" s="18"/>
      <c r="ADM266" s="18"/>
      <c r="ADN266" s="18"/>
      <c r="ADO266" s="18"/>
      <c r="ADP266" s="18"/>
      <c r="ADQ266" s="18"/>
      <c r="ADR266" s="18"/>
      <c r="ADS266" s="18"/>
      <c r="ADT266" s="18"/>
      <c r="ADU266" s="18"/>
      <c r="ADV266" s="18"/>
      <c r="ADW266" s="18"/>
      <c r="ADX266" s="18"/>
      <c r="ADY266" s="18"/>
      <c r="ADZ266" s="18"/>
      <c r="AEA266" s="18"/>
      <c r="AEB266" s="18"/>
      <c r="AEC266" s="18"/>
      <c r="AED266" s="18"/>
      <c r="AEE266" s="18"/>
      <c r="AEF266" s="18"/>
      <c r="AEG266" s="18"/>
      <c r="AEH266" s="18"/>
      <c r="AEI266" s="18"/>
      <c r="AEJ266" s="18"/>
      <c r="AEK266" s="18"/>
      <c r="AEL266" s="18"/>
      <c r="AEM266" s="18"/>
      <c r="AEN266" s="18"/>
      <c r="AEO266" s="18"/>
      <c r="AEP266" s="18"/>
      <c r="AEQ266" s="18"/>
      <c r="AER266" s="18"/>
      <c r="AES266" s="18"/>
      <c r="AET266" s="18"/>
      <c r="AEU266" s="18"/>
      <c r="AEV266" s="18"/>
      <c r="AEW266" s="18"/>
      <c r="AEX266" s="18"/>
      <c r="AEY266" s="18"/>
      <c r="AEZ266" s="18"/>
      <c r="AFA266" s="18"/>
      <c r="AFB266" s="18"/>
      <c r="AFC266" s="18"/>
      <c r="AFD266" s="18"/>
      <c r="AFE266" s="18"/>
      <c r="AFF266" s="18"/>
      <c r="AFG266" s="18"/>
      <c r="AFH266" s="18"/>
      <c r="AFI266" s="18"/>
      <c r="AFJ266" s="18"/>
      <c r="AFK266" s="18"/>
      <c r="AFL266" s="18"/>
      <c r="AFM266" s="18"/>
      <c r="AFN266" s="18"/>
      <c r="AFO266" s="18"/>
      <c r="AFP266" s="18"/>
      <c r="AFQ266" s="18"/>
      <c r="AFR266" s="18"/>
      <c r="AFS266" s="18"/>
      <c r="AFT266" s="18"/>
      <c r="AFU266" s="18"/>
      <c r="AFV266" s="18"/>
      <c r="AFW266" s="18"/>
      <c r="AFX266" s="18"/>
      <c r="AFY266" s="18"/>
      <c r="AFZ266" s="18"/>
      <c r="AGA266" s="18"/>
      <c r="AGB266" s="18"/>
      <c r="AGC266" s="18"/>
      <c r="AGD266" s="18"/>
      <c r="AGE266" s="18"/>
      <c r="AGF266" s="18"/>
      <c r="AGG266" s="18"/>
      <c r="AGH266" s="18"/>
      <c r="AGI266" s="18"/>
      <c r="AGJ266" s="18"/>
      <c r="AGK266" s="18"/>
      <c r="AGL266" s="18"/>
      <c r="AGM266" s="18"/>
      <c r="AGN266" s="18"/>
      <c r="AGO266" s="18"/>
      <c r="AGP266" s="18"/>
      <c r="AGQ266" s="18"/>
      <c r="AGR266" s="18"/>
      <c r="AGS266" s="18"/>
      <c r="AGT266" s="18"/>
      <c r="AGU266" s="18"/>
      <c r="AGV266" s="18"/>
      <c r="AGW266" s="18"/>
      <c r="AGX266" s="18"/>
      <c r="AGY266" s="18"/>
      <c r="AGZ266" s="18"/>
      <c r="AHA266" s="18"/>
      <c r="AHB266" s="18"/>
      <c r="AHC266" s="18"/>
      <c r="AHD266" s="18"/>
      <c r="AHE266" s="18"/>
      <c r="AHF266" s="18"/>
      <c r="AHG266" s="18"/>
      <c r="AHH266" s="18"/>
      <c r="AHI266" s="18"/>
      <c r="AHJ266" s="18"/>
      <c r="AHK266" s="18"/>
      <c r="AHL266" s="18"/>
      <c r="AHM266" s="18"/>
      <c r="AHN266" s="18"/>
      <c r="AHO266" s="18"/>
      <c r="AHP266" s="18"/>
      <c r="AHQ266" s="18"/>
      <c r="AHR266" s="18"/>
      <c r="AHS266" s="18"/>
      <c r="AHT266" s="18"/>
      <c r="AHU266" s="18"/>
      <c r="AHV266" s="18"/>
      <c r="AHW266" s="18"/>
      <c r="AHX266" s="18"/>
      <c r="AHY266" s="18"/>
      <c r="AHZ266" s="18"/>
      <c r="AIA266" s="18"/>
      <c r="AIB266" s="18"/>
      <c r="AIC266" s="18"/>
      <c r="AID266" s="18"/>
      <c r="AIE266" s="18"/>
      <c r="AIF266" s="18"/>
      <c r="AIG266" s="18"/>
      <c r="AIH266" s="18"/>
      <c r="AII266" s="18"/>
      <c r="AIJ266" s="18"/>
      <c r="AIK266" s="18"/>
      <c r="AIL266" s="18"/>
      <c r="AIM266" s="18"/>
      <c r="AIN266" s="18"/>
      <c r="AIO266" s="18"/>
      <c r="AIP266" s="18"/>
      <c r="AIQ266" s="18"/>
      <c r="AIR266" s="18"/>
      <c r="AIS266" s="18"/>
      <c r="AIT266" s="18"/>
      <c r="AIU266" s="18"/>
      <c r="AIV266" s="18"/>
      <c r="AIW266" s="18"/>
      <c r="AIX266" s="18"/>
      <c r="AIY266" s="18"/>
      <c r="AIZ266" s="18"/>
      <c r="AJA266" s="18"/>
      <c r="AJB266" s="18"/>
      <c r="AJC266" s="18"/>
      <c r="AJD266" s="18"/>
      <c r="AJE266" s="18"/>
      <c r="AJF266" s="18"/>
      <c r="AJG266" s="18"/>
      <c r="AJH266" s="18"/>
      <c r="AJI266" s="18"/>
      <c r="AJJ266" s="18"/>
      <c r="AJK266" s="18"/>
      <c r="AJL266" s="18"/>
      <c r="AJM266" s="18"/>
      <c r="AJN266" s="18"/>
      <c r="AJO266" s="18"/>
      <c r="AJP266" s="18"/>
      <c r="AJQ266" s="18"/>
      <c r="AJR266" s="18"/>
      <c r="AJS266" s="18"/>
      <c r="AJT266" s="18"/>
      <c r="AJU266" s="18"/>
      <c r="AJV266" s="18"/>
      <c r="AJW266" s="18"/>
      <c r="AJX266" s="18"/>
      <c r="AJY266" s="18"/>
      <c r="AJZ266" s="18"/>
      <c r="AKA266" s="18"/>
      <c r="AKB266" s="18"/>
      <c r="AKC266" s="18"/>
      <c r="AKD266" s="18"/>
      <c r="AKE266" s="18"/>
      <c r="AKF266" s="18"/>
      <c r="AKG266" s="18"/>
      <c r="AKH266" s="18"/>
      <c r="AKI266" s="18"/>
      <c r="AKJ266" s="18"/>
      <c r="AKK266" s="18"/>
      <c r="AKL266" s="18"/>
      <c r="AKM266" s="18"/>
      <c r="AKN266" s="18"/>
      <c r="AKO266" s="18"/>
      <c r="AKP266" s="18"/>
      <c r="AKQ266" s="18"/>
      <c r="AKR266" s="18"/>
      <c r="AKS266" s="18"/>
      <c r="AKT266" s="18"/>
      <c r="AKU266" s="18"/>
      <c r="AKV266" s="18"/>
      <c r="AKW266" s="18"/>
      <c r="AKX266" s="18"/>
      <c r="AKY266" s="18"/>
      <c r="AKZ266" s="18"/>
      <c r="ALA266" s="18"/>
      <c r="ALB266" s="18"/>
      <c r="ALC266" s="18"/>
      <c r="ALD266" s="18"/>
      <c r="ALE266" s="18"/>
      <c r="ALF266" s="18"/>
      <c r="ALG266" s="18"/>
      <c r="ALH266" s="18"/>
      <c r="ALI266" s="18"/>
      <c r="ALJ266" s="18"/>
      <c r="ALK266" s="18"/>
      <c r="ALL266" s="18"/>
      <c r="ALM266" s="18"/>
      <c r="ALN266" s="18"/>
      <c r="ALO266" s="18"/>
      <c r="ALP266" s="18"/>
      <c r="ALQ266" s="18"/>
      <c r="ALR266" s="18"/>
      <c r="ALS266" s="18"/>
      <c r="ALT266" s="18"/>
      <c r="ALU266" s="18"/>
      <c r="ALV266" s="18"/>
      <c r="ALW266" s="18"/>
      <c r="ALX266" s="18"/>
      <c r="ALY266" s="18"/>
      <c r="ALZ266" s="18"/>
      <c r="AMA266" s="18"/>
      <c r="AMB266" s="18"/>
      <c r="AMC266" s="18"/>
      <c r="AMD266" s="18"/>
      <c r="AME266" s="18"/>
      <c r="AMF266" s="18"/>
      <c r="AMG266" s="18"/>
      <c r="AMH266" s="18"/>
      <c r="AMI266" s="18"/>
      <c r="AMJ266" s="18"/>
      <c r="AMK266" s="18"/>
      <c r="AML266" s="18"/>
      <c r="AMM266" s="18"/>
      <c r="AMN266" s="18"/>
      <c r="AMO266" s="18"/>
      <c r="AMP266" s="18"/>
      <c r="AMQ266" s="18"/>
      <c r="AMR266" s="18"/>
      <c r="AMS266" s="18"/>
      <c r="AMT266" s="18"/>
      <c r="AMU266" s="18"/>
      <c r="AMV266" s="18"/>
      <c r="AMW266" s="18"/>
      <c r="AMX266" s="18"/>
      <c r="AMY266" s="18"/>
      <c r="AMZ266" s="18"/>
      <c r="ANA266" s="18"/>
      <c r="ANB266" s="18"/>
      <c r="ANC266" s="18"/>
      <c r="AND266" s="18"/>
      <c r="ANE266" s="18"/>
      <c r="ANF266" s="18"/>
      <c r="ANG266" s="18"/>
      <c r="ANH266" s="18"/>
      <c r="ANI266" s="18"/>
      <c r="ANJ266" s="18"/>
      <c r="ANK266" s="18"/>
      <c r="ANL266" s="18"/>
      <c r="ANM266" s="18"/>
      <c r="ANN266" s="18"/>
      <c r="ANO266" s="18"/>
      <c r="ANP266" s="18"/>
      <c r="ANQ266" s="18"/>
      <c r="ANR266" s="18"/>
      <c r="ANS266" s="18"/>
      <c r="ANT266" s="18"/>
      <c r="ANU266" s="18"/>
      <c r="ANV266" s="18"/>
      <c r="ANW266" s="18"/>
      <c r="ANX266" s="18"/>
      <c r="ANY266" s="18"/>
      <c r="ANZ266" s="18"/>
      <c r="AOA266" s="18"/>
      <c r="AOB266" s="18"/>
      <c r="AOC266" s="18"/>
      <c r="AOD266" s="18"/>
      <c r="AOE266" s="18"/>
      <c r="AOF266" s="18"/>
      <c r="AOG266" s="18"/>
      <c r="AOH266" s="18"/>
      <c r="AOI266" s="18"/>
      <c r="AOJ266" s="18"/>
      <c r="AOK266" s="18"/>
      <c r="AOL266" s="18"/>
      <c r="AOM266" s="18"/>
      <c r="AON266" s="18"/>
      <c r="AOO266" s="18"/>
      <c r="AOP266" s="18"/>
      <c r="AOQ266" s="18"/>
      <c r="AOR266" s="18"/>
      <c r="AOS266" s="18"/>
      <c r="AOT266" s="18"/>
      <c r="AOU266" s="18"/>
      <c r="AOV266" s="18"/>
      <c r="AOW266" s="18"/>
      <c r="AOX266" s="18"/>
      <c r="AOY266" s="18"/>
      <c r="AOZ266" s="18"/>
      <c r="APA266" s="18"/>
      <c r="APB266" s="18"/>
      <c r="APC266" s="18"/>
      <c r="APD266" s="18"/>
      <c r="APE266" s="18"/>
      <c r="APF266" s="18"/>
      <c r="APG266" s="18"/>
      <c r="APH266" s="18"/>
      <c r="API266" s="18"/>
      <c r="APJ266" s="18"/>
      <c r="APK266" s="18"/>
      <c r="APL266" s="18"/>
      <c r="APM266" s="18"/>
      <c r="APN266" s="18"/>
      <c r="APO266" s="18"/>
      <c r="APP266" s="18"/>
      <c r="APQ266" s="18"/>
      <c r="APR266" s="18"/>
      <c r="APS266" s="18"/>
      <c r="APT266" s="18"/>
      <c r="APU266" s="18"/>
      <c r="APV266" s="18"/>
      <c r="APW266" s="18"/>
      <c r="APX266" s="18"/>
      <c r="APY266" s="18"/>
      <c r="APZ266" s="18"/>
      <c r="AQA266" s="18"/>
      <c r="AQB266" s="18"/>
      <c r="AQC266" s="18"/>
      <c r="AQD266" s="18"/>
      <c r="AQE266" s="18"/>
      <c r="AQF266" s="18"/>
      <c r="AQG266" s="18"/>
      <c r="AQH266" s="18"/>
      <c r="AQI266" s="18"/>
      <c r="AQJ266" s="18"/>
      <c r="AQK266" s="18"/>
      <c r="AQL266" s="18"/>
      <c r="AQM266" s="18"/>
      <c r="AQN266" s="18"/>
      <c r="AQO266" s="18"/>
      <c r="AQP266" s="18"/>
      <c r="AQQ266" s="18"/>
      <c r="AQR266" s="18"/>
      <c r="AQS266" s="18"/>
      <c r="AQT266" s="18"/>
      <c r="AQU266" s="18"/>
      <c r="AQV266" s="18"/>
      <c r="AQW266" s="18"/>
      <c r="AQX266" s="18"/>
      <c r="AQY266" s="18"/>
      <c r="AQZ266" s="18"/>
      <c r="ARA266" s="18"/>
      <c r="ARB266" s="18"/>
      <c r="ARC266" s="18"/>
      <c r="ARD266" s="18"/>
      <c r="ARE266" s="18"/>
      <c r="ARF266" s="18"/>
      <c r="ARG266" s="18"/>
      <c r="ARH266" s="18"/>
      <c r="ARI266" s="18"/>
      <c r="ARJ266" s="18"/>
      <c r="ARK266" s="18"/>
      <c r="ARL266" s="18"/>
      <c r="ARM266" s="18"/>
      <c r="ARN266" s="18"/>
      <c r="ARO266" s="18"/>
      <c r="ARP266" s="18"/>
      <c r="ARQ266" s="18"/>
      <c r="ARR266" s="18"/>
      <c r="ARS266" s="18"/>
      <c r="ART266" s="18"/>
      <c r="ARU266" s="18"/>
      <c r="ARV266" s="18"/>
      <c r="ARW266" s="18"/>
      <c r="ARX266" s="18"/>
      <c r="ARY266" s="18"/>
      <c r="ARZ266" s="18"/>
      <c r="ASA266" s="18"/>
      <c r="ASB266" s="18"/>
      <c r="ASC266" s="18"/>
      <c r="ASD266" s="18"/>
      <c r="ASE266" s="18"/>
      <c r="ASF266" s="18"/>
      <c r="ASG266" s="18"/>
      <c r="ASH266" s="18"/>
      <c r="ASI266" s="18"/>
      <c r="ASJ266" s="18"/>
      <c r="ASK266" s="18"/>
      <c r="ASL266" s="18"/>
      <c r="ASM266" s="18"/>
      <c r="ASN266" s="18"/>
      <c r="ASO266" s="18"/>
      <c r="ASP266" s="18"/>
      <c r="ASQ266" s="18"/>
      <c r="ASR266" s="18"/>
      <c r="ASS266" s="18"/>
      <c r="AST266" s="18"/>
      <c r="ASU266" s="18"/>
      <c r="ASV266" s="18"/>
      <c r="ASW266" s="18"/>
      <c r="ASX266" s="18"/>
      <c r="ASY266" s="18"/>
      <c r="ASZ266" s="18"/>
      <c r="ATA266" s="18"/>
      <c r="ATB266" s="18"/>
      <c r="ATC266" s="18"/>
      <c r="ATD266" s="18"/>
      <c r="ATE266" s="18"/>
      <c r="ATF266" s="18"/>
      <c r="ATG266" s="18"/>
      <c r="ATH266" s="18"/>
      <c r="ATI266" s="18"/>
      <c r="ATJ266" s="18"/>
      <c r="ATK266" s="18"/>
      <c r="ATL266" s="18"/>
      <c r="ATM266" s="18"/>
      <c r="ATN266" s="18"/>
      <c r="ATO266" s="18"/>
      <c r="ATP266" s="18"/>
      <c r="ATQ266" s="18"/>
      <c r="ATR266" s="18"/>
      <c r="ATS266" s="18"/>
      <c r="ATT266" s="18"/>
      <c r="ATU266" s="18"/>
      <c r="ATV266" s="18"/>
      <c r="ATW266" s="18"/>
      <c r="ATX266" s="18"/>
      <c r="ATY266" s="18"/>
      <c r="ATZ266" s="18"/>
      <c r="AUA266" s="18"/>
      <c r="AUB266" s="18"/>
      <c r="AUC266" s="18"/>
      <c r="AUD266" s="18"/>
      <c r="AUE266" s="18"/>
      <c r="AUF266" s="18"/>
      <c r="AUG266" s="18"/>
      <c r="AUH266" s="18"/>
      <c r="AUI266" s="18"/>
      <c r="AUJ266" s="18"/>
      <c r="AUK266" s="18"/>
      <c r="AUL266" s="18"/>
      <c r="AUM266" s="18"/>
      <c r="AUN266" s="18"/>
      <c r="AUO266" s="18"/>
      <c r="AUP266" s="18"/>
      <c r="AUQ266" s="18"/>
      <c r="AUR266" s="18"/>
      <c r="AUS266" s="18"/>
      <c r="AUT266" s="18"/>
      <c r="AUU266" s="18"/>
      <c r="AUV266" s="18"/>
      <c r="AUW266" s="18"/>
      <c r="AUX266" s="18"/>
      <c r="AUY266" s="18"/>
      <c r="AUZ266" s="18"/>
      <c r="AVA266" s="18"/>
      <c r="AVB266" s="18"/>
      <c r="AVC266" s="18"/>
      <c r="AVD266" s="18"/>
      <c r="AVE266" s="18"/>
      <c r="AVF266" s="18"/>
      <c r="AVG266" s="18"/>
      <c r="AVH266" s="18"/>
      <c r="AVI266" s="18"/>
      <c r="AVJ266" s="18"/>
      <c r="AVK266" s="18"/>
      <c r="AVL266" s="18"/>
      <c r="AVM266" s="18"/>
      <c r="AVN266" s="18"/>
      <c r="AVO266" s="18"/>
      <c r="AVP266" s="18"/>
      <c r="AVQ266" s="18"/>
      <c r="AVR266" s="18"/>
      <c r="AVS266" s="18"/>
      <c r="AVT266" s="18"/>
      <c r="AVU266" s="18"/>
      <c r="AVV266" s="18"/>
      <c r="AVW266" s="18"/>
      <c r="AVX266" s="18"/>
      <c r="AVY266" s="18"/>
      <c r="AVZ266" s="18"/>
      <c r="AWA266" s="18"/>
      <c r="AWB266" s="18"/>
      <c r="AWC266" s="18"/>
      <c r="AWD266" s="18"/>
      <c r="AWE266" s="18"/>
      <c r="AWF266" s="18"/>
      <c r="AWG266" s="18"/>
      <c r="AWH266" s="18"/>
      <c r="AWI266" s="18"/>
      <c r="AWJ266" s="18"/>
      <c r="AWK266" s="18"/>
      <c r="AWL266" s="18"/>
      <c r="AWM266" s="18"/>
      <c r="AWN266" s="18"/>
      <c r="AWO266" s="18"/>
      <c r="AWP266" s="18"/>
      <c r="AWQ266" s="18"/>
      <c r="AWR266" s="18"/>
      <c r="AWS266" s="18"/>
      <c r="AWT266" s="18"/>
      <c r="AWU266" s="18"/>
      <c r="AWV266" s="18"/>
      <c r="AWW266" s="18"/>
      <c r="AWX266" s="18"/>
      <c r="AWY266" s="18"/>
      <c r="AWZ266" s="18"/>
      <c r="AXA266" s="18"/>
      <c r="AXB266" s="18"/>
      <c r="AXC266" s="18"/>
      <c r="AXD266" s="18"/>
      <c r="AXE266" s="18"/>
      <c r="AXF266" s="18"/>
      <c r="AXG266" s="18"/>
      <c r="AXH266" s="18"/>
      <c r="AXI266" s="18"/>
      <c r="AXJ266" s="18"/>
      <c r="AXK266" s="18"/>
      <c r="AXL266" s="18"/>
      <c r="AXM266" s="18"/>
      <c r="AXN266" s="18"/>
      <c r="AXO266" s="18"/>
      <c r="AXP266" s="18"/>
      <c r="AXQ266" s="18"/>
      <c r="AXR266" s="18"/>
      <c r="AXS266" s="18"/>
      <c r="AXT266" s="18"/>
      <c r="AXU266" s="18"/>
      <c r="AXV266" s="18"/>
      <c r="AXW266" s="18"/>
      <c r="AXX266" s="18"/>
      <c r="AXY266" s="18"/>
      <c r="AXZ266" s="18"/>
      <c r="AYA266" s="18"/>
      <c r="AYB266" s="18"/>
      <c r="AYC266" s="18"/>
      <c r="AYD266" s="18"/>
      <c r="AYE266" s="18"/>
      <c r="AYF266" s="18"/>
      <c r="AYG266" s="18"/>
      <c r="AYH266" s="18"/>
      <c r="AYI266" s="18"/>
      <c r="AYJ266" s="18"/>
      <c r="AYK266" s="18"/>
      <c r="AYL266" s="18"/>
      <c r="AYM266" s="18"/>
      <c r="AYN266" s="18"/>
      <c r="AYO266" s="18"/>
      <c r="AYP266" s="18"/>
      <c r="AYQ266" s="18"/>
      <c r="AYR266" s="18"/>
      <c r="AYS266" s="18"/>
      <c r="AYT266" s="18"/>
      <c r="AYU266" s="18"/>
      <c r="AYV266" s="18"/>
      <c r="AYW266" s="18"/>
      <c r="AYX266" s="18"/>
      <c r="AYY266" s="18"/>
      <c r="AYZ266" s="18"/>
      <c r="AZA266" s="18"/>
      <c r="AZB266" s="18"/>
      <c r="AZC266" s="18"/>
      <c r="AZD266" s="18"/>
      <c r="AZE266" s="18"/>
      <c r="AZF266" s="18"/>
      <c r="AZG266" s="18"/>
      <c r="AZH266" s="18"/>
      <c r="AZI266" s="18"/>
      <c r="AZJ266" s="18"/>
      <c r="AZK266" s="18"/>
      <c r="AZL266" s="18"/>
      <c r="AZM266" s="18"/>
      <c r="AZN266" s="18"/>
      <c r="AZO266" s="18"/>
      <c r="AZP266" s="18"/>
      <c r="AZQ266" s="18"/>
      <c r="AZR266" s="18"/>
      <c r="AZS266" s="18"/>
      <c r="AZT266" s="18"/>
      <c r="AZU266" s="18"/>
      <c r="AZV266" s="18"/>
      <c r="AZW266" s="18"/>
      <c r="AZX266" s="18"/>
      <c r="AZY266" s="18"/>
      <c r="AZZ266" s="18"/>
      <c r="BAA266" s="18"/>
      <c r="BAB266" s="18"/>
      <c r="BAC266" s="18"/>
      <c r="BAD266" s="18"/>
      <c r="BAE266" s="18"/>
      <c r="BAF266" s="18"/>
      <c r="BAG266" s="18"/>
      <c r="BAH266" s="18"/>
      <c r="BAI266" s="18"/>
      <c r="BAJ266" s="18"/>
      <c r="BAK266" s="18"/>
      <c r="BAL266" s="18"/>
      <c r="BAM266" s="18"/>
      <c r="BAN266" s="18"/>
      <c r="BAO266" s="18"/>
      <c r="BAP266" s="18"/>
      <c r="BAQ266" s="18"/>
      <c r="BAR266" s="18"/>
      <c r="BAS266" s="18"/>
      <c r="BAT266" s="18"/>
      <c r="BAU266" s="18"/>
      <c r="BAV266" s="18"/>
      <c r="BAW266" s="18"/>
      <c r="BAX266" s="18"/>
      <c r="BAY266" s="18"/>
      <c r="BAZ266" s="18"/>
      <c r="BBA266" s="18"/>
      <c r="BBB266" s="18"/>
      <c r="BBC266" s="18"/>
      <c r="BBD266" s="18"/>
      <c r="BBE266" s="18"/>
      <c r="BBF266" s="18"/>
      <c r="BBG266" s="18"/>
      <c r="BBH266" s="18"/>
      <c r="BBI266" s="18"/>
      <c r="BBJ266" s="18"/>
      <c r="BBK266" s="18"/>
      <c r="BBL266" s="18"/>
      <c r="BBM266" s="18"/>
      <c r="BBN266" s="18"/>
      <c r="BBO266" s="18"/>
      <c r="BBP266" s="18"/>
      <c r="BBQ266" s="18"/>
      <c r="BBR266" s="18"/>
      <c r="BBS266" s="18"/>
      <c r="BBT266" s="18"/>
      <c r="BBU266" s="18"/>
      <c r="BBV266" s="18"/>
      <c r="BBW266" s="18"/>
      <c r="BBX266" s="18"/>
      <c r="BBY266" s="18"/>
      <c r="BBZ266" s="18"/>
      <c r="BCA266" s="18"/>
      <c r="BCB266" s="18"/>
      <c r="BCC266" s="18"/>
      <c r="BCD266" s="18"/>
      <c r="BCE266" s="18"/>
      <c r="BCF266" s="18"/>
      <c r="BCG266" s="18"/>
      <c r="BCH266" s="18"/>
      <c r="BCI266" s="18"/>
      <c r="BCJ266" s="18"/>
      <c r="BCK266" s="18"/>
      <c r="BCL266" s="18"/>
      <c r="BCM266" s="18"/>
      <c r="BCN266" s="18"/>
      <c r="BCO266" s="18"/>
      <c r="BCP266" s="18"/>
      <c r="BCQ266" s="18"/>
      <c r="BCR266" s="18"/>
      <c r="BCS266" s="18"/>
      <c r="BCT266" s="18"/>
      <c r="BCU266" s="18"/>
      <c r="BCV266" s="18"/>
      <c r="BCW266" s="18"/>
      <c r="BCX266" s="18"/>
      <c r="BCY266" s="18"/>
      <c r="BCZ266" s="18"/>
      <c r="BDA266" s="18"/>
      <c r="BDB266" s="18"/>
      <c r="BDC266" s="18"/>
      <c r="BDD266" s="18"/>
      <c r="BDE266" s="18"/>
      <c r="BDF266" s="18"/>
      <c r="BDG266" s="18"/>
      <c r="BDH266" s="18"/>
      <c r="BDI266" s="18"/>
      <c r="BDJ266" s="18"/>
      <c r="BDK266" s="18"/>
      <c r="BDL266" s="18"/>
      <c r="BDM266" s="18"/>
      <c r="BDN266" s="18"/>
      <c r="BDO266" s="18"/>
      <c r="BDP266" s="18"/>
      <c r="BDQ266" s="18"/>
      <c r="BDR266" s="18"/>
      <c r="BDS266" s="18"/>
      <c r="BDT266" s="18"/>
      <c r="BDU266" s="18"/>
      <c r="BDV266" s="18"/>
      <c r="BDW266" s="18"/>
      <c r="BDX266" s="18"/>
      <c r="BDY266" s="18"/>
      <c r="BDZ266" s="18"/>
      <c r="BEA266" s="18"/>
      <c r="BEB266" s="18"/>
      <c r="BEC266" s="18"/>
      <c r="BED266" s="18"/>
      <c r="BEE266" s="18"/>
      <c r="BEF266" s="18"/>
      <c r="BEG266" s="18"/>
      <c r="BEH266" s="18"/>
      <c r="BEI266" s="18"/>
      <c r="BEJ266" s="18"/>
      <c r="BEK266" s="18"/>
      <c r="BEL266" s="18"/>
      <c r="BEM266" s="18"/>
      <c r="BEN266" s="18"/>
      <c r="BEO266" s="18"/>
      <c r="BEP266" s="18"/>
      <c r="BEQ266" s="18"/>
      <c r="BER266" s="18"/>
      <c r="BES266" s="18"/>
      <c r="BET266" s="18"/>
      <c r="BEU266" s="18"/>
      <c r="BEV266" s="18"/>
      <c r="BEW266" s="18"/>
      <c r="BEX266" s="18"/>
      <c r="BEY266" s="18"/>
      <c r="BEZ266" s="18"/>
      <c r="BFA266" s="18"/>
      <c r="BFB266" s="18"/>
      <c r="BFC266" s="18"/>
      <c r="BFD266" s="18"/>
      <c r="BFE266" s="18"/>
      <c r="BFF266" s="18"/>
      <c r="BFG266" s="18"/>
      <c r="BFH266" s="18"/>
      <c r="BFI266" s="18"/>
      <c r="BFJ266" s="18"/>
      <c r="BFK266" s="18"/>
      <c r="BFL266" s="18"/>
      <c r="BFM266" s="18"/>
      <c r="BFN266" s="18"/>
      <c r="BFO266" s="18"/>
      <c r="BFP266" s="18"/>
      <c r="BFQ266" s="18"/>
      <c r="BFR266" s="18"/>
      <c r="BFS266" s="18"/>
      <c r="BFT266" s="18"/>
      <c r="BFU266" s="18"/>
      <c r="BFV266" s="18"/>
      <c r="BFW266" s="18"/>
      <c r="BFX266" s="18"/>
      <c r="BFY266" s="18"/>
      <c r="BFZ266" s="18"/>
      <c r="BGA266" s="18"/>
      <c r="BGB266" s="18"/>
      <c r="BGC266" s="18"/>
      <c r="BGD266" s="18"/>
      <c r="BGE266" s="18"/>
      <c r="BGF266" s="18"/>
      <c r="BGG266" s="18"/>
      <c r="BGH266" s="18"/>
      <c r="BGI266" s="18"/>
      <c r="BGJ266" s="18"/>
      <c r="BGK266" s="18"/>
      <c r="BGL266" s="18"/>
      <c r="BGM266" s="18"/>
      <c r="BGN266" s="18"/>
      <c r="BGO266" s="18"/>
      <c r="BGP266" s="18"/>
      <c r="BGQ266" s="18"/>
      <c r="BGR266" s="18"/>
      <c r="BGS266" s="18"/>
      <c r="BGT266" s="18"/>
      <c r="BGU266" s="18"/>
      <c r="BGV266" s="18"/>
      <c r="BGW266" s="18"/>
      <c r="BGX266" s="18"/>
      <c r="BGY266" s="18"/>
      <c r="BGZ266" s="18"/>
      <c r="BHA266" s="18"/>
      <c r="BHB266" s="18"/>
      <c r="BHC266" s="18"/>
      <c r="BHD266" s="18"/>
      <c r="BHE266" s="18"/>
      <c r="BHF266" s="18"/>
      <c r="BHG266" s="18"/>
      <c r="BHH266" s="18"/>
      <c r="BHI266" s="18"/>
      <c r="BHJ266" s="18"/>
      <c r="BHK266" s="18"/>
      <c r="BHL266" s="18"/>
      <c r="BHM266" s="18"/>
      <c r="BHN266" s="18"/>
      <c r="BHO266" s="18"/>
      <c r="BHP266" s="18"/>
      <c r="BHQ266" s="18"/>
      <c r="BHR266" s="18"/>
      <c r="BHS266" s="18"/>
      <c r="BHT266" s="18"/>
      <c r="BHU266" s="18"/>
      <c r="BHV266" s="18"/>
      <c r="BHW266" s="18"/>
      <c r="BHX266" s="18"/>
      <c r="BHY266" s="18"/>
      <c r="BHZ266" s="18"/>
      <c r="BIA266" s="18"/>
      <c r="BIB266" s="18"/>
      <c r="BIC266" s="18"/>
      <c r="BID266" s="18"/>
      <c r="BIE266" s="18"/>
      <c r="BIF266" s="18"/>
      <c r="BIG266" s="18"/>
      <c r="BIH266" s="18"/>
      <c r="BII266" s="18"/>
      <c r="BIJ266" s="18"/>
      <c r="BIK266" s="18"/>
      <c r="BIL266" s="18"/>
      <c r="BIM266" s="18"/>
      <c r="BIN266" s="18"/>
      <c r="BIO266" s="18"/>
      <c r="BIP266" s="18"/>
      <c r="BIQ266" s="18"/>
      <c r="BIR266" s="18"/>
      <c r="BIS266" s="18"/>
      <c r="BIT266" s="18"/>
      <c r="BIU266" s="18"/>
      <c r="BIV266" s="18"/>
      <c r="BIW266" s="18"/>
      <c r="BIX266" s="18"/>
      <c r="BIY266" s="18"/>
      <c r="BIZ266" s="18"/>
      <c r="BJA266" s="18"/>
      <c r="BJB266" s="18"/>
      <c r="BJC266" s="18"/>
      <c r="BJD266" s="18"/>
      <c r="BJE266" s="18"/>
      <c r="BJF266" s="18"/>
      <c r="BJG266" s="18"/>
      <c r="BJH266" s="18"/>
      <c r="BJI266" s="18"/>
      <c r="BJJ266" s="18"/>
      <c r="BJK266" s="18"/>
      <c r="BJL266" s="18"/>
      <c r="BJM266" s="18"/>
      <c r="BJN266" s="18"/>
      <c r="BJO266" s="18"/>
      <c r="BJP266" s="18"/>
      <c r="BJQ266" s="18"/>
      <c r="BJR266" s="18"/>
      <c r="BJS266" s="18"/>
      <c r="BJT266" s="18"/>
      <c r="BJU266" s="18"/>
      <c r="BJV266" s="18"/>
      <c r="BJW266" s="18"/>
      <c r="BJX266" s="18"/>
      <c r="BJY266" s="18"/>
      <c r="BJZ266" s="18"/>
      <c r="BKA266" s="18"/>
      <c r="BKB266" s="18"/>
      <c r="BKC266" s="18"/>
      <c r="BKD266" s="18"/>
      <c r="BKE266" s="18"/>
      <c r="BKF266" s="18"/>
      <c r="BKG266" s="18"/>
      <c r="BKH266" s="18"/>
      <c r="BKI266" s="18"/>
      <c r="BKJ266" s="18"/>
      <c r="BKK266" s="18"/>
      <c r="BKL266" s="18"/>
      <c r="BKM266" s="18"/>
      <c r="BKN266" s="18"/>
      <c r="BKO266" s="18"/>
      <c r="BKP266" s="18"/>
      <c r="BKQ266" s="18"/>
      <c r="BKR266" s="18"/>
      <c r="BKS266" s="18"/>
      <c r="BKT266" s="18"/>
      <c r="BKU266" s="18"/>
      <c r="BKV266" s="18"/>
      <c r="BKW266" s="18"/>
      <c r="BKX266" s="18"/>
      <c r="BKY266" s="18"/>
      <c r="BKZ266" s="18"/>
      <c r="BLA266" s="18"/>
      <c r="BLB266" s="18"/>
      <c r="BLC266" s="18"/>
      <c r="BLD266" s="18"/>
      <c r="BLE266" s="18"/>
      <c r="BLF266" s="18"/>
      <c r="BLG266" s="18"/>
      <c r="BLH266" s="18"/>
      <c r="BLI266" s="18"/>
      <c r="BLJ266" s="18"/>
      <c r="BLK266" s="18"/>
      <c r="BLL266" s="18"/>
      <c r="BLM266" s="18"/>
      <c r="BLN266" s="18"/>
      <c r="BLO266" s="18"/>
      <c r="BLP266" s="18"/>
      <c r="BLQ266" s="18"/>
      <c r="BLR266" s="18"/>
      <c r="BLS266" s="18"/>
      <c r="BLT266" s="18"/>
      <c r="BLU266" s="18"/>
      <c r="BLV266" s="18"/>
      <c r="BLW266" s="18"/>
      <c r="BLX266" s="18"/>
      <c r="BLY266" s="18"/>
      <c r="BLZ266" s="18"/>
      <c r="BMA266" s="18"/>
      <c r="BMB266" s="18"/>
      <c r="BMC266" s="18"/>
      <c r="BMD266" s="18"/>
      <c r="BME266" s="18"/>
      <c r="BMF266" s="18"/>
      <c r="BMG266" s="18"/>
      <c r="BMH266" s="18"/>
      <c r="BMI266" s="18"/>
      <c r="BMJ266" s="18"/>
      <c r="BMK266" s="18"/>
      <c r="BML266" s="18"/>
      <c r="BMM266" s="18"/>
      <c r="BMN266" s="18"/>
      <c r="BMO266" s="18"/>
      <c r="BMP266" s="18"/>
      <c r="BMQ266" s="18"/>
      <c r="BMR266" s="18"/>
      <c r="BMS266" s="18"/>
      <c r="BMT266" s="18"/>
      <c r="BMU266" s="18"/>
      <c r="BMV266" s="18"/>
      <c r="BMW266" s="18"/>
      <c r="BMX266" s="18"/>
      <c r="BMY266" s="18"/>
      <c r="BMZ266" s="18"/>
      <c r="BNA266" s="18"/>
      <c r="BNB266" s="18"/>
      <c r="BNC266" s="18"/>
      <c r="BND266" s="18"/>
      <c r="BNE266" s="18"/>
      <c r="BNF266" s="18"/>
      <c r="BNG266" s="18"/>
      <c r="BNH266" s="18"/>
      <c r="BNI266" s="18"/>
      <c r="BNJ266" s="18"/>
      <c r="BNK266" s="18"/>
      <c r="BNL266" s="18"/>
      <c r="BNM266" s="18"/>
      <c r="BNN266" s="18"/>
      <c r="BNO266" s="18"/>
      <c r="BNP266" s="18"/>
      <c r="BNQ266" s="18"/>
      <c r="BNR266" s="18"/>
      <c r="BNS266" s="18"/>
      <c r="BNT266" s="18"/>
      <c r="BNU266" s="18"/>
      <c r="BNV266" s="18"/>
      <c r="BNW266" s="18"/>
      <c r="BNX266" s="18"/>
      <c r="BNY266" s="18"/>
      <c r="BNZ266" s="18"/>
      <c r="BOA266" s="18"/>
      <c r="BOB266" s="18"/>
      <c r="BOC266" s="18"/>
      <c r="BOD266" s="18"/>
      <c r="BOE266" s="18"/>
      <c r="BOF266" s="18"/>
      <c r="BOG266" s="18"/>
      <c r="BOH266" s="18"/>
      <c r="BOI266" s="18"/>
      <c r="BOJ266" s="18"/>
      <c r="BOK266" s="18"/>
      <c r="BOL266" s="18"/>
      <c r="BOM266" s="18"/>
      <c r="BON266" s="18"/>
      <c r="BOO266" s="18"/>
      <c r="BOP266" s="18"/>
      <c r="BOQ266" s="18"/>
      <c r="BOR266" s="18"/>
      <c r="BOS266" s="18"/>
      <c r="BOT266" s="18"/>
      <c r="BOU266" s="18"/>
      <c r="BOV266" s="18"/>
      <c r="BOW266" s="18"/>
      <c r="BOX266" s="18"/>
      <c r="BOY266" s="18"/>
      <c r="BOZ266" s="18"/>
      <c r="BPA266" s="18"/>
      <c r="BPB266" s="18"/>
      <c r="BPC266" s="18"/>
      <c r="BPD266" s="18"/>
      <c r="BPE266" s="18"/>
      <c r="BPF266" s="18"/>
      <c r="BPG266" s="18"/>
      <c r="BPH266" s="18"/>
      <c r="BPI266" s="18"/>
      <c r="BPJ266" s="18"/>
      <c r="BPK266" s="18"/>
      <c r="BPL266" s="18"/>
      <c r="BPM266" s="18"/>
      <c r="BPN266" s="18"/>
      <c r="BPO266" s="18"/>
      <c r="BPP266" s="18"/>
      <c r="BPQ266" s="18"/>
      <c r="BPR266" s="18"/>
      <c r="BPS266" s="18"/>
      <c r="BPT266" s="18"/>
      <c r="BPU266" s="18"/>
      <c r="BPV266" s="18"/>
      <c r="BPW266" s="18"/>
      <c r="BPX266" s="18"/>
      <c r="BPY266" s="18"/>
      <c r="BPZ266" s="18"/>
      <c r="BQA266" s="18"/>
      <c r="BQB266" s="18"/>
      <c r="BQC266" s="18"/>
      <c r="BQD266" s="18"/>
      <c r="BQE266" s="18"/>
      <c r="BQF266" s="18"/>
      <c r="BQG266" s="18"/>
      <c r="BQH266" s="18"/>
      <c r="BQI266" s="18"/>
      <c r="BQJ266" s="18"/>
      <c r="BQK266" s="18"/>
      <c r="BQL266" s="18"/>
      <c r="BQM266" s="18"/>
      <c r="BQN266" s="18"/>
      <c r="BQO266" s="18"/>
      <c r="BQP266" s="18"/>
      <c r="BQQ266" s="18"/>
      <c r="BQR266" s="18"/>
      <c r="BQS266" s="18"/>
      <c r="BQT266" s="18"/>
      <c r="BQU266" s="18"/>
      <c r="BQV266" s="18"/>
      <c r="BQW266" s="18"/>
      <c r="BQX266" s="18"/>
      <c r="BQY266" s="18"/>
      <c r="BQZ266" s="18"/>
      <c r="BRA266" s="18"/>
      <c r="BRB266" s="18"/>
      <c r="BRC266" s="18"/>
      <c r="BRD266" s="18"/>
      <c r="BRE266" s="18"/>
      <c r="BRF266" s="18"/>
      <c r="BRG266" s="18"/>
      <c r="BRH266" s="18"/>
      <c r="BRI266" s="18"/>
      <c r="BRJ266" s="18"/>
      <c r="BRK266" s="18"/>
      <c r="BRL266" s="18"/>
      <c r="BRM266" s="18"/>
      <c r="BRN266" s="18"/>
      <c r="BRO266" s="18"/>
      <c r="BRP266" s="18"/>
      <c r="BRQ266" s="18"/>
      <c r="BRR266" s="18"/>
      <c r="BRS266" s="18"/>
      <c r="BRT266" s="18"/>
      <c r="BRU266" s="18"/>
      <c r="BRV266" s="18"/>
      <c r="BRW266" s="18"/>
      <c r="BRX266" s="18"/>
      <c r="BRY266" s="18"/>
      <c r="BRZ266" s="18"/>
      <c r="BSA266" s="18"/>
      <c r="BSB266" s="18"/>
      <c r="BSC266" s="18"/>
      <c r="BSD266" s="18"/>
      <c r="BSE266" s="18"/>
      <c r="BSF266" s="18"/>
      <c r="BSG266" s="18"/>
      <c r="BSH266" s="18"/>
      <c r="BSI266" s="18"/>
      <c r="BSJ266" s="18"/>
      <c r="BSK266" s="18"/>
      <c r="BSL266" s="18"/>
      <c r="BSM266" s="18"/>
      <c r="BSN266" s="18"/>
      <c r="BSO266" s="18"/>
      <c r="BSP266" s="18"/>
      <c r="BSQ266" s="18"/>
      <c r="BSR266" s="18"/>
      <c r="BSS266" s="18"/>
      <c r="BST266" s="18"/>
      <c r="BSU266" s="18"/>
      <c r="BSV266" s="18"/>
      <c r="BSW266" s="18"/>
      <c r="BSX266" s="18"/>
      <c r="BSY266" s="18"/>
      <c r="BSZ266" s="18"/>
      <c r="BTA266" s="18"/>
      <c r="BTB266" s="18"/>
      <c r="BTC266" s="18"/>
      <c r="BTD266" s="18"/>
      <c r="BTE266" s="18"/>
      <c r="BTF266" s="18"/>
      <c r="BTG266" s="18"/>
      <c r="BTH266" s="18"/>
      <c r="BTI266" s="18"/>
    </row>
    <row r="267" spans="1:1881" s="811" customFormat="1" ht="78.75" hidden="1" customHeight="1" x14ac:dyDescent="0.3">
      <c r="A267" s="108">
        <v>602</v>
      </c>
      <c r="B267" s="712" t="s">
        <v>59</v>
      </c>
      <c r="C267" s="712" t="s">
        <v>529</v>
      </c>
      <c r="D267" s="107" t="s">
        <v>662</v>
      </c>
      <c r="E267" s="710" t="e">
        <f>HLOOKUP($D$2,'2020 Data(H)'!$C$1:$CZ$432,262,FALSE)</f>
        <v>#N/A</v>
      </c>
      <c r="F267" s="306">
        <v>0</v>
      </c>
      <c r="G267" s="815" t="str">
        <f>IF(ISBLANK(F267),"Please do not leave blank","")</f>
        <v/>
      </c>
      <c r="H267" s="771">
        <f>IF(F267&lt;0,"Note: Number is normally positive.",)</f>
        <v>0</v>
      </c>
      <c r="I267" s="79"/>
      <c r="J267" s="616"/>
      <c r="K267" s="18"/>
      <c r="L267" s="18"/>
      <c r="M267" s="18"/>
      <c r="N267" s="308"/>
      <c r="O267" s="18"/>
      <c r="P267" s="18"/>
      <c r="Q267" s="18"/>
      <c r="R267" s="18"/>
      <c r="S267" s="18"/>
      <c r="T267" s="18"/>
      <c r="U267" s="18"/>
      <c r="V267" s="18"/>
      <c r="W267" s="18"/>
      <c r="X267" s="18"/>
      <c r="Y267" s="18"/>
      <c r="Z267" s="108"/>
      <c r="AA267" s="108"/>
      <c r="AB267" s="108"/>
      <c r="AC267" s="108"/>
      <c r="AD267" s="108"/>
      <c r="AE267" s="108"/>
      <c r="AF267" s="108"/>
      <c r="AG267" s="108"/>
      <c r="AH267" s="108"/>
      <c r="AI267" s="108"/>
      <c r="AJ267" s="108"/>
      <c r="AK267" s="108"/>
      <c r="AL267" s="108"/>
      <c r="AM267" s="108"/>
      <c r="AN267" s="108"/>
      <c r="AO267" s="108"/>
      <c r="AP267" s="108"/>
      <c r="AQ267" s="108"/>
      <c r="AR267" s="108"/>
      <c r="AS267" s="18"/>
      <c r="AT267" s="18"/>
      <c r="AU267" s="18"/>
      <c r="AV267" s="18"/>
      <c r="AW267" s="18"/>
      <c r="AX267" s="18"/>
      <c r="AY267" s="18"/>
      <c r="AZ267" s="18"/>
      <c r="BA267" s="18"/>
      <c r="BB267" s="18"/>
      <c r="BC267" s="18"/>
      <c r="BD267" s="18"/>
      <c r="BE267" s="18"/>
      <c r="BF267" s="18"/>
      <c r="BG267" s="18"/>
      <c r="BH267" s="18"/>
      <c r="BI267" s="18"/>
      <c r="BJ267" s="18"/>
      <c r="BK267" s="18"/>
      <c r="BL267" s="18"/>
      <c r="BM267" s="18"/>
      <c r="BN267" s="18"/>
      <c r="BO267" s="18"/>
      <c r="BP267" s="18"/>
      <c r="BQ267" s="18"/>
      <c r="BR267" s="18"/>
      <c r="BS267" s="18"/>
      <c r="BT267" s="18"/>
      <c r="BU267" s="18"/>
      <c r="BV267" s="18"/>
      <c r="BW267" s="18"/>
      <c r="BX267" s="18"/>
      <c r="BY267" s="18"/>
      <c r="BZ267" s="18"/>
      <c r="CA267" s="18"/>
      <c r="CB267" s="18"/>
      <c r="CC267" s="18"/>
      <c r="CD267" s="18"/>
      <c r="CE267" s="18"/>
      <c r="CF267" s="18"/>
      <c r="CG267" s="18"/>
      <c r="CH267" s="18"/>
      <c r="CI267" s="18"/>
      <c r="CJ267" s="18"/>
      <c r="CK267" s="18"/>
      <c r="CL267" s="18"/>
      <c r="CM267" s="18"/>
      <c r="CN267" s="18"/>
      <c r="CO267" s="18"/>
      <c r="CP267" s="18"/>
      <c r="CQ267" s="18"/>
      <c r="CR267" s="18"/>
      <c r="CS267" s="18"/>
      <c r="CT267" s="18"/>
      <c r="CU267" s="18"/>
      <c r="CV267" s="18"/>
      <c r="CW267" s="18"/>
      <c r="CX267" s="18"/>
      <c r="CY267" s="18"/>
      <c r="CZ267" s="18"/>
      <c r="DA267" s="18"/>
      <c r="DB267" s="18"/>
      <c r="DC267" s="18"/>
      <c r="DD267" s="18"/>
      <c r="DE267" s="18"/>
      <c r="DF267" s="18"/>
      <c r="DG267" s="18"/>
      <c r="DH267" s="18"/>
      <c r="DI267" s="18"/>
      <c r="DJ267" s="18"/>
      <c r="DK267" s="18"/>
      <c r="DL267" s="18"/>
      <c r="DM267" s="18"/>
      <c r="DN267" s="18"/>
      <c r="DO267" s="18"/>
      <c r="DP267" s="18"/>
      <c r="DQ267" s="18"/>
      <c r="DR267" s="18"/>
      <c r="DS267" s="18"/>
      <c r="DT267" s="18"/>
      <c r="DU267" s="18"/>
      <c r="DV267" s="18"/>
      <c r="DW267" s="18"/>
      <c r="DX267" s="18"/>
      <c r="DY267" s="18"/>
      <c r="DZ267" s="18"/>
      <c r="EA267" s="18"/>
      <c r="EB267" s="18"/>
      <c r="EC267" s="18"/>
      <c r="ED267" s="18"/>
      <c r="EE267" s="18"/>
      <c r="EF267" s="18"/>
      <c r="EG267" s="18"/>
      <c r="EH267" s="18"/>
      <c r="EI267" s="18"/>
      <c r="EJ267" s="18"/>
      <c r="EK267" s="18"/>
      <c r="EL267" s="18"/>
      <c r="EM267" s="18"/>
      <c r="EN267" s="18"/>
      <c r="EO267" s="18"/>
      <c r="EP267" s="18"/>
      <c r="EQ267" s="18"/>
      <c r="ER267" s="18"/>
      <c r="ES267" s="18"/>
      <c r="ET267" s="18"/>
      <c r="EU267" s="18"/>
      <c r="EV267" s="18"/>
      <c r="EW267" s="18"/>
      <c r="EX267" s="18"/>
      <c r="EY267" s="18"/>
      <c r="EZ267" s="18"/>
      <c r="FA267" s="18"/>
      <c r="FB267" s="18"/>
      <c r="FC267" s="18"/>
      <c r="FD267" s="18"/>
      <c r="FE267" s="18"/>
      <c r="FF267" s="18"/>
      <c r="FG267" s="18"/>
      <c r="FH267" s="18"/>
      <c r="FI267" s="18"/>
      <c r="FJ267" s="18"/>
      <c r="FK267" s="18"/>
      <c r="FL267" s="18"/>
      <c r="FM267" s="18"/>
      <c r="FN267" s="18"/>
      <c r="FO267" s="18"/>
      <c r="FP267" s="18"/>
      <c r="FQ267" s="18"/>
      <c r="FR267" s="18"/>
      <c r="FS267" s="18"/>
      <c r="FT267" s="18"/>
      <c r="FU267" s="18"/>
      <c r="FV267" s="18"/>
      <c r="FW267" s="18"/>
      <c r="FX267" s="18"/>
      <c r="FY267" s="18"/>
      <c r="FZ267" s="18"/>
      <c r="GA267" s="18"/>
      <c r="GB267" s="18"/>
      <c r="GC267" s="18"/>
      <c r="GD267" s="18"/>
      <c r="GE267" s="18"/>
      <c r="GF267" s="18"/>
      <c r="GG267" s="18"/>
      <c r="GH267" s="18"/>
      <c r="GI267" s="18"/>
      <c r="GJ267" s="18"/>
      <c r="GK267" s="18"/>
      <c r="GL267" s="18"/>
      <c r="GM267" s="18"/>
      <c r="GN267" s="18"/>
      <c r="GO267" s="18"/>
      <c r="GP267" s="18"/>
      <c r="GQ267" s="18"/>
      <c r="GR267" s="18"/>
      <c r="GS267" s="18"/>
      <c r="GT267" s="18"/>
      <c r="GU267" s="18"/>
      <c r="GV267" s="18"/>
      <c r="GW267" s="18"/>
      <c r="GX267" s="18"/>
      <c r="GY267" s="18"/>
      <c r="GZ267" s="18"/>
      <c r="HA267" s="18"/>
      <c r="HB267" s="18"/>
      <c r="HC267" s="18"/>
      <c r="HD267" s="18"/>
      <c r="HE267" s="18"/>
      <c r="HF267" s="18"/>
      <c r="HG267" s="18"/>
      <c r="HH267" s="18"/>
      <c r="HI267" s="18"/>
      <c r="HJ267" s="18"/>
      <c r="HK267" s="18"/>
      <c r="HL267" s="18"/>
      <c r="HM267" s="18"/>
      <c r="HN267" s="18"/>
      <c r="HO267" s="18"/>
      <c r="HP267" s="18"/>
      <c r="HQ267" s="18"/>
      <c r="HR267" s="18"/>
      <c r="HS267" s="18"/>
      <c r="HT267" s="18"/>
      <c r="HU267" s="18"/>
      <c r="HV267" s="18"/>
      <c r="HW267" s="18"/>
      <c r="HX267" s="18"/>
      <c r="HY267" s="18"/>
      <c r="HZ267" s="18"/>
      <c r="IA267" s="18"/>
      <c r="IB267" s="18"/>
      <c r="IC267" s="18"/>
      <c r="ID267" s="18"/>
      <c r="IE267" s="18"/>
      <c r="IF267" s="18"/>
      <c r="IG267" s="18"/>
      <c r="IH267" s="18"/>
      <c r="II267" s="18"/>
      <c r="IJ267" s="18"/>
      <c r="IK267" s="18"/>
      <c r="IL267" s="18"/>
      <c r="IM267" s="18"/>
      <c r="IN267" s="18"/>
      <c r="IO267" s="18"/>
      <c r="IP267" s="18"/>
      <c r="IQ267" s="18"/>
      <c r="IR267" s="18"/>
      <c r="IS267" s="18"/>
      <c r="IT267" s="18"/>
      <c r="IU267" s="18"/>
      <c r="IV267" s="18"/>
      <c r="IW267" s="18"/>
      <c r="IX267" s="18"/>
      <c r="IY267" s="18"/>
      <c r="IZ267" s="18"/>
      <c r="JA267" s="18"/>
      <c r="JB267" s="18"/>
      <c r="JC267" s="18"/>
      <c r="JD267" s="18"/>
      <c r="JE267" s="18"/>
      <c r="JF267" s="18"/>
      <c r="JG267" s="18"/>
      <c r="JH267" s="18"/>
      <c r="JI267" s="18"/>
      <c r="JJ267" s="18"/>
      <c r="JK267" s="18"/>
      <c r="JL267" s="18"/>
      <c r="JM267" s="18"/>
      <c r="JN267" s="18"/>
      <c r="JO267" s="18"/>
      <c r="JP267" s="18"/>
      <c r="JQ267" s="18"/>
      <c r="JR267" s="18"/>
      <c r="JS267" s="18"/>
      <c r="JT267" s="18"/>
      <c r="JU267" s="18"/>
      <c r="JV267" s="18"/>
      <c r="JW267" s="18"/>
      <c r="JX267" s="18"/>
      <c r="JY267" s="18"/>
      <c r="JZ267" s="18"/>
      <c r="KA267" s="18"/>
      <c r="KB267" s="18"/>
      <c r="KC267" s="18"/>
      <c r="KD267" s="18"/>
      <c r="KE267" s="18"/>
      <c r="KF267" s="18"/>
      <c r="KG267" s="18"/>
      <c r="KH267" s="18"/>
      <c r="KI267" s="18"/>
      <c r="KJ267" s="18"/>
      <c r="KK267" s="18"/>
      <c r="KL267" s="18"/>
      <c r="KM267" s="18"/>
      <c r="KN267" s="18"/>
      <c r="KO267" s="18"/>
      <c r="KP267" s="18"/>
      <c r="KQ267" s="18"/>
      <c r="KR267" s="18"/>
      <c r="KS267" s="18"/>
      <c r="KT267" s="18"/>
      <c r="KU267" s="18"/>
      <c r="KV267" s="18"/>
      <c r="KW267" s="18"/>
      <c r="KX267" s="18"/>
      <c r="KY267" s="18"/>
      <c r="KZ267" s="18"/>
      <c r="LA267" s="18"/>
      <c r="LB267" s="18"/>
      <c r="LC267" s="18"/>
      <c r="LD267" s="18"/>
      <c r="LE267" s="18"/>
      <c r="LF267" s="18"/>
      <c r="LG267" s="18"/>
      <c r="LH267" s="18"/>
      <c r="LI267" s="18"/>
      <c r="LJ267" s="18"/>
      <c r="LK267" s="18"/>
      <c r="LL267" s="18"/>
      <c r="LM267" s="18"/>
      <c r="LN267" s="18"/>
      <c r="LO267" s="18"/>
      <c r="LP267" s="18"/>
      <c r="LQ267" s="18"/>
      <c r="LR267" s="18"/>
      <c r="LS267" s="18"/>
      <c r="LT267" s="18"/>
      <c r="LU267" s="18"/>
      <c r="LV267" s="18"/>
      <c r="LW267" s="18"/>
      <c r="LX267" s="18"/>
      <c r="LY267" s="18"/>
      <c r="LZ267" s="18"/>
      <c r="MA267" s="18"/>
      <c r="MB267" s="18"/>
      <c r="MC267" s="18"/>
      <c r="MD267" s="18"/>
      <c r="ME267" s="18"/>
      <c r="MF267" s="18"/>
      <c r="MG267" s="18"/>
      <c r="MH267" s="18"/>
      <c r="MI267" s="18"/>
      <c r="MJ267" s="18"/>
      <c r="MK267" s="18"/>
      <c r="ML267" s="18"/>
      <c r="MM267" s="18"/>
      <c r="MN267" s="18"/>
      <c r="MO267" s="18"/>
      <c r="MP267" s="18"/>
      <c r="MQ267" s="18"/>
      <c r="MR267" s="18"/>
      <c r="MS267" s="18"/>
      <c r="MT267" s="18"/>
      <c r="MU267" s="18"/>
      <c r="MV267" s="18"/>
      <c r="MW267" s="18"/>
      <c r="MX267" s="18"/>
      <c r="MY267" s="18"/>
      <c r="MZ267" s="18"/>
      <c r="NA267" s="18"/>
      <c r="NB267" s="18"/>
      <c r="NC267" s="18"/>
      <c r="ND267" s="18"/>
      <c r="NE267" s="18"/>
      <c r="NF267" s="18"/>
      <c r="NG267" s="18"/>
      <c r="NH267" s="18"/>
      <c r="NI267" s="18"/>
      <c r="NJ267" s="18"/>
      <c r="NK267" s="18"/>
      <c r="NL267" s="18"/>
      <c r="NM267" s="18"/>
      <c r="NN267" s="18"/>
      <c r="NO267" s="18"/>
      <c r="NP267" s="18"/>
      <c r="NQ267" s="18"/>
      <c r="NR267" s="18"/>
      <c r="NS267" s="18"/>
      <c r="NT267" s="18"/>
      <c r="NU267" s="18"/>
      <c r="NV267" s="18"/>
      <c r="NW267" s="18"/>
      <c r="NX267" s="18"/>
      <c r="NY267" s="18"/>
      <c r="NZ267" s="18"/>
      <c r="OA267" s="18"/>
      <c r="OB267" s="18"/>
      <c r="OC267" s="18"/>
      <c r="OD267" s="18"/>
      <c r="OE267" s="18"/>
      <c r="OF267" s="18"/>
      <c r="OG267" s="18"/>
      <c r="OH267" s="18"/>
      <c r="OI267" s="18"/>
      <c r="OJ267" s="18"/>
      <c r="OK267" s="18"/>
      <c r="OL267" s="18"/>
      <c r="OM267" s="18"/>
      <c r="ON267" s="18"/>
      <c r="OO267" s="18"/>
      <c r="OP267" s="18"/>
      <c r="OQ267" s="18"/>
      <c r="OR267" s="18"/>
      <c r="OS267" s="18"/>
      <c r="OT267" s="18"/>
      <c r="OU267" s="18"/>
      <c r="OV267" s="18"/>
      <c r="OW267" s="18"/>
      <c r="OX267" s="18"/>
      <c r="OY267" s="18"/>
      <c r="OZ267" s="18"/>
      <c r="PA267" s="18"/>
      <c r="PB267" s="18"/>
      <c r="PC267" s="18"/>
      <c r="PD267" s="18"/>
      <c r="PE267" s="18"/>
      <c r="PF267" s="18"/>
      <c r="PG267" s="18"/>
      <c r="PH267" s="18"/>
      <c r="PI267" s="18"/>
      <c r="PJ267" s="18"/>
      <c r="PK267" s="18"/>
      <c r="PL267" s="18"/>
      <c r="PM267" s="18"/>
      <c r="PN267" s="18"/>
      <c r="PO267" s="18"/>
      <c r="PP267" s="18"/>
      <c r="PQ267" s="18"/>
      <c r="PR267" s="18"/>
      <c r="PS267" s="18"/>
      <c r="PT267" s="18"/>
      <c r="PU267" s="18"/>
      <c r="PV267" s="18"/>
      <c r="PW267" s="18"/>
      <c r="PX267" s="18"/>
      <c r="PY267" s="18"/>
      <c r="PZ267" s="18"/>
      <c r="QA267" s="18"/>
      <c r="QB267" s="18"/>
      <c r="QC267" s="18"/>
      <c r="QD267" s="18"/>
      <c r="QE267" s="18"/>
      <c r="QF267" s="18"/>
      <c r="QG267" s="18"/>
      <c r="QH267" s="18"/>
      <c r="QI267" s="18"/>
      <c r="QJ267" s="18"/>
      <c r="QK267" s="18"/>
      <c r="QL267" s="18"/>
      <c r="QM267" s="18"/>
      <c r="QN267" s="18"/>
      <c r="QO267" s="18"/>
      <c r="QP267" s="18"/>
      <c r="QQ267" s="18"/>
      <c r="QR267" s="18"/>
      <c r="QS267" s="18"/>
      <c r="QT267" s="18"/>
      <c r="QU267" s="18"/>
      <c r="QV267" s="18"/>
      <c r="QW267" s="18"/>
      <c r="QX267" s="18"/>
      <c r="QY267" s="18"/>
      <c r="QZ267" s="18"/>
      <c r="RA267" s="18"/>
      <c r="RB267" s="18"/>
      <c r="RC267" s="18"/>
      <c r="RD267" s="18"/>
      <c r="RE267" s="18"/>
      <c r="RF267" s="18"/>
      <c r="RG267" s="18"/>
      <c r="RH267" s="18"/>
      <c r="RI267" s="18"/>
      <c r="RJ267" s="18"/>
      <c r="RK267" s="18"/>
      <c r="RL267" s="18"/>
      <c r="RM267" s="18"/>
      <c r="RN267" s="18"/>
      <c r="RO267" s="18"/>
      <c r="RP267" s="18"/>
      <c r="RQ267" s="18"/>
      <c r="RR267" s="18"/>
      <c r="RS267" s="18"/>
      <c r="RT267" s="18"/>
      <c r="RU267" s="18"/>
      <c r="RV267" s="18"/>
      <c r="RW267" s="18"/>
      <c r="RX267" s="18"/>
      <c r="RY267" s="18"/>
      <c r="RZ267" s="18"/>
      <c r="SA267" s="18"/>
      <c r="SB267" s="18"/>
      <c r="SC267" s="18"/>
      <c r="SD267" s="18"/>
      <c r="SE267" s="18"/>
      <c r="SF267" s="18"/>
      <c r="SG267" s="18"/>
      <c r="SH267" s="18"/>
      <c r="SI267" s="18"/>
      <c r="SJ267" s="18"/>
      <c r="SK267" s="18"/>
      <c r="SL267" s="18"/>
      <c r="SM267" s="18"/>
      <c r="SN267" s="18"/>
      <c r="SO267" s="18"/>
      <c r="SP267" s="18"/>
      <c r="SQ267" s="18"/>
      <c r="SR267" s="18"/>
      <c r="SS267" s="18"/>
      <c r="ST267" s="18"/>
      <c r="SU267" s="18"/>
      <c r="SV267" s="18"/>
      <c r="SW267" s="18"/>
      <c r="SX267" s="18"/>
      <c r="SY267" s="18"/>
      <c r="SZ267" s="18"/>
      <c r="TA267" s="18"/>
      <c r="TB267" s="18"/>
      <c r="TC267" s="18"/>
      <c r="TD267" s="18"/>
      <c r="TE267" s="18"/>
      <c r="TF267" s="18"/>
      <c r="TG267" s="18"/>
      <c r="TH267" s="18"/>
      <c r="TI267" s="18"/>
      <c r="TJ267" s="18"/>
      <c r="TK267" s="18"/>
      <c r="TL267" s="18"/>
      <c r="TM267" s="18"/>
      <c r="TN267" s="18"/>
      <c r="TO267" s="18"/>
      <c r="TP267" s="18"/>
      <c r="TQ267" s="18"/>
      <c r="TR267" s="18"/>
      <c r="TS267" s="18"/>
      <c r="TT267" s="18"/>
      <c r="TU267" s="18"/>
      <c r="TV267" s="18"/>
      <c r="TW267" s="18"/>
      <c r="TX267" s="18"/>
      <c r="TY267" s="18"/>
      <c r="TZ267" s="18"/>
      <c r="UA267" s="18"/>
      <c r="UB267" s="18"/>
      <c r="UC267" s="18"/>
      <c r="UD267" s="18"/>
      <c r="UE267" s="18"/>
      <c r="UF267" s="18"/>
      <c r="UG267" s="18"/>
      <c r="UH267" s="18"/>
      <c r="UI267" s="18"/>
      <c r="UJ267" s="18"/>
      <c r="UK267" s="18"/>
      <c r="UL267" s="18"/>
      <c r="UM267" s="18"/>
      <c r="UN267" s="18"/>
      <c r="UO267" s="18"/>
      <c r="UP267" s="18"/>
      <c r="UQ267" s="18"/>
      <c r="UR267" s="18"/>
      <c r="US267" s="18"/>
      <c r="UT267" s="18"/>
      <c r="UU267" s="18"/>
      <c r="UV267" s="18"/>
      <c r="UW267" s="18"/>
      <c r="UX267" s="18"/>
      <c r="UY267" s="18"/>
      <c r="UZ267" s="18"/>
      <c r="VA267" s="18"/>
      <c r="VB267" s="18"/>
      <c r="VC267" s="18"/>
      <c r="VD267" s="18"/>
      <c r="VE267" s="18"/>
      <c r="VF267" s="18"/>
      <c r="VG267" s="18"/>
      <c r="VH267" s="18"/>
      <c r="VI267" s="18"/>
      <c r="VJ267" s="18"/>
      <c r="VK267" s="18"/>
      <c r="VL267" s="18"/>
      <c r="VM267" s="18"/>
      <c r="VN267" s="18"/>
      <c r="VO267" s="18"/>
      <c r="VP267" s="18"/>
      <c r="VQ267" s="18"/>
      <c r="VR267" s="18"/>
      <c r="VS267" s="18"/>
      <c r="VT267" s="18"/>
      <c r="VU267" s="18"/>
      <c r="VV267" s="18"/>
      <c r="VW267" s="18"/>
      <c r="VX267" s="18"/>
      <c r="VY267" s="18"/>
      <c r="VZ267" s="18"/>
      <c r="WA267" s="18"/>
      <c r="WB267" s="18"/>
      <c r="WC267" s="18"/>
      <c r="WD267" s="18"/>
      <c r="WE267" s="18"/>
      <c r="WF267" s="18"/>
      <c r="WG267" s="18"/>
      <c r="WH267" s="18"/>
      <c r="WI267" s="18"/>
      <c r="WJ267" s="18"/>
      <c r="WK267" s="18"/>
      <c r="WL267" s="18"/>
      <c r="WM267" s="18"/>
      <c r="WN267" s="18"/>
      <c r="WO267" s="18"/>
      <c r="WP267" s="18"/>
      <c r="WQ267" s="18"/>
      <c r="WR267" s="18"/>
      <c r="WS267" s="18"/>
      <c r="WT267" s="18"/>
      <c r="WU267" s="18"/>
      <c r="WV267" s="18"/>
      <c r="WW267" s="18"/>
      <c r="WX267" s="18"/>
      <c r="WY267" s="18"/>
      <c r="WZ267" s="18"/>
      <c r="XA267" s="18"/>
      <c r="XB267" s="18"/>
      <c r="XC267" s="18"/>
      <c r="XD267" s="18"/>
      <c r="XE267" s="18"/>
      <c r="XF267" s="18"/>
      <c r="XG267" s="18"/>
      <c r="XH267" s="18"/>
      <c r="XI267" s="18"/>
      <c r="XJ267" s="18"/>
      <c r="XK267" s="18"/>
      <c r="XL267" s="18"/>
      <c r="XM267" s="18"/>
      <c r="XN267" s="18"/>
      <c r="XO267" s="18"/>
      <c r="XP267" s="18"/>
      <c r="XQ267" s="18"/>
      <c r="XR267" s="18"/>
      <c r="XS267" s="18"/>
      <c r="XT267" s="18"/>
      <c r="XU267" s="18"/>
      <c r="XV267" s="18"/>
      <c r="XW267" s="18"/>
      <c r="XX267" s="18"/>
      <c r="XY267" s="18"/>
      <c r="XZ267" s="18"/>
      <c r="YA267" s="18"/>
      <c r="YB267" s="18"/>
      <c r="YC267" s="18"/>
      <c r="YD267" s="18"/>
      <c r="YE267" s="18"/>
      <c r="YF267" s="18"/>
      <c r="YG267" s="18"/>
      <c r="YH267" s="18"/>
      <c r="YI267" s="18"/>
      <c r="YJ267" s="18"/>
      <c r="YK267" s="18"/>
      <c r="YL267" s="18"/>
      <c r="YM267" s="18"/>
      <c r="YN267" s="18"/>
      <c r="YO267" s="18"/>
      <c r="YP267" s="18"/>
      <c r="YQ267" s="18"/>
      <c r="YR267" s="18"/>
      <c r="YS267" s="18"/>
      <c r="YT267" s="18"/>
      <c r="YU267" s="18"/>
      <c r="YV267" s="18"/>
      <c r="YW267" s="18"/>
      <c r="YX267" s="18"/>
      <c r="YY267" s="18"/>
      <c r="YZ267" s="18"/>
      <c r="ZA267" s="18"/>
      <c r="ZB267" s="18"/>
      <c r="ZC267" s="18"/>
      <c r="ZD267" s="18"/>
      <c r="ZE267" s="18"/>
      <c r="ZF267" s="18"/>
      <c r="ZG267" s="18"/>
      <c r="ZH267" s="18"/>
      <c r="ZI267" s="18"/>
      <c r="ZJ267" s="18"/>
      <c r="ZK267" s="18"/>
      <c r="ZL267" s="18"/>
      <c r="ZM267" s="18"/>
      <c r="ZN267" s="18"/>
      <c r="ZO267" s="18"/>
      <c r="ZP267" s="18"/>
      <c r="ZQ267" s="18"/>
      <c r="ZR267" s="18"/>
      <c r="ZS267" s="18"/>
      <c r="ZT267" s="18"/>
      <c r="ZU267" s="18"/>
      <c r="ZV267" s="18"/>
      <c r="ZW267" s="18"/>
      <c r="ZX267" s="18"/>
      <c r="ZY267" s="18"/>
      <c r="ZZ267" s="18"/>
      <c r="AAA267" s="18"/>
      <c r="AAB267" s="18"/>
      <c r="AAC267" s="18"/>
      <c r="AAD267" s="18"/>
      <c r="AAE267" s="18"/>
      <c r="AAF267" s="18"/>
      <c r="AAG267" s="18"/>
      <c r="AAH267" s="18"/>
      <c r="AAI267" s="18"/>
      <c r="AAJ267" s="18"/>
      <c r="AAK267" s="18"/>
      <c r="AAL267" s="18"/>
      <c r="AAM267" s="18"/>
      <c r="AAN267" s="18"/>
      <c r="AAO267" s="18"/>
      <c r="AAP267" s="18"/>
      <c r="AAQ267" s="18"/>
      <c r="AAR267" s="18"/>
      <c r="AAS267" s="18"/>
      <c r="AAT267" s="18"/>
      <c r="AAU267" s="18"/>
      <c r="AAV267" s="18"/>
      <c r="AAW267" s="18"/>
      <c r="AAX267" s="18"/>
      <c r="AAY267" s="18"/>
      <c r="AAZ267" s="18"/>
      <c r="ABA267" s="18"/>
      <c r="ABB267" s="18"/>
      <c r="ABC267" s="18"/>
      <c r="ABD267" s="18"/>
      <c r="ABE267" s="18"/>
      <c r="ABF267" s="18"/>
      <c r="ABG267" s="18"/>
      <c r="ABH267" s="18"/>
      <c r="ABI267" s="18"/>
      <c r="ABJ267" s="18"/>
      <c r="ABK267" s="18"/>
      <c r="ABL267" s="18"/>
      <c r="ABM267" s="18"/>
      <c r="ABN267" s="18"/>
      <c r="ABO267" s="18"/>
      <c r="ABP267" s="18"/>
      <c r="ABQ267" s="18"/>
      <c r="ABR267" s="18"/>
      <c r="ABS267" s="18"/>
      <c r="ABT267" s="18"/>
      <c r="ABU267" s="18"/>
      <c r="ABV267" s="18"/>
      <c r="ABW267" s="18"/>
      <c r="ABX267" s="18"/>
      <c r="ABY267" s="18"/>
      <c r="ABZ267" s="18"/>
      <c r="ACA267" s="18"/>
      <c r="ACB267" s="18"/>
      <c r="ACC267" s="18"/>
      <c r="ACD267" s="18"/>
      <c r="ACE267" s="18"/>
      <c r="ACF267" s="18"/>
      <c r="ACG267" s="18"/>
      <c r="ACH267" s="18"/>
      <c r="ACI267" s="18"/>
      <c r="ACJ267" s="18"/>
      <c r="ACK267" s="18"/>
      <c r="ACL267" s="18"/>
      <c r="ACM267" s="18"/>
      <c r="ACN267" s="18"/>
      <c r="ACO267" s="18"/>
      <c r="ACP267" s="18"/>
      <c r="ACQ267" s="18"/>
      <c r="ACR267" s="18"/>
      <c r="ACS267" s="18"/>
      <c r="ACT267" s="18"/>
      <c r="ACU267" s="18"/>
      <c r="ACV267" s="18"/>
      <c r="ACW267" s="18"/>
      <c r="ACX267" s="18"/>
      <c r="ACY267" s="18"/>
      <c r="ACZ267" s="18"/>
      <c r="ADA267" s="18"/>
      <c r="ADB267" s="18"/>
      <c r="ADC267" s="18"/>
      <c r="ADD267" s="18"/>
      <c r="ADE267" s="18"/>
      <c r="ADF267" s="18"/>
      <c r="ADG267" s="18"/>
      <c r="ADH267" s="18"/>
      <c r="ADI267" s="18"/>
      <c r="ADJ267" s="18"/>
      <c r="ADK267" s="18"/>
      <c r="ADL267" s="18"/>
      <c r="ADM267" s="18"/>
      <c r="ADN267" s="18"/>
      <c r="ADO267" s="18"/>
      <c r="ADP267" s="18"/>
      <c r="ADQ267" s="18"/>
      <c r="ADR267" s="18"/>
      <c r="ADS267" s="18"/>
      <c r="ADT267" s="18"/>
      <c r="ADU267" s="18"/>
      <c r="ADV267" s="18"/>
      <c r="ADW267" s="18"/>
      <c r="ADX267" s="18"/>
      <c r="ADY267" s="18"/>
      <c r="ADZ267" s="18"/>
      <c r="AEA267" s="18"/>
      <c r="AEB267" s="18"/>
      <c r="AEC267" s="18"/>
      <c r="AED267" s="18"/>
      <c r="AEE267" s="18"/>
      <c r="AEF267" s="18"/>
      <c r="AEG267" s="18"/>
      <c r="AEH267" s="18"/>
      <c r="AEI267" s="18"/>
      <c r="AEJ267" s="18"/>
      <c r="AEK267" s="18"/>
      <c r="AEL267" s="18"/>
      <c r="AEM267" s="18"/>
      <c r="AEN267" s="18"/>
      <c r="AEO267" s="18"/>
      <c r="AEP267" s="18"/>
      <c r="AEQ267" s="18"/>
      <c r="AER267" s="18"/>
      <c r="AES267" s="18"/>
      <c r="AET267" s="18"/>
      <c r="AEU267" s="18"/>
      <c r="AEV267" s="18"/>
      <c r="AEW267" s="18"/>
      <c r="AEX267" s="18"/>
      <c r="AEY267" s="18"/>
      <c r="AEZ267" s="18"/>
      <c r="AFA267" s="18"/>
      <c r="AFB267" s="18"/>
      <c r="AFC267" s="18"/>
      <c r="AFD267" s="18"/>
      <c r="AFE267" s="18"/>
      <c r="AFF267" s="18"/>
      <c r="AFG267" s="18"/>
      <c r="AFH267" s="18"/>
      <c r="AFI267" s="18"/>
      <c r="AFJ267" s="18"/>
      <c r="AFK267" s="18"/>
      <c r="AFL267" s="18"/>
      <c r="AFM267" s="18"/>
      <c r="AFN267" s="18"/>
      <c r="AFO267" s="18"/>
      <c r="AFP267" s="18"/>
      <c r="AFQ267" s="18"/>
      <c r="AFR267" s="18"/>
      <c r="AFS267" s="18"/>
      <c r="AFT267" s="18"/>
      <c r="AFU267" s="18"/>
      <c r="AFV267" s="18"/>
      <c r="AFW267" s="18"/>
      <c r="AFX267" s="18"/>
      <c r="AFY267" s="18"/>
      <c r="AFZ267" s="18"/>
      <c r="AGA267" s="18"/>
      <c r="AGB267" s="18"/>
      <c r="AGC267" s="18"/>
      <c r="AGD267" s="18"/>
      <c r="AGE267" s="18"/>
      <c r="AGF267" s="18"/>
      <c r="AGG267" s="18"/>
      <c r="AGH267" s="18"/>
      <c r="AGI267" s="18"/>
      <c r="AGJ267" s="18"/>
      <c r="AGK267" s="18"/>
      <c r="AGL267" s="18"/>
      <c r="AGM267" s="18"/>
      <c r="AGN267" s="18"/>
      <c r="AGO267" s="18"/>
      <c r="AGP267" s="18"/>
      <c r="AGQ267" s="18"/>
      <c r="AGR267" s="18"/>
      <c r="AGS267" s="18"/>
      <c r="AGT267" s="18"/>
      <c r="AGU267" s="18"/>
      <c r="AGV267" s="18"/>
      <c r="AGW267" s="18"/>
      <c r="AGX267" s="18"/>
      <c r="AGY267" s="18"/>
      <c r="AGZ267" s="18"/>
      <c r="AHA267" s="18"/>
      <c r="AHB267" s="18"/>
      <c r="AHC267" s="18"/>
      <c r="AHD267" s="18"/>
      <c r="AHE267" s="18"/>
      <c r="AHF267" s="18"/>
      <c r="AHG267" s="18"/>
      <c r="AHH267" s="18"/>
      <c r="AHI267" s="18"/>
      <c r="AHJ267" s="18"/>
      <c r="AHK267" s="18"/>
      <c r="AHL267" s="18"/>
      <c r="AHM267" s="18"/>
      <c r="AHN267" s="18"/>
      <c r="AHO267" s="18"/>
      <c r="AHP267" s="18"/>
      <c r="AHQ267" s="18"/>
      <c r="AHR267" s="18"/>
      <c r="AHS267" s="18"/>
      <c r="AHT267" s="18"/>
      <c r="AHU267" s="18"/>
      <c r="AHV267" s="18"/>
      <c r="AHW267" s="18"/>
      <c r="AHX267" s="18"/>
      <c r="AHY267" s="18"/>
      <c r="AHZ267" s="18"/>
      <c r="AIA267" s="18"/>
      <c r="AIB267" s="18"/>
      <c r="AIC267" s="18"/>
      <c r="AID267" s="18"/>
      <c r="AIE267" s="18"/>
      <c r="AIF267" s="18"/>
      <c r="AIG267" s="18"/>
      <c r="AIH267" s="18"/>
      <c r="AII267" s="18"/>
      <c r="AIJ267" s="18"/>
      <c r="AIK267" s="18"/>
      <c r="AIL267" s="18"/>
      <c r="AIM267" s="18"/>
      <c r="AIN267" s="18"/>
      <c r="AIO267" s="18"/>
      <c r="AIP267" s="18"/>
      <c r="AIQ267" s="18"/>
      <c r="AIR267" s="18"/>
      <c r="AIS267" s="18"/>
      <c r="AIT267" s="18"/>
      <c r="AIU267" s="18"/>
      <c r="AIV267" s="18"/>
      <c r="AIW267" s="18"/>
      <c r="AIX267" s="18"/>
      <c r="AIY267" s="18"/>
      <c r="AIZ267" s="18"/>
      <c r="AJA267" s="18"/>
      <c r="AJB267" s="18"/>
      <c r="AJC267" s="18"/>
      <c r="AJD267" s="18"/>
      <c r="AJE267" s="18"/>
      <c r="AJF267" s="18"/>
      <c r="AJG267" s="18"/>
      <c r="AJH267" s="18"/>
      <c r="AJI267" s="18"/>
      <c r="AJJ267" s="18"/>
      <c r="AJK267" s="18"/>
      <c r="AJL267" s="18"/>
      <c r="AJM267" s="18"/>
      <c r="AJN267" s="18"/>
      <c r="AJO267" s="18"/>
      <c r="AJP267" s="18"/>
      <c r="AJQ267" s="18"/>
      <c r="AJR267" s="18"/>
      <c r="AJS267" s="18"/>
      <c r="AJT267" s="18"/>
      <c r="AJU267" s="18"/>
      <c r="AJV267" s="18"/>
      <c r="AJW267" s="18"/>
      <c r="AJX267" s="18"/>
      <c r="AJY267" s="18"/>
      <c r="AJZ267" s="18"/>
      <c r="AKA267" s="18"/>
      <c r="AKB267" s="18"/>
      <c r="AKC267" s="18"/>
      <c r="AKD267" s="18"/>
      <c r="AKE267" s="18"/>
      <c r="AKF267" s="18"/>
      <c r="AKG267" s="18"/>
      <c r="AKH267" s="18"/>
      <c r="AKI267" s="18"/>
      <c r="AKJ267" s="18"/>
      <c r="AKK267" s="18"/>
      <c r="AKL267" s="18"/>
      <c r="AKM267" s="18"/>
      <c r="AKN267" s="18"/>
      <c r="AKO267" s="18"/>
      <c r="AKP267" s="18"/>
      <c r="AKQ267" s="18"/>
      <c r="AKR267" s="18"/>
      <c r="AKS267" s="18"/>
      <c r="AKT267" s="18"/>
      <c r="AKU267" s="18"/>
      <c r="AKV267" s="18"/>
      <c r="AKW267" s="18"/>
      <c r="AKX267" s="18"/>
      <c r="AKY267" s="18"/>
      <c r="AKZ267" s="18"/>
      <c r="ALA267" s="18"/>
      <c r="ALB267" s="18"/>
      <c r="ALC267" s="18"/>
      <c r="ALD267" s="18"/>
      <c r="ALE267" s="18"/>
      <c r="ALF267" s="18"/>
      <c r="ALG267" s="18"/>
      <c r="ALH267" s="18"/>
      <c r="ALI267" s="18"/>
      <c r="ALJ267" s="18"/>
      <c r="ALK267" s="18"/>
      <c r="ALL267" s="18"/>
      <c r="ALM267" s="18"/>
      <c r="ALN267" s="18"/>
      <c r="ALO267" s="18"/>
      <c r="ALP267" s="18"/>
      <c r="ALQ267" s="18"/>
      <c r="ALR267" s="18"/>
      <c r="ALS267" s="18"/>
      <c r="ALT267" s="18"/>
      <c r="ALU267" s="18"/>
      <c r="ALV267" s="18"/>
      <c r="ALW267" s="18"/>
      <c r="ALX267" s="18"/>
      <c r="ALY267" s="18"/>
      <c r="ALZ267" s="18"/>
      <c r="AMA267" s="18"/>
      <c r="AMB267" s="18"/>
      <c r="AMC267" s="18"/>
      <c r="AMD267" s="18"/>
      <c r="AME267" s="18"/>
      <c r="AMF267" s="18"/>
      <c r="AMG267" s="18"/>
      <c r="AMH267" s="18"/>
      <c r="AMI267" s="18"/>
      <c r="AMJ267" s="18"/>
      <c r="AMK267" s="18"/>
      <c r="AML267" s="18"/>
      <c r="AMM267" s="18"/>
      <c r="AMN267" s="18"/>
      <c r="AMO267" s="18"/>
      <c r="AMP267" s="18"/>
      <c r="AMQ267" s="18"/>
      <c r="AMR267" s="18"/>
      <c r="AMS267" s="18"/>
      <c r="AMT267" s="18"/>
      <c r="AMU267" s="18"/>
      <c r="AMV267" s="18"/>
      <c r="AMW267" s="18"/>
      <c r="AMX267" s="18"/>
      <c r="AMY267" s="18"/>
      <c r="AMZ267" s="18"/>
      <c r="ANA267" s="18"/>
      <c r="ANB267" s="18"/>
      <c r="ANC267" s="18"/>
      <c r="AND267" s="18"/>
      <c r="ANE267" s="18"/>
      <c r="ANF267" s="18"/>
      <c r="ANG267" s="18"/>
      <c r="ANH267" s="18"/>
      <c r="ANI267" s="18"/>
      <c r="ANJ267" s="18"/>
      <c r="ANK267" s="18"/>
      <c r="ANL267" s="18"/>
      <c r="ANM267" s="18"/>
      <c r="ANN267" s="18"/>
      <c r="ANO267" s="18"/>
      <c r="ANP267" s="18"/>
      <c r="ANQ267" s="18"/>
      <c r="ANR267" s="18"/>
      <c r="ANS267" s="18"/>
      <c r="ANT267" s="18"/>
      <c r="ANU267" s="18"/>
      <c r="ANV267" s="18"/>
      <c r="ANW267" s="18"/>
      <c r="ANX267" s="18"/>
      <c r="ANY267" s="18"/>
      <c r="ANZ267" s="18"/>
      <c r="AOA267" s="18"/>
      <c r="AOB267" s="18"/>
      <c r="AOC267" s="18"/>
      <c r="AOD267" s="18"/>
      <c r="AOE267" s="18"/>
      <c r="AOF267" s="18"/>
      <c r="AOG267" s="18"/>
      <c r="AOH267" s="18"/>
      <c r="AOI267" s="18"/>
      <c r="AOJ267" s="18"/>
      <c r="AOK267" s="18"/>
      <c r="AOL267" s="18"/>
      <c r="AOM267" s="18"/>
      <c r="AON267" s="18"/>
      <c r="AOO267" s="18"/>
      <c r="AOP267" s="18"/>
      <c r="AOQ267" s="18"/>
      <c r="AOR267" s="18"/>
      <c r="AOS267" s="18"/>
      <c r="AOT267" s="18"/>
      <c r="AOU267" s="18"/>
      <c r="AOV267" s="18"/>
      <c r="AOW267" s="18"/>
      <c r="AOX267" s="18"/>
      <c r="AOY267" s="18"/>
      <c r="AOZ267" s="18"/>
      <c r="APA267" s="18"/>
      <c r="APB267" s="18"/>
      <c r="APC267" s="18"/>
      <c r="APD267" s="18"/>
      <c r="APE267" s="18"/>
      <c r="APF267" s="18"/>
      <c r="APG267" s="18"/>
      <c r="APH267" s="18"/>
      <c r="API267" s="18"/>
      <c r="APJ267" s="18"/>
      <c r="APK267" s="18"/>
      <c r="APL267" s="18"/>
      <c r="APM267" s="18"/>
      <c r="APN267" s="18"/>
      <c r="APO267" s="18"/>
      <c r="APP267" s="18"/>
      <c r="APQ267" s="18"/>
      <c r="APR267" s="18"/>
      <c r="APS267" s="18"/>
      <c r="APT267" s="18"/>
      <c r="APU267" s="18"/>
      <c r="APV267" s="18"/>
      <c r="APW267" s="18"/>
      <c r="APX267" s="18"/>
      <c r="APY267" s="18"/>
      <c r="APZ267" s="18"/>
      <c r="AQA267" s="18"/>
      <c r="AQB267" s="18"/>
      <c r="AQC267" s="18"/>
      <c r="AQD267" s="18"/>
      <c r="AQE267" s="18"/>
      <c r="AQF267" s="18"/>
      <c r="AQG267" s="18"/>
      <c r="AQH267" s="18"/>
      <c r="AQI267" s="18"/>
      <c r="AQJ267" s="18"/>
      <c r="AQK267" s="18"/>
      <c r="AQL267" s="18"/>
      <c r="AQM267" s="18"/>
      <c r="AQN267" s="18"/>
      <c r="AQO267" s="18"/>
      <c r="AQP267" s="18"/>
      <c r="AQQ267" s="18"/>
      <c r="AQR267" s="18"/>
      <c r="AQS267" s="18"/>
      <c r="AQT267" s="18"/>
      <c r="AQU267" s="18"/>
      <c r="AQV267" s="18"/>
      <c r="AQW267" s="18"/>
      <c r="AQX267" s="18"/>
      <c r="AQY267" s="18"/>
      <c r="AQZ267" s="18"/>
      <c r="ARA267" s="18"/>
      <c r="ARB267" s="18"/>
      <c r="ARC267" s="18"/>
      <c r="ARD267" s="18"/>
      <c r="ARE267" s="18"/>
      <c r="ARF267" s="18"/>
      <c r="ARG267" s="18"/>
      <c r="ARH267" s="18"/>
      <c r="ARI267" s="18"/>
      <c r="ARJ267" s="18"/>
      <c r="ARK267" s="18"/>
      <c r="ARL267" s="18"/>
      <c r="ARM267" s="18"/>
      <c r="ARN267" s="18"/>
      <c r="ARO267" s="18"/>
      <c r="ARP267" s="18"/>
      <c r="ARQ267" s="18"/>
      <c r="ARR267" s="18"/>
      <c r="ARS267" s="18"/>
      <c r="ART267" s="18"/>
      <c r="ARU267" s="18"/>
      <c r="ARV267" s="18"/>
      <c r="ARW267" s="18"/>
      <c r="ARX267" s="18"/>
      <c r="ARY267" s="18"/>
      <c r="ARZ267" s="18"/>
      <c r="ASA267" s="18"/>
      <c r="ASB267" s="18"/>
      <c r="ASC267" s="18"/>
      <c r="ASD267" s="18"/>
      <c r="ASE267" s="18"/>
      <c r="ASF267" s="18"/>
      <c r="ASG267" s="18"/>
      <c r="ASH267" s="18"/>
      <c r="ASI267" s="18"/>
      <c r="ASJ267" s="18"/>
      <c r="ASK267" s="18"/>
      <c r="ASL267" s="18"/>
      <c r="ASM267" s="18"/>
      <c r="ASN267" s="18"/>
      <c r="ASO267" s="18"/>
      <c r="ASP267" s="18"/>
      <c r="ASQ267" s="18"/>
      <c r="ASR267" s="18"/>
      <c r="ASS267" s="18"/>
      <c r="AST267" s="18"/>
      <c r="ASU267" s="18"/>
      <c r="ASV267" s="18"/>
      <c r="ASW267" s="18"/>
      <c r="ASX267" s="18"/>
      <c r="ASY267" s="18"/>
      <c r="ASZ267" s="18"/>
      <c r="ATA267" s="18"/>
      <c r="ATB267" s="18"/>
      <c r="ATC267" s="18"/>
      <c r="ATD267" s="18"/>
      <c r="ATE267" s="18"/>
      <c r="ATF267" s="18"/>
      <c r="ATG267" s="18"/>
      <c r="ATH267" s="18"/>
      <c r="ATI267" s="18"/>
      <c r="ATJ267" s="18"/>
      <c r="ATK267" s="18"/>
      <c r="ATL267" s="18"/>
      <c r="ATM267" s="18"/>
      <c r="ATN267" s="18"/>
      <c r="ATO267" s="18"/>
      <c r="ATP267" s="18"/>
      <c r="ATQ267" s="18"/>
      <c r="ATR267" s="18"/>
      <c r="ATS267" s="18"/>
      <c r="ATT267" s="18"/>
      <c r="ATU267" s="18"/>
      <c r="ATV267" s="18"/>
      <c r="ATW267" s="18"/>
      <c r="ATX267" s="18"/>
      <c r="ATY267" s="18"/>
      <c r="ATZ267" s="18"/>
      <c r="AUA267" s="18"/>
      <c r="AUB267" s="18"/>
      <c r="AUC267" s="18"/>
      <c r="AUD267" s="18"/>
      <c r="AUE267" s="18"/>
      <c r="AUF267" s="18"/>
      <c r="AUG267" s="18"/>
      <c r="AUH267" s="18"/>
      <c r="AUI267" s="18"/>
      <c r="AUJ267" s="18"/>
      <c r="AUK267" s="18"/>
      <c r="AUL267" s="18"/>
      <c r="AUM267" s="18"/>
      <c r="AUN267" s="18"/>
      <c r="AUO267" s="18"/>
      <c r="AUP267" s="18"/>
      <c r="AUQ267" s="18"/>
      <c r="AUR267" s="18"/>
      <c r="AUS267" s="18"/>
      <c r="AUT267" s="18"/>
      <c r="AUU267" s="18"/>
      <c r="AUV267" s="18"/>
      <c r="AUW267" s="18"/>
      <c r="AUX267" s="18"/>
      <c r="AUY267" s="18"/>
      <c r="AUZ267" s="18"/>
      <c r="AVA267" s="18"/>
      <c r="AVB267" s="18"/>
      <c r="AVC267" s="18"/>
      <c r="AVD267" s="18"/>
      <c r="AVE267" s="18"/>
      <c r="AVF267" s="18"/>
      <c r="AVG267" s="18"/>
      <c r="AVH267" s="18"/>
      <c r="AVI267" s="18"/>
      <c r="AVJ267" s="18"/>
      <c r="AVK267" s="18"/>
      <c r="AVL267" s="18"/>
      <c r="AVM267" s="18"/>
      <c r="AVN267" s="18"/>
      <c r="AVO267" s="18"/>
      <c r="AVP267" s="18"/>
      <c r="AVQ267" s="18"/>
      <c r="AVR267" s="18"/>
      <c r="AVS267" s="18"/>
      <c r="AVT267" s="18"/>
      <c r="AVU267" s="18"/>
      <c r="AVV267" s="18"/>
      <c r="AVW267" s="18"/>
      <c r="AVX267" s="18"/>
      <c r="AVY267" s="18"/>
      <c r="AVZ267" s="18"/>
      <c r="AWA267" s="18"/>
      <c r="AWB267" s="18"/>
      <c r="AWC267" s="18"/>
      <c r="AWD267" s="18"/>
      <c r="AWE267" s="18"/>
      <c r="AWF267" s="18"/>
      <c r="AWG267" s="18"/>
      <c r="AWH267" s="18"/>
      <c r="AWI267" s="18"/>
      <c r="AWJ267" s="18"/>
      <c r="AWK267" s="18"/>
      <c r="AWL267" s="18"/>
      <c r="AWM267" s="18"/>
      <c r="AWN267" s="18"/>
      <c r="AWO267" s="18"/>
      <c r="AWP267" s="18"/>
      <c r="AWQ267" s="18"/>
      <c r="AWR267" s="18"/>
      <c r="AWS267" s="18"/>
      <c r="AWT267" s="18"/>
      <c r="AWU267" s="18"/>
      <c r="AWV267" s="18"/>
      <c r="AWW267" s="18"/>
      <c r="AWX267" s="18"/>
      <c r="AWY267" s="18"/>
      <c r="AWZ267" s="18"/>
      <c r="AXA267" s="18"/>
      <c r="AXB267" s="18"/>
      <c r="AXC267" s="18"/>
      <c r="AXD267" s="18"/>
      <c r="AXE267" s="18"/>
      <c r="AXF267" s="18"/>
      <c r="AXG267" s="18"/>
      <c r="AXH267" s="18"/>
      <c r="AXI267" s="18"/>
      <c r="AXJ267" s="18"/>
      <c r="AXK267" s="18"/>
      <c r="AXL267" s="18"/>
      <c r="AXM267" s="18"/>
      <c r="AXN267" s="18"/>
      <c r="AXO267" s="18"/>
      <c r="AXP267" s="18"/>
      <c r="AXQ267" s="18"/>
      <c r="AXR267" s="18"/>
      <c r="AXS267" s="18"/>
      <c r="AXT267" s="18"/>
      <c r="AXU267" s="18"/>
      <c r="AXV267" s="18"/>
      <c r="AXW267" s="18"/>
      <c r="AXX267" s="18"/>
      <c r="AXY267" s="18"/>
      <c r="AXZ267" s="18"/>
      <c r="AYA267" s="18"/>
      <c r="AYB267" s="18"/>
      <c r="AYC267" s="18"/>
      <c r="AYD267" s="18"/>
      <c r="AYE267" s="18"/>
      <c r="AYF267" s="18"/>
      <c r="AYG267" s="18"/>
      <c r="AYH267" s="18"/>
      <c r="AYI267" s="18"/>
      <c r="AYJ267" s="18"/>
      <c r="AYK267" s="18"/>
      <c r="AYL267" s="18"/>
      <c r="AYM267" s="18"/>
      <c r="AYN267" s="18"/>
      <c r="AYO267" s="18"/>
      <c r="AYP267" s="18"/>
      <c r="AYQ267" s="18"/>
      <c r="AYR267" s="18"/>
      <c r="AYS267" s="18"/>
      <c r="AYT267" s="18"/>
      <c r="AYU267" s="18"/>
      <c r="AYV267" s="18"/>
      <c r="AYW267" s="18"/>
      <c r="AYX267" s="18"/>
      <c r="AYY267" s="18"/>
      <c r="AYZ267" s="18"/>
      <c r="AZA267" s="18"/>
      <c r="AZB267" s="18"/>
      <c r="AZC267" s="18"/>
      <c r="AZD267" s="18"/>
      <c r="AZE267" s="18"/>
      <c r="AZF267" s="18"/>
      <c r="AZG267" s="18"/>
      <c r="AZH267" s="18"/>
      <c r="AZI267" s="18"/>
      <c r="AZJ267" s="18"/>
      <c r="AZK267" s="18"/>
      <c r="AZL267" s="18"/>
      <c r="AZM267" s="18"/>
      <c r="AZN267" s="18"/>
      <c r="AZO267" s="18"/>
      <c r="AZP267" s="18"/>
      <c r="AZQ267" s="18"/>
      <c r="AZR267" s="18"/>
      <c r="AZS267" s="18"/>
      <c r="AZT267" s="18"/>
      <c r="AZU267" s="18"/>
      <c r="AZV267" s="18"/>
      <c r="AZW267" s="18"/>
      <c r="AZX267" s="18"/>
      <c r="AZY267" s="18"/>
      <c r="AZZ267" s="18"/>
      <c r="BAA267" s="18"/>
      <c r="BAB267" s="18"/>
      <c r="BAC267" s="18"/>
      <c r="BAD267" s="18"/>
      <c r="BAE267" s="18"/>
      <c r="BAF267" s="18"/>
      <c r="BAG267" s="18"/>
      <c r="BAH267" s="18"/>
      <c r="BAI267" s="18"/>
      <c r="BAJ267" s="18"/>
      <c r="BAK267" s="18"/>
      <c r="BAL267" s="18"/>
      <c r="BAM267" s="18"/>
      <c r="BAN267" s="18"/>
      <c r="BAO267" s="18"/>
      <c r="BAP267" s="18"/>
      <c r="BAQ267" s="18"/>
      <c r="BAR267" s="18"/>
      <c r="BAS267" s="18"/>
      <c r="BAT267" s="18"/>
      <c r="BAU267" s="18"/>
      <c r="BAV267" s="18"/>
      <c r="BAW267" s="18"/>
      <c r="BAX267" s="18"/>
      <c r="BAY267" s="18"/>
      <c r="BAZ267" s="18"/>
      <c r="BBA267" s="18"/>
      <c r="BBB267" s="18"/>
      <c r="BBC267" s="18"/>
      <c r="BBD267" s="18"/>
      <c r="BBE267" s="18"/>
      <c r="BBF267" s="18"/>
      <c r="BBG267" s="18"/>
      <c r="BBH267" s="18"/>
      <c r="BBI267" s="18"/>
      <c r="BBJ267" s="18"/>
      <c r="BBK267" s="18"/>
      <c r="BBL267" s="18"/>
      <c r="BBM267" s="18"/>
      <c r="BBN267" s="18"/>
      <c r="BBO267" s="18"/>
      <c r="BBP267" s="18"/>
      <c r="BBQ267" s="18"/>
      <c r="BBR267" s="18"/>
      <c r="BBS267" s="18"/>
      <c r="BBT267" s="18"/>
      <c r="BBU267" s="18"/>
      <c r="BBV267" s="18"/>
      <c r="BBW267" s="18"/>
      <c r="BBX267" s="18"/>
      <c r="BBY267" s="18"/>
      <c r="BBZ267" s="18"/>
      <c r="BCA267" s="18"/>
      <c r="BCB267" s="18"/>
      <c r="BCC267" s="18"/>
      <c r="BCD267" s="18"/>
      <c r="BCE267" s="18"/>
      <c r="BCF267" s="18"/>
      <c r="BCG267" s="18"/>
      <c r="BCH267" s="18"/>
      <c r="BCI267" s="18"/>
      <c r="BCJ267" s="18"/>
      <c r="BCK267" s="18"/>
      <c r="BCL267" s="18"/>
      <c r="BCM267" s="18"/>
      <c r="BCN267" s="18"/>
      <c r="BCO267" s="18"/>
      <c r="BCP267" s="18"/>
      <c r="BCQ267" s="18"/>
      <c r="BCR267" s="18"/>
      <c r="BCS267" s="18"/>
      <c r="BCT267" s="18"/>
      <c r="BCU267" s="18"/>
      <c r="BCV267" s="18"/>
      <c r="BCW267" s="18"/>
      <c r="BCX267" s="18"/>
      <c r="BCY267" s="18"/>
      <c r="BCZ267" s="18"/>
      <c r="BDA267" s="18"/>
      <c r="BDB267" s="18"/>
      <c r="BDC267" s="18"/>
      <c r="BDD267" s="18"/>
      <c r="BDE267" s="18"/>
      <c r="BDF267" s="18"/>
      <c r="BDG267" s="18"/>
      <c r="BDH267" s="18"/>
      <c r="BDI267" s="18"/>
      <c r="BDJ267" s="18"/>
      <c r="BDK267" s="18"/>
      <c r="BDL267" s="18"/>
      <c r="BDM267" s="18"/>
      <c r="BDN267" s="18"/>
      <c r="BDO267" s="18"/>
      <c r="BDP267" s="18"/>
      <c r="BDQ267" s="18"/>
      <c r="BDR267" s="18"/>
      <c r="BDS267" s="18"/>
      <c r="BDT267" s="18"/>
      <c r="BDU267" s="18"/>
      <c r="BDV267" s="18"/>
      <c r="BDW267" s="18"/>
      <c r="BDX267" s="18"/>
      <c r="BDY267" s="18"/>
      <c r="BDZ267" s="18"/>
      <c r="BEA267" s="18"/>
      <c r="BEB267" s="18"/>
      <c r="BEC267" s="18"/>
      <c r="BED267" s="18"/>
      <c r="BEE267" s="18"/>
      <c r="BEF267" s="18"/>
      <c r="BEG267" s="18"/>
      <c r="BEH267" s="18"/>
      <c r="BEI267" s="18"/>
      <c r="BEJ267" s="18"/>
      <c r="BEK267" s="18"/>
      <c r="BEL267" s="18"/>
      <c r="BEM267" s="18"/>
      <c r="BEN267" s="18"/>
      <c r="BEO267" s="18"/>
      <c r="BEP267" s="18"/>
      <c r="BEQ267" s="18"/>
      <c r="BER267" s="18"/>
      <c r="BES267" s="18"/>
      <c r="BET267" s="18"/>
      <c r="BEU267" s="18"/>
      <c r="BEV267" s="18"/>
      <c r="BEW267" s="18"/>
      <c r="BEX267" s="18"/>
      <c r="BEY267" s="18"/>
      <c r="BEZ267" s="18"/>
      <c r="BFA267" s="18"/>
      <c r="BFB267" s="18"/>
      <c r="BFC267" s="18"/>
      <c r="BFD267" s="18"/>
      <c r="BFE267" s="18"/>
      <c r="BFF267" s="18"/>
      <c r="BFG267" s="18"/>
      <c r="BFH267" s="18"/>
      <c r="BFI267" s="18"/>
      <c r="BFJ267" s="18"/>
      <c r="BFK267" s="18"/>
      <c r="BFL267" s="18"/>
      <c r="BFM267" s="18"/>
      <c r="BFN267" s="18"/>
      <c r="BFO267" s="18"/>
      <c r="BFP267" s="18"/>
      <c r="BFQ267" s="18"/>
      <c r="BFR267" s="18"/>
      <c r="BFS267" s="18"/>
      <c r="BFT267" s="18"/>
      <c r="BFU267" s="18"/>
      <c r="BFV267" s="18"/>
      <c r="BFW267" s="18"/>
      <c r="BFX267" s="18"/>
      <c r="BFY267" s="18"/>
      <c r="BFZ267" s="18"/>
      <c r="BGA267" s="18"/>
      <c r="BGB267" s="18"/>
      <c r="BGC267" s="18"/>
      <c r="BGD267" s="18"/>
      <c r="BGE267" s="18"/>
      <c r="BGF267" s="18"/>
      <c r="BGG267" s="18"/>
      <c r="BGH267" s="18"/>
      <c r="BGI267" s="18"/>
      <c r="BGJ267" s="18"/>
      <c r="BGK267" s="18"/>
      <c r="BGL267" s="18"/>
      <c r="BGM267" s="18"/>
      <c r="BGN267" s="18"/>
      <c r="BGO267" s="18"/>
      <c r="BGP267" s="18"/>
      <c r="BGQ267" s="18"/>
      <c r="BGR267" s="18"/>
      <c r="BGS267" s="18"/>
      <c r="BGT267" s="18"/>
      <c r="BGU267" s="18"/>
      <c r="BGV267" s="18"/>
      <c r="BGW267" s="18"/>
      <c r="BGX267" s="18"/>
      <c r="BGY267" s="18"/>
      <c r="BGZ267" s="18"/>
      <c r="BHA267" s="18"/>
      <c r="BHB267" s="18"/>
      <c r="BHC267" s="18"/>
      <c r="BHD267" s="18"/>
      <c r="BHE267" s="18"/>
      <c r="BHF267" s="18"/>
      <c r="BHG267" s="18"/>
      <c r="BHH267" s="18"/>
      <c r="BHI267" s="18"/>
      <c r="BHJ267" s="18"/>
      <c r="BHK267" s="18"/>
      <c r="BHL267" s="18"/>
      <c r="BHM267" s="18"/>
      <c r="BHN267" s="18"/>
      <c r="BHO267" s="18"/>
      <c r="BHP267" s="18"/>
      <c r="BHQ267" s="18"/>
      <c r="BHR267" s="18"/>
      <c r="BHS267" s="18"/>
      <c r="BHT267" s="18"/>
      <c r="BHU267" s="18"/>
      <c r="BHV267" s="18"/>
      <c r="BHW267" s="18"/>
      <c r="BHX267" s="18"/>
      <c r="BHY267" s="18"/>
      <c r="BHZ267" s="18"/>
      <c r="BIA267" s="18"/>
      <c r="BIB267" s="18"/>
      <c r="BIC267" s="18"/>
      <c r="BID267" s="18"/>
      <c r="BIE267" s="18"/>
      <c r="BIF267" s="18"/>
      <c r="BIG267" s="18"/>
      <c r="BIH267" s="18"/>
      <c r="BII267" s="18"/>
      <c r="BIJ267" s="18"/>
      <c r="BIK267" s="18"/>
      <c r="BIL267" s="18"/>
      <c r="BIM267" s="18"/>
      <c r="BIN267" s="18"/>
      <c r="BIO267" s="18"/>
      <c r="BIP267" s="18"/>
      <c r="BIQ267" s="18"/>
      <c r="BIR267" s="18"/>
      <c r="BIS267" s="18"/>
      <c r="BIT267" s="18"/>
      <c r="BIU267" s="18"/>
      <c r="BIV267" s="18"/>
      <c r="BIW267" s="18"/>
      <c r="BIX267" s="18"/>
      <c r="BIY267" s="18"/>
      <c r="BIZ267" s="18"/>
      <c r="BJA267" s="18"/>
      <c r="BJB267" s="18"/>
      <c r="BJC267" s="18"/>
      <c r="BJD267" s="18"/>
      <c r="BJE267" s="18"/>
      <c r="BJF267" s="18"/>
      <c r="BJG267" s="18"/>
      <c r="BJH267" s="18"/>
      <c r="BJI267" s="18"/>
      <c r="BJJ267" s="18"/>
      <c r="BJK267" s="18"/>
      <c r="BJL267" s="18"/>
      <c r="BJM267" s="18"/>
      <c r="BJN267" s="18"/>
      <c r="BJO267" s="18"/>
      <c r="BJP267" s="18"/>
      <c r="BJQ267" s="18"/>
      <c r="BJR267" s="18"/>
      <c r="BJS267" s="18"/>
      <c r="BJT267" s="18"/>
      <c r="BJU267" s="18"/>
      <c r="BJV267" s="18"/>
      <c r="BJW267" s="18"/>
      <c r="BJX267" s="18"/>
      <c r="BJY267" s="18"/>
      <c r="BJZ267" s="18"/>
      <c r="BKA267" s="18"/>
      <c r="BKB267" s="18"/>
      <c r="BKC267" s="18"/>
      <c r="BKD267" s="18"/>
      <c r="BKE267" s="18"/>
      <c r="BKF267" s="18"/>
      <c r="BKG267" s="18"/>
      <c r="BKH267" s="18"/>
      <c r="BKI267" s="18"/>
      <c r="BKJ267" s="18"/>
      <c r="BKK267" s="18"/>
      <c r="BKL267" s="18"/>
      <c r="BKM267" s="18"/>
      <c r="BKN267" s="18"/>
      <c r="BKO267" s="18"/>
      <c r="BKP267" s="18"/>
      <c r="BKQ267" s="18"/>
      <c r="BKR267" s="18"/>
      <c r="BKS267" s="18"/>
      <c r="BKT267" s="18"/>
      <c r="BKU267" s="18"/>
      <c r="BKV267" s="18"/>
      <c r="BKW267" s="18"/>
      <c r="BKX267" s="18"/>
      <c r="BKY267" s="18"/>
      <c r="BKZ267" s="18"/>
      <c r="BLA267" s="18"/>
      <c r="BLB267" s="18"/>
      <c r="BLC267" s="18"/>
      <c r="BLD267" s="18"/>
      <c r="BLE267" s="18"/>
      <c r="BLF267" s="18"/>
      <c r="BLG267" s="18"/>
      <c r="BLH267" s="18"/>
      <c r="BLI267" s="18"/>
      <c r="BLJ267" s="18"/>
      <c r="BLK267" s="18"/>
      <c r="BLL267" s="18"/>
      <c r="BLM267" s="18"/>
      <c r="BLN267" s="18"/>
      <c r="BLO267" s="18"/>
      <c r="BLP267" s="18"/>
      <c r="BLQ267" s="18"/>
      <c r="BLR267" s="18"/>
      <c r="BLS267" s="18"/>
      <c r="BLT267" s="18"/>
      <c r="BLU267" s="18"/>
      <c r="BLV267" s="18"/>
      <c r="BLW267" s="18"/>
      <c r="BLX267" s="18"/>
      <c r="BLY267" s="18"/>
      <c r="BLZ267" s="18"/>
      <c r="BMA267" s="18"/>
      <c r="BMB267" s="18"/>
      <c r="BMC267" s="18"/>
      <c r="BMD267" s="18"/>
      <c r="BME267" s="18"/>
      <c r="BMF267" s="18"/>
      <c r="BMG267" s="18"/>
      <c r="BMH267" s="18"/>
      <c r="BMI267" s="18"/>
      <c r="BMJ267" s="18"/>
      <c r="BMK267" s="18"/>
      <c r="BML267" s="18"/>
      <c r="BMM267" s="18"/>
      <c r="BMN267" s="18"/>
      <c r="BMO267" s="18"/>
      <c r="BMP267" s="18"/>
      <c r="BMQ267" s="18"/>
      <c r="BMR267" s="18"/>
      <c r="BMS267" s="18"/>
      <c r="BMT267" s="18"/>
      <c r="BMU267" s="18"/>
      <c r="BMV267" s="18"/>
      <c r="BMW267" s="18"/>
      <c r="BMX267" s="18"/>
      <c r="BMY267" s="18"/>
      <c r="BMZ267" s="18"/>
      <c r="BNA267" s="18"/>
      <c r="BNB267" s="18"/>
      <c r="BNC267" s="18"/>
      <c r="BND267" s="18"/>
      <c r="BNE267" s="18"/>
      <c r="BNF267" s="18"/>
      <c r="BNG267" s="18"/>
      <c r="BNH267" s="18"/>
      <c r="BNI267" s="18"/>
      <c r="BNJ267" s="18"/>
      <c r="BNK267" s="18"/>
      <c r="BNL267" s="18"/>
      <c r="BNM267" s="18"/>
      <c r="BNN267" s="18"/>
      <c r="BNO267" s="18"/>
      <c r="BNP267" s="18"/>
      <c r="BNQ267" s="18"/>
      <c r="BNR267" s="18"/>
      <c r="BNS267" s="18"/>
      <c r="BNT267" s="18"/>
      <c r="BNU267" s="18"/>
      <c r="BNV267" s="18"/>
      <c r="BNW267" s="18"/>
      <c r="BNX267" s="18"/>
      <c r="BNY267" s="18"/>
      <c r="BNZ267" s="18"/>
      <c r="BOA267" s="18"/>
      <c r="BOB267" s="18"/>
      <c r="BOC267" s="18"/>
      <c r="BOD267" s="18"/>
      <c r="BOE267" s="18"/>
      <c r="BOF267" s="18"/>
      <c r="BOG267" s="18"/>
      <c r="BOH267" s="18"/>
      <c r="BOI267" s="18"/>
      <c r="BOJ267" s="18"/>
      <c r="BOK267" s="18"/>
      <c r="BOL267" s="18"/>
      <c r="BOM267" s="18"/>
      <c r="BON267" s="18"/>
      <c r="BOO267" s="18"/>
      <c r="BOP267" s="18"/>
      <c r="BOQ267" s="18"/>
      <c r="BOR267" s="18"/>
      <c r="BOS267" s="18"/>
      <c r="BOT267" s="18"/>
      <c r="BOU267" s="18"/>
      <c r="BOV267" s="18"/>
      <c r="BOW267" s="18"/>
      <c r="BOX267" s="18"/>
      <c r="BOY267" s="18"/>
      <c r="BOZ267" s="18"/>
      <c r="BPA267" s="18"/>
      <c r="BPB267" s="18"/>
      <c r="BPC267" s="18"/>
      <c r="BPD267" s="18"/>
      <c r="BPE267" s="18"/>
      <c r="BPF267" s="18"/>
      <c r="BPG267" s="18"/>
      <c r="BPH267" s="18"/>
      <c r="BPI267" s="18"/>
      <c r="BPJ267" s="18"/>
      <c r="BPK267" s="18"/>
      <c r="BPL267" s="18"/>
      <c r="BPM267" s="18"/>
      <c r="BPN267" s="18"/>
      <c r="BPO267" s="18"/>
      <c r="BPP267" s="18"/>
      <c r="BPQ267" s="18"/>
      <c r="BPR267" s="18"/>
      <c r="BPS267" s="18"/>
      <c r="BPT267" s="18"/>
      <c r="BPU267" s="18"/>
      <c r="BPV267" s="18"/>
      <c r="BPW267" s="18"/>
      <c r="BPX267" s="18"/>
      <c r="BPY267" s="18"/>
      <c r="BPZ267" s="18"/>
      <c r="BQA267" s="18"/>
      <c r="BQB267" s="18"/>
      <c r="BQC267" s="18"/>
      <c r="BQD267" s="18"/>
      <c r="BQE267" s="18"/>
      <c r="BQF267" s="18"/>
      <c r="BQG267" s="18"/>
      <c r="BQH267" s="18"/>
      <c r="BQI267" s="18"/>
      <c r="BQJ267" s="18"/>
      <c r="BQK267" s="18"/>
      <c r="BQL267" s="18"/>
      <c r="BQM267" s="18"/>
      <c r="BQN267" s="18"/>
      <c r="BQO267" s="18"/>
      <c r="BQP267" s="18"/>
      <c r="BQQ267" s="18"/>
      <c r="BQR267" s="18"/>
      <c r="BQS267" s="18"/>
      <c r="BQT267" s="18"/>
      <c r="BQU267" s="18"/>
      <c r="BQV267" s="18"/>
      <c r="BQW267" s="18"/>
      <c r="BQX267" s="18"/>
      <c r="BQY267" s="18"/>
      <c r="BQZ267" s="18"/>
      <c r="BRA267" s="18"/>
      <c r="BRB267" s="18"/>
      <c r="BRC267" s="18"/>
      <c r="BRD267" s="18"/>
      <c r="BRE267" s="18"/>
      <c r="BRF267" s="18"/>
      <c r="BRG267" s="18"/>
      <c r="BRH267" s="18"/>
      <c r="BRI267" s="18"/>
      <c r="BRJ267" s="18"/>
      <c r="BRK267" s="18"/>
      <c r="BRL267" s="18"/>
      <c r="BRM267" s="18"/>
      <c r="BRN267" s="18"/>
      <c r="BRO267" s="18"/>
      <c r="BRP267" s="18"/>
      <c r="BRQ267" s="18"/>
      <c r="BRR267" s="18"/>
      <c r="BRS267" s="18"/>
      <c r="BRT267" s="18"/>
      <c r="BRU267" s="18"/>
      <c r="BRV267" s="18"/>
      <c r="BRW267" s="18"/>
      <c r="BRX267" s="18"/>
      <c r="BRY267" s="18"/>
      <c r="BRZ267" s="18"/>
      <c r="BSA267" s="18"/>
      <c r="BSB267" s="18"/>
      <c r="BSC267" s="18"/>
      <c r="BSD267" s="18"/>
      <c r="BSE267" s="18"/>
      <c r="BSF267" s="18"/>
      <c r="BSG267" s="18"/>
      <c r="BSH267" s="18"/>
      <c r="BSI267" s="18"/>
      <c r="BSJ267" s="18"/>
      <c r="BSK267" s="18"/>
      <c r="BSL267" s="18"/>
      <c r="BSM267" s="18"/>
      <c r="BSN267" s="18"/>
      <c r="BSO267" s="18"/>
      <c r="BSP267" s="18"/>
      <c r="BSQ267" s="18"/>
      <c r="BSR267" s="18"/>
      <c r="BSS267" s="18"/>
      <c r="BST267" s="18"/>
      <c r="BSU267" s="18"/>
      <c r="BSV267" s="18"/>
      <c r="BSW267" s="18"/>
      <c r="BSX267" s="18"/>
      <c r="BSY267" s="18"/>
      <c r="BSZ267" s="18"/>
      <c r="BTA267" s="18"/>
      <c r="BTB267" s="18"/>
      <c r="BTC267" s="18"/>
      <c r="BTD267" s="18"/>
      <c r="BTE267" s="18"/>
      <c r="BTF267" s="18"/>
      <c r="BTG267" s="18"/>
      <c r="BTH267" s="18"/>
      <c r="BTI267" s="18"/>
    </row>
    <row r="268" spans="1:1881" s="811" customFormat="1" ht="90" hidden="1" customHeight="1" x14ac:dyDescent="0.3">
      <c r="A268" s="108">
        <v>619</v>
      </c>
      <c r="B268" s="712" t="s">
        <v>59</v>
      </c>
      <c r="C268" s="712" t="s">
        <v>677</v>
      </c>
      <c r="D268" s="94" t="s">
        <v>686</v>
      </c>
      <c r="E268" s="35" t="e">
        <f>HLOOKUP($D$2,'2020 Data(H)'!$C$1:$CZ$432,279,FALSE)</f>
        <v>#N/A</v>
      </c>
      <c r="F268" s="942">
        <v>0</v>
      </c>
      <c r="G268" s="815" t="str">
        <f>IF(ISBLANK(F268),"Please do not leave blank ",IF(F268=H268,"","Please review percentage"))</f>
        <v/>
      </c>
      <c r="H268" s="816">
        <f>ROUND(IFERROR((F267/F266)*100,0),1)</f>
        <v>0</v>
      </c>
      <c r="I268" s="308"/>
      <c r="J268" s="18"/>
      <c r="K268" s="18"/>
      <c r="L268" s="18"/>
      <c r="M268" s="18"/>
      <c r="N268" s="308"/>
      <c r="O268" s="18"/>
      <c r="P268" s="18"/>
      <c r="Q268" s="18"/>
      <c r="R268" s="18"/>
      <c r="S268" s="18"/>
      <c r="T268" s="18"/>
      <c r="U268" s="18"/>
      <c r="V268" s="18"/>
      <c r="W268" s="18"/>
      <c r="X268" s="18"/>
      <c r="Y268" s="18"/>
      <c r="Z268" s="108"/>
      <c r="AA268" s="108"/>
      <c r="AB268" s="108"/>
      <c r="AC268" s="108"/>
      <c r="AD268" s="108"/>
      <c r="AE268" s="108"/>
      <c r="AF268" s="108"/>
      <c r="AG268" s="108"/>
      <c r="AH268" s="108"/>
      <c r="AI268" s="108"/>
      <c r="AJ268" s="108"/>
      <c r="AK268" s="108"/>
      <c r="AL268" s="108"/>
      <c r="AM268" s="108"/>
      <c r="AN268" s="108"/>
      <c r="AO268" s="108"/>
      <c r="AP268" s="108"/>
      <c r="AQ268" s="108"/>
      <c r="AR268" s="108"/>
      <c r="AS268" s="18"/>
      <c r="AT268" s="18"/>
      <c r="AU268" s="18"/>
      <c r="AV268" s="18"/>
      <c r="AW268" s="18"/>
      <c r="AX268" s="18"/>
      <c r="AY268" s="18"/>
      <c r="AZ268" s="18"/>
      <c r="BA268" s="18"/>
      <c r="BB268" s="18"/>
      <c r="BC268" s="18"/>
      <c r="BD268" s="18"/>
      <c r="BE268" s="18"/>
      <c r="BF268" s="18"/>
      <c r="BG268" s="18"/>
      <c r="BH268" s="18"/>
      <c r="BI268" s="18"/>
      <c r="BJ268" s="18"/>
      <c r="BK268" s="18"/>
      <c r="BL268" s="18"/>
      <c r="BM268" s="18"/>
      <c r="BN268" s="18"/>
      <c r="BO268" s="18"/>
      <c r="BP268" s="18"/>
      <c r="BQ268" s="18"/>
      <c r="BR268" s="18"/>
      <c r="BS268" s="18"/>
      <c r="BT268" s="18"/>
      <c r="BU268" s="18"/>
      <c r="BV268" s="18"/>
      <c r="BW268" s="18"/>
      <c r="BX268" s="18"/>
      <c r="BY268" s="18"/>
      <c r="BZ268" s="18"/>
      <c r="CA268" s="18"/>
      <c r="CB268" s="18"/>
      <c r="CC268" s="18"/>
      <c r="CD268" s="18"/>
      <c r="CE268" s="18"/>
      <c r="CF268" s="18"/>
      <c r="CG268" s="18"/>
      <c r="CH268" s="18"/>
      <c r="CI268" s="18"/>
      <c r="CJ268" s="18"/>
      <c r="CK268" s="18"/>
      <c r="CL268" s="18"/>
      <c r="CM268" s="18"/>
      <c r="CN268" s="18"/>
      <c r="CO268" s="18"/>
      <c r="CP268" s="18"/>
      <c r="CQ268" s="18"/>
      <c r="CR268" s="18"/>
      <c r="CS268" s="18"/>
      <c r="CT268" s="18"/>
      <c r="CU268" s="18"/>
      <c r="CV268" s="18"/>
      <c r="CW268" s="18"/>
      <c r="CX268" s="18"/>
      <c r="CY268" s="18"/>
      <c r="CZ268" s="18"/>
      <c r="DA268" s="18"/>
      <c r="DB268" s="18"/>
      <c r="DC268" s="18"/>
      <c r="DD268" s="18"/>
      <c r="DE268" s="18"/>
      <c r="DF268" s="18"/>
      <c r="DG268" s="18"/>
      <c r="DH268" s="18"/>
      <c r="DI268" s="18"/>
      <c r="DJ268" s="18"/>
      <c r="DK268" s="18"/>
      <c r="DL268" s="18"/>
      <c r="DM268" s="18"/>
      <c r="DN268" s="18"/>
      <c r="DO268" s="18"/>
      <c r="DP268" s="18"/>
      <c r="DQ268" s="18"/>
      <c r="DR268" s="18"/>
      <c r="DS268" s="18"/>
      <c r="DT268" s="18"/>
      <c r="DU268" s="18"/>
      <c r="DV268" s="18"/>
      <c r="DW268" s="18"/>
      <c r="DX268" s="18"/>
      <c r="DY268" s="18"/>
      <c r="DZ268" s="18"/>
      <c r="EA268" s="18"/>
      <c r="EB268" s="18"/>
      <c r="EC268" s="18"/>
      <c r="ED268" s="18"/>
      <c r="EE268" s="18"/>
      <c r="EF268" s="18"/>
      <c r="EG268" s="18"/>
      <c r="EH268" s="18"/>
      <c r="EI268" s="18"/>
      <c r="EJ268" s="18"/>
      <c r="EK268" s="18"/>
      <c r="EL268" s="18"/>
      <c r="EM268" s="18"/>
      <c r="EN268" s="18"/>
      <c r="EO268" s="18"/>
      <c r="EP268" s="18"/>
      <c r="EQ268" s="18"/>
      <c r="ER268" s="18"/>
      <c r="ES268" s="18"/>
      <c r="ET268" s="18"/>
      <c r="EU268" s="18"/>
      <c r="EV268" s="18"/>
      <c r="EW268" s="18"/>
      <c r="EX268" s="18"/>
      <c r="EY268" s="18"/>
      <c r="EZ268" s="18"/>
      <c r="FA268" s="18"/>
      <c r="FB268" s="18"/>
      <c r="FC268" s="18"/>
      <c r="FD268" s="18"/>
      <c r="FE268" s="18"/>
      <c r="FF268" s="18"/>
      <c r="FG268" s="18"/>
      <c r="FH268" s="18"/>
      <c r="FI268" s="18"/>
      <c r="FJ268" s="18"/>
      <c r="FK268" s="18"/>
      <c r="FL268" s="18"/>
      <c r="FM268" s="18"/>
      <c r="FN268" s="18"/>
      <c r="FO268" s="18"/>
      <c r="FP268" s="18"/>
      <c r="FQ268" s="18"/>
      <c r="FR268" s="18"/>
      <c r="FS268" s="18"/>
      <c r="FT268" s="18"/>
      <c r="FU268" s="18"/>
      <c r="FV268" s="18"/>
      <c r="FW268" s="18"/>
      <c r="FX268" s="18"/>
      <c r="FY268" s="18"/>
      <c r="FZ268" s="18"/>
      <c r="GA268" s="18"/>
      <c r="GB268" s="18"/>
      <c r="GC268" s="18"/>
      <c r="GD268" s="18"/>
      <c r="GE268" s="18"/>
      <c r="GF268" s="18"/>
      <c r="GG268" s="18"/>
      <c r="GH268" s="18"/>
      <c r="GI268" s="18"/>
      <c r="GJ268" s="18"/>
      <c r="GK268" s="18"/>
      <c r="GL268" s="18"/>
      <c r="GM268" s="18"/>
      <c r="GN268" s="18"/>
      <c r="GO268" s="18"/>
      <c r="GP268" s="18"/>
      <c r="GQ268" s="18"/>
      <c r="GR268" s="18"/>
      <c r="GS268" s="18"/>
      <c r="GT268" s="18"/>
      <c r="GU268" s="18"/>
      <c r="GV268" s="18"/>
      <c r="GW268" s="18"/>
      <c r="GX268" s="18"/>
      <c r="GY268" s="18"/>
      <c r="GZ268" s="18"/>
      <c r="HA268" s="18"/>
      <c r="HB268" s="18"/>
      <c r="HC268" s="18"/>
      <c r="HD268" s="18"/>
      <c r="HE268" s="18"/>
      <c r="HF268" s="18"/>
      <c r="HG268" s="18"/>
      <c r="HH268" s="18"/>
      <c r="HI268" s="18"/>
      <c r="HJ268" s="18"/>
      <c r="HK268" s="18"/>
      <c r="HL268" s="18"/>
      <c r="HM268" s="18"/>
      <c r="HN268" s="18"/>
      <c r="HO268" s="18"/>
      <c r="HP268" s="18"/>
      <c r="HQ268" s="18"/>
      <c r="HR268" s="18"/>
      <c r="HS268" s="18"/>
      <c r="HT268" s="18"/>
      <c r="HU268" s="18"/>
      <c r="HV268" s="18"/>
      <c r="HW268" s="18"/>
      <c r="HX268" s="18"/>
      <c r="HY268" s="18"/>
      <c r="HZ268" s="18"/>
      <c r="IA268" s="18"/>
      <c r="IB268" s="18"/>
      <c r="IC268" s="18"/>
      <c r="ID268" s="18"/>
      <c r="IE268" s="18"/>
      <c r="IF268" s="18"/>
      <c r="IG268" s="18"/>
      <c r="IH268" s="18"/>
      <c r="II268" s="18"/>
      <c r="IJ268" s="18"/>
      <c r="IK268" s="18"/>
      <c r="IL268" s="18"/>
      <c r="IM268" s="18"/>
      <c r="IN268" s="18"/>
      <c r="IO268" s="18"/>
      <c r="IP268" s="18"/>
      <c r="IQ268" s="18"/>
      <c r="IR268" s="18"/>
      <c r="IS268" s="18"/>
      <c r="IT268" s="18"/>
      <c r="IU268" s="18"/>
      <c r="IV268" s="18"/>
      <c r="IW268" s="18"/>
      <c r="IX268" s="18"/>
      <c r="IY268" s="18"/>
      <c r="IZ268" s="18"/>
      <c r="JA268" s="18"/>
      <c r="JB268" s="18"/>
      <c r="JC268" s="18"/>
      <c r="JD268" s="18"/>
      <c r="JE268" s="18"/>
      <c r="JF268" s="18"/>
      <c r="JG268" s="18"/>
      <c r="JH268" s="18"/>
      <c r="JI268" s="18"/>
      <c r="JJ268" s="18"/>
      <c r="JK268" s="18"/>
      <c r="JL268" s="18"/>
      <c r="JM268" s="18"/>
      <c r="JN268" s="18"/>
      <c r="JO268" s="18"/>
      <c r="JP268" s="18"/>
      <c r="JQ268" s="18"/>
      <c r="JR268" s="18"/>
      <c r="JS268" s="18"/>
      <c r="JT268" s="18"/>
      <c r="JU268" s="18"/>
      <c r="JV268" s="18"/>
      <c r="JW268" s="18"/>
      <c r="JX268" s="18"/>
      <c r="JY268" s="18"/>
      <c r="JZ268" s="18"/>
      <c r="KA268" s="18"/>
      <c r="KB268" s="18"/>
      <c r="KC268" s="18"/>
      <c r="KD268" s="18"/>
      <c r="KE268" s="18"/>
      <c r="KF268" s="18"/>
      <c r="KG268" s="18"/>
      <c r="KH268" s="18"/>
      <c r="KI268" s="18"/>
      <c r="KJ268" s="18"/>
      <c r="KK268" s="18"/>
      <c r="KL268" s="18"/>
      <c r="KM268" s="18"/>
      <c r="KN268" s="18"/>
      <c r="KO268" s="18"/>
      <c r="KP268" s="18"/>
      <c r="KQ268" s="18"/>
      <c r="KR268" s="18"/>
      <c r="KS268" s="18"/>
      <c r="KT268" s="18"/>
      <c r="KU268" s="18"/>
      <c r="KV268" s="18"/>
      <c r="KW268" s="18"/>
      <c r="KX268" s="18"/>
      <c r="KY268" s="18"/>
      <c r="KZ268" s="18"/>
      <c r="LA268" s="18"/>
      <c r="LB268" s="18"/>
      <c r="LC268" s="18"/>
      <c r="LD268" s="18"/>
      <c r="LE268" s="18"/>
      <c r="LF268" s="18"/>
      <c r="LG268" s="18"/>
      <c r="LH268" s="18"/>
      <c r="LI268" s="18"/>
      <c r="LJ268" s="18"/>
      <c r="LK268" s="18"/>
      <c r="LL268" s="18"/>
      <c r="LM268" s="18"/>
      <c r="LN268" s="18"/>
      <c r="LO268" s="18"/>
      <c r="LP268" s="18"/>
      <c r="LQ268" s="18"/>
      <c r="LR268" s="18"/>
      <c r="LS268" s="18"/>
      <c r="LT268" s="18"/>
      <c r="LU268" s="18"/>
      <c r="LV268" s="18"/>
      <c r="LW268" s="18"/>
      <c r="LX268" s="18"/>
      <c r="LY268" s="18"/>
      <c r="LZ268" s="18"/>
      <c r="MA268" s="18"/>
      <c r="MB268" s="18"/>
      <c r="MC268" s="18"/>
      <c r="MD268" s="18"/>
      <c r="ME268" s="18"/>
      <c r="MF268" s="18"/>
      <c r="MG268" s="18"/>
      <c r="MH268" s="18"/>
      <c r="MI268" s="18"/>
      <c r="MJ268" s="18"/>
      <c r="MK268" s="18"/>
      <c r="ML268" s="18"/>
      <c r="MM268" s="18"/>
      <c r="MN268" s="18"/>
      <c r="MO268" s="18"/>
      <c r="MP268" s="18"/>
      <c r="MQ268" s="18"/>
      <c r="MR268" s="18"/>
      <c r="MS268" s="18"/>
      <c r="MT268" s="18"/>
      <c r="MU268" s="18"/>
      <c r="MV268" s="18"/>
      <c r="MW268" s="18"/>
      <c r="MX268" s="18"/>
      <c r="MY268" s="18"/>
      <c r="MZ268" s="18"/>
      <c r="NA268" s="18"/>
      <c r="NB268" s="18"/>
      <c r="NC268" s="18"/>
      <c r="ND268" s="18"/>
      <c r="NE268" s="18"/>
      <c r="NF268" s="18"/>
      <c r="NG268" s="18"/>
      <c r="NH268" s="18"/>
      <c r="NI268" s="18"/>
      <c r="NJ268" s="18"/>
      <c r="NK268" s="18"/>
      <c r="NL268" s="18"/>
      <c r="NM268" s="18"/>
      <c r="NN268" s="18"/>
      <c r="NO268" s="18"/>
      <c r="NP268" s="18"/>
      <c r="NQ268" s="18"/>
      <c r="NR268" s="18"/>
      <c r="NS268" s="18"/>
      <c r="NT268" s="18"/>
      <c r="NU268" s="18"/>
      <c r="NV268" s="18"/>
      <c r="NW268" s="18"/>
      <c r="NX268" s="18"/>
      <c r="NY268" s="18"/>
      <c r="NZ268" s="18"/>
      <c r="OA268" s="18"/>
      <c r="OB268" s="18"/>
      <c r="OC268" s="18"/>
      <c r="OD268" s="18"/>
      <c r="OE268" s="18"/>
      <c r="OF268" s="18"/>
      <c r="OG268" s="18"/>
      <c r="OH268" s="18"/>
      <c r="OI268" s="18"/>
      <c r="OJ268" s="18"/>
      <c r="OK268" s="18"/>
      <c r="OL268" s="18"/>
      <c r="OM268" s="18"/>
      <c r="ON268" s="18"/>
      <c r="OO268" s="18"/>
      <c r="OP268" s="18"/>
      <c r="OQ268" s="18"/>
      <c r="OR268" s="18"/>
      <c r="OS268" s="18"/>
      <c r="OT268" s="18"/>
      <c r="OU268" s="18"/>
      <c r="OV268" s="18"/>
      <c r="OW268" s="18"/>
      <c r="OX268" s="18"/>
      <c r="OY268" s="18"/>
      <c r="OZ268" s="18"/>
      <c r="PA268" s="18"/>
      <c r="PB268" s="18"/>
      <c r="PC268" s="18"/>
      <c r="PD268" s="18"/>
      <c r="PE268" s="18"/>
      <c r="PF268" s="18"/>
      <c r="PG268" s="18"/>
      <c r="PH268" s="18"/>
      <c r="PI268" s="18"/>
      <c r="PJ268" s="18"/>
      <c r="PK268" s="18"/>
      <c r="PL268" s="18"/>
      <c r="PM268" s="18"/>
      <c r="PN268" s="18"/>
      <c r="PO268" s="18"/>
      <c r="PP268" s="18"/>
      <c r="PQ268" s="18"/>
      <c r="PR268" s="18"/>
      <c r="PS268" s="18"/>
      <c r="PT268" s="18"/>
      <c r="PU268" s="18"/>
      <c r="PV268" s="18"/>
      <c r="PW268" s="18"/>
      <c r="PX268" s="18"/>
      <c r="PY268" s="18"/>
      <c r="PZ268" s="18"/>
      <c r="QA268" s="18"/>
      <c r="QB268" s="18"/>
      <c r="QC268" s="18"/>
      <c r="QD268" s="18"/>
      <c r="QE268" s="18"/>
      <c r="QF268" s="18"/>
      <c r="QG268" s="18"/>
      <c r="QH268" s="18"/>
      <c r="QI268" s="18"/>
      <c r="QJ268" s="18"/>
      <c r="QK268" s="18"/>
      <c r="QL268" s="18"/>
      <c r="QM268" s="18"/>
      <c r="QN268" s="18"/>
      <c r="QO268" s="18"/>
      <c r="QP268" s="18"/>
      <c r="QQ268" s="18"/>
      <c r="QR268" s="18"/>
      <c r="QS268" s="18"/>
      <c r="QT268" s="18"/>
      <c r="QU268" s="18"/>
      <c r="QV268" s="18"/>
      <c r="QW268" s="18"/>
      <c r="QX268" s="18"/>
      <c r="QY268" s="18"/>
      <c r="QZ268" s="18"/>
      <c r="RA268" s="18"/>
      <c r="RB268" s="18"/>
      <c r="RC268" s="18"/>
      <c r="RD268" s="18"/>
      <c r="RE268" s="18"/>
      <c r="RF268" s="18"/>
      <c r="RG268" s="18"/>
      <c r="RH268" s="18"/>
      <c r="RI268" s="18"/>
      <c r="RJ268" s="18"/>
      <c r="RK268" s="18"/>
      <c r="RL268" s="18"/>
      <c r="RM268" s="18"/>
      <c r="RN268" s="18"/>
      <c r="RO268" s="18"/>
      <c r="RP268" s="18"/>
      <c r="RQ268" s="18"/>
      <c r="RR268" s="18"/>
      <c r="RS268" s="18"/>
      <c r="RT268" s="18"/>
      <c r="RU268" s="18"/>
      <c r="RV268" s="18"/>
      <c r="RW268" s="18"/>
      <c r="RX268" s="18"/>
      <c r="RY268" s="18"/>
      <c r="RZ268" s="18"/>
      <c r="SA268" s="18"/>
      <c r="SB268" s="18"/>
      <c r="SC268" s="18"/>
      <c r="SD268" s="18"/>
      <c r="SE268" s="18"/>
      <c r="SF268" s="18"/>
      <c r="SG268" s="18"/>
      <c r="SH268" s="18"/>
      <c r="SI268" s="18"/>
      <c r="SJ268" s="18"/>
      <c r="SK268" s="18"/>
      <c r="SL268" s="18"/>
      <c r="SM268" s="18"/>
      <c r="SN268" s="18"/>
      <c r="SO268" s="18"/>
      <c r="SP268" s="18"/>
      <c r="SQ268" s="18"/>
      <c r="SR268" s="18"/>
      <c r="SS268" s="18"/>
      <c r="ST268" s="18"/>
      <c r="SU268" s="18"/>
      <c r="SV268" s="18"/>
      <c r="SW268" s="18"/>
      <c r="SX268" s="18"/>
      <c r="SY268" s="18"/>
      <c r="SZ268" s="18"/>
      <c r="TA268" s="18"/>
      <c r="TB268" s="18"/>
      <c r="TC268" s="18"/>
      <c r="TD268" s="18"/>
      <c r="TE268" s="18"/>
      <c r="TF268" s="18"/>
      <c r="TG268" s="18"/>
      <c r="TH268" s="18"/>
      <c r="TI268" s="18"/>
      <c r="TJ268" s="18"/>
      <c r="TK268" s="18"/>
      <c r="TL268" s="18"/>
      <c r="TM268" s="18"/>
      <c r="TN268" s="18"/>
      <c r="TO268" s="18"/>
      <c r="TP268" s="18"/>
      <c r="TQ268" s="18"/>
      <c r="TR268" s="18"/>
      <c r="TS268" s="18"/>
      <c r="TT268" s="18"/>
      <c r="TU268" s="18"/>
      <c r="TV268" s="18"/>
      <c r="TW268" s="18"/>
      <c r="TX268" s="18"/>
      <c r="TY268" s="18"/>
      <c r="TZ268" s="18"/>
      <c r="UA268" s="18"/>
      <c r="UB268" s="18"/>
      <c r="UC268" s="18"/>
      <c r="UD268" s="18"/>
      <c r="UE268" s="18"/>
      <c r="UF268" s="18"/>
      <c r="UG268" s="18"/>
      <c r="UH268" s="18"/>
      <c r="UI268" s="18"/>
      <c r="UJ268" s="18"/>
      <c r="UK268" s="18"/>
      <c r="UL268" s="18"/>
      <c r="UM268" s="18"/>
      <c r="UN268" s="18"/>
      <c r="UO268" s="18"/>
      <c r="UP268" s="18"/>
      <c r="UQ268" s="18"/>
      <c r="UR268" s="18"/>
      <c r="US268" s="18"/>
      <c r="UT268" s="18"/>
      <c r="UU268" s="18"/>
      <c r="UV268" s="18"/>
      <c r="UW268" s="18"/>
      <c r="UX268" s="18"/>
      <c r="UY268" s="18"/>
      <c r="UZ268" s="18"/>
      <c r="VA268" s="18"/>
      <c r="VB268" s="18"/>
      <c r="VC268" s="18"/>
      <c r="VD268" s="18"/>
      <c r="VE268" s="18"/>
      <c r="VF268" s="18"/>
      <c r="VG268" s="18"/>
      <c r="VH268" s="18"/>
      <c r="VI268" s="18"/>
      <c r="VJ268" s="18"/>
      <c r="VK268" s="18"/>
      <c r="VL268" s="18"/>
      <c r="VM268" s="18"/>
      <c r="VN268" s="18"/>
      <c r="VO268" s="18"/>
      <c r="VP268" s="18"/>
      <c r="VQ268" s="18"/>
      <c r="VR268" s="18"/>
      <c r="VS268" s="18"/>
      <c r="VT268" s="18"/>
      <c r="VU268" s="18"/>
      <c r="VV268" s="18"/>
      <c r="VW268" s="18"/>
      <c r="VX268" s="18"/>
      <c r="VY268" s="18"/>
      <c r="VZ268" s="18"/>
      <c r="WA268" s="18"/>
      <c r="WB268" s="18"/>
      <c r="WC268" s="18"/>
      <c r="WD268" s="18"/>
      <c r="WE268" s="18"/>
      <c r="WF268" s="18"/>
      <c r="WG268" s="18"/>
      <c r="WH268" s="18"/>
      <c r="WI268" s="18"/>
      <c r="WJ268" s="18"/>
      <c r="WK268" s="18"/>
      <c r="WL268" s="18"/>
      <c r="WM268" s="18"/>
      <c r="WN268" s="18"/>
      <c r="WO268" s="18"/>
      <c r="WP268" s="18"/>
      <c r="WQ268" s="18"/>
      <c r="WR268" s="18"/>
      <c r="WS268" s="18"/>
      <c r="WT268" s="18"/>
      <c r="WU268" s="18"/>
      <c r="WV268" s="18"/>
      <c r="WW268" s="18"/>
      <c r="WX268" s="18"/>
      <c r="WY268" s="18"/>
      <c r="WZ268" s="18"/>
      <c r="XA268" s="18"/>
      <c r="XB268" s="18"/>
      <c r="XC268" s="18"/>
      <c r="XD268" s="18"/>
      <c r="XE268" s="18"/>
      <c r="XF268" s="18"/>
      <c r="XG268" s="18"/>
      <c r="XH268" s="18"/>
      <c r="XI268" s="18"/>
      <c r="XJ268" s="18"/>
      <c r="XK268" s="18"/>
      <c r="XL268" s="18"/>
      <c r="XM268" s="18"/>
      <c r="XN268" s="18"/>
      <c r="XO268" s="18"/>
      <c r="XP268" s="18"/>
      <c r="XQ268" s="18"/>
      <c r="XR268" s="18"/>
      <c r="XS268" s="18"/>
      <c r="XT268" s="18"/>
      <c r="XU268" s="18"/>
      <c r="XV268" s="18"/>
      <c r="XW268" s="18"/>
      <c r="XX268" s="18"/>
      <c r="XY268" s="18"/>
      <c r="XZ268" s="18"/>
      <c r="YA268" s="18"/>
      <c r="YB268" s="18"/>
      <c r="YC268" s="18"/>
      <c r="YD268" s="18"/>
      <c r="YE268" s="18"/>
      <c r="YF268" s="18"/>
      <c r="YG268" s="18"/>
      <c r="YH268" s="18"/>
      <c r="YI268" s="18"/>
      <c r="YJ268" s="18"/>
      <c r="YK268" s="18"/>
      <c r="YL268" s="18"/>
      <c r="YM268" s="18"/>
      <c r="YN268" s="18"/>
      <c r="YO268" s="18"/>
      <c r="YP268" s="18"/>
      <c r="YQ268" s="18"/>
      <c r="YR268" s="18"/>
      <c r="YS268" s="18"/>
      <c r="YT268" s="18"/>
      <c r="YU268" s="18"/>
      <c r="YV268" s="18"/>
      <c r="YW268" s="18"/>
      <c r="YX268" s="18"/>
      <c r="YY268" s="18"/>
      <c r="YZ268" s="18"/>
      <c r="ZA268" s="18"/>
      <c r="ZB268" s="18"/>
      <c r="ZC268" s="18"/>
      <c r="ZD268" s="18"/>
      <c r="ZE268" s="18"/>
      <c r="ZF268" s="18"/>
      <c r="ZG268" s="18"/>
      <c r="ZH268" s="18"/>
      <c r="ZI268" s="18"/>
      <c r="ZJ268" s="18"/>
      <c r="ZK268" s="18"/>
      <c r="ZL268" s="18"/>
      <c r="ZM268" s="18"/>
      <c r="ZN268" s="18"/>
      <c r="ZO268" s="18"/>
      <c r="ZP268" s="18"/>
      <c r="ZQ268" s="18"/>
      <c r="ZR268" s="18"/>
      <c r="ZS268" s="18"/>
      <c r="ZT268" s="18"/>
      <c r="ZU268" s="18"/>
      <c r="ZV268" s="18"/>
      <c r="ZW268" s="18"/>
      <c r="ZX268" s="18"/>
      <c r="ZY268" s="18"/>
      <c r="ZZ268" s="18"/>
      <c r="AAA268" s="18"/>
      <c r="AAB268" s="18"/>
      <c r="AAC268" s="18"/>
      <c r="AAD268" s="18"/>
      <c r="AAE268" s="18"/>
      <c r="AAF268" s="18"/>
      <c r="AAG268" s="18"/>
      <c r="AAH268" s="18"/>
      <c r="AAI268" s="18"/>
      <c r="AAJ268" s="18"/>
      <c r="AAK268" s="18"/>
      <c r="AAL268" s="18"/>
      <c r="AAM268" s="18"/>
      <c r="AAN268" s="18"/>
      <c r="AAO268" s="18"/>
      <c r="AAP268" s="18"/>
      <c r="AAQ268" s="18"/>
      <c r="AAR268" s="18"/>
      <c r="AAS268" s="18"/>
      <c r="AAT268" s="18"/>
      <c r="AAU268" s="18"/>
      <c r="AAV268" s="18"/>
      <c r="AAW268" s="18"/>
      <c r="AAX268" s="18"/>
      <c r="AAY268" s="18"/>
      <c r="AAZ268" s="18"/>
      <c r="ABA268" s="18"/>
      <c r="ABB268" s="18"/>
      <c r="ABC268" s="18"/>
      <c r="ABD268" s="18"/>
      <c r="ABE268" s="18"/>
      <c r="ABF268" s="18"/>
      <c r="ABG268" s="18"/>
      <c r="ABH268" s="18"/>
      <c r="ABI268" s="18"/>
      <c r="ABJ268" s="18"/>
      <c r="ABK268" s="18"/>
      <c r="ABL268" s="18"/>
      <c r="ABM268" s="18"/>
      <c r="ABN268" s="18"/>
      <c r="ABO268" s="18"/>
      <c r="ABP268" s="18"/>
      <c r="ABQ268" s="18"/>
      <c r="ABR268" s="18"/>
      <c r="ABS268" s="18"/>
      <c r="ABT268" s="18"/>
      <c r="ABU268" s="18"/>
      <c r="ABV268" s="18"/>
      <c r="ABW268" s="18"/>
      <c r="ABX268" s="18"/>
      <c r="ABY268" s="18"/>
      <c r="ABZ268" s="18"/>
      <c r="ACA268" s="18"/>
      <c r="ACB268" s="18"/>
      <c r="ACC268" s="18"/>
      <c r="ACD268" s="18"/>
      <c r="ACE268" s="18"/>
      <c r="ACF268" s="18"/>
      <c r="ACG268" s="18"/>
      <c r="ACH268" s="18"/>
      <c r="ACI268" s="18"/>
      <c r="ACJ268" s="18"/>
      <c r="ACK268" s="18"/>
      <c r="ACL268" s="18"/>
      <c r="ACM268" s="18"/>
      <c r="ACN268" s="18"/>
      <c r="ACO268" s="18"/>
      <c r="ACP268" s="18"/>
      <c r="ACQ268" s="18"/>
      <c r="ACR268" s="18"/>
      <c r="ACS268" s="18"/>
      <c r="ACT268" s="18"/>
      <c r="ACU268" s="18"/>
      <c r="ACV268" s="18"/>
      <c r="ACW268" s="18"/>
      <c r="ACX268" s="18"/>
      <c r="ACY268" s="18"/>
      <c r="ACZ268" s="18"/>
      <c r="ADA268" s="18"/>
      <c r="ADB268" s="18"/>
      <c r="ADC268" s="18"/>
      <c r="ADD268" s="18"/>
      <c r="ADE268" s="18"/>
      <c r="ADF268" s="18"/>
      <c r="ADG268" s="18"/>
      <c r="ADH268" s="18"/>
      <c r="ADI268" s="18"/>
      <c r="ADJ268" s="18"/>
      <c r="ADK268" s="18"/>
      <c r="ADL268" s="18"/>
      <c r="ADM268" s="18"/>
      <c r="ADN268" s="18"/>
      <c r="ADO268" s="18"/>
      <c r="ADP268" s="18"/>
      <c r="ADQ268" s="18"/>
      <c r="ADR268" s="18"/>
      <c r="ADS268" s="18"/>
      <c r="ADT268" s="18"/>
      <c r="ADU268" s="18"/>
      <c r="ADV268" s="18"/>
      <c r="ADW268" s="18"/>
      <c r="ADX268" s="18"/>
      <c r="ADY268" s="18"/>
      <c r="ADZ268" s="18"/>
      <c r="AEA268" s="18"/>
      <c r="AEB268" s="18"/>
      <c r="AEC268" s="18"/>
      <c r="AED268" s="18"/>
      <c r="AEE268" s="18"/>
      <c r="AEF268" s="18"/>
      <c r="AEG268" s="18"/>
      <c r="AEH268" s="18"/>
      <c r="AEI268" s="18"/>
      <c r="AEJ268" s="18"/>
      <c r="AEK268" s="18"/>
      <c r="AEL268" s="18"/>
      <c r="AEM268" s="18"/>
      <c r="AEN268" s="18"/>
      <c r="AEO268" s="18"/>
      <c r="AEP268" s="18"/>
      <c r="AEQ268" s="18"/>
      <c r="AER268" s="18"/>
      <c r="AES268" s="18"/>
      <c r="AET268" s="18"/>
      <c r="AEU268" s="18"/>
      <c r="AEV268" s="18"/>
      <c r="AEW268" s="18"/>
      <c r="AEX268" s="18"/>
      <c r="AEY268" s="18"/>
      <c r="AEZ268" s="18"/>
      <c r="AFA268" s="18"/>
      <c r="AFB268" s="18"/>
      <c r="AFC268" s="18"/>
      <c r="AFD268" s="18"/>
      <c r="AFE268" s="18"/>
      <c r="AFF268" s="18"/>
      <c r="AFG268" s="18"/>
      <c r="AFH268" s="18"/>
      <c r="AFI268" s="18"/>
      <c r="AFJ268" s="18"/>
      <c r="AFK268" s="18"/>
      <c r="AFL268" s="18"/>
      <c r="AFM268" s="18"/>
      <c r="AFN268" s="18"/>
      <c r="AFO268" s="18"/>
      <c r="AFP268" s="18"/>
      <c r="AFQ268" s="18"/>
      <c r="AFR268" s="18"/>
      <c r="AFS268" s="18"/>
      <c r="AFT268" s="18"/>
      <c r="AFU268" s="18"/>
      <c r="AFV268" s="18"/>
      <c r="AFW268" s="18"/>
      <c r="AFX268" s="18"/>
      <c r="AFY268" s="18"/>
      <c r="AFZ268" s="18"/>
      <c r="AGA268" s="18"/>
      <c r="AGB268" s="18"/>
      <c r="AGC268" s="18"/>
      <c r="AGD268" s="18"/>
      <c r="AGE268" s="18"/>
      <c r="AGF268" s="18"/>
      <c r="AGG268" s="18"/>
      <c r="AGH268" s="18"/>
      <c r="AGI268" s="18"/>
      <c r="AGJ268" s="18"/>
      <c r="AGK268" s="18"/>
      <c r="AGL268" s="18"/>
      <c r="AGM268" s="18"/>
      <c r="AGN268" s="18"/>
      <c r="AGO268" s="18"/>
      <c r="AGP268" s="18"/>
      <c r="AGQ268" s="18"/>
      <c r="AGR268" s="18"/>
      <c r="AGS268" s="18"/>
      <c r="AGT268" s="18"/>
      <c r="AGU268" s="18"/>
      <c r="AGV268" s="18"/>
      <c r="AGW268" s="18"/>
      <c r="AGX268" s="18"/>
      <c r="AGY268" s="18"/>
      <c r="AGZ268" s="18"/>
      <c r="AHA268" s="18"/>
      <c r="AHB268" s="18"/>
      <c r="AHC268" s="18"/>
      <c r="AHD268" s="18"/>
      <c r="AHE268" s="18"/>
      <c r="AHF268" s="18"/>
      <c r="AHG268" s="18"/>
      <c r="AHH268" s="18"/>
      <c r="AHI268" s="18"/>
      <c r="AHJ268" s="18"/>
      <c r="AHK268" s="18"/>
      <c r="AHL268" s="18"/>
      <c r="AHM268" s="18"/>
      <c r="AHN268" s="18"/>
      <c r="AHO268" s="18"/>
      <c r="AHP268" s="18"/>
      <c r="AHQ268" s="18"/>
      <c r="AHR268" s="18"/>
      <c r="AHS268" s="18"/>
      <c r="AHT268" s="18"/>
      <c r="AHU268" s="18"/>
      <c r="AHV268" s="18"/>
      <c r="AHW268" s="18"/>
      <c r="AHX268" s="18"/>
      <c r="AHY268" s="18"/>
      <c r="AHZ268" s="18"/>
      <c r="AIA268" s="18"/>
      <c r="AIB268" s="18"/>
      <c r="AIC268" s="18"/>
      <c r="AID268" s="18"/>
      <c r="AIE268" s="18"/>
      <c r="AIF268" s="18"/>
      <c r="AIG268" s="18"/>
      <c r="AIH268" s="18"/>
      <c r="AII268" s="18"/>
      <c r="AIJ268" s="18"/>
      <c r="AIK268" s="18"/>
      <c r="AIL268" s="18"/>
      <c r="AIM268" s="18"/>
      <c r="AIN268" s="18"/>
      <c r="AIO268" s="18"/>
      <c r="AIP268" s="18"/>
      <c r="AIQ268" s="18"/>
      <c r="AIR268" s="18"/>
      <c r="AIS268" s="18"/>
      <c r="AIT268" s="18"/>
      <c r="AIU268" s="18"/>
      <c r="AIV268" s="18"/>
      <c r="AIW268" s="18"/>
      <c r="AIX268" s="18"/>
      <c r="AIY268" s="18"/>
      <c r="AIZ268" s="18"/>
      <c r="AJA268" s="18"/>
      <c r="AJB268" s="18"/>
      <c r="AJC268" s="18"/>
      <c r="AJD268" s="18"/>
      <c r="AJE268" s="18"/>
      <c r="AJF268" s="18"/>
      <c r="AJG268" s="18"/>
      <c r="AJH268" s="18"/>
      <c r="AJI268" s="18"/>
      <c r="AJJ268" s="18"/>
      <c r="AJK268" s="18"/>
      <c r="AJL268" s="18"/>
      <c r="AJM268" s="18"/>
      <c r="AJN268" s="18"/>
      <c r="AJO268" s="18"/>
      <c r="AJP268" s="18"/>
      <c r="AJQ268" s="18"/>
      <c r="AJR268" s="18"/>
      <c r="AJS268" s="18"/>
      <c r="AJT268" s="18"/>
      <c r="AJU268" s="18"/>
      <c r="AJV268" s="18"/>
      <c r="AJW268" s="18"/>
      <c r="AJX268" s="18"/>
      <c r="AJY268" s="18"/>
      <c r="AJZ268" s="18"/>
      <c r="AKA268" s="18"/>
      <c r="AKB268" s="18"/>
      <c r="AKC268" s="18"/>
      <c r="AKD268" s="18"/>
      <c r="AKE268" s="18"/>
      <c r="AKF268" s="18"/>
      <c r="AKG268" s="18"/>
      <c r="AKH268" s="18"/>
      <c r="AKI268" s="18"/>
      <c r="AKJ268" s="18"/>
      <c r="AKK268" s="18"/>
      <c r="AKL268" s="18"/>
      <c r="AKM268" s="18"/>
      <c r="AKN268" s="18"/>
      <c r="AKO268" s="18"/>
      <c r="AKP268" s="18"/>
      <c r="AKQ268" s="18"/>
      <c r="AKR268" s="18"/>
      <c r="AKS268" s="18"/>
      <c r="AKT268" s="18"/>
      <c r="AKU268" s="18"/>
      <c r="AKV268" s="18"/>
      <c r="AKW268" s="18"/>
      <c r="AKX268" s="18"/>
      <c r="AKY268" s="18"/>
      <c r="AKZ268" s="18"/>
      <c r="ALA268" s="18"/>
      <c r="ALB268" s="18"/>
      <c r="ALC268" s="18"/>
      <c r="ALD268" s="18"/>
      <c r="ALE268" s="18"/>
      <c r="ALF268" s="18"/>
      <c r="ALG268" s="18"/>
      <c r="ALH268" s="18"/>
      <c r="ALI268" s="18"/>
      <c r="ALJ268" s="18"/>
      <c r="ALK268" s="18"/>
      <c r="ALL268" s="18"/>
      <c r="ALM268" s="18"/>
      <c r="ALN268" s="18"/>
      <c r="ALO268" s="18"/>
      <c r="ALP268" s="18"/>
      <c r="ALQ268" s="18"/>
      <c r="ALR268" s="18"/>
      <c r="ALS268" s="18"/>
      <c r="ALT268" s="18"/>
      <c r="ALU268" s="18"/>
      <c r="ALV268" s="18"/>
      <c r="ALW268" s="18"/>
      <c r="ALX268" s="18"/>
      <c r="ALY268" s="18"/>
      <c r="ALZ268" s="18"/>
      <c r="AMA268" s="18"/>
      <c r="AMB268" s="18"/>
      <c r="AMC268" s="18"/>
      <c r="AMD268" s="18"/>
      <c r="AME268" s="18"/>
      <c r="AMF268" s="18"/>
      <c r="AMG268" s="18"/>
      <c r="AMH268" s="18"/>
      <c r="AMI268" s="18"/>
      <c r="AMJ268" s="18"/>
      <c r="AMK268" s="18"/>
      <c r="AML268" s="18"/>
      <c r="AMM268" s="18"/>
      <c r="AMN268" s="18"/>
      <c r="AMO268" s="18"/>
      <c r="AMP268" s="18"/>
      <c r="AMQ268" s="18"/>
      <c r="AMR268" s="18"/>
      <c r="AMS268" s="18"/>
      <c r="AMT268" s="18"/>
      <c r="AMU268" s="18"/>
      <c r="AMV268" s="18"/>
      <c r="AMW268" s="18"/>
      <c r="AMX268" s="18"/>
      <c r="AMY268" s="18"/>
      <c r="AMZ268" s="18"/>
      <c r="ANA268" s="18"/>
      <c r="ANB268" s="18"/>
      <c r="ANC268" s="18"/>
      <c r="AND268" s="18"/>
      <c r="ANE268" s="18"/>
      <c r="ANF268" s="18"/>
      <c r="ANG268" s="18"/>
      <c r="ANH268" s="18"/>
      <c r="ANI268" s="18"/>
      <c r="ANJ268" s="18"/>
      <c r="ANK268" s="18"/>
      <c r="ANL268" s="18"/>
      <c r="ANM268" s="18"/>
      <c r="ANN268" s="18"/>
      <c r="ANO268" s="18"/>
      <c r="ANP268" s="18"/>
      <c r="ANQ268" s="18"/>
      <c r="ANR268" s="18"/>
      <c r="ANS268" s="18"/>
      <c r="ANT268" s="18"/>
      <c r="ANU268" s="18"/>
      <c r="ANV268" s="18"/>
      <c r="ANW268" s="18"/>
      <c r="ANX268" s="18"/>
      <c r="ANY268" s="18"/>
      <c r="ANZ268" s="18"/>
      <c r="AOA268" s="18"/>
      <c r="AOB268" s="18"/>
      <c r="AOC268" s="18"/>
      <c r="AOD268" s="18"/>
      <c r="AOE268" s="18"/>
      <c r="AOF268" s="18"/>
      <c r="AOG268" s="18"/>
      <c r="AOH268" s="18"/>
      <c r="AOI268" s="18"/>
      <c r="AOJ268" s="18"/>
      <c r="AOK268" s="18"/>
      <c r="AOL268" s="18"/>
      <c r="AOM268" s="18"/>
      <c r="AON268" s="18"/>
      <c r="AOO268" s="18"/>
      <c r="AOP268" s="18"/>
      <c r="AOQ268" s="18"/>
      <c r="AOR268" s="18"/>
      <c r="AOS268" s="18"/>
      <c r="AOT268" s="18"/>
      <c r="AOU268" s="18"/>
      <c r="AOV268" s="18"/>
      <c r="AOW268" s="18"/>
      <c r="AOX268" s="18"/>
      <c r="AOY268" s="18"/>
      <c r="AOZ268" s="18"/>
      <c r="APA268" s="18"/>
      <c r="APB268" s="18"/>
      <c r="APC268" s="18"/>
      <c r="APD268" s="18"/>
      <c r="APE268" s="18"/>
      <c r="APF268" s="18"/>
      <c r="APG268" s="18"/>
      <c r="APH268" s="18"/>
      <c r="API268" s="18"/>
      <c r="APJ268" s="18"/>
      <c r="APK268" s="18"/>
      <c r="APL268" s="18"/>
      <c r="APM268" s="18"/>
      <c r="APN268" s="18"/>
      <c r="APO268" s="18"/>
      <c r="APP268" s="18"/>
      <c r="APQ268" s="18"/>
      <c r="APR268" s="18"/>
      <c r="APS268" s="18"/>
      <c r="APT268" s="18"/>
      <c r="APU268" s="18"/>
      <c r="APV268" s="18"/>
      <c r="APW268" s="18"/>
      <c r="APX268" s="18"/>
      <c r="APY268" s="18"/>
      <c r="APZ268" s="18"/>
      <c r="AQA268" s="18"/>
      <c r="AQB268" s="18"/>
      <c r="AQC268" s="18"/>
      <c r="AQD268" s="18"/>
      <c r="AQE268" s="18"/>
      <c r="AQF268" s="18"/>
      <c r="AQG268" s="18"/>
      <c r="AQH268" s="18"/>
      <c r="AQI268" s="18"/>
      <c r="AQJ268" s="18"/>
      <c r="AQK268" s="18"/>
      <c r="AQL268" s="18"/>
      <c r="AQM268" s="18"/>
      <c r="AQN268" s="18"/>
      <c r="AQO268" s="18"/>
      <c r="AQP268" s="18"/>
      <c r="AQQ268" s="18"/>
      <c r="AQR268" s="18"/>
      <c r="AQS268" s="18"/>
      <c r="AQT268" s="18"/>
      <c r="AQU268" s="18"/>
      <c r="AQV268" s="18"/>
      <c r="AQW268" s="18"/>
      <c r="AQX268" s="18"/>
      <c r="AQY268" s="18"/>
      <c r="AQZ268" s="18"/>
      <c r="ARA268" s="18"/>
      <c r="ARB268" s="18"/>
      <c r="ARC268" s="18"/>
      <c r="ARD268" s="18"/>
      <c r="ARE268" s="18"/>
      <c r="ARF268" s="18"/>
      <c r="ARG268" s="18"/>
      <c r="ARH268" s="18"/>
      <c r="ARI268" s="18"/>
      <c r="ARJ268" s="18"/>
      <c r="ARK268" s="18"/>
      <c r="ARL268" s="18"/>
      <c r="ARM268" s="18"/>
      <c r="ARN268" s="18"/>
      <c r="ARO268" s="18"/>
      <c r="ARP268" s="18"/>
      <c r="ARQ268" s="18"/>
      <c r="ARR268" s="18"/>
      <c r="ARS268" s="18"/>
      <c r="ART268" s="18"/>
      <c r="ARU268" s="18"/>
      <c r="ARV268" s="18"/>
      <c r="ARW268" s="18"/>
      <c r="ARX268" s="18"/>
      <c r="ARY268" s="18"/>
      <c r="ARZ268" s="18"/>
      <c r="ASA268" s="18"/>
      <c r="ASB268" s="18"/>
      <c r="ASC268" s="18"/>
      <c r="ASD268" s="18"/>
      <c r="ASE268" s="18"/>
      <c r="ASF268" s="18"/>
      <c r="ASG268" s="18"/>
      <c r="ASH268" s="18"/>
      <c r="ASI268" s="18"/>
      <c r="ASJ268" s="18"/>
      <c r="ASK268" s="18"/>
      <c r="ASL268" s="18"/>
      <c r="ASM268" s="18"/>
      <c r="ASN268" s="18"/>
      <c r="ASO268" s="18"/>
      <c r="ASP268" s="18"/>
      <c r="ASQ268" s="18"/>
      <c r="ASR268" s="18"/>
      <c r="ASS268" s="18"/>
      <c r="AST268" s="18"/>
      <c r="ASU268" s="18"/>
      <c r="ASV268" s="18"/>
      <c r="ASW268" s="18"/>
      <c r="ASX268" s="18"/>
      <c r="ASY268" s="18"/>
      <c r="ASZ268" s="18"/>
      <c r="ATA268" s="18"/>
      <c r="ATB268" s="18"/>
      <c r="ATC268" s="18"/>
      <c r="ATD268" s="18"/>
      <c r="ATE268" s="18"/>
      <c r="ATF268" s="18"/>
      <c r="ATG268" s="18"/>
      <c r="ATH268" s="18"/>
      <c r="ATI268" s="18"/>
      <c r="ATJ268" s="18"/>
      <c r="ATK268" s="18"/>
      <c r="ATL268" s="18"/>
      <c r="ATM268" s="18"/>
      <c r="ATN268" s="18"/>
      <c r="ATO268" s="18"/>
      <c r="ATP268" s="18"/>
      <c r="ATQ268" s="18"/>
      <c r="ATR268" s="18"/>
      <c r="ATS268" s="18"/>
      <c r="ATT268" s="18"/>
      <c r="ATU268" s="18"/>
      <c r="ATV268" s="18"/>
      <c r="ATW268" s="18"/>
      <c r="ATX268" s="18"/>
      <c r="ATY268" s="18"/>
      <c r="ATZ268" s="18"/>
      <c r="AUA268" s="18"/>
      <c r="AUB268" s="18"/>
      <c r="AUC268" s="18"/>
      <c r="AUD268" s="18"/>
      <c r="AUE268" s="18"/>
      <c r="AUF268" s="18"/>
      <c r="AUG268" s="18"/>
      <c r="AUH268" s="18"/>
      <c r="AUI268" s="18"/>
      <c r="AUJ268" s="18"/>
      <c r="AUK268" s="18"/>
      <c r="AUL268" s="18"/>
      <c r="AUM268" s="18"/>
      <c r="AUN268" s="18"/>
      <c r="AUO268" s="18"/>
      <c r="AUP268" s="18"/>
      <c r="AUQ268" s="18"/>
      <c r="AUR268" s="18"/>
      <c r="AUS268" s="18"/>
      <c r="AUT268" s="18"/>
      <c r="AUU268" s="18"/>
      <c r="AUV268" s="18"/>
      <c r="AUW268" s="18"/>
      <c r="AUX268" s="18"/>
      <c r="AUY268" s="18"/>
      <c r="AUZ268" s="18"/>
      <c r="AVA268" s="18"/>
      <c r="AVB268" s="18"/>
      <c r="AVC268" s="18"/>
      <c r="AVD268" s="18"/>
      <c r="AVE268" s="18"/>
      <c r="AVF268" s="18"/>
      <c r="AVG268" s="18"/>
      <c r="AVH268" s="18"/>
      <c r="AVI268" s="18"/>
      <c r="AVJ268" s="18"/>
      <c r="AVK268" s="18"/>
      <c r="AVL268" s="18"/>
      <c r="AVM268" s="18"/>
      <c r="AVN268" s="18"/>
      <c r="AVO268" s="18"/>
      <c r="AVP268" s="18"/>
      <c r="AVQ268" s="18"/>
      <c r="AVR268" s="18"/>
      <c r="AVS268" s="18"/>
      <c r="AVT268" s="18"/>
      <c r="AVU268" s="18"/>
      <c r="AVV268" s="18"/>
      <c r="AVW268" s="18"/>
      <c r="AVX268" s="18"/>
      <c r="AVY268" s="18"/>
      <c r="AVZ268" s="18"/>
      <c r="AWA268" s="18"/>
      <c r="AWB268" s="18"/>
      <c r="AWC268" s="18"/>
      <c r="AWD268" s="18"/>
      <c r="AWE268" s="18"/>
      <c r="AWF268" s="18"/>
      <c r="AWG268" s="18"/>
      <c r="AWH268" s="18"/>
      <c r="AWI268" s="18"/>
      <c r="AWJ268" s="18"/>
      <c r="AWK268" s="18"/>
      <c r="AWL268" s="18"/>
      <c r="AWM268" s="18"/>
      <c r="AWN268" s="18"/>
      <c r="AWO268" s="18"/>
      <c r="AWP268" s="18"/>
      <c r="AWQ268" s="18"/>
      <c r="AWR268" s="18"/>
      <c r="AWS268" s="18"/>
      <c r="AWT268" s="18"/>
      <c r="AWU268" s="18"/>
      <c r="AWV268" s="18"/>
      <c r="AWW268" s="18"/>
      <c r="AWX268" s="18"/>
      <c r="AWY268" s="18"/>
      <c r="AWZ268" s="18"/>
      <c r="AXA268" s="18"/>
      <c r="AXB268" s="18"/>
      <c r="AXC268" s="18"/>
      <c r="AXD268" s="18"/>
      <c r="AXE268" s="18"/>
      <c r="AXF268" s="18"/>
      <c r="AXG268" s="18"/>
      <c r="AXH268" s="18"/>
      <c r="AXI268" s="18"/>
      <c r="AXJ268" s="18"/>
      <c r="AXK268" s="18"/>
      <c r="AXL268" s="18"/>
      <c r="AXM268" s="18"/>
      <c r="AXN268" s="18"/>
      <c r="AXO268" s="18"/>
      <c r="AXP268" s="18"/>
      <c r="AXQ268" s="18"/>
      <c r="AXR268" s="18"/>
      <c r="AXS268" s="18"/>
      <c r="AXT268" s="18"/>
      <c r="AXU268" s="18"/>
      <c r="AXV268" s="18"/>
      <c r="AXW268" s="18"/>
      <c r="AXX268" s="18"/>
      <c r="AXY268" s="18"/>
      <c r="AXZ268" s="18"/>
      <c r="AYA268" s="18"/>
      <c r="AYB268" s="18"/>
      <c r="AYC268" s="18"/>
      <c r="AYD268" s="18"/>
      <c r="AYE268" s="18"/>
      <c r="AYF268" s="18"/>
      <c r="AYG268" s="18"/>
      <c r="AYH268" s="18"/>
      <c r="AYI268" s="18"/>
      <c r="AYJ268" s="18"/>
      <c r="AYK268" s="18"/>
      <c r="AYL268" s="18"/>
      <c r="AYM268" s="18"/>
      <c r="AYN268" s="18"/>
      <c r="AYO268" s="18"/>
      <c r="AYP268" s="18"/>
      <c r="AYQ268" s="18"/>
      <c r="AYR268" s="18"/>
      <c r="AYS268" s="18"/>
      <c r="AYT268" s="18"/>
      <c r="AYU268" s="18"/>
      <c r="AYV268" s="18"/>
      <c r="AYW268" s="18"/>
      <c r="AYX268" s="18"/>
      <c r="AYY268" s="18"/>
      <c r="AYZ268" s="18"/>
      <c r="AZA268" s="18"/>
      <c r="AZB268" s="18"/>
      <c r="AZC268" s="18"/>
      <c r="AZD268" s="18"/>
      <c r="AZE268" s="18"/>
      <c r="AZF268" s="18"/>
      <c r="AZG268" s="18"/>
      <c r="AZH268" s="18"/>
      <c r="AZI268" s="18"/>
      <c r="AZJ268" s="18"/>
      <c r="AZK268" s="18"/>
      <c r="AZL268" s="18"/>
      <c r="AZM268" s="18"/>
      <c r="AZN268" s="18"/>
      <c r="AZO268" s="18"/>
      <c r="AZP268" s="18"/>
      <c r="AZQ268" s="18"/>
      <c r="AZR268" s="18"/>
      <c r="AZS268" s="18"/>
      <c r="AZT268" s="18"/>
      <c r="AZU268" s="18"/>
      <c r="AZV268" s="18"/>
      <c r="AZW268" s="18"/>
      <c r="AZX268" s="18"/>
      <c r="AZY268" s="18"/>
      <c r="AZZ268" s="18"/>
      <c r="BAA268" s="18"/>
      <c r="BAB268" s="18"/>
      <c r="BAC268" s="18"/>
      <c r="BAD268" s="18"/>
      <c r="BAE268" s="18"/>
      <c r="BAF268" s="18"/>
      <c r="BAG268" s="18"/>
      <c r="BAH268" s="18"/>
      <c r="BAI268" s="18"/>
      <c r="BAJ268" s="18"/>
      <c r="BAK268" s="18"/>
      <c r="BAL268" s="18"/>
      <c r="BAM268" s="18"/>
      <c r="BAN268" s="18"/>
      <c r="BAO268" s="18"/>
      <c r="BAP268" s="18"/>
      <c r="BAQ268" s="18"/>
      <c r="BAR268" s="18"/>
      <c r="BAS268" s="18"/>
      <c r="BAT268" s="18"/>
      <c r="BAU268" s="18"/>
      <c r="BAV268" s="18"/>
      <c r="BAW268" s="18"/>
      <c r="BAX268" s="18"/>
      <c r="BAY268" s="18"/>
      <c r="BAZ268" s="18"/>
      <c r="BBA268" s="18"/>
      <c r="BBB268" s="18"/>
      <c r="BBC268" s="18"/>
      <c r="BBD268" s="18"/>
      <c r="BBE268" s="18"/>
      <c r="BBF268" s="18"/>
      <c r="BBG268" s="18"/>
      <c r="BBH268" s="18"/>
      <c r="BBI268" s="18"/>
      <c r="BBJ268" s="18"/>
      <c r="BBK268" s="18"/>
      <c r="BBL268" s="18"/>
      <c r="BBM268" s="18"/>
      <c r="BBN268" s="18"/>
      <c r="BBO268" s="18"/>
      <c r="BBP268" s="18"/>
      <c r="BBQ268" s="18"/>
      <c r="BBR268" s="18"/>
      <c r="BBS268" s="18"/>
      <c r="BBT268" s="18"/>
      <c r="BBU268" s="18"/>
      <c r="BBV268" s="18"/>
      <c r="BBW268" s="18"/>
      <c r="BBX268" s="18"/>
      <c r="BBY268" s="18"/>
      <c r="BBZ268" s="18"/>
      <c r="BCA268" s="18"/>
      <c r="BCB268" s="18"/>
      <c r="BCC268" s="18"/>
      <c r="BCD268" s="18"/>
      <c r="BCE268" s="18"/>
      <c r="BCF268" s="18"/>
      <c r="BCG268" s="18"/>
      <c r="BCH268" s="18"/>
      <c r="BCI268" s="18"/>
      <c r="BCJ268" s="18"/>
      <c r="BCK268" s="18"/>
      <c r="BCL268" s="18"/>
      <c r="BCM268" s="18"/>
      <c r="BCN268" s="18"/>
      <c r="BCO268" s="18"/>
      <c r="BCP268" s="18"/>
      <c r="BCQ268" s="18"/>
      <c r="BCR268" s="18"/>
      <c r="BCS268" s="18"/>
      <c r="BCT268" s="18"/>
      <c r="BCU268" s="18"/>
      <c r="BCV268" s="18"/>
      <c r="BCW268" s="18"/>
      <c r="BCX268" s="18"/>
      <c r="BCY268" s="18"/>
      <c r="BCZ268" s="18"/>
      <c r="BDA268" s="18"/>
      <c r="BDB268" s="18"/>
      <c r="BDC268" s="18"/>
      <c r="BDD268" s="18"/>
      <c r="BDE268" s="18"/>
      <c r="BDF268" s="18"/>
      <c r="BDG268" s="18"/>
      <c r="BDH268" s="18"/>
      <c r="BDI268" s="18"/>
      <c r="BDJ268" s="18"/>
      <c r="BDK268" s="18"/>
      <c r="BDL268" s="18"/>
      <c r="BDM268" s="18"/>
      <c r="BDN268" s="18"/>
      <c r="BDO268" s="18"/>
      <c r="BDP268" s="18"/>
      <c r="BDQ268" s="18"/>
      <c r="BDR268" s="18"/>
      <c r="BDS268" s="18"/>
      <c r="BDT268" s="18"/>
      <c r="BDU268" s="18"/>
      <c r="BDV268" s="18"/>
      <c r="BDW268" s="18"/>
      <c r="BDX268" s="18"/>
      <c r="BDY268" s="18"/>
      <c r="BDZ268" s="18"/>
      <c r="BEA268" s="18"/>
      <c r="BEB268" s="18"/>
      <c r="BEC268" s="18"/>
      <c r="BED268" s="18"/>
      <c r="BEE268" s="18"/>
      <c r="BEF268" s="18"/>
      <c r="BEG268" s="18"/>
      <c r="BEH268" s="18"/>
      <c r="BEI268" s="18"/>
      <c r="BEJ268" s="18"/>
      <c r="BEK268" s="18"/>
      <c r="BEL268" s="18"/>
      <c r="BEM268" s="18"/>
      <c r="BEN268" s="18"/>
      <c r="BEO268" s="18"/>
      <c r="BEP268" s="18"/>
      <c r="BEQ268" s="18"/>
      <c r="BER268" s="18"/>
      <c r="BES268" s="18"/>
      <c r="BET268" s="18"/>
      <c r="BEU268" s="18"/>
      <c r="BEV268" s="18"/>
      <c r="BEW268" s="18"/>
      <c r="BEX268" s="18"/>
      <c r="BEY268" s="18"/>
      <c r="BEZ268" s="18"/>
      <c r="BFA268" s="18"/>
      <c r="BFB268" s="18"/>
      <c r="BFC268" s="18"/>
      <c r="BFD268" s="18"/>
      <c r="BFE268" s="18"/>
      <c r="BFF268" s="18"/>
      <c r="BFG268" s="18"/>
      <c r="BFH268" s="18"/>
      <c r="BFI268" s="18"/>
      <c r="BFJ268" s="18"/>
      <c r="BFK268" s="18"/>
      <c r="BFL268" s="18"/>
      <c r="BFM268" s="18"/>
      <c r="BFN268" s="18"/>
      <c r="BFO268" s="18"/>
      <c r="BFP268" s="18"/>
      <c r="BFQ268" s="18"/>
      <c r="BFR268" s="18"/>
      <c r="BFS268" s="18"/>
      <c r="BFT268" s="18"/>
      <c r="BFU268" s="18"/>
      <c r="BFV268" s="18"/>
      <c r="BFW268" s="18"/>
      <c r="BFX268" s="18"/>
      <c r="BFY268" s="18"/>
      <c r="BFZ268" s="18"/>
      <c r="BGA268" s="18"/>
      <c r="BGB268" s="18"/>
      <c r="BGC268" s="18"/>
      <c r="BGD268" s="18"/>
      <c r="BGE268" s="18"/>
      <c r="BGF268" s="18"/>
      <c r="BGG268" s="18"/>
      <c r="BGH268" s="18"/>
      <c r="BGI268" s="18"/>
      <c r="BGJ268" s="18"/>
      <c r="BGK268" s="18"/>
      <c r="BGL268" s="18"/>
      <c r="BGM268" s="18"/>
      <c r="BGN268" s="18"/>
      <c r="BGO268" s="18"/>
      <c r="BGP268" s="18"/>
      <c r="BGQ268" s="18"/>
      <c r="BGR268" s="18"/>
      <c r="BGS268" s="18"/>
      <c r="BGT268" s="18"/>
      <c r="BGU268" s="18"/>
      <c r="BGV268" s="18"/>
      <c r="BGW268" s="18"/>
      <c r="BGX268" s="18"/>
      <c r="BGY268" s="18"/>
      <c r="BGZ268" s="18"/>
      <c r="BHA268" s="18"/>
      <c r="BHB268" s="18"/>
      <c r="BHC268" s="18"/>
      <c r="BHD268" s="18"/>
      <c r="BHE268" s="18"/>
      <c r="BHF268" s="18"/>
      <c r="BHG268" s="18"/>
      <c r="BHH268" s="18"/>
      <c r="BHI268" s="18"/>
      <c r="BHJ268" s="18"/>
      <c r="BHK268" s="18"/>
      <c r="BHL268" s="18"/>
      <c r="BHM268" s="18"/>
      <c r="BHN268" s="18"/>
      <c r="BHO268" s="18"/>
      <c r="BHP268" s="18"/>
      <c r="BHQ268" s="18"/>
      <c r="BHR268" s="18"/>
      <c r="BHS268" s="18"/>
      <c r="BHT268" s="18"/>
      <c r="BHU268" s="18"/>
      <c r="BHV268" s="18"/>
      <c r="BHW268" s="18"/>
      <c r="BHX268" s="18"/>
      <c r="BHY268" s="18"/>
      <c r="BHZ268" s="18"/>
      <c r="BIA268" s="18"/>
      <c r="BIB268" s="18"/>
      <c r="BIC268" s="18"/>
      <c r="BID268" s="18"/>
      <c r="BIE268" s="18"/>
      <c r="BIF268" s="18"/>
      <c r="BIG268" s="18"/>
      <c r="BIH268" s="18"/>
      <c r="BII268" s="18"/>
      <c r="BIJ268" s="18"/>
      <c r="BIK268" s="18"/>
      <c r="BIL268" s="18"/>
      <c r="BIM268" s="18"/>
      <c r="BIN268" s="18"/>
      <c r="BIO268" s="18"/>
      <c r="BIP268" s="18"/>
      <c r="BIQ268" s="18"/>
      <c r="BIR268" s="18"/>
      <c r="BIS268" s="18"/>
      <c r="BIT268" s="18"/>
      <c r="BIU268" s="18"/>
      <c r="BIV268" s="18"/>
      <c r="BIW268" s="18"/>
      <c r="BIX268" s="18"/>
      <c r="BIY268" s="18"/>
      <c r="BIZ268" s="18"/>
      <c r="BJA268" s="18"/>
      <c r="BJB268" s="18"/>
      <c r="BJC268" s="18"/>
      <c r="BJD268" s="18"/>
      <c r="BJE268" s="18"/>
      <c r="BJF268" s="18"/>
      <c r="BJG268" s="18"/>
      <c r="BJH268" s="18"/>
      <c r="BJI268" s="18"/>
      <c r="BJJ268" s="18"/>
      <c r="BJK268" s="18"/>
      <c r="BJL268" s="18"/>
      <c r="BJM268" s="18"/>
      <c r="BJN268" s="18"/>
      <c r="BJO268" s="18"/>
      <c r="BJP268" s="18"/>
      <c r="BJQ268" s="18"/>
      <c r="BJR268" s="18"/>
      <c r="BJS268" s="18"/>
      <c r="BJT268" s="18"/>
      <c r="BJU268" s="18"/>
      <c r="BJV268" s="18"/>
      <c r="BJW268" s="18"/>
      <c r="BJX268" s="18"/>
      <c r="BJY268" s="18"/>
      <c r="BJZ268" s="18"/>
      <c r="BKA268" s="18"/>
      <c r="BKB268" s="18"/>
      <c r="BKC268" s="18"/>
      <c r="BKD268" s="18"/>
      <c r="BKE268" s="18"/>
      <c r="BKF268" s="18"/>
      <c r="BKG268" s="18"/>
      <c r="BKH268" s="18"/>
      <c r="BKI268" s="18"/>
      <c r="BKJ268" s="18"/>
      <c r="BKK268" s="18"/>
      <c r="BKL268" s="18"/>
      <c r="BKM268" s="18"/>
      <c r="BKN268" s="18"/>
      <c r="BKO268" s="18"/>
      <c r="BKP268" s="18"/>
      <c r="BKQ268" s="18"/>
      <c r="BKR268" s="18"/>
      <c r="BKS268" s="18"/>
      <c r="BKT268" s="18"/>
      <c r="BKU268" s="18"/>
      <c r="BKV268" s="18"/>
      <c r="BKW268" s="18"/>
      <c r="BKX268" s="18"/>
      <c r="BKY268" s="18"/>
      <c r="BKZ268" s="18"/>
      <c r="BLA268" s="18"/>
      <c r="BLB268" s="18"/>
      <c r="BLC268" s="18"/>
      <c r="BLD268" s="18"/>
      <c r="BLE268" s="18"/>
      <c r="BLF268" s="18"/>
      <c r="BLG268" s="18"/>
      <c r="BLH268" s="18"/>
      <c r="BLI268" s="18"/>
      <c r="BLJ268" s="18"/>
      <c r="BLK268" s="18"/>
      <c r="BLL268" s="18"/>
      <c r="BLM268" s="18"/>
      <c r="BLN268" s="18"/>
      <c r="BLO268" s="18"/>
      <c r="BLP268" s="18"/>
      <c r="BLQ268" s="18"/>
      <c r="BLR268" s="18"/>
      <c r="BLS268" s="18"/>
      <c r="BLT268" s="18"/>
      <c r="BLU268" s="18"/>
      <c r="BLV268" s="18"/>
      <c r="BLW268" s="18"/>
      <c r="BLX268" s="18"/>
      <c r="BLY268" s="18"/>
      <c r="BLZ268" s="18"/>
      <c r="BMA268" s="18"/>
      <c r="BMB268" s="18"/>
      <c r="BMC268" s="18"/>
      <c r="BMD268" s="18"/>
      <c r="BME268" s="18"/>
      <c r="BMF268" s="18"/>
      <c r="BMG268" s="18"/>
      <c r="BMH268" s="18"/>
      <c r="BMI268" s="18"/>
      <c r="BMJ268" s="18"/>
      <c r="BMK268" s="18"/>
      <c r="BML268" s="18"/>
      <c r="BMM268" s="18"/>
      <c r="BMN268" s="18"/>
      <c r="BMO268" s="18"/>
      <c r="BMP268" s="18"/>
      <c r="BMQ268" s="18"/>
      <c r="BMR268" s="18"/>
      <c r="BMS268" s="18"/>
      <c r="BMT268" s="18"/>
      <c r="BMU268" s="18"/>
      <c r="BMV268" s="18"/>
      <c r="BMW268" s="18"/>
      <c r="BMX268" s="18"/>
      <c r="BMY268" s="18"/>
      <c r="BMZ268" s="18"/>
      <c r="BNA268" s="18"/>
      <c r="BNB268" s="18"/>
      <c r="BNC268" s="18"/>
      <c r="BND268" s="18"/>
      <c r="BNE268" s="18"/>
      <c r="BNF268" s="18"/>
      <c r="BNG268" s="18"/>
      <c r="BNH268" s="18"/>
      <c r="BNI268" s="18"/>
      <c r="BNJ268" s="18"/>
      <c r="BNK268" s="18"/>
      <c r="BNL268" s="18"/>
      <c r="BNM268" s="18"/>
      <c r="BNN268" s="18"/>
      <c r="BNO268" s="18"/>
      <c r="BNP268" s="18"/>
      <c r="BNQ268" s="18"/>
      <c r="BNR268" s="18"/>
      <c r="BNS268" s="18"/>
      <c r="BNT268" s="18"/>
      <c r="BNU268" s="18"/>
      <c r="BNV268" s="18"/>
      <c r="BNW268" s="18"/>
      <c r="BNX268" s="18"/>
      <c r="BNY268" s="18"/>
      <c r="BNZ268" s="18"/>
      <c r="BOA268" s="18"/>
      <c r="BOB268" s="18"/>
      <c r="BOC268" s="18"/>
      <c r="BOD268" s="18"/>
      <c r="BOE268" s="18"/>
      <c r="BOF268" s="18"/>
      <c r="BOG268" s="18"/>
      <c r="BOH268" s="18"/>
      <c r="BOI268" s="18"/>
      <c r="BOJ268" s="18"/>
      <c r="BOK268" s="18"/>
      <c r="BOL268" s="18"/>
      <c r="BOM268" s="18"/>
      <c r="BON268" s="18"/>
      <c r="BOO268" s="18"/>
      <c r="BOP268" s="18"/>
      <c r="BOQ268" s="18"/>
      <c r="BOR268" s="18"/>
      <c r="BOS268" s="18"/>
      <c r="BOT268" s="18"/>
      <c r="BOU268" s="18"/>
      <c r="BOV268" s="18"/>
      <c r="BOW268" s="18"/>
      <c r="BOX268" s="18"/>
      <c r="BOY268" s="18"/>
      <c r="BOZ268" s="18"/>
      <c r="BPA268" s="18"/>
      <c r="BPB268" s="18"/>
      <c r="BPC268" s="18"/>
      <c r="BPD268" s="18"/>
      <c r="BPE268" s="18"/>
      <c r="BPF268" s="18"/>
      <c r="BPG268" s="18"/>
      <c r="BPH268" s="18"/>
      <c r="BPI268" s="18"/>
      <c r="BPJ268" s="18"/>
      <c r="BPK268" s="18"/>
      <c r="BPL268" s="18"/>
      <c r="BPM268" s="18"/>
      <c r="BPN268" s="18"/>
      <c r="BPO268" s="18"/>
      <c r="BPP268" s="18"/>
      <c r="BPQ268" s="18"/>
      <c r="BPR268" s="18"/>
      <c r="BPS268" s="18"/>
      <c r="BPT268" s="18"/>
      <c r="BPU268" s="18"/>
      <c r="BPV268" s="18"/>
      <c r="BPW268" s="18"/>
      <c r="BPX268" s="18"/>
      <c r="BPY268" s="18"/>
      <c r="BPZ268" s="18"/>
      <c r="BQA268" s="18"/>
      <c r="BQB268" s="18"/>
      <c r="BQC268" s="18"/>
      <c r="BQD268" s="18"/>
      <c r="BQE268" s="18"/>
      <c r="BQF268" s="18"/>
      <c r="BQG268" s="18"/>
      <c r="BQH268" s="18"/>
      <c r="BQI268" s="18"/>
      <c r="BQJ268" s="18"/>
      <c r="BQK268" s="18"/>
      <c r="BQL268" s="18"/>
      <c r="BQM268" s="18"/>
      <c r="BQN268" s="18"/>
      <c r="BQO268" s="18"/>
      <c r="BQP268" s="18"/>
      <c r="BQQ268" s="18"/>
      <c r="BQR268" s="18"/>
      <c r="BQS268" s="18"/>
      <c r="BQT268" s="18"/>
      <c r="BQU268" s="18"/>
      <c r="BQV268" s="18"/>
      <c r="BQW268" s="18"/>
      <c r="BQX268" s="18"/>
      <c r="BQY268" s="18"/>
      <c r="BQZ268" s="18"/>
      <c r="BRA268" s="18"/>
      <c r="BRB268" s="18"/>
      <c r="BRC268" s="18"/>
      <c r="BRD268" s="18"/>
      <c r="BRE268" s="18"/>
      <c r="BRF268" s="18"/>
      <c r="BRG268" s="18"/>
      <c r="BRH268" s="18"/>
      <c r="BRI268" s="18"/>
      <c r="BRJ268" s="18"/>
      <c r="BRK268" s="18"/>
      <c r="BRL268" s="18"/>
      <c r="BRM268" s="18"/>
      <c r="BRN268" s="18"/>
      <c r="BRO268" s="18"/>
      <c r="BRP268" s="18"/>
      <c r="BRQ268" s="18"/>
      <c r="BRR268" s="18"/>
      <c r="BRS268" s="18"/>
      <c r="BRT268" s="18"/>
      <c r="BRU268" s="18"/>
      <c r="BRV268" s="18"/>
      <c r="BRW268" s="18"/>
      <c r="BRX268" s="18"/>
      <c r="BRY268" s="18"/>
      <c r="BRZ268" s="18"/>
      <c r="BSA268" s="18"/>
      <c r="BSB268" s="18"/>
      <c r="BSC268" s="18"/>
      <c r="BSD268" s="18"/>
      <c r="BSE268" s="18"/>
      <c r="BSF268" s="18"/>
      <c r="BSG268" s="18"/>
      <c r="BSH268" s="18"/>
      <c r="BSI268" s="18"/>
      <c r="BSJ268" s="18"/>
      <c r="BSK268" s="18"/>
      <c r="BSL268" s="18"/>
      <c r="BSM268" s="18"/>
      <c r="BSN268" s="18"/>
      <c r="BSO268" s="18"/>
      <c r="BSP268" s="18"/>
      <c r="BSQ268" s="18"/>
      <c r="BSR268" s="18"/>
      <c r="BSS268" s="18"/>
      <c r="BST268" s="18"/>
      <c r="BSU268" s="18"/>
      <c r="BSV268" s="18"/>
      <c r="BSW268" s="18"/>
      <c r="BSX268" s="18"/>
      <c r="BSY268" s="18"/>
      <c r="BSZ268" s="18"/>
      <c r="BTA268" s="18"/>
      <c r="BTB268" s="18"/>
      <c r="BTC268" s="18"/>
      <c r="BTD268" s="18"/>
      <c r="BTE268" s="18"/>
      <c r="BTF268" s="18"/>
      <c r="BTG268" s="18"/>
      <c r="BTH268" s="18"/>
      <c r="BTI268" s="18"/>
    </row>
    <row r="269" spans="1:1881" ht="35.25" customHeight="1" x14ac:dyDescent="0.3">
      <c r="A269" s="108"/>
      <c r="B269" s="907" t="s">
        <v>25</v>
      </c>
      <c r="C269" s="908"/>
      <c r="D269" s="910"/>
      <c r="E269" s="924"/>
      <c r="F269" s="925"/>
      <c r="G269" s="892"/>
      <c r="H269" s="17"/>
      <c r="I269" s="79"/>
      <c r="J269" s="616"/>
      <c r="Z269" s="108"/>
      <c r="AA269" s="108"/>
      <c r="AB269" s="108"/>
      <c r="AC269" s="108"/>
      <c r="AD269" s="108"/>
      <c r="AE269" s="108"/>
      <c r="AF269" s="108"/>
      <c r="AG269" s="108"/>
      <c r="AH269" s="108"/>
      <c r="AI269" s="108"/>
      <c r="AJ269" s="108"/>
      <c r="AK269" s="108"/>
      <c r="AL269" s="108"/>
      <c r="AM269" s="108"/>
      <c r="AN269" s="108"/>
      <c r="AO269" s="108"/>
      <c r="AP269" s="108"/>
      <c r="AQ269" s="108"/>
      <c r="AR269" s="108"/>
    </row>
    <row r="270" spans="1:1881" ht="168" customHeight="1" x14ac:dyDescent="0.3">
      <c r="A270" s="125">
        <v>621</v>
      </c>
      <c r="B270" s="125" t="s">
        <v>606</v>
      </c>
      <c r="C270" s="124" t="s">
        <v>691</v>
      </c>
      <c r="D270" s="124" t="s">
        <v>1446</v>
      </c>
      <c r="E270" s="710" t="e">
        <f>HLOOKUP($D$2,'2020 Data(H)'!$C$1:$CZ$432,281,FALSE)</f>
        <v>#N/A</v>
      </c>
      <c r="F270" s="306">
        <v>0</v>
      </c>
      <c r="G270" s="815" t="s">
        <v>1447</v>
      </c>
      <c r="Z270" s="125"/>
      <c r="AA270" s="125"/>
      <c r="AB270" s="125"/>
      <c r="AC270" s="125"/>
      <c r="AD270" s="125"/>
      <c r="AE270" s="125"/>
      <c r="AF270" s="125"/>
      <c r="AG270" s="125"/>
      <c r="AH270" s="125"/>
      <c r="AI270" s="125"/>
      <c r="AJ270" s="125"/>
      <c r="AK270" s="125"/>
      <c r="AL270" s="125"/>
      <c r="AM270" s="125"/>
      <c r="AN270" s="125"/>
      <c r="AO270" s="125"/>
      <c r="AP270" s="125"/>
      <c r="AQ270" s="125"/>
      <c r="AR270" s="125"/>
    </row>
    <row r="271" spans="1:1881" ht="176.25" customHeight="1" x14ac:dyDescent="0.3">
      <c r="A271" s="108">
        <v>547</v>
      </c>
      <c r="B271" s="712"/>
      <c r="C271" s="712" t="s">
        <v>167</v>
      </c>
      <c r="D271" s="709" t="s">
        <v>532</v>
      </c>
      <c r="E271" s="710" t="e">
        <f>HLOOKUP($D$2,'2020 Data(H)'!$C$1:$CZ$432,197,FALSE)</f>
        <v>#N/A</v>
      </c>
      <c r="F271" s="779"/>
      <c r="G271" s="814" t="str">
        <f>IF(F271&lt;1,"Please answer this question","")</f>
        <v>Please answer this question</v>
      </c>
      <c r="H271" s="772"/>
      <c r="I271" s="773"/>
      <c r="Z271" s="108"/>
      <c r="AA271" s="108"/>
      <c r="AB271" s="108"/>
      <c r="AC271" s="108"/>
      <c r="AD271" s="108"/>
      <c r="AE271" s="108"/>
      <c r="AF271" s="108"/>
      <c r="AG271" s="108"/>
      <c r="AH271" s="108"/>
      <c r="AI271" s="108"/>
      <c r="AJ271" s="108"/>
      <c r="AK271" s="108"/>
      <c r="AL271" s="108"/>
      <c r="AM271" s="108"/>
      <c r="AN271" s="108"/>
      <c r="AO271" s="108"/>
      <c r="AP271" s="108"/>
      <c r="AQ271" s="108"/>
      <c r="AR271" s="108"/>
    </row>
    <row r="272" spans="1:1881" s="18" customFormat="1" ht="221.25" customHeight="1" x14ac:dyDescent="0.3">
      <c r="A272" s="319">
        <v>659</v>
      </c>
      <c r="B272" s="866" t="s">
        <v>59</v>
      </c>
      <c r="C272" s="866" t="s">
        <v>672</v>
      </c>
      <c r="D272" s="322" t="s">
        <v>1448</v>
      </c>
      <c r="E272" s="710" t="e">
        <f>HLOOKUP($D$2,'2020 Data(H)'!$C$1:$CZ$432,312,FALSE)</f>
        <v>#N/A</v>
      </c>
      <c r="F272" s="307">
        <v>0</v>
      </c>
      <c r="G272" s="815" t="s">
        <v>1449</v>
      </c>
      <c r="H272" s="771">
        <f>IF(F269&lt;0,"Error: Enter as positive.",)</f>
        <v>0</v>
      </c>
      <c r="I272" s="385"/>
      <c r="N272" s="308"/>
      <c r="Z272" s="319"/>
      <c r="AA272" s="319"/>
      <c r="AB272" s="319"/>
      <c r="AC272" s="319"/>
      <c r="AD272" s="319"/>
      <c r="AE272" s="319"/>
      <c r="AF272" s="319"/>
      <c r="AG272" s="319"/>
      <c r="AH272" s="319"/>
      <c r="AI272" s="319"/>
      <c r="AJ272" s="319"/>
      <c r="AK272" s="319"/>
      <c r="AL272" s="319"/>
      <c r="AM272" s="319"/>
      <c r="AN272" s="319"/>
      <c r="AO272" s="319"/>
      <c r="AP272" s="319"/>
      <c r="AQ272" s="319"/>
      <c r="AR272" s="319"/>
    </row>
    <row r="273" spans="1:44" ht="65.25" customHeight="1" x14ac:dyDescent="0.3">
      <c r="A273" s="319">
        <v>660</v>
      </c>
      <c r="B273" s="866" t="s">
        <v>59</v>
      </c>
      <c r="C273" s="866" t="s">
        <v>672</v>
      </c>
      <c r="D273" s="322" t="s">
        <v>1450</v>
      </c>
      <c r="E273" s="710" t="e">
        <f>HLOOKUP($D$2,'2020 Data(H)'!$C$1:$CZ$432,313,FALSE)</f>
        <v>#N/A</v>
      </c>
      <c r="F273" s="307">
        <v>0</v>
      </c>
      <c r="G273" s="815" t="str">
        <f>IF(ISBLANK(F273),"Please do not leave blank","")</f>
        <v/>
      </c>
      <c r="H273" s="771">
        <f>IF(F270&lt;0,"Note: Number is normally positive.",)</f>
        <v>0</v>
      </c>
      <c r="I273" s="17"/>
      <c r="Z273" s="319"/>
      <c r="AA273" s="319"/>
      <c r="AB273" s="319"/>
      <c r="AC273" s="319"/>
      <c r="AD273" s="319"/>
      <c r="AE273" s="319"/>
      <c r="AF273" s="319"/>
      <c r="AG273" s="319"/>
      <c r="AH273" s="319"/>
      <c r="AI273" s="319"/>
      <c r="AJ273" s="319"/>
      <c r="AK273" s="319"/>
      <c r="AL273" s="319"/>
      <c r="AM273" s="319"/>
      <c r="AN273" s="319"/>
      <c r="AO273" s="319"/>
      <c r="AP273" s="319"/>
      <c r="AQ273" s="319"/>
      <c r="AR273" s="319"/>
    </row>
    <row r="274" spans="1:44" ht="94.5" customHeight="1" x14ac:dyDescent="0.3">
      <c r="A274" s="319">
        <v>661</v>
      </c>
      <c r="B274" s="866" t="s">
        <v>59</v>
      </c>
      <c r="C274" s="866" t="s">
        <v>676</v>
      </c>
      <c r="D274" s="677" t="s">
        <v>1451</v>
      </c>
      <c r="E274" s="388" t="e">
        <f>HLOOKUP($D$2,'2020 Data(H)'!$C$1:$CZ$432,314,FALSE)</f>
        <v>#N/A</v>
      </c>
      <c r="F274" s="277">
        <v>0</v>
      </c>
      <c r="G274" s="815" t="str">
        <f>IF(ISBLANK(F274),"Please do not leave blank ",IF(F274=H274,"","Please review percentage"))</f>
        <v/>
      </c>
      <c r="H274" s="816">
        <f>ROUND(IFERROR((F273/F272)*100,0),1)</f>
        <v>0</v>
      </c>
      <c r="I274" s="816"/>
      <c r="Z274" s="319"/>
      <c r="AA274" s="319"/>
      <c r="AB274" s="319"/>
      <c r="AC274" s="319"/>
      <c r="AD274" s="319"/>
      <c r="AE274" s="319"/>
      <c r="AF274" s="319"/>
      <c r="AG274" s="319"/>
      <c r="AH274" s="319"/>
      <c r="AI274" s="319"/>
      <c r="AJ274" s="319"/>
      <c r="AK274" s="319"/>
      <c r="AL274" s="319"/>
      <c r="AM274" s="319"/>
      <c r="AN274" s="319"/>
      <c r="AO274" s="319"/>
      <c r="AP274" s="319"/>
      <c r="AQ274" s="319"/>
      <c r="AR274" s="319"/>
    </row>
    <row r="275" spans="1:44" ht="111.75" customHeight="1" x14ac:dyDescent="0.3">
      <c r="A275" s="108"/>
      <c r="B275" s="712"/>
      <c r="C275" s="712"/>
      <c r="D275" s="27" t="s">
        <v>26</v>
      </c>
      <c r="E275" s="714"/>
      <c r="F275" s="717"/>
      <c r="G275" s="815"/>
      <c r="H275" s="816"/>
      <c r="I275" s="817"/>
      <c r="Z275" s="108"/>
      <c r="AA275" s="108"/>
      <c r="AB275" s="108"/>
      <c r="AC275" s="108"/>
      <c r="AD275" s="108"/>
      <c r="AE275" s="108"/>
      <c r="AF275" s="108"/>
      <c r="AG275" s="108"/>
      <c r="AH275" s="108"/>
      <c r="AI275" s="108"/>
      <c r="AJ275" s="108"/>
      <c r="AK275" s="108"/>
      <c r="AL275" s="108"/>
      <c r="AM275" s="108"/>
      <c r="AN275" s="108"/>
      <c r="AO275" s="108"/>
      <c r="AP275" s="108"/>
      <c r="AQ275" s="108"/>
      <c r="AR275" s="108"/>
    </row>
    <row r="276" spans="1:44" ht="32.25" hidden="1" customHeight="1" x14ac:dyDescent="0.3">
      <c r="A276" s="108"/>
      <c r="B276" s="907" t="s">
        <v>27</v>
      </c>
      <c r="C276" s="908"/>
      <c r="D276" s="910"/>
      <c r="E276" s="924"/>
      <c r="F276" s="924"/>
      <c r="G276" s="892"/>
      <c r="H276" s="17"/>
      <c r="I276" s="79"/>
      <c r="Z276" s="108"/>
      <c r="AA276" s="108"/>
      <c r="AB276" s="108"/>
      <c r="AC276" s="108"/>
      <c r="AD276" s="108"/>
      <c r="AE276" s="108"/>
      <c r="AF276" s="108"/>
      <c r="AG276" s="108"/>
      <c r="AH276" s="108"/>
      <c r="AI276" s="108"/>
      <c r="AJ276" s="108"/>
      <c r="AK276" s="108"/>
      <c r="AL276" s="108"/>
      <c r="AM276" s="108"/>
      <c r="AN276" s="108"/>
      <c r="AO276" s="108"/>
      <c r="AP276" s="108"/>
      <c r="AQ276" s="108"/>
      <c r="AR276" s="108"/>
    </row>
    <row r="277" spans="1:44" ht="63.75" hidden="1" customHeight="1" x14ac:dyDescent="0.3">
      <c r="A277" s="33">
        <v>371</v>
      </c>
      <c r="B277" s="4" t="s">
        <v>56</v>
      </c>
      <c r="C277" s="4" t="s">
        <v>168</v>
      </c>
      <c r="D277" s="24" t="s">
        <v>1553</v>
      </c>
      <c r="E277" s="710" t="e">
        <f>HLOOKUP($D$2,'2020 Data(H)'!$C$1:$CZ$432,132,FALSE)</f>
        <v>#N/A</v>
      </c>
      <c r="F277" s="307">
        <v>0</v>
      </c>
      <c r="G277" s="771">
        <f>IF(F277&lt;0,"Error: Enter as positive.",)</f>
        <v>0</v>
      </c>
      <c r="H277" s="17"/>
      <c r="I277" s="79"/>
      <c r="Z277" s="33"/>
      <c r="AA277" s="33"/>
      <c r="AB277" s="33"/>
      <c r="AC277" s="33"/>
      <c r="AD277" s="33"/>
      <c r="AE277" s="33"/>
      <c r="AF277" s="33"/>
      <c r="AG277" s="33"/>
      <c r="AH277" s="33"/>
      <c r="AI277" s="33"/>
      <c r="AJ277" s="33"/>
      <c r="AK277" s="33"/>
      <c r="AL277" s="33"/>
      <c r="AM277" s="33"/>
      <c r="AN277" s="33"/>
      <c r="AO277" s="33"/>
      <c r="AP277" s="33"/>
      <c r="AQ277" s="33"/>
      <c r="AR277" s="33"/>
    </row>
    <row r="278" spans="1:44" ht="70.5" hidden="1" customHeight="1" x14ac:dyDescent="0.3">
      <c r="A278" s="108">
        <v>513</v>
      </c>
      <c r="B278" s="864" t="s">
        <v>58</v>
      </c>
      <c r="C278" s="4" t="s">
        <v>168</v>
      </c>
      <c r="D278" s="24" t="s">
        <v>1554</v>
      </c>
      <c r="E278" s="710" t="e">
        <f>HLOOKUP($D$2,'2020 Data(H)'!$C$1:$CZ$432,163,FALSE)</f>
        <v>#N/A</v>
      </c>
      <c r="F278" s="307">
        <v>0</v>
      </c>
      <c r="G278" s="771">
        <f>IF(F278&lt;0,"Error: Enter as positive.",)</f>
        <v>0</v>
      </c>
      <c r="H278" s="772"/>
      <c r="I278" s="773"/>
      <c r="Z278" s="108"/>
      <c r="AA278" s="108"/>
      <c r="AB278" s="108"/>
      <c r="AC278" s="108"/>
      <c r="AD278" s="108"/>
      <c r="AE278" s="108"/>
      <c r="AF278" s="108"/>
      <c r="AG278" s="108"/>
      <c r="AH278" s="108"/>
      <c r="AI278" s="108"/>
      <c r="AJ278" s="108"/>
      <c r="AK278" s="108"/>
      <c r="AL278" s="108"/>
      <c r="AM278" s="108"/>
      <c r="AN278" s="108"/>
      <c r="AO278" s="108"/>
      <c r="AP278" s="108"/>
      <c r="AQ278" s="108"/>
      <c r="AR278" s="108"/>
    </row>
    <row r="279" spans="1:44" ht="80.25" hidden="1" customHeight="1" x14ac:dyDescent="0.3">
      <c r="A279" s="108">
        <v>514</v>
      </c>
      <c r="B279" s="864" t="s">
        <v>58</v>
      </c>
      <c r="C279" s="4" t="s">
        <v>168</v>
      </c>
      <c r="D279" s="24" t="s">
        <v>1555</v>
      </c>
      <c r="E279" s="710" t="e">
        <f>HLOOKUP($D$2,'2020 Data(H)'!$C$1:$CZ$432,164,FALSE)</f>
        <v>#N/A</v>
      </c>
      <c r="F279" s="307">
        <v>0</v>
      </c>
      <c r="G279" s="771">
        <f>IF(F279&lt;0,"Error: Enter as positive.",)</f>
        <v>0</v>
      </c>
      <c r="H279" s="17"/>
      <c r="I279" s="773"/>
      <c r="Z279" s="108"/>
      <c r="AA279" s="108"/>
      <c r="AB279" s="108"/>
      <c r="AC279" s="108"/>
      <c r="AD279" s="108"/>
      <c r="AE279" s="108"/>
      <c r="AF279" s="108"/>
      <c r="AG279" s="108"/>
      <c r="AH279" s="108"/>
      <c r="AI279" s="108"/>
      <c r="AJ279" s="108"/>
      <c r="AK279" s="108"/>
      <c r="AL279" s="108"/>
      <c r="AM279" s="108"/>
      <c r="AN279" s="108"/>
      <c r="AO279" s="108"/>
      <c r="AP279" s="108"/>
      <c r="AQ279" s="108"/>
      <c r="AR279" s="108"/>
    </row>
    <row r="280" spans="1:44" ht="80.25" hidden="1" customHeight="1" x14ac:dyDescent="0.3">
      <c r="A280" s="108">
        <v>990</v>
      </c>
      <c r="B280" s="873" t="s">
        <v>1048</v>
      </c>
      <c r="C280" s="870" t="s">
        <v>168</v>
      </c>
      <c r="D280" s="799" t="s">
        <v>1049</v>
      </c>
      <c r="E280" s="712" t="s">
        <v>1025</v>
      </c>
      <c r="F280" s="307">
        <v>0</v>
      </c>
      <c r="G280" s="771"/>
      <c r="H280" s="17"/>
      <c r="I280" s="773"/>
      <c r="Z280" s="108"/>
      <c r="AA280" s="108"/>
      <c r="AB280" s="108"/>
      <c r="AC280" s="108"/>
      <c r="AD280" s="108"/>
      <c r="AE280" s="108"/>
      <c r="AF280" s="108"/>
      <c r="AG280" s="108"/>
      <c r="AH280" s="108"/>
      <c r="AI280" s="108"/>
      <c r="AJ280" s="108"/>
      <c r="AK280" s="108"/>
      <c r="AL280" s="108"/>
      <c r="AM280" s="108"/>
      <c r="AN280" s="108"/>
      <c r="AO280" s="108"/>
      <c r="AP280" s="108"/>
      <c r="AQ280" s="108"/>
      <c r="AR280" s="108"/>
    </row>
    <row r="281" spans="1:44" ht="32.25" hidden="1" customHeight="1" x14ac:dyDescent="0.3">
      <c r="A281" s="108"/>
      <c r="B281" s="907" t="s">
        <v>28</v>
      </c>
      <c r="C281" s="908"/>
      <c r="D281" s="910"/>
      <c r="E281" s="924"/>
      <c r="F281" s="892"/>
      <c r="G281" s="892"/>
      <c r="H281" s="17"/>
      <c r="I281" s="79"/>
      <c r="Z281" s="108"/>
      <c r="AA281" s="108"/>
      <c r="AB281" s="108"/>
      <c r="AC281" s="108"/>
      <c r="AD281" s="108"/>
      <c r="AE281" s="108"/>
      <c r="AF281" s="108"/>
      <c r="AG281" s="108"/>
      <c r="AH281" s="108"/>
      <c r="AI281" s="108"/>
      <c r="AJ281" s="108"/>
      <c r="AK281" s="108"/>
      <c r="AL281" s="108"/>
      <c r="AM281" s="108"/>
      <c r="AN281" s="108"/>
      <c r="AO281" s="108"/>
      <c r="AP281" s="108"/>
      <c r="AQ281" s="108"/>
      <c r="AR281" s="108"/>
    </row>
    <row r="282" spans="1:44" ht="68.25" hidden="1" customHeight="1" x14ac:dyDescent="0.3">
      <c r="A282" s="108">
        <v>6</v>
      </c>
      <c r="B282" s="4" t="s">
        <v>55</v>
      </c>
      <c r="C282" s="4" t="s">
        <v>169</v>
      </c>
      <c r="D282" s="24" t="s">
        <v>1556</v>
      </c>
      <c r="E282" s="710" t="e">
        <f>HLOOKUP($D$2,'2020 Data(H)'!$C$1:$CZ$432,5,FALSE)</f>
        <v>#N/A</v>
      </c>
      <c r="F282" s="307">
        <v>0</v>
      </c>
      <c r="G282" s="771">
        <f>IF(F282&lt;0,"Error: Enter as positive.",)</f>
        <v>0</v>
      </c>
      <c r="H282" s="17"/>
      <c r="I282" s="79"/>
      <c r="J282" s="616"/>
      <c r="Z282" s="108"/>
      <c r="AA282" s="108"/>
      <c r="AB282" s="108"/>
      <c r="AC282" s="108"/>
      <c r="AD282" s="108"/>
      <c r="AE282" s="108"/>
      <c r="AF282" s="108"/>
      <c r="AG282" s="108"/>
      <c r="AH282" s="108"/>
      <c r="AI282" s="108"/>
      <c r="AJ282" s="108"/>
      <c r="AK282" s="108"/>
      <c r="AL282" s="108"/>
      <c r="AM282" s="108"/>
      <c r="AN282" s="108"/>
      <c r="AO282" s="108"/>
      <c r="AP282" s="108"/>
      <c r="AQ282" s="108"/>
      <c r="AR282" s="108"/>
    </row>
    <row r="283" spans="1:44" ht="33" hidden="1" customHeight="1" x14ac:dyDescent="0.3">
      <c r="A283" s="108"/>
      <c r="B283" s="907" t="s">
        <v>180</v>
      </c>
      <c r="C283" s="908"/>
      <c r="D283" s="910"/>
      <c r="E283" s="926"/>
      <c r="F283" s="902"/>
      <c r="G283" s="902"/>
      <c r="H283" s="772"/>
      <c r="I283" s="773"/>
      <c r="J283" s="616"/>
      <c r="Z283" s="108"/>
      <c r="AA283" s="108"/>
      <c r="AB283" s="108"/>
      <c r="AC283" s="108"/>
      <c r="AD283" s="108"/>
      <c r="AE283" s="108"/>
      <c r="AF283" s="108"/>
      <c r="AG283" s="108"/>
      <c r="AH283" s="108"/>
      <c r="AI283" s="108"/>
      <c r="AJ283" s="108"/>
      <c r="AK283" s="108"/>
      <c r="AL283" s="108"/>
      <c r="AM283" s="108"/>
      <c r="AN283" s="108"/>
      <c r="AO283" s="108"/>
      <c r="AP283" s="108"/>
      <c r="AQ283" s="108"/>
      <c r="AR283" s="108"/>
    </row>
    <row r="284" spans="1:44" ht="141" hidden="1" customHeight="1" x14ac:dyDescent="0.3">
      <c r="A284" s="108">
        <v>541</v>
      </c>
      <c r="B284" s="712" t="s">
        <v>59</v>
      </c>
      <c r="C284" s="712" t="s">
        <v>1557</v>
      </c>
      <c r="D284" s="709" t="s">
        <v>1558</v>
      </c>
      <c r="E284" s="710" t="e">
        <f>HLOOKUP($D$2,'2020 Data(H)'!$C$1:$CZ$432,191,FALSE)</f>
        <v>#N/A</v>
      </c>
      <c r="F284" s="307">
        <v>0</v>
      </c>
      <c r="G284" s="771"/>
      <c r="H284" s="772"/>
      <c r="I284" s="773"/>
      <c r="J284" s="616"/>
      <c r="Z284" s="108"/>
      <c r="AA284" s="108"/>
      <c r="AB284" s="108"/>
      <c r="AC284" s="108"/>
      <c r="AD284" s="108"/>
      <c r="AE284" s="108"/>
      <c r="AF284" s="108"/>
      <c r="AG284" s="108"/>
      <c r="AH284" s="108"/>
      <c r="AI284" s="108"/>
      <c r="AJ284" s="108"/>
      <c r="AK284" s="108"/>
      <c r="AL284" s="108"/>
      <c r="AM284" s="108"/>
      <c r="AN284" s="108"/>
      <c r="AO284" s="108"/>
      <c r="AP284" s="108"/>
      <c r="AQ284" s="108"/>
      <c r="AR284" s="108"/>
    </row>
    <row r="285" spans="1:44" ht="28.5" hidden="1" customHeight="1" x14ac:dyDescent="0.3">
      <c r="A285" s="108"/>
      <c r="B285" s="908" t="s">
        <v>50</v>
      </c>
      <c r="C285" s="908"/>
      <c r="D285" s="910"/>
      <c r="E285" s="926"/>
      <c r="F285" s="922"/>
      <c r="G285" s="922"/>
      <c r="H285" s="772"/>
      <c r="I285" s="773"/>
      <c r="Z285" s="108"/>
      <c r="AA285" s="108"/>
      <c r="AB285" s="108"/>
      <c r="AC285" s="108"/>
      <c r="AD285" s="108"/>
      <c r="AE285" s="108"/>
      <c r="AF285" s="108"/>
      <c r="AG285" s="108"/>
      <c r="AH285" s="108"/>
      <c r="AI285" s="108"/>
      <c r="AJ285" s="108"/>
      <c r="AK285" s="108"/>
      <c r="AL285" s="108"/>
      <c r="AM285" s="108"/>
      <c r="AN285" s="108"/>
      <c r="AO285" s="108"/>
      <c r="AP285" s="108"/>
      <c r="AQ285" s="108"/>
      <c r="AR285" s="108"/>
    </row>
    <row r="286" spans="1:44" ht="77.25" hidden="1" customHeight="1" x14ac:dyDescent="0.3">
      <c r="A286" s="108">
        <v>542</v>
      </c>
      <c r="B286" s="712" t="s">
        <v>59</v>
      </c>
      <c r="C286" s="874" t="s">
        <v>1559</v>
      </c>
      <c r="D286" s="29" t="s">
        <v>170</v>
      </c>
      <c r="E286" s="710" t="e">
        <f>HLOOKUP($D$2,'2020 Data(H)'!$C$1:$CZ$432,192,FALSE)</f>
        <v>#N/A</v>
      </c>
      <c r="F286" s="307">
        <v>0</v>
      </c>
      <c r="G286" s="771"/>
      <c r="H286" s="772"/>
      <c r="I286" s="818"/>
      <c r="Z286" s="108"/>
      <c r="AA286" s="108"/>
      <c r="AB286" s="108"/>
      <c r="AC286" s="108"/>
      <c r="AD286" s="108"/>
      <c r="AE286" s="108"/>
      <c r="AF286" s="108"/>
      <c r="AG286" s="108"/>
      <c r="AH286" s="108"/>
      <c r="AI286" s="108"/>
      <c r="AJ286" s="108"/>
      <c r="AK286" s="108"/>
      <c r="AL286" s="108"/>
      <c r="AM286" s="108"/>
      <c r="AN286" s="108"/>
      <c r="AO286" s="108"/>
      <c r="AP286" s="108"/>
      <c r="AQ286" s="108"/>
      <c r="AR286" s="108"/>
    </row>
    <row r="287" spans="1:44" ht="24.75" hidden="1" customHeight="1" x14ac:dyDescent="0.3">
      <c r="A287" s="108"/>
      <c r="B287" s="907" t="s">
        <v>1560</v>
      </c>
      <c r="C287" s="907"/>
      <c r="D287" s="883"/>
      <c r="E287" s="884"/>
      <c r="F287" s="904"/>
      <c r="G287" s="904"/>
      <c r="H287" s="17"/>
      <c r="I287" s="79"/>
      <c r="Z287" s="108"/>
      <c r="AA287" s="108"/>
      <c r="AB287" s="108"/>
      <c r="AC287" s="108"/>
      <c r="AD287" s="108"/>
      <c r="AE287" s="108"/>
      <c r="AF287" s="108"/>
      <c r="AG287" s="108"/>
      <c r="AH287" s="108"/>
      <c r="AI287" s="108"/>
      <c r="AJ287" s="108"/>
      <c r="AK287" s="108"/>
      <c r="AL287" s="108"/>
      <c r="AM287" s="108"/>
      <c r="AN287" s="108"/>
      <c r="AO287" s="108"/>
      <c r="AP287" s="108"/>
      <c r="AQ287" s="108"/>
      <c r="AR287" s="108"/>
    </row>
    <row r="288" spans="1:44" ht="25.5" hidden="1" customHeight="1" x14ac:dyDescent="0.3">
      <c r="A288" s="108"/>
      <c r="B288" s="927" t="s">
        <v>12</v>
      </c>
      <c r="C288" s="927"/>
      <c r="D288" s="883"/>
      <c r="E288" s="884"/>
      <c r="F288" s="928"/>
      <c r="G288" s="904"/>
      <c r="H288" s="17"/>
      <c r="I288" s="79"/>
      <c r="Z288" s="108"/>
      <c r="AA288" s="108"/>
      <c r="AB288" s="108"/>
      <c r="AC288" s="108"/>
      <c r="AD288" s="108"/>
      <c r="AE288" s="108"/>
      <c r="AF288" s="108"/>
      <c r="AG288" s="108"/>
      <c r="AH288" s="108"/>
      <c r="AI288" s="108"/>
      <c r="AJ288" s="108"/>
      <c r="AK288" s="108"/>
      <c r="AL288" s="108"/>
      <c r="AM288" s="108"/>
      <c r="AN288" s="108"/>
      <c r="AO288" s="108"/>
      <c r="AP288" s="108"/>
      <c r="AQ288" s="108"/>
      <c r="AR288" s="108"/>
    </row>
    <row r="289" spans="1:44" ht="77.25" hidden="1" customHeight="1" x14ac:dyDescent="0.3">
      <c r="A289" s="34">
        <v>528</v>
      </c>
      <c r="B289" s="712" t="s">
        <v>55</v>
      </c>
      <c r="C289" s="4" t="s">
        <v>171</v>
      </c>
      <c r="D289" s="649" t="s">
        <v>1597</v>
      </c>
      <c r="E289" s="710" t="e">
        <f>HLOOKUP($D$2,'2020 Data(H)'!$C$1:$CZ$432,178,FALSE)</f>
        <v>#N/A</v>
      </c>
      <c r="F289" s="307">
        <v>0</v>
      </c>
      <c r="G289" s="771">
        <f>IF(F289="","Error: Unit must enter this information if they levy taxes.",)</f>
        <v>0</v>
      </c>
      <c r="H289" s="819"/>
      <c r="I289" s="79"/>
      <c r="J289" s="820"/>
      <c r="Z289" s="34"/>
      <c r="AA289" s="34"/>
      <c r="AB289" s="34"/>
      <c r="AC289" s="34"/>
      <c r="AD289" s="34"/>
      <c r="AE289" s="34"/>
      <c r="AF289" s="34"/>
      <c r="AG289" s="34"/>
      <c r="AH289" s="34"/>
      <c r="AI289" s="34"/>
      <c r="AJ289" s="34"/>
      <c r="AK289" s="34"/>
      <c r="AL289" s="34"/>
      <c r="AM289" s="34"/>
      <c r="AN289" s="34"/>
      <c r="AO289" s="34"/>
      <c r="AP289" s="34"/>
      <c r="AQ289" s="34"/>
      <c r="AR289" s="34"/>
    </row>
    <row r="290" spans="1:44" ht="69" hidden="1" customHeight="1" x14ac:dyDescent="0.3">
      <c r="A290" s="34">
        <v>529</v>
      </c>
      <c r="B290" s="712" t="s">
        <v>55</v>
      </c>
      <c r="C290" s="4" t="s">
        <v>171</v>
      </c>
      <c r="D290" s="649" t="s">
        <v>1561</v>
      </c>
      <c r="E290" s="710" t="e">
        <f>HLOOKUP($D$2,'2020 Data(H)'!$C$1:$CZ$432,179,FALSE)</f>
        <v>#N/A</v>
      </c>
      <c r="F290" s="307">
        <v>0</v>
      </c>
      <c r="G290" s="771">
        <f>IF(F290="","Error: Unit must enter this information if they levy taxes.",)</f>
        <v>0</v>
      </c>
      <c r="H290" s="17"/>
      <c r="I290" s="79"/>
      <c r="Z290" s="34"/>
      <c r="AA290" s="34"/>
      <c r="AB290" s="34"/>
      <c r="AC290" s="34"/>
      <c r="AD290" s="34"/>
      <c r="AE290" s="34"/>
      <c r="AF290" s="34"/>
      <c r="AG290" s="34"/>
      <c r="AH290" s="34"/>
      <c r="AI290" s="34"/>
      <c r="AJ290" s="34"/>
      <c r="AK290" s="34"/>
      <c r="AL290" s="34"/>
      <c r="AM290" s="34"/>
      <c r="AN290" s="34"/>
      <c r="AO290" s="34"/>
      <c r="AP290" s="34"/>
      <c r="AQ290" s="34"/>
      <c r="AR290" s="34"/>
    </row>
    <row r="291" spans="1:44" ht="69" hidden="1" customHeight="1" x14ac:dyDescent="0.3">
      <c r="A291" s="34">
        <v>530</v>
      </c>
      <c r="B291" s="712" t="s">
        <v>55</v>
      </c>
      <c r="C291" s="4" t="s">
        <v>171</v>
      </c>
      <c r="D291" s="875" t="s">
        <v>1562</v>
      </c>
      <c r="E291" s="710" t="e">
        <f>HLOOKUP($D$2,'2020 Data(H)'!$C$1:$CZ$432,180,FALSE)</f>
        <v>#N/A</v>
      </c>
      <c r="F291" s="307">
        <v>0</v>
      </c>
      <c r="G291" s="771">
        <f>IF(F291="","Error: Unit must enter this information if they levy taxes.",)</f>
        <v>0</v>
      </c>
      <c r="H291" s="17"/>
      <c r="I291" s="79"/>
      <c r="Z291" s="34"/>
      <c r="AA291" s="34"/>
      <c r="AB291" s="34"/>
      <c r="AC291" s="34"/>
      <c r="AD291" s="34"/>
      <c r="AE291" s="34"/>
      <c r="AF291" s="34"/>
      <c r="AG291" s="34"/>
      <c r="AH291" s="34"/>
      <c r="AI291" s="34"/>
      <c r="AJ291" s="34"/>
      <c r="AK291" s="34"/>
      <c r="AL291" s="34"/>
      <c r="AM291" s="34"/>
      <c r="AN291" s="34"/>
      <c r="AO291" s="34"/>
      <c r="AP291" s="34"/>
      <c r="AQ291" s="34"/>
      <c r="AR291" s="34"/>
    </row>
    <row r="292" spans="1:44" ht="55.5" hidden="1" customHeight="1" x14ac:dyDescent="0.3">
      <c r="A292" s="34">
        <v>531</v>
      </c>
      <c r="B292" s="712" t="s">
        <v>55</v>
      </c>
      <c r="C292" s="4" t="s">
        <v>171</v>
      </c>
      <c r="D292" s="875" t="s">
        <v>1563</v>
      </c>
      <c r="E292" s="710" t="e">
        <f>HLOOKUP($D$2,'2020 Data(H)'!$C$1:$CZ$432,181,FALSE)</f>
        <v>#N/A</v>
      </c>
      <c r="F292" s="307">
        <v>0</v>
      </c>
      <c r="G292" s="771">
        <f>IF(F292="","Error: Unit must enter this information if they levy taxes.",)</f>
        <v>0</v>
      </c>
      <c r="H292" s="17"/>
      <c r="I292" s="79"/>
      <c r="Z292" s="34"/>
      <c r="AA292" s="34"/>
      <c r="AB292" s="34"/>
      <c r="AC292" s="34"/>
      <c r="AD292" s="34"/>
      <c r="AE292" s="34"/>
      <c r="AF292" s="34"/>
      <c r="AG292" s="34"/>
      <c r="AH292" s="34"/>
      <c r="AI292" s="34"/>
      <c r="AJ292" s="34"/>
      <c r="AK292" s="34"/>
      <c r="AL292" s="34"/>
      <c r="AM292" s="34"/>
      <c r="AN292" s="34"/>
      <c r="AO292" s="34"/>
      <c r="AP292" s="34"/>
      <c r="AQ292" s="34"/>
      <c r="AR292" s="34"/>
    </row>
    <row r="293" spans="1:44" ht="69" hidden="1" customHeight="1" x14ac:dyDescent="0.3">
      <c r="A293" s="108">
        <v>61</v>
      </c>
      <c r="B293" s="4" t="s">
        <v>59</v>
      </c>
      <c r="C293" s="4" t="s">
        <v>171</v>
      </c>
      <c r="D293" s="29" t="s">
        <v>1564</v>
      </c>
      <c r="E293" s="35" t="e">
        <f>HLOOKUP($D$2,'2020 Data(H)'!$C$1:$CZ$432,43,FALSE)</f>
        <v>#N/A</v>
      </c>
      <c r="F293" s="287">
        <v>0</v>
      </c>
      <c r="G293" s="771" t="e">
        <f>IF(F293=H293," ","Please check values in account 528, 529, 530 and  531.")</f>
        <v>#DIV/0!</v>
      </c>
      <c r="H293" s="821" t="e">
        <f>ROUND((F289+F290-F291-F292)/(F289+F290)*100,2)</f>
        <v>#DIV/0!</v>
      </c>
      <c r="I293" s="79"/>
      <c r="Z293" s="108"/>
      <c r="AA293" s="108"/>
      <c r="AB293" s="108"/>
      <c r="AC293" s="108"/>
      <c r="AD293" s="108"/>
      <c r="AE293" s="108"/>
      <c r="AF293" s="108"/>
      <c r="AG293" s="108"/>
      <c r="AH293" s="108"/>
      <c r="AI293" s="108"/>
      <c r="AJ293" s="108"/>
      <c r="AK293" s="108"/>
      <c r="AL293" s="108"/>
      <c r="AM293" s="108"/>
      <c r="AN293" s="108"/>
      <c r="AO293" s="108"/>
      <c r="AP293" s="108"/>
      <c r="AQ293" s="108"/>
      <c r="AR293" s="108"/>
    </row>
    <row r="294" spans="1:44" ht="69" hidden="1" customHeight="1" x14ac:dyDescent="0.3">
      <c r="A294" s="108">
        <v>102</v>
      </c>
      <c r="B294" s="4" t="s">
        <v>59</v>
      </c>
      <c r="C294" s="4" t="s">
        <v>171</v>
      </c>
      <c r="D294" s="60" t="s">
        <v>1565</v>
      </c>
      <c r="E294" s="35" t="e">
        <f>HLOOKUP($D$2,'2020 Data(H)'!$C$1:$CZ$432,62,FALSE)</f>
        <v>#N/A</v>
      </c>
      <c r="F294" s="287">
        <v>0</v>
      </c>
      <c r="G294" s="771" t="e">
        <f>IF(F294=H294," ","Please check values in account 528 and 530.")</f>
        <v>#DIV/0!</v>
      </c>
      <c r="H294" s="821" t="e">
        <f>ROUND((F289-F291)/(F289)*100,2)</f>
        <v>#DIV/0!</v>
      </c>
      <c r="I294" s="79"/>
      <c r="Z294" s="108"/>
      <c r="AA294" s="108"/>
      <c r="AB294" s="108"/>
      <c r="AC294" s="108"/>
      <c r="AD294" s="108"/>
      <c r="AE294" s="108"/>
      <c r="AF294" s="108"/>
      <c r="AG294" s="108"/>
      <c r="AH294" s="108"/>
      <c r="AI294" s="108"/>
      <c r="AJ294" s="108"/>
      <c r="AK294" s="108"/>
      <c r="AL294" s="108"/>
      <c r="AM294" s="108"/>
      <c r="AN294" s="108"/>
      <c r="AO294" s="108"/>
      <c r="AP294" s="108"/>
      <c r="AQ294" s="108"/>
      <c r="AR294" s="108"/>
    </row>
    <row r="295" spans="1:44" ht="63.75" hidden="1" customHeight="1" x14ac:dyDescent="0.3">
      <c r="A295" s="108">
        <v>103</v>
      </c>
      <c r="B295" s="4" t="s">
        <v>59</v>
      </c>
      <c r="C295" s="4" t="s">
        <v>171</v>
      </c>
      <c r="D295" s="29" t="s">
        <v>1566</v>
      </c>
      <c r="E295" s="35" t="e">
        <f>HLOOKUP($D$2,'2020 Data(H)'!$C$1:$CZ$432,63,FALSE)</f>
        <v>#N/A</v>
      </c>
      <c r="F295" s="287">
        <v>0</v>
      </c>
      <c r="G295" s="771" t="e">
        <f>IF(F295=H295," ","Please check values in account 529 and 531.")</f>
        <v>#DIV/0!</v>
      </c>
      <c r="H295" s="821" t="e">
        <f>ROUND((F290-F292)/F290*100,2)</f>
        <v>#DIV/0!</v>
      </c>
      <c r="I295" s="79"/>
      <c r="M295" s="18" t="s">
        <v>1026</v>
      </c>
      <c r="Z295" s="108"/>
      <c r="AA295" s="108"/>
      <c r="AB295" s="108"/>
      <c r="AC295" s="108"/>
      <c r="AD295" s="108"/>
      <c r="AE295" s="108"/>
      <c r="AF295" s="108"/>
      <c r="AG295" s="108"/>
      <c r="AH295" s="108"/>
      <c r="AI295" s="108"/>
      <c r="AJ295" s="108"/>
      <c r="AK295" s="108"/>
      <c r="AL295" s="108"/>
      <c r="AM295" s="108"/>
      <c r="AN295" s="108"/>
      <c r="AO295" s="108"/>
      <c r="AP295" s="108"/>
      <c r="AQ295" s="108"/>
      <c r="AR295" s="108"/>
    </row>
    <row r="296" spans="1:44" ht="72" hidden="1" customHeight="1" x14ac:dyDescent="0.3">
      <c r="A296" s="108">
        <v>544</v>
      </c>
      <c r="B296" s="712" t="s">
        <v>59</v>
      </c>
      <c r="C296" s="712" t="s">
        <v>171</v>
      </c>
      <c r="D296" s="24" t="s">
        <v>1567</v>
      </c>
      <c r="E296" s="36" t="e">
        <f>HLOOKUP($D$2,'2020 Data(H)'!$C$1:$CZ$432,194,FALSE)</f>
        <v>#N/A</v>
      </c>
      <c r="F296" s="376">
        <v>0</v>
      </c>
      <c r="G296" s="771"/>
      <c r="H296" s="17"/>
      <c r="I296" s="108"/>
      <c r="J296" s="876"/>
      <c r="M296" s="18" t="s">
        <v>51</v>
      </c>
      <c r="Z296" s="108"/>
      <c r="AA296" s="108"/>
      <c r="AB296" s="108"/>
      <c r="AC296" s="108"/>
      <c r="AD296" s="108"/>
      <c r="AE296" s="108"/>
      <c r="AF296" s="108"/>
      <c r="AG296" s="108"/>
      <c r="AH296" s="108"/>
      <c r="AI296" s="108"/>
      <c r="AJ296" s="108"/>
      <c r="AK296" s="108"/>
      <c r="AL296" s="108"/>
      <c r="AM296" s="108"/>
      <c r="AN296" s="108"/>
      <c r="AO296" s="108"/>
      <c r="AP296" s="108"/>
      <c r="AQ296" s="108"/>
      <c r="AR296" s="108"/>
    </row>
    <row r="297" spans="1:44" ht="73.5" hidden="1" customHeight="1" x14ac:dyDescent="0.3">
      <c r="A297" s="108">
        <v>545</v>
      </c>
      <c r="B297" s="712" t="s">
        <v>59</v>
      </c>
      <c r="C297" s="712" t="s">
        <v>171</v>
      </c>
      <c r="D297" s="24" t="s">
        <v>1568</v>
      </c>
      <c r="E297" s="36"/>
      <c r="F297" s="376">
        <v>0</v>
      </c>
      <c r="G297" s="771"/>
      <c r="H297" s="17"/>
      <c r="I297" s="137"/>
      <c r="J297" s="876"/>
      <c r="M297" s="18" t="s">
        <v>52</v>
      </c>
      <c r="Z297" s="108"/>
      <c r="AA297" s="108"/>
      <c r="AB297" s="108"/>
      <c r="AC297" s="108"/>
      <c r="AD297" s="108"/>
      <c r="AE297" s="108"/>
      <c r="AF297" s="108"/>
      <c r="AG297" s="108"/>
      <c r="AH297" s="108"/>
      <c r="AI297" s="108"/>
      <c r="AJ297" s="108"/>
      <c r="AK297" s="108"/>
      <c r="AL297" s="108"/>
      <c r="AM297" s="108"/>
      <c r="AN297" s="108"/>
      <c r="AO297" s="108"/>
      <c r="AP297" s="108"/>
      <c r="AQ297" s="108"/>
      <c r="AR297" s="108"/>
    </row>
    <row r="298" spans="1:44" ht="51.75" hidden="1" customHeight="1" x14ac:dyDescent="0.3">
      <c r="A298" s="125">
        <v>624</v>
      </c>
      <c r="B298" s="124" t="s">
        <v>59</v>
      </c>
      <c r="C298" s="124"/>
      <c r="D298" s="124" t="s">
        <v>692</v>
      </c>
      <c r="E298" s="36"/>
      <c r="F298" s="276"/>
      <c r="G298" s="814" t="str">
        <f>IF(+F298&lt;1,"Please answer this question","")</f>
        <v>Please answer this question</v>
      </c>
      <c r="H298" s="17"/>
      <c r="I298" s="108"/>
      <c r="J298" s="876"/>
      <c r="M298" s="18" t="s">
        <v>1027</v>
      </c>
      <c r="Z298" s="125"/>
      <c r="AA298" s="125"/>
      <c r="AB298" s="125"/>
      <c r="AC298" s="125"/>
      <c r="AD298" s="125"/>
      <c r="AE298" s="125"/>
      <c r="AF298" s="125"/>
      <c r="AG298" s="125"/>
      <c r="AH298" s="125"/>
      <c r="AI298" s="125"/>
      <c r="AJ298" s="125"/>
      <c r="AK298" s="125"/>
      <c r="AL298" s="125"/>
      <c r="AM298" s="125"/>
      <c r="AN298" s="125"/>
      <c r="AO298" s="125"/>
      <c r="AP298" s="125"/>
      <c r="AQ298" s="125"/>
      <c r="AR298" s="125"/>
    </row>
    <row r="299" spans="1:44" ht="70.5" hidden="1" customHeight="1" x14ac:dyDescent="0.3">
      <c r="A299" s="713">
        <v>648</v>
      </c>
      <c r="B299" s="326" t="s">
        <v>1143</v>
      </c>
      <c r="C299" s="870" t="s">
        <v>171</v>
      </c>
      <c r="D299" s="326" t="s">
        <v>1430</v>
      </c>
      <c r="E299" s="712" t="s">
        <v>1025</v>
      </c>
      <c r="F299" s="376">
        <v>0</v>
      </c>
      <c r="G299" s="814"/>
      <c r="H299" s="17"/>
      <c r="I299" s="108"/>
      <c r="J299" s="876"/>
      <c r="Z299" s="713"/>
      <c r="AA299" s="713"/>
      <c r="AB299" s="713"/>
      <c r="AC299" s="713"/>
      <c r="AD299" s="713"/>
      <c r="AE299" s="713"/>
      <c r="AF299" s="713"/>
      <c r="AG299" s="713"/>
      <c r="AH299" s="713"/>
      <c r="AI299" s="713"/>
      <c r="AJ299" s="713"/>
      <c r="AK299" s="713"/>
      <c r="AL299" s="713"/>
      <c r="AM299" s="713"/>
      <c r="AN299" s="713"/>
      <c r="AO299" s="713"/>
      <c r="AP299" s="713"/>
      <c r="AQ299" s="713"/>
      <c r="AR299" s="713"/>
    </row>
    <row r="300" spans="1:44" ht="171" hidden="1" customHeight="1" x14ac:dyDescent="0.3">
      <c r="A300" s="713">
        <v>991</v>
      </c>
      <c r="B300" s="325" t="s">
        <v>1055</v>
      </c>
      <c r="C300" s="326"/>
      <c r="D300" s="822" t="s">
        <v>1348</v>
      </c>
      <c r="E300" s="712" t="s">
        <v>1025</v>
      </c>
      <c r="F300" s="276"/>
      <c r="G300" s="814"/>
      <c r="H300" s="823" t="s">
        <v>1051</v>
      </c>
      <c r="I300" s="257"/>
      <c r="J300" s="876"/>
      <c r="M300" s="18" t="s">
        <v>1052</v>
      </c>
      <c r="Z300" s="713"/>
      <c r="AA300" s="713"/>
      <c r="AB300" s="713"/>
      <c r="AC300" s="713"/>
      <c r="AD300" s="713"/>
      <c r="AE300" s="713"/>
      <c r="AF300" s="713"/>
      <c r="AG300" s="713"/>
      <c r="AH300" s="713"/>
      <c r="AI300" s="713"/>
      <c r="AJ300" s="713"/>
      <c r="AK300" s="713"/>
      <c r="AL300" s="713"/>
      <c r="AM300" s="713"/>
      <c r="AN300" s="713"/>
      <c r="AO300" s="713"/>
      <c r="AP300" s="713"/>
      <c r="AQ300" s="713"/>
      <c r="AR300" s="713"/>
    </row>
    <row r="301" spans="1:44" ht="27.75" customHeight="1" x14ac:dyDescent="0.3">
      <c r="A301" s="108"/>
      <c r="B301" s="907" t="s">
        <v>680</v>
      </c>
      <c r="C301" s="907"/>
      <c r="D301" s="907"/>
      <c r="E301" s="929"/>
      <c r="F301" s="929"/>
      <c r="G301" s="930"/>
      <c r="H301" s="17"/>
      <c r="I301" s="108"/>
      <c r="J301" s="876"/>
      <c r="M301" s="18" t="s">
        <v>1053</v>
      </c>
      <c r="Z301" s="108"/>
      <c r="AA301" s="108"/>
      <c r="AB301" s="108"/>
      <c r="AC301" s="108"/>
      <c r="AD301" s="108"/>
      <c r="AE301" s="108"/>
      <c r="AF301" s="108"/>
      <c r="AG301" s="108"/>
      <c r="AH301" s="108"/>
      <c r="AI301" s="108"/>
      <c r="AJ301" s="108"/>
      <c r="AK301" s="108"/>
      <c r="AL301" s="108"/>
      <c r="AM301" s="108"/>
      <c r="AN301" s="108"/>
      <c r="AO301" s="108"/>
      <c r="AP301" s="108"/>
      <c r="AQ301" s="108"/>
      <c r="AR301" s="108"/>
    </row>
    <row r="302" spans="1:44" ht="68.25" customHeight="1" x14ac:dyDescent="0.3">
      <c r="A302" s="108">
        <v>620</v>
      </c>
      <c r="B302" s="712" t="s">
        <v>59</v>
      </c>
      <c r="C302" s="712"/>
      <c r="D302" s="24" t="s">
        <v>679</v>
      </c>
      <c r="E302" s="950"/>
      <c r="F302" s="276"/>
      <c r="G302" s="814" t="str">
        <f>IF(F302&lt;1,"Please answer this question","")</f>
        <v>Please answer this question</v>
      </c>
      <c r="H302" s="17"/>
      <c r="I302" s="108"/>
      <c r="J302" s="876"/>
      <c r="M302" s="18" t="s">
        <v>1054</v>
      </c>
      <c r="Z302" s="108"/>
      <c r="AA302" s="108"/>
      <c r="AB302" s="108"/>
      <c r="AC302" s="108"/>
      <c r="AD302" s="108"/>
      <c r="AE302" s="108"/>
      <c r="AF302" s="108"/>
      <c r="AG302" s="108"/>
      <c r="AH302" s="108"/>
      <c r="AI302" s="108"/>
      <c r="AJ302" s="108"/>
      <c r="AK302" s="108"/>
      <c r="AL302" s="108"/>
      <c r="AM302" s="108"/>
      <c r="AN302" s="108"/>
      <c r="AO302" s="108"/>
      <c r="AP302" s="108"/>
      <c r="AQ302" s="108"/>
      <c r="AR302" s="108"/>
    </row>
    <row r="303" spans="1:44" ht="123.75" customHeight="1" x14ac:dyDescent="0.3">
      <c r="A303" s="877"/>
      <c r="B303" s="1179" t="s">
        <v>869</v>
      </c>
      <c r="C303" s="1179"/>
      <c r="D303" s="1179"/>
      <c r="E303" s="943"/>
      <c r="F303" s="943"/>
      <c r="G303" s="943"/>
      <c r="H303" s="17"/>
      <c r="I303" s="108"/>
      <c r="J303" s="876"/>
      <c r="M303" s="18" t="s">
        <v>877</v>
      </c>
      <c r="Z303" s="877"/>
      <c r="AA303" s="877"/>
      <c r="AB303" s="877"/>
      <c r="AC303" s="877"/>
      <c r="AD303" s="877"/>
      <c r="AE303" s="877"/>
      <c r="AF303" s="877"/>
      <c r="AG303" s="877"/>
      <c r="AH303" s="877"/>
      <c r="AI303" s="877"/>
      <c r="AJ303" s="877"/>
      <c r="AK303" s="877"/>
      <c r="AL303" s="877"/>
      <c r="AM303" s="877"/>
      <c r="AN303" s="877"/>
      <c r="AO303" s="877"/>
      <c r="AP303" s="877"/>
      <c r="AQ303" s="877"/>
      <c r="AR303" s="877"/>
    </row>
    <row r="304" spans="1:44" ht="63" customHeight="1" x14ac:dyDescent="0.3">
      <c r="A304" s="319">
        <v>947</v>
      </c>
      <c r="B304" s="878"/>
      <c r="C304" s="878"/>
      <c r="D304" s="174" t="s">
        <v>791</v>
      </c>
      <c r="E304" s="715"/>
      <c r="F304" s="824"/>
      <c r="G304" s="814" t="str">
        <f>IF(ISBLANK(F304),"Please do not leave blank","")</f>
        <v>Please do not leave blank</v>
      </c>
      <c r="H304" s="17"/>
      <c r="I304" s="308"/>
      <c r="J304" s="750"/>
      <c r="K304" s="308"/>
      <c r="L304" s="308"/>
      <c r="M304" s="308"/>
      <c r="O304" s="308"/>
      <c r="Z304" s="319"/>
      <c r="AA304" s="319"/>
      <c r="AB304" s="319"/>
      <c r="AC304" s="319"/>
      <c r="AD304" s="319"/>
      <c r="AE304" s="319"/>
      <c r="AF304" s="319"/>
      <c r="AG304" s="319"/>
      <c r="AH304" s="319"/>
      <c r="AI304" s="319"/>
      <c r="AJ304" s="319"/>
      <c r="AK304" s="319"/>
      <c r="AL304" s="319"/>
      <c r="AM304" s="319"/>
      <c r="AN304" s="319"/>
      <c r="AO304" s="319"/>
      <c r="AP304" s="319"/>
      <c r="AQ304" s="319"/>
      <c r="AR304" s="319"/>
    </row>
    <row r="305" spans="1:44" ht="65.25" customHeight="1" x14ac:dyDescent="0.3">
      <c r="A305" s="319">
        <v>948</v>
      </c>
      <c r="B305" s="878"/>
      <c r="C305" s="878"/>
      <c r="D305" s="174" t="s">
        <v>792</v>
      </c>
      <c r="E305" s="715"/>
      <c r="F305" s="824"/>
      <c r="G305" s="814" t="str">
        <f t="shared" ref="G305:G311" si="3">IF(ISBLANK(F305),"Please do not leave blank","")</f>
        <v>Please do not leave blank</v>
      </c>
      <c r="H305" s="17"/>
      <c r="I305" s="308"/>
      <c r="J305" s="750"/>
      <c r="K305" s="308"/>
      <c r="L305" s="308"/>
      <c r="M305" s="308"/>
      <c r="O305" s="308"/>
      <c r="Z305" s="319"/>
      <c r="AA305" s="319"/>
      <c r="AB305" s="319"/>
      <c r="AC305" s="319"/>
      <c r="AD305" s="319"/>
      <c r="AE305" s="319"/>
      <c r="AF305" s="319"/>
      <c r="AG305" s="319"/>
      <c r="AH305" s="319"/>
      <c r="AI305" s="319"/>
      <c r="AJ305" s="319"/>
      <c r="AK305" s="319"/>
      <c r="AL305" s="319"/>
      <c r="AM305" s="319"/>
      <c r="AN305" s="319"/>
      <c r="AO305" s="319"/>
      <c r="AP305" s="319"/>
      <c r="AQ305" s="319"/>
      <c r="AR305" s="319"/>
    </row>
    <row r="306" spans="1:44" ht="76.5" customHeight="1" x14ac:dyDescent="0.3">
      <c r="A306" s="319">
        <v>949</v>
      </c>
      <c r="B306" s="878"/>
      <c r="C306" s="878"/>
      <c r="D306" s="174" t="s">
        <v>793</v>
      </c>
      <c r="E306" s="715"/>
      <c r="F306" s="824"/>
      <c r="G306" s="814" t="str">
        <f t="shared" si="3"/>
        <v>Please do not leave blank</v>
      </c>
      <c r="H306" s="17"/>
      <c r="I306" s="308"/>
      <c r="J306" s="750"/>
      <c r="K306" s="308"/>
      <c r="L306" s="308"/>
      <c r="M306" s="308"/>
      <c r="O306" s="308"/>
      <c r="Z306" s="319"/>
      <c r="AA306" s="319"/>
      <c r="AB306" s="319"/>
      <c r="AC306" s="319"/>
      <c r="AD306" s="319"/>
      <c r="AE306" s="319"/>
      <c r="AF306" s="319"/>
      <c r="AG306" s="319"/>
      <c r="AH306" s="319"/>
      <c r="AI306" s="319"/>
      <c r="AJ306" s="319"/>
      <c r="AK306" s="319"/>
      <c r="AL306" s="319"/>
      <c r="AM306" s="319"/>
      <c r="AN306" s="319"/>
      <c r="AO306" s="319"/>
      <c r="AP306" s="319"/>
      <c r="AQ306" s="319"/>
      <c r="AR306" s="319"/>
    </row>
    <row r="307" spans="1:44" ht="60" customHeight="1" x14ac:dyDescent="0.3">
      <c r="A307" s="319">
        <v>950</v>
      </c>
      <c r="B307" s="878"/>
      <c r="C307" s="878"/>
      <c r="D307" s="174" t="s">
        <v>775</v>
      </c>
      <c r="E307" s="715"/>
      <c r="F307" s="824"/>
      <c r="G307" s="814" t="str">
        <f t="shared" si="3"/>
        <v>Please do not leave blank</v>
      </c>
      <c r="H307" s="17"/>
      <c r="I307" s="308"/>
      <c r="J307" s="750"/>
      <c r="K307" s="308"/>
      <c r="L307" s="308"/>
      <c r="M307" s="308"/>
      <c r="O307" s="308"/>
      <c r="Z307" s="319"/>
      <c r="AA307" s="319"/>
      <c r="AB307" s="319"/>
      <c r="AC307" s="319"/>
      <c r="AD307" s="319"/>
      <c r="AE307" s="319"/>
      <c r="AF307" s="319"/>
      <c r="AG307" s="319"/>
      <c r="AH307" s="319"/>
      <c r="AI307" s="319"/>
      <c r="AJ307" s="319"/>
      <c r="AK307" s="319"/>
      <c r="AL307" s="319"/>
      <c r="AM307" s="319"/>
      <c r="AN307" s="319"/>
      <c r="AO307" s="319"/>
      <c r="AP307" s="319"/>
      <c r="AQ307" s="319"/>
      <c r="AR307" s="319"/>
    </row>
    <row r="308" spans="1:44" ht="72" x14ac:dyDescent="0.3">
      <c r="A308" s="319">
        <v>952</v>
      </c>
      <c r="B308" s="878"/>
      <c r="C308" s="878"/>
      <c r="D308" s="825" t="s">
        <v>1452</v>
      </c>
      <c r="E308" s="715"/>
      <c r="F308" s="826"/>
      <c r="G308" s="814" t="s">
        <v>1598</v>
      </c>
      <c r="H308" s="17"/>
      <c r="I308" s="827"/>
      <c r="J308" s="750"/>
      <c r="K308" s="308"/>
      <c r="L308" s="308"/>
      <c r="M308" s="308"/>
      <c r="O308" s="308"/>
      <c r="Z308" s="319"/>
      <c r="AA308" s="319"/>
      <c r="AB308" s="319"/>
      <c r="AC308" s="319"/>
      <c r="AD308" s="319"/>
      <c r="AE308" s="319"/>
      <c r="AF308" s="319"/>
      <c r="AG308" s="319"/>
      <c r="AH308" s="319"/>
      <c r="AI308" s="319"/>
      <c r="AJ308" s="319"/>
      <c r="AK308" s="319"/>
      <c r="AL308" s="319"/>
      <c r="AM308" s="319"/>
      <c r="AN308" s="319"/>
      <c r="AO308" s="319"/>
      <c r="AP308" s="319"/>
      <c r="AQ308" s="319"/>
      <c r="AR308" s="319"/>
    </row>
    <row r="309" spans="1:44" ht="93" customHeight="1" x14ac:dyDescent="0.3">
      <c r="A309" s="319">
        <v>954</v>
      </c>
      <c r="B309" s="878"/>
      <c r="C309" s="878"/>
      <c r="D309" s="825" t="s">
        <v>776</v>
      </c>
      <c r="E309" s="715"/>
      <c r="F309" s="824"/>
      <c r="G309" s="814" t="str">
        <f t="shared" si="3"/>
        <v>Please do not leave blank</v>
      </c>
      <c r="H309" s="17"/>
      <c r="I309" s="308"/>
      <c r="J309" s="750"/>
      <c r="K309" s="308"/>
      <c r="L309" s="308"/>
      <c r="M309" s="308"/>
      <c r="O309" s="308"/>
      <c r="Z309" s="319"/>
      <c r="AA309" s="319"/>
      <c r="AB309" s="319"/>
      <c r="AC309" s="319"/>
      <c r="AD309" s="319"/>
      <c r="AE309" s="319"/>
      <c r="AF309" s="319"/>
      <c r="AG309" s="319"/>
      <c r="AH309" s="319"/>
      <c r="AI309" s="319"/>
      <c r="AJ309" s="319"/>
      <c r="AK309" s="319"/>
      <c r="AL309" s="319"/>
      <c r="AM309" s="319"/>
      <c r="AN309" s="319"/>
      <c r="AO309" s="319"/>
      <c r="AP309" s="319"/>
      <c r="AQ309" s="319"/>
      <c r="AR309" s="319"/>
    </row>
    <row r="310" spans="1:44" ht="98.25" customHeight="1" x14ac:dyDescent="0.3">
      <c r="A310" s="319">
        <v>956</v>
      </c>
      <c r="B310" s="878"/>
      <c r="C310" s="878"/>
      <c r="D310" s="825" t="s">
        <v>777</v>
      </c>
      <c r="E310" s="715"/>
      <c r="F310" s="824"/>
      <c r="G310" s="814" t="str">
        <f t="shared" si="3"/>
        <v>Please do not leave blank</v>
      </c>
      <c r="H310" s="17"/>
      <c r="I310" s="308"/>
      <c r="J310" s="312"/>
      <c r="K310" s="308"/>
      <c r="L310" s="308"/>
      <c r="M310" s="308"/>
      <c r="O310" s="308"/>
      <c r="Z310" s="319"/>
      <c r="AA310" s="319"/>
      <c r="AB310" s="319"/>
      <c r="AC310" s="319"/>
      <c r="AD310" s="319"/>
      <c r="AE310" s="319"/>
      <c r="AF310" s="319"/>
      <c r="AG310" s="319"/>
      <c r="AH310" s="319"/>
      <c r="AI310" s="319"/>
      <c r="AJ310" s="319"/>
      <c r="AK310" s="319"/>
      <c r="AL310" s="319"/>
      <c r="AM310" s="319"/>
      <c r="AN310" s="319"/>
      <c r="AO310" s="319"/>
      <c r="AP310" s="319"/>
      <c r="AQ310" s="319"/>
      <c r="AR310" s="319"/>
    </row>
    <row r="311" spans="1:44" ht="218.25" customHeight="1" x14ac:dyDescent="0.3">
      <c r="A311" s="319">
        <v>958</v>
      </c>
      <c r="B311" s="878"/>
      <c r="C311" s="878"/>
      <c r="D311" s="822" t="s">
        <v>1285</v>
      </c>
      <c r="E311" s="715"/>
      <c r="F311" s="824"/>
      <c r="G311" s="814" t="str">
        <f t="shared" si="3"/>
        <v>Please do not leave blank</v>
      </c>
      <c r="H311" s="17"/>
      <c r="I311" s="308"/>
      <c r="J311" s="308"/>
      <c r="K311" s="308"/>
      <c r="L311" s="308"/>
      <c r="M311" s="308"/>
      <c r="O311" s="308"/>
      <c r="Z311" s="319"/>
      <c r="AA311" s="319"/>
      <c r="AB311" s="319"/>
      <c r="AC311" s="319"/>
      <c r="AD311" s="319"/>
      <c r="AE311" s="319"/>
      <c r="AF311" s="319"/>
      <c r="AG311" s="319"/>
      <c r="AH311" s="319"/>
      <c r="AI311" s="319"/>
      <c r="AJ311" s="319"/>
      <c r="AK311" s="319"/>
      <c r="AL311" s="319"/>
      <c r="AM311" s="319"/>
      <c r="AN311" s="319"/>
      <c r="AO311" s="319"/>
      <c r="AP311" s="319"/>
      <c r="AQ311" s="319"/>
      <c r="AR311" s="319"/>
    </row>
    <row r="312" spans="1:44" ht="15" thickBot="1" x14ac:dyDescent="0.35">
      <c r="A312" s="108"/>
      <c r="B312" s="931"/>
      <c r="C312" s="932"/>
      <c r="D312" s="933" t="s">
        <v>779</v>
      </c>
      <c r="E312" s="917"/>
      <c r="F312" s="934"/>
      <c r="G312" s="935"/>
      <c r="H312" s="936"/>
      <c r="I312" s="308"/>
      <c r="J312" s="308"/>
      <c r="K312" s="308"/>
      <c r="L312" s="308"/>
      <c r="M312" s="308"/>
      <c r="O312" s="308"/>
      <c r="Z312" s="108"/>
      <c r="AA312" s="108"/>
      <c r="AB312" s="108"/>
      <c r="AC312" s="108"/>
      <c r="AD312" s="108"/>
      <c r="AE312" s="108"/>
      <c r="AF312" s="108"/>
      <c r="AG312" s="108"/>
      <c r="AH312" s="108"/>
      <c r="AI312" s="108"/>
      <c r="AJ312" s="108"/>
      <c r="AK312" s="108"/>
      <c r="AL312" s="108"/>
      <c r="AM312" s="108"/>
      <c r="AN312" s="108"/>
      <c r="AO312" s="108"/>
      <c r="AP312" s="108"/>
      <c r="AQ312" s="108"/>
      <c r="AR312" s="108"/>
    </row>
    <row r="313" spans="1:44" ht="15" thickBot="1" x14ac:dyDescent="0.35">
      <c r="B313" s="1176" t="s">
        <v>870</v>
      </c>
      <c r="C313" s="1177"/>
      <c r="D313" s="1177"/>
      <c r="E313" s="1178"/>
      <c r="F313" s="79"/>
      <c r="G313" s="814"/>
      <c r="H313" s="17"/>
      <c r="I313" s="108"/>
      <c r="Z313" s="18"/>
    </row>
    <row r="314" spans="1:44" ht="75.75" customHeight="1" x14ac:dyDescent="0.3">
      <c r="B314" s="1164" t="s">
        <v>871</v>
      </c>
      <c r="C314" s="1164"/>
      <c r="D314" s="1164"/>
      <c r="E314" s="1164"/>
      <c r="F314" s="79"/>
      <c r="G314" s="814"/>
      <c r="H314" s="17"/>
      <c r="I314" s="108"/>
      <c r="Z314" s="18"/>
    </row>
    <row r="315" spans="1:44" ht="15" thickBot="1" x14ac:dyDescent="0.35">
      <c r="A315" s="828"/>
      <c r="B315" s="829"/>
      <c r="C315" s="829"/>
      <c r="D315" s="830"/>
      <c r="E315" s="710"/>
      <c r="F315" s="79"/>
      <c r="G315" s="814"/>
      <c r="H315" s="17"/>
      <c r="I315" s="108"/>
      <c r="Z315" s="828"/>
      <c r="AA315" s="828"/>
      <c r="AB315" s="828"/>
      <c r="AC315" s="828"/>
      <c r="AD315" s="828"/>
      <c r="AE315" s="828"/>
      <c r="AF315" s="828"/>
      <c r="AG315" s="828"/>
      <c r="AH315" s="828"/>
      <c r="AI315" s="828"/>
      <c r="AJ315" s="828"/>
      <c r="AK315" s="828"/>
      <c r="AL315" s="828"/>
      <c r="AM315" s="828"/>
      <c r="AN315" s="828"/>
      <c r="AO315" s="828"/>
      <c r="AP315" s="828"/>
      <c r="AQ315" s="828"/>
      <c r="AR315" s="828"/>
    </row>
    <row r="316" spans="1:44" ht="15" thickBot="1" x14ac:dyDescent="0.35">
      <c r="B316" s="159" t="s">
        <v>757</v>
      </c>
      <c r="C316" s="160" t="s">
        <v>758</v>
      </c>
      <c r="D316" s="831"/>
      <c r="E316" s="832"/>
      <c r="F316" s="100"/>
      <c r="G316" s="814"/>
      <c r="H316" s="17"/>
      <c r="I316" s="108"/>
      <c r="Z316" s="18"/>
    </row>
    <row r="317" spans="1:44" ht="44.25" customHeight="1" thickBot="1" x14ac:dyDescent="0.35">
      <c r="B317" s="163" t="s">
        <v>797</v>
      </c>
      <c r="C317" s="162"/>
      <c r="D317" s="161"/>
      <c r="E317" s="716"/>
      <c r="F317" s="833"/>
      <c r="G317" s="814"/>
      <c r="H317" s="17"/>
      <c r="I317" s="108"/>
      <c r="Z317" s="18"/>
    </row>
    <row r="318" spans="1:44" ht="44.25" customHeight="1" thickBot="1" x14ac:dyDescent="0.35">
      <c r="B318" s="163"/>
      <c r="C318" s="173"/>
      <c r="D318" s="834" t="s">
        <v>859</v>
      </c>
      <c r="E318" s="835"/>
      <c r="F318" s="836"/>
      <c r="G318" s="836"/>
      <c r="H318" s="17"/>
      <c r="I318" s="108"/>
      <c r="Z318" s="18"/>
    </row>
    <row r="319" spans="1:44" ht="64.5" customHeight="1" thickBot="1" x14ac:dyDescent="0.35">
      <c r="A319" s="600">
        <v>960</v>
      </c>
      <c r="B319" s="1169" t="s">
        <v>798</v>
      </c>
      <c r="C319" s="1170"/>
      <c r="D319" s="837"/>
      <c r="E319" s="944" t="str">
        <f>IF(ISBLANK($D319),"&lt;&lt;&lt;&lt;&lt;&lt;&lt;&lt;&lt;&lt;&lt;&lt;&lt;&lt;&lt;","")</f>
        <v>&lt;&lt;&lt;&lt;&lt;&lt;&lt;&lt;&lt;&lt;&lt;&lt;&lt;&lt;&lt;</v>
      </c>
      <c r="F319" s="945" t="str">
        <f>IF(ISBLANK($D319),"Required","")</f>
        <v>Required</v>
      </c>
      <c r="G319" s="947"/>
      <c r="H319" s="772"/>
      <c r="I319" s="108"/>
      <c r="Z319" s="600"/>
      <c r="AA319" s="600"/>
      <c r="AB319" s="600"/>
      <c r="AC319" s="600"/>
      <c r="AD319" s="600"/>
      <c r="AE319" s="600"/>
      <c r="AF319" s="600"/>
      <c r="AG319" s="600"/>
      <c r="AH319" s="600"/>
      <c r="AI319" s="600"/>
      <c r="AJ319" s="600"/>
      <c r="AK319" s="600"/>
      <c r="AL319" s="600"/>
      <c r="AM319" s="600"/>
      <c r="AN319" s="600"/>
      <c r="AO319" s="600"/>
      <c r="AP319" s="600"/>
      <c r="AQ319" s="600"/>
      <c r="AR319" s="600"/>
    </row>
    <row r="320" spans="1:44" ht="30.75" customHeight="1" thickBot="1" x14ac:dyDescent="0.35">
      <c r="A320" s="600">
        <v>962</v>
      </c>
      <c r="B320" s="1165" t="s">
        <v>759</v>
      </c>
      <c r="C320" s="1166"/>
      <c r="D320" s="837"/>
      <c r="E320" s="944" t="str">
        <f>IF(ISBLANK($D320),"&lt;&lt;&lt;&lt;&lt;&lt;&lt;&lt;&lt;&lt;&lt;&lt;&lt;&lt;&lt;","")</f>
        <v>&lt;&lt;&lt;&lt;&lt;&lt;&lt;&lt;&lt;&lt;&lt;&lt;&lt;&lt;&lt;</v>
      </c>
      <c r="F320" s="945" t="str">
        <f>IF(ISBLANK($D320),"Required","")</f>
        <v>Required</v>
      </c>
      <c r="H320" s="17"/>
      <c r="I320" s="108"/>
      <c r="Z320" s="600"/>
      <c r="AA320" s="600"/>
      <c r="AB320" s="600"/>
      <c r="AC320" s="600"/>
      <c r="AD320" s="600"/>
      <c r="AE320" s="600"/>
      <c r="AF320" s="600"/>
      <c r="AG320" s="600"/>
      <c r="AH320" s="600"/>
      <c r="AI320" s="600"/>
      <c r="AJ320" s="600"/>
      <c r="AK320" s="600"/>
      <c r="AL320" s="600"/>
      <c r="AM320" s="600"/>
      <c r="AN320" s="600"/>
      <c r="AO320" s="600"/>
      <c r="AP320" s="600"/>
      <c r="AQ320" s="600"/>
      <c r="AR320" s="600"/>
    </row>
    <row r="321" spans="1:44" ht="30.75" customHeight="1" thickBot="1" x14ac:dyDescent="0.35">
      <c r="A321" s="600">
        <v>964</v>
      </c>
      <c r="B321" s="1165" t="s">
        <v>760</v>
      </c>
      <c r="C321" s="1166"/>
      <c r="D321" s="838"/>
      <c r="E321" s="944" t="str">
        <f>IF(ISBLANK($D321),"&lt;&lt;&lt;&lt;&lt;&lt;&lt;&lt;&lt;&lt;&lt;&lt;&lt;&lt;&lt;","")</f>
        <v>&lt;&lt;&lt;&lt;&lt;&lt;&lt;&lt;&lt;&lt;&lt;&lt;&lt;&lt;&lt;</v>
      </c>
      <c r="F321" s="945" t="str">
        <f>IF(ISBLANK($D321),"Required","")</f>
        <v>Required</v>
      </c>
      <c r="H321" s="17"/>
      <c r="I321" s="377"/>
      <c r="Z321" s="600"/>
      <c r="AA321" s="600"/>
      <c r="AB321" s="600"/>
      <c r="AC321" s="600"/>
      <c r="AD321" s="600"/>
      <c r="AE321" s="600"/>
      <c r="AF321" s="600"/>
      <c r="AG321" s="600"/>
      <c r="AH321" s="600"/>
      <c r="AI321" s="600"/>
      <c r="AJ321" s="600"/>
      <c r="AK321" s="600"/>
      <c r="AL321" s="600"/>
      <c r="AM321" s="600"/>
      <c r="AN321" s="600"/>
      <c r="AO321" s="600"/>
      <c r="AP321" s="600"/>
      <c r="AQ321" s="600"/>
      <c r="AR321" s="600"/>
    </row>
    <row r="322" spans="1:44" ht="30.75" customHeight="1" thickBot="1" x14ac:dyDescent="0.35">
      <c r="A322" s="600">
        <v>966</v>
      </c>
      <c r="B322" s="1165" t="s">
        <v>761</v>
      </c>
      <c r="C322" s="1166"/>
      <c r="D322" s="837"/>
      <c r="E322" s="944" t="str">
        <f>IF(ISBLANK($D322),"&lt;&lt;&lt;&lt;&lt;&lt;&lt;&lt;&lt;&lt;&lt;&lt;&lt;&lt;&lt;","")</f>
        <v>&lt;&lt;&lt;&lt;&lt;&lt;&lt;&lt;&lt;&lt;&lt;&lt;&lt;&lt;&lt;</v>
      </c>
      <c r="F322" s="945" t="str">
        <f>IF(ISBLANK($D322),"Required","")</f>
        <v>Required</v>
      </c>
      <c r="H322" s="17"/>
      <c r="I322" s="108"/>
      <c r="Z322" s="600"/>
      <c r="AA322" s="600"/>
      <c r="AB322" s="600"/>
      <c r="AC322" s="600"/>
      <c r="AD322" s="600"/>
      <c r="AE322" s="600"/>
      <c r="AF322" s="600"/>
      <c r="AG322" s="600"/>
      <c r="AH322" s="600"/>
      <c r="AI322" s="600"/>
      <c r="AJ322" s="600"/>
      <c r="AK322" s="600"/>
      <c r="AL322" s="600"/>
      <c r="AM322" s="600"/>
      <c r="AN322" s="600"/>
      <c r="AO322" s="600"/>
      <c r="AP322" s="600"/>
      <c r="AQ322" s="600"/>
      <c r="AR322" s="600"/>
    </row>
    <row r="323" spans="1:44" ht="30.75" customHeight="1" thickBot="1" x14ac:dyDescent="0.35">
      <c r="A323" s="600">
        <v>968</v>
      </c>
      <c r="B323" s="1167" t="s">
        <v>762</v>
      </c>
      <c r="C323" s="1168"/>
      <c r="D323" s="839"/>
      <c r="E323" s="946" t="str">
        <f>IF(ISBLANK($D323),"&lt;&lt;&lt;&lt;&lt;&lt;&lt;&lt;&lt;&lt;&lt;&lt;&lt;&lt;&lt;","")</f>
        <v>&lt;&lt;&lt;&lt;&lt;&lt;&lt;&lt;&lt;&lt;&lt;&lt;&lt;&lt;&lt;</v>
      </c>
      <c r="F323" s="945" t="str">
        <f>IF(ISBLANK($D323),"Required","")</f>
        <v>Required</v>
      </c>
      <c r="H323" s="17"/>
      <c r="I323" s="108"/>
      <c r="Z323" s="600"/>
      <c r="AA323" s="600"/>
      <c r="AB323" s="600"/>
      <c r="AC323" s="600"/>
      <c r="AD323" s="600"/>
      <c r="AE323" s="600"/>
      <c r="AF323" s="600"/>
      <c r="AG323" s="600"/>
      <c r="AH323" s="600"/>
      <c r="AI323" s="600"/>
      <c r="AJ323" s="600"/>
      <c r="AK323" s="600"/>
      <c r="AL323" s="600"/>
      <c r="AM323" s="600"/>
      <c r="AN323" s="600"/>
      <c r="AO323" s="600"/>
      <c r="AP323" s="600"/>
      <c r="AQ323" s="600"/>
      <c r="AR323" s="600"/>
    </row>
    <row r="324" spans="1:44" x14ac:dyDescent="0.3">
      <c r="A324" s="108"/>
      <c r="B324" s="937"/>
      <c r="C324" s="937"/>
      <c r="D324" s="948" t="s">
        <v>46</v>
      </c>
      <c r="E324" s="938"/>
      <c r="F324" s="938"/>
      <c r="G324" s="938"/>
      <c r="H324" s="939"/>
      <c r="I324" s="108"/>
    </row>
    <row r="325" spans="1:44" x14ac:dyDescent="0.3">
      <c r="A325" s="108"/>
      <c r="B325" s="712"/>
      <c r="C325" s="712"/>
      <c r="D325" s="171"/>
      <c r="E325" s="310"/>
      <c r="F325" s="840"/>
      <c r="G325" s="840"/>
      <c r="H325" s="17"/>
      <c r="I325" s="108"/>
    </row>
    <row r="326" spans="1:44" x14ac:dyDescent="0.3">
      <c r="A326" s="108"/>
      <c r="B326" s="712"/>
      <c r="C326" s="712"/>
      <c r="D326" s="24"/>
      <c r="E326" s="1147"/>
      <c r="F326" s="840"/>
      <c r="G326" s="840"/>
      <c r="H326" s="17"/>
      <c r="I326" s="108"/>
    </row>
    <row r="327" spans="1:44" x14ac:dyDescent="0.3">
      <c r="A327" s="18">
        <f>SUBTOTAL(109,A7:A323)</f>
        <v>21322</v>
      </c>
    </row>
    <row r="328" spans="1:44" x14ac:dyDescent="0.3">
      <c r="A328" s="108"/>
      <c r="B328" s="879"/>
      <c r="C328" s="879"/>
      <c r="D328" s="841"/>
      <c r="E328" s="423"/>
      <c r="F328" s="18"/>
      <c r="G328" s="842"/>
      <c r="H328" s="17"/>
      <c r="I328" s="108"/>
    </row>
    <row r="329" spans="1:44" x14ac:dyDescent="0.3">
      <c r="A329" s="600"/>
      <c r="B329" s="600"/>
      <c r="C329" s="600"/>
      <c r="D329" s="841"/>
      <c r="E329" s="422"/>
      <c r="F329" s="308"/>
      <c r="G329" s="842"/>
      <c r="H329" s="17"/>
      <c r="I329" s="108"/>
    </row>
    <row r="330" spans="1:44" x14ac:dyDescent="0.3">
      <c r="A330" s="600"/>
      <c r="B330" s="600"/>
      <c r="C330" s="600"/>
      <c r="D330" s="843"/>
      <c r="E330" s="422"/>
      <c r="F330" s="308"/>
      <c r="G330" s="842"/>
      <c r="H330" s="17"/>
      <c r="I330" s="108"/>
    </row>
    <row r="331" spans="1:44" x14ac:dyDescent="0.3">
      <c r="A331" s="600"/>
      <c r="B331" s="600"/>
      <c r="C331" s="600"/>
      <c r="D331" s="843"/>
      <c r="E331" s="422"/>
      <c r="F331" s="308"/>
      <c r="G331" s="842"/>
      <c r="H331" s="17"/>
      <c r="I331" s="108"/>
    </row>
    <row r="332" spans="1:44" x14ac:dyDescent="0.3">
      <c r="A332" s="600"/>
      <c r="B332" s="600"/>
      <c r="C332" s="600"/>
      <c r="D332" s="843"/>
      <c r="E332" s="422"/>
      <c r="F332" s="308"/>
      <c r="G332" s="842"/>
      <c r="H332" s="17"/>
      <c r="I332" s="108"/>
    </row>
    <row r="333" spans="1:44" x14ac:dyDescent="0.3">
      <c r="A333" s="600"/>
      <c r="B333" s="600"/>
      <c r="C333" s="600"/>
      <c r="D333" s="843"/>
      <c r="E333" s="422"/>
      <c r="F333" s="308"/>
      <c r="G333" s="842"/>
      <c r="H333" s="17"/>
      <c r="I333" s="108"/>
    </row>
    <row r="334" spans="1:44" x14ac:dyDescent="0.3">
      <c r="A334" s="600"/>
      <c r="D334" s="640"/>
      <c r="E334" s="422"/>
      <c r="F334" s="308"/>
      <c r="H334" s="17"/>
      <c r="I334" s="108"/>
    </row>
    <row r="335" spans="1:44" x14ac:dyDescent="0.3">
      <c r="D335" s="640"/>
      <c r="E335" s="423"/>
      <c r="F335" s="308"/>
      <c r="H335" s="17"/>
      <c r="I335" s="108"/>
    </row>
    <row r="336" spans="1:44" x14ac:dyDescent="0.3">
      <c r="D336" s="640"/>
      <c r="E336" s="310"/>
      <c r="F336" s="308"/>
      <c r="H336" s="17"/>
      <c r="I336" s="108"/>
    </row>
    <row r="337" spans="4:12" x14ac:dyDescent="0.3">
      <c r="D337" s="640"/>
      <c r="E337" s="310"/>
      <c r="F337" s="308"/>
      <c r="I337" s="108"/>
    </row>
    <row r="338" spans="4:12" x14ac:dyDescent="0.3">
      <c r="E338" s="310"/>
      <c r="F338" s="308"/>
      <c r="G338" s="845"/>
      <c r="I338" s="108"/>
    </row>
    <row r="339" spans="4:12" x14ac:dyDescent="0.3">
      <c r="E339" s="310"/>
      <c r="F339" s="308"/>
      <c r="I339" s="108"/>
    </row>
    <row r="340" spans="4:12" x14ac:dyDescent="0.3">
      <c r="E340" s="310"/>
      <c r="F340" s="308"/>
      <c r="I340" s="108"/>
    </row>
    <row r="341" spans="4:12" x14ac:dyDescent="0.3">
      <c r="E341" s="310"/>
      <c r="F341" s="308"/>
      <c r="I341" s="108"/>
    </row>
    <row r="342" spans="4:12" x14ac:dyDescent="0.3">
      <c r="I342" s="108"/>
    </row>
    <row r="343" spans="4:12" x14ac:dyDescent="0.3">
      <c r="I343" s="108"/>
    </row>
    <row r="344" spans="4:12" x14ac:dyDescent="0.3">
      <c r="I344" s="108"/>
    </row>
    <row r="345" spans="4:12" x14ac:dyDescent="0.3">
      <c r="I345" s="108"/>
    </row>
    <row r="346" spans="4:12" x14ac:dyDescent="0.3">
      <c r="I346" s="108"/>
    </row>
    <row r="347" spans="4:12" x14ac:dyDescent="0.3">
      <c r="I347" s="108"/>
    </row>
    <row r="348" spans="4:12" x14ac:dyDescent="0.3">
      <c r="I348" s="108"/>
    </row>
    <row r="349" spans="4:12" x14ac:dyDescent="0.3">
      <c r="I349" s="308"/>
    </row>
    <row r="350" spans="4:12" x14ac:dyDescent="0.3">
      <c r="I350" s="308"/>
      <c r="K350" s="310"/>
      <c r="L350" s="310"/>
    </row>
    <row r="351" spans="4:12" x14ac:dyDescent="0.3">
      <c r="I351" s="308"/>
      <c r="K351" s="310"/>
      <c r="L351" s="310"/>
    </row>
    <row r="352" spans="4:12" x14ac:dyDescent="0.3">
      <c r="I352" s="308"/>
      <c r="K352" s="310"/>
      <c r="L352" s="310"/>
    </row>
    <row r="353" spans="9:12" x14ac:dyDescent="0.3">
      <c r="I353" s="308"/>
      <c r="K353" s="310"/>
      <c r="L353" s="310"/>
    </row>
    <row r="354" spans="9:12" x14ac:dyDescent="0.3">
      <c r="I354" s="308"/>
      <c r="K354" s="310"/>
      <c r="L354" s="310"/>
    </row>
    <row r="355" spans="9:12" x14ac:dyDescent="0.3">
      <c r="I355" s="308"/>
      <c r="K355" s="310"/>
      <c r="L355" s="310"/>
    </row>
    <row r="356" spans="9:12" x14ac:dyDescent="0.3">
      <c r="I356" s="108"/>
      <c r="K356" s="310"/>
      <c r="L356" s="310"/>
    </row>
    <row r="357" spans="9:12" x14ac:dyDescent="0.3">
      <c r="I357" s="108"/>
      <c r="K357" s="310"/>
      <c r="L357" s="310"/>
    </row>
    <row r="358" spans="9:12" x14ac:dyDescent="0.3">
      <c r="I358" s="108"/>
      <c r="J358" s="310"/>
      <c r="K358" s="310"/>
      <c r="L358" s="310"/>
    </row>
    <row r="359" spans="9:12" x14ac:dyDescent="0.3">
      <c r="I359" s="108"/>
      <c r="J359" s="310"/>
      <c r="K359" s="310"/>
      <c r="L359" s="310"/>
    </row>
    <row r="360" spans="9:12" x14ac:dyDescent="0.3">
      <c r="I360" s="108"/>
      <c r="J360" s="310"/>
      <c r="K360" s="310"/>
      <c r="L360" s="310"/>
    </row>
    <row r="361" spans="9:12" x14ac:dyDescent="0.3">
      <c r="I361" s="108"/>
      <c r="J361" s="310"/>
      <c r="K361" s="310"/>
      <c r="L361" s="310"/>
    </row>
    <row r="362" spans="9:12" x14ac:dyDescent="0.3">
      <c r="I362" s="108"/>
      <c r="J362" s="310"/>
      <c r="K362" s="310"/>
      <c r="L362" s="310"/>
    </row>
    <row r="363" spans="9:12" x14ac:dyDescent="0.3">
      <c r="I363" s="108"/>
      <c r="J363" s="310"/>
      <c r="K363" s="310"/>
      <c r="L363" s="310"/>
    </row>
    <row r="364" spans="9:12" x14ac:dyDescent="0.3">
      <c r="I364" s="108"/>
      <c r="J364" s="310"/>
      <c r="K364" s="310"/>
      <c r="L364" s="310"/>
    </row>
    <row r="365" spans="9:12" x14ac:dyDescent="0.3">
      <c r="I365" s="308"/>
      <c r="J365" s="310"/>
      <c r="K365" s="310"/>
      <c r="L365" s="310"/>
    </row>
    <row r="366" spans="9:12" x14ac:dyDescent="0.3">
      <c r="I366" s="308"/>
      <c r="J366" s="310"/>
      <c r="K366" s="310"/>
      <c r="L366" s="310"/>
    </row>
    <row r="367" spans="9:12" x14ac:dyDescent="0.3">
      <c r="I367" s="308"/>
      <c r="J367" s="310"/>
      <c r="K367" s="310"/>
      <c r="L367" s="310"/>
    </row>
    <row r="368" spans="9:12" x14ac:dyDescent="0.3">
      <c r="I368" s="308"/>
      <c r="J368" s="310"/>
      <c r="K368" s="310"/>
      <c r="L368" s="310"/>
    </row>
    <row r="369" spans="9:12" x14ac:dyDescent="0.3">
      <c r="I369" s="308"/>
      <c r="J369" s="310"/>
      <c r="K369" s="310"/>
      <c r="L369" s="310"/>
    </row>
    <row r="370" spans="9:12" x14ac:dyDescent="0.3">
      <c r="I370" s="308"/>
      <c r="J370" s="310"/>
      <c r="K370" s="310"/>
      <c r="L370" s="310"/>
    </row>
    <row r="371" spans="9:12" x14ac:dyDescent="0.3">
      <c r="I371" s="308"/>
      <c r="J371" s="310"/>
      <c r="K371" s="310"/>
      <c r="L371" s="310"/>
    </row>
    <row r="372" spans="9:12" x14ac:dyDescent="0.3">
      <c r="I372" s="308"/>
      <c r="J372" s="310"/>
      <c r="K372" s="310"/>
      <c r="L372" s="310"/>
    </row>
    <row r="373" spans="9:12" x14ac:dyDescent="0.3">
      <c r="I373" s="308"/>
      <c r="J373" s="310"/>
      <c r="K373" s="310"/>
      <c r="L373" s="310"/>
    </row>
    <row r="374" spans="9:12" x14ac:dyDescent="0.3">
      <c r="I374" s="308"/>
      <c r="J374" s="310"/>
      <c r="K374" s="310"/>
      <c r="L374" s="310"/>
    </row>
    <row r="375" spans="9:12" x14ac:dyDescent="0.3">
      <c r="I375" s="308"/>
      <c r="J375" s="310"/>
      <c r="K375" s="310"/>
      <c r="L375" s="310"/>
    </row>
    <row r="376" spans="9:12" x14ac:dyDescent="0.3">
      <c r="I376" s="308"/>
      <c r="J376" s="310"/>
      <c r="K376" s="310"/>
      <c r="L376" s="310"/>
    </row>
    <row r="377" spans="9:12" x14ac:dyDescent="0.3">
      <c r="I377" s="308"/>
      <c r="J377" s="310"/>
      <c r="K377" s="310"/>
      <c r="L377" s="310"/>
    </row>
    <row r="378" spans="9:12" x14ac:dyDescent="0.3">
      <c r="I378" s="308"/>
      <c r="J378" s="310"/>
      <c r="K378" s="310"/>
      <c r="L378" s="310"/>
    </row>
    <row r="379" spans="9:12" x14ac:dyDescent="0.3">
      <c r="I379" s="308"/>
      <c r="J379" s="310"/>
      <c r="K379" s="310"/>
      <c r="L379" s="310"/>
    </row>
    <row r="380" spans="9:12" x14ac:dyDescent="0.3">
      <c r="I380" s="308"/>
      <c r="J380" s="310"/>
      <c r="K380" s="310"/>
      <c r="L380" s="310"/>
    </row>
    <row r="381" spans="9:12" x14ac:dyDescent="0.3">
      <c r="I381" s="308"/>
      <c r="J381" s="310"/>
      <c r="K381" s="310"/>
      <c r="L381" s="310"/>
    </row>
    <row r="382" spans="9:12" x14ac:dyDescent="0.3">
      <c r="I382" s="308"/>
      <c r="J382" s="310"/>
      <c r="K382" s="310"/>
      <c r="L382" s="310"/>
    </row>
    <row r="383" spans="9:12" x14ac:dyDescent="0.3">
      <c r="I383" s="308"/>
      <c r="J383" s="310"/>
      <c r="K383" s="310"/>
      <c r="L383" s="310"/>
    </row>
    <row r="384" spans="9:12" x14ac:dyDescent="0.3">
      <c r="I384" s="308"/>
      <c r="J384" s="310"/>
      <c r="K384" s="310"/>
      <c r="L384" s="310"/>
    </row>
    <row r="385" spans="9:12" x14ac:dyDescent="0.3">
      <c r="I385" s="308"/>
      <c r="J385" s="310"/>
      <c r="K385" s="310"/>
      <c r="L385" s="310"/>
    </row>
    <row r="386" spans="9:12" x14ac:dyDescent="0.3">
      <c r="I386" s="308"/>
      <c r="J386" s="310"/>
      <c r="K386" s="310"/>
      <c r="L386" s="310"/>
    </row>
    <row r="387" spans="9:12" x14ac:dyDescent="0.3">
      <c r="I387" s="308"/>
      <c r="J387" s="310"/>
      <c r="K387" s="310"/>
      <c r="L387" s="310"/>
    </row>
    <row r="388" spans="9:12" x14ac:dyDescent="0.3">
      <c r="I388" s="308"/>
      <c r="J388" s="310"/>
      <c r="K388" s="310"/>
      <c r="L388" s="310"/>
    </row>
    <row r="389" spans="9:12" x14ac:dyDescent="0.3">
      <c r="I389" s="308"/>
      <c r="J389" s="310"/>
      <c r="K389" s="310"/>
      <c r="L389" s="310"/>
    </row>
    <row r="390" spans="9:12" x14ac:dyDescent="0.3">
      <c r="I390" s="308"/>
      <c r="J390" s="310"/>
      <c r="K390" s="310"/>
      <c r="L390" s="310"/>
    </row>
    <row r="391" spans="9:12" x14ac:dyDescent="0.3">
      <c r="I391" s="308"/>
      <c r="J391" s="310"/>
      <c r="K391" s="310"/>
      <c r="L391" s="310"/>
    </row>
    <row r="392" spans="9:12" x14ac:dyDescent="0.3">
      <c r="I392" s="308"/>
      <c r="J392" s="310"/>
      <c r="K392" s="310"/>
      <c r="L392" s="310"/>
    </row>
    <row r="393" spans="9:12" x14ac:dyDescent="0.3">
      <c r="I393" s="308"/>
      <c r="J393" s="310"/>
      <c r="K393" s="310"/>
      <c r="L393" s="310"/>
    </row>
    <row r="394" spans="9:12" x14ac:dyDescent="0.3">
      <c r="I394" s="308"/>
      <c r="J394" s="310"/>
      <c r="K394" s="310"/>
      <c r="L394" s="310"/>
    </row>
    <row r="395" spans="9:12" x14ac:dyDescent="0.3">
      <c r="I395" s="308"/>
      <c r="J395" s="310"/>
      <c r="K395" s="310"/>
      <c r="L395" s="310"/>
    </row>
    <row r="396" spans="9:12" x14ac:dyDescent="0.3">
      <c r="I396" s="308"/>
      <c r="J396" s="310"/>
      <c r="K396" s="310"/>
      <c r="L396" s="310"/>
    </row>
    <row r="397" spans="9:12" x14ac:dyDescent="0.3">
      <c r="I397" s="308"/>
      <c r="J397" s="310"/>
      <c r="K397" s="310"/>
      <c r="L397" s="310"/>
    </row>
    <row r="398" spans="9:12" x14ac:dyDescent="0.3">
      <c r="I398" s="308"/>
      <c r="J398" s="310"/>
      <c r="K398" s="310"/>
      <c r="L398" s="310"/>
    </row>
    <row r="399" spans="9:12" x14ac:dyDescent="0.3">
      <c r="I399" s="308"/>
      <c r="J399" s="310"/>
      <c r="K399" s="310"/>
      <c r="L399" s="310"/>
    </row>
    <row r="400" spans="9:12" x14ac:dyDescent="0.3">
      <c r="I400" s="308"/>
      <c r="J400" s="310"/>
      <c r="K400" s="310"/>
      <c r="L400" s="310"/>
    </row>
    <row r="401" spans="9:12" x14ac:dyDescent="0.3">
      <c r="I401" s="308"/>
      <c r="J401" s="310"/>
      <c r="K401" s="310"/>
      <c r="L401" s="310"/>
    </row>
    <row r="402" spans="9:12" x14ac:dyDescent="0.3">
      <c r="I402" s="308"/>
      <c r="J402" s="310"/>
      <c r="K402" s="310"/>
      <c r="L402" s="310"/>
    </row>
    <row r="403" spans="9:12" x14ac:dyDescent="0.3">
      <c r="I403" s="308"/>
      <c r="J403" s="310"/>
      <c r="K403" s="310"/>
      <c r="L403" s="310"/>
    </row>
    <row r="404" spans="9:12" x14ac:dyDescent="0.3">
      <c r="I404" s="308"/>
      <c r="J404" s="310"/>
      <c r="K404" s="310"/>
      <c r="L404" s="310"/>
    </row>
    <row r="405" spans="9:12" x14ac:dyDescent="0.3">
      <c r="I405" s="308"/>
      <c r="J405" s="310"/>
      <c r="K405" s="310"/>
      <c r="L405" s="310"/>
    </row>
    <row r="406" spans="9:12" x14ac:dyDescent="0.3">
      <c r="I406" s="308"/>
      <c r="J406" s="310"/>
      <c r="K406" s="310"/>
      <c r="L406" s="310"/>
    </row>
    <row r="407" spans="9:12" x14ac:dyDescent="0.3">
      <c r="I407" s="308"/>
      <c r="J407" s="310"/>
      <c r="K407" s="310"/>
      <c r="L407" s="310"/>
    </row>
    <row r="408" spans="9:12" x14ac:dyDescent="0.3">
      <c r="I408" s="308"/>
      <c r="J408" s="310"/>
      <c r="K408" s="310"/>
      <c r="L408" s="310"/>
    </row>
    <row r="409" spans="9:12" x14ac:dyDescent="0.3">
      <c r="I409" s="308"/>
      <c r="J409" s="310"/>
      <c r="K409" s="310"/>
      <c r="L409" s="310"/>
    </row>
    <row r="410" spans="9:12" x14ac:dyDescent="0.3">
      <c r="I410" s="308"/>
      <c r="J410" s="310"/>
      <c r="K410" s="310"/>
      <c r="L410" s="310"/>
    </row>
    <row r="411" spans="9:12" x14ac:dyDescent="0.3">
      <c r="I411" s="308"/>
      <c r="J411" s="310"/>
      <c r="K411" s="310"/>
      <c r="L411" s="310"/>
    </row>
    <row r="412" spans="9:12" x14ac:dyDescent="0.3">
      <c r="I412" s="308"/>
      <c r="J412" s="310"/>
      <c r="K412" s="310"/>
      <c r="L412" s="310"/>
    </row>
    <row r="413" spans="9:12" x14ac:dyDescent="0.3">
      <c r="I413" s="308"/>
      <c r="J413" s="310"/>
      <c r="K413" s="310"/>
      <c r="L413" s="310"/>
    </row>
    <row r="414" spans="9:12" x14ac:dyDescent="0.3">
      <c r="I414" s="308"/>
      <c r="J414" s="310"/>
      <c r="K414" s="310"/>
      <c r="L414" s="310"/>
    </row>
    <row r="415" spans="9:12" x14ac:dyDescent="0.3">
      <c r="I415" s="308"/>
      <c r="J415" s="310"/>
      <c r="K415" s="310"/>
      <c r="L415" s="310"/>
    </row>
    <row r="416" spans="9:12" x14ac:dyDescent="0.3">
      <c r="I416" s="308"/>
      <c r="J416" s="310"/>
      <c r="K416" s="310"/>
      <c r="L416" s="310"/>
    </row>
    <row r="417" spans="9:12" x14ac:dyDescent="0.3">
      <c r="I417" s="308"/>
      <c r="J417" s="310"/>
      <c r="K417" s="310"/>
      <c r="L417" s="310"/>
    </row>
    <row r="418" spans="9:12" x14ac:dyDescent="0.3">
      <c r="I418" s="308"/>
      <c r="J418" s="310"/>
      <c r="K418" s="310"/>
      <c r="L418" s="310"/>
    </row>
    <row r="419" spans="9:12" x14ac:dyDescent="0.3">
      <c r="I419" s="308"/>
      <c r="J419" s="310"/>
    </row>
    <row r="420" spans="9:12" x14ac:dyDescent="0.3">
      <c r="I420" s="308"/>
      <c r="J420" s="310"/>
    </row>
    <row r="421" spans="9:12" x14ac:dyDescent="0.3">
      <c r="I421" s="308"/>
      <c r="J421" s="310"/>
    </row>
    <row r="422" spans="9:12" x14ac:dyDescent="0.3">
      <c r="I422" s="308"/>
      <c r="J422" s="310"/>
    </row>
    <row r="423" spans="9:12" x14ac:dyDescent="0.3">
      <c r="I423" s="308"/>
      <c r="J423" s="310"/>
    </row>
    <row r="424" spans="9:12" x14ac:dyDescent="0.3">
      <c r="I424" s="308"/>
      <c r="J424" s="310"/>
    </row>
    <row r="425" spans="9:12" x14ac:dyDescent="0.3">
      <c r="I425" s="308"/>
      <c r="J425" s="310"/>
    </row>
    <row r="426" spans="9:12" x14ac:dyDescent="0.3">
      <c r="I426" s="308"/>
      <c r="J426" s="310"/>
    </row>
    <row r="427" spans="9:12" x14ac:dyDescent="0.3">
      <c r="I427" s="308"/>
    </row>
    <row r="428" spans="9:12" x14ac:dyDescent="0.3">
      <c r="I428" s="308"/>
    </row>
    <row r="429" spans="9:12" x14ac:dyDescent="0.3">
      <c r="I429" s="308"/>
    </row>
    <row r="430" spans="9:12" x14ac:dyDescent="0.3">
      <c r="I430" s="308"/>
    </row>
    <row r="431" spans="9:12" x14ac:dyDescent="0.3">
      <c r="I431" s="308"/>
    </row>
    <row r="432" spans="9:12" x14ac:dyDescent="0.3">
      <c r="I432" s="308"/>
    </row>
    <row r="433" spans="9:9" x14ac:dyDescent="0.3">
      <c r="I433" s="308"/>
    </row>
    <row r="434" spans="9:9" x14ac:dyDescent="0.3">
      <c r="I434" s="108"/>
    </row>
    <row r="435" spans="9:9" x14ac:dyDescent="0.3">
      <c r="I435" s="108"/>
    </row>
    <row r="436" spans="9:9" x14ac:dyDescent="0.3">
      <c r="I436" s="108"/>
    </row>
    <row r="437" spans="9:9" x14ac:dyDescent="0.3">
      <c r="I437" s="108"/>
    </row>
    <row r="438" spans="9:9" x14ac:dyDescent="0.3">
      <c r="I438" s="108"/>
    </row>
    <row r="439" spans="9:9" x14ac:dyDescent="0.3">
      <c r="I439" s="108"/>
    </row>
    <row r="440" spans="9:9" x14ac:dyDescent="0.3">
      <c r="I440" s="108"/>
    </row>
    <row r="441" spans="9:9" x14ac:dyDescent="0.3">
      <c r="I441" s="108"/>
    </row>
    <row r="442" spans="9:9" x14ac:dyDescent="0.3">
      <c r="I442" s="108"/>
    </row>
    <row r="443" spans="9:9" x14ac:dyDescent="0.3">
      <c r="I443" s="108"/>
    </row>
  </sheetData>
  <sheetProtection algorithmName="SHA-512" hashValue="AanU6XTQlCk9kvGrf7mqCfi2JE1MrAxzJUJqkg1ASOkHkomHjoU3TYLp9Gs8XCzQ3uvABR+usBd4vIUAO0sssQ==" saltValue="+uH//6zvApn3CFvuouX6PA==" spinCount="100000" sheet="1" formatCells="0"/>
  <dataConsolidate link="1"/>
  <mergeCells count="11">
    <mergeCell ref="E2:G2"/>
    <mergeCell ref="B2:C2"/>
    <mergeCell ref="B170:D170"/>
    <mergeCell ref="B313:E313"/>
    <mergeCell ref="B303:D303"/>
    <mergeCell ref="B314:E314"/>
    <mergeCell ref="B322:C322"/>
    <mergeCell ref="B323:C323"/>
    <mergeCell ref="B321:C321"/>
    <mergeCell ref="B319:C319"/>
    <mergeCell ref="B320:C320"/>
  </mergeCells>
  <phoneticPr fontId="58" type="noConversion"/>
  <conditionalFormatting sqref="H198 H87:H98">
    <cfRule type="cellIs" dxfId="124" priority="107" stopIfTrue="1" operator="notEqual">
      <formula>0</formula>
    </cfRule>
  </conditionalFormatting>
  <conditionalFormatting sqref="H199">
    <cfRule type="cellIs" dxfId="123" priority="105" stopIfTrue="1" operator="notEqual">
      <formula>0</formula>
    </cfRule>
  </conditionalFormatting>
  <conditionalFormatting sqref="G289:G292 G296:G297">
    <cfRule type="cellIs" dxfId="122" priority="104" stopIfTrue="1" operator="notEqual">
      <formula>0</formula>
    </cfRule>
  </conditionalFormatting>
  <conditionalFormatting sqref="H23">
    <cfRule type="cellIs" dxfId="121" priority="103" stopIfTrue="1" operator="notEqual">
      <formula>0</formula>
    </cfRule>
  </conditionalFormatting>
  <conditionalFormatting sqref="H37:H38">
    <cfRule type="cellIs" dxfId="120" priority="102" stopIfTrue="1" operator="notEqual">
      <formula>0</formula>
    </cfRule>
  </conditionalFormatting>
  <conditionalFormatting sqref="H72">
    <cfRule type="cellIs" dxfId="119" priority="101" stopIfTrue="1" operator="notEqual">
      <formula>0</formula>
    </cfRule>
  </conditionalFormatting>
  <conditionalFormatting sqref="H149">
    <cfRule type="cellIs" dxfId="118" priority="99" stopIfTrue="1" operator="notEqual">
      <formula>0</formula>
    </cfRule>
  </conditionalFormatting>
  <conditionalFormatting sqref="H168">
    <cfRule type="cellIs" dxfId="117" priority="98" stopIfTrue="1" operator="notEqual">
      <formula>0</formula>
    </cfRule>
  </conditionalFormatting>
  <conditionalFormatting sqref="H182">
    <cfRule type="cellIs" dxfId="116" priority="97" stopIfTrue="1" operator="notEqual">
      <formula>0</formula>
    </cfRule>
  </conditionalFormatting>
  <conditionalFormatting sqref="H183">
    <cfRule type="cellIs" dxfId="115" priority="96" stopIfTrue="1" operator="notEqual">
      <formula>0</formula>
    </cfRule>
  </conditionalFormatting>
  <conditionalFormatting sqref="L260 G275">
    <cfRule type="cellIs" priority="68" stopIfTrue="1" operator="equal">
      <formula>";;;"</formula>
    </cfRule>
  </conditionalFormatting>
  <conditionalFormatting sqref="L260 G275">
    <cfRule type="cellIs" dxfId="114" priority="67" stopIfTrue="1" operator="equal">
      <formula>0</formula>
    </cfRule>
  </conditionalFormatting>
  <conditionalFormatting sqref="L260">
    <cfRule type="cellIs" dxfId="113" priority="66" stopIfTrue="1" operator="equal">
      <formula>0</formula>
    </cfRule>
  </conditionalFormatting>
  <conditionalFormatting sqref="G274">
    <cfRule type="cellIs" priority="65" stopIfTrue="1" operator="equal">
      <formula>";;;"</formula>
    </cfRule>
  </conditionalFormatting>
  <conditionalFormatting sqref="G274">
    <cfRule type="cellIs" dxfId="112" priority="64" stopIfTrue="1" operator="equal">
      <formula>0</formula>
    </cfRule>
  </conditionalFormatting>
  <conditionalFormatting sqref="G274">
    <cfRule type="cellIs" dxfId="111" priority="63" stopIfTrue="1" operator="equal">
      <formula>0</formula>
    </cfRule>
  </conditionalFormatting>
  <conditionalFormatting sqref="G273">
    <cfRule type="cellIs" priority="53" stopIfTrue="1" operator="equal">
      <formula>";;;"</formula>
    </cfRule>
  </conditionalFormatting>
  <conditionalFormatting sqref="G273">
    <cfRule type="cellIs" dxfId="110" priority="52" stopIfTrue="1" operator="equal">
      <formula>0</formula>
    </cfRule>
  </conditionalFormatting>
  <conditionalFormatting sqref="G273">
    <cfRule type="cellIs" dxfId="109" priority="51" stopIfTrue="1" operator="equal">
      <formula>0</formula>
    </cfRule>
  </conditionalFormatting>
  <conditionalFormatting sqref="J266">
    <cfRule type="cellIs" priority="50" stopIfTrue="1" operator="equal">
      <formula>";;;"</formula>
    </cfRule>
  </conditionalFormatting>
  <conditionalFormatting sqref="J266">
    <cfRule type="cellIs" dxfId="108" priority="49" stopIfTrue="1" operator="equal">
      <formula>0</formula>
    </cfRule>
  </conditionalFormatting>
  <conditionalFormatting sqref="J266">
    <cfRule type="cellIs" dxfId="107" priority="48" stopIfTrue="1" operator="equal">
      <formula>0</formula>
    </cfRule>
  </conditionalFormatting>
  <conditionalFormatting sqref="G268">
    <cfRule type="cellIs" priority="20" stopIfTrue="1" operator="equal">
      <formula>";;;"</formula>
    </cfRule>
  </conditionalFormatting>
  <conditionalFormatting sqref="G268">
    <cfRule type="cellIs" dxfId="106" priority="19" stopIfTrue="1" operator="equal">
      <formula>0</formula>
    </cfRule>
  </conditionalFormatting>
  <conditionalFormatting sqref="G268">
    <cfRule type="cellIs" dxfId="105" priority="18" stopIfTrue="1" operator="equal">
      <formula>0</formula>
    </cfRule>
  </conditionalFormatting>
  <conditionalFormatting sqref="G266">
    <cfRule type="cellIs" priority="17" stopIfTrue="1" operator="equal">
      <formula>";;;"</formula>
    </cfRule>
  </conditionalFormatting>
  <conditionalFormatting sqref="G266">
    <cfRule type="cellIs" dxfId="104" priority="16" stopIfTrue="1" operator="equal">
      <formula>0</formula>
    </cfRule>
  </conditionalFormatting>
  <conditionalFormatting sqref="G266">
    <cfRule type="cellIs" dxfId="103" priority="15" stopIfTrue="1" operator="equal">
      <formula>0</formula>
    </cfRule>
  </conditionalFormatting>
  <conditionalFormatting sqref="G267">
    <cfRule type="cellIs" priority="14" stopIfTrue="1" operator="equal">
      <formula>";;;"</formula>
    </cfRule>
  </conditionalFormatting>
  <conditionalFormatting sqref="G267">
    <cfRule type="cellIs" dxfId="102" priority="13" stopIfTrue="1" operator="equal">
      <formula>0</formula>
    </cfRule>
  </conditionalFormatting>
  <conditionalFormatting sqref="G267">
    <cfRule type="cellIs" dxfId="101" priority="12" stopIfTrue="1" operator="equal">
      <formula>0</formula>
    </cfRule>
  </conditionalFormatting>
  <conditionalFormatting sqref="G270">
    <cfRule type="cellIs" priority="11" stopIfTrue="1" operator="equal">
      <formula>";;;"</formula>
    </cfRule>
  </conditionalFormatting>
  <conditionalFormatting sqref="G270">
    <cfRule type="cellIs" dxfId="100" priority="10" stopIfTrue="1" operator="equal">
      <formula>0</formula>
    </cfRule>
  </conditionalFormatting>
  <conditionalFormatting sqref="G270">
    <cfRule type="cellIs" dxfId="99" priority="9" stopIfTrue="1" operator="equal">
      <formula>0</formula>
    </cfRule>
  </conditionalFormatting>
  <conditionalFormatting sqref="G272">
    <cfRule type="cellIs" priority="3" stopIfTrue="1" operator="equal">
      <formula>";;;"</formula>
    </cfRule>
  </conditionalFormatting>
  <conditionalFormatting sqref="G272">
    <cfRule type="cellIs" dxfId="98" priority="2" stopIfTrue="1" operator="equal">
      <formula>0</formula>
    </cfRule>
  </conditionalFormatting>
  <conditionalFormatting sqref="G272">
    <cfRule type="cellIs" dxfId="97" priority="1" stopIfTrue="1" operator="equal">
      <formula>0</formula>
    </cfRule>
  </conditionalFormatting>
  <dataValidations xWindow="829" yWindow="690" count="24">
    <dataValidation type="list" allowBlank="1" showInputMessage="1" showErrorMessage="1" prompt="Please select the appropriate number value from the drop-down box." sqref="F131" xr:uid="{00000000-0002-0000-0100-000005000000}">
      <formula1>$N$2:$N$4</formula1>
    </dataValidation>
    <dataValidation type="list" allowBlank="1" showInputMessage="1" showErrorMessage="1" prompt="Select from drop down list" sqref="G88" xr:uid="{03FCCE46-B0EA-4672-8B51-281D65C01346}">
      <formula1>#REF!</formula1>
    </dataValidation>
    <dataValidation type="list" allowBlank="1" showInputMessage="1" showErrorMessage="1" sqref="F88" xr:uid="{A85FF889-D99F-45B3-A284-6701B76512B6}">
      <formula1>$M$4:$M$5</formula1>
    </dataValidation>
    <dataValidation type="list" allowBlank="1" showInputMessage="1" showErrorMessage="1" sqref="F309:F311 F263 F307" xr:uid="{9CC5535C-800A-4D03-A86E-273A5BC3EBB6}">
      <formula1>$M$1:$M$2</formula1>
    </dataValidation>
    <dataValidation type="list" allowBlank="1" showInputMessage="1" showErrorMessage="1" sqref="F298" xr:uid="{FCE57F22-20D9-4CFA-AFE5-1751E216D3C1}">
      <formula1>$O$1:$O$2</formula1>
    </dataValidation>
    <dataValidation type="list" allowBlank="1" showInputMessage="1" showErrorMessage="1" sqref="F271" xr:uid="{2CD3BDAD-30EF-425F-BB01-D3FF43CDAA81}">
      <formula1>$O$1:$O$4</formula1>
    </dataValidation>
    <dataValidation type="list" allowBlank="1" showInputMessage="1" showErrorMessage="1" prompt="Please select from the drop down box the most appropriate answer" sqref="F302" xr:uid="{7584867B-76E5-42C2-B404-3B1B6C94E6E2}">
      <formula1>$O$1:$O$2</formula1>
    </dataValidation>
    <dataValidation type="list" allowBlank="1" showInputMessage="1" showErrorMessage="1" sqref="F306" xr:uid="{DB0EB8F5-2DE0-4833-AFDF-F7BB7A8D56E1}">
      <formula1>$M$6:$M$8</formula1>
    </dataValidation>
    <dataValidation type="list" allowBlank="1" showErrorMessage="1" prompt="Please select from the drop down box the most appropriate answer" sqref="F300" xr:uid="{7FCE12A8-B6A0-48F9-9BA0-C3D89D188CEE}">
      <formula1>"20,21,22,23"</formula1>
    </dataValidation>
    <dataValidation type="list" operator="greaterThan" allowBlank="1" showErrorMessage="1" prompt="Please select appropriate answer from drop down list." sqref="F224" xr:uid="{D9A20B08-5895-4736-8659-042438D0E620}">
      <formula1>"1,2,3"</formula1>
    </dataValidation>
    <dataValidation type="custom" allowBlank="1" showInputMessage="1" showErrorMessage="1" error="Please enter a numeric value.  If this data is not applicable to your unit of government, the cell should be populated with zero." sqref="F216 F212 F201 F28:F39 F41:F57 F59:F73 F75:F87 F25:F26 F132:F149 F151:F168 F171:F183 F187:F199 F204:F210 F220:F222 F18:F23 F100:F101 F89:F98 F103:F120 F123:F127" xr:uid="{B5815DCD-160E-4CA9-A461-76D5F396E4F1}">
      <formula1>ISNUMBER(F18)</formula1>
    </dataValidation>
    <dataValidation type="custom" allowBlank="1" showErrorMessage="1" error="Please enter a numeric value.  If this data is not applicable to your unit of government, the cell should be populated with zero." prompt="_x000a__x000a_" sqref="F233:F236 F239:F242 F245:F248 F253:F255 F257:F260 F228:F229" xr:uid="{DA17F63A-7740-447E-B0DD-1FD94F0BE4C8}">
      <formula1>ISNUMBER(F228)</formula1>
    </dataValidation>
    <dataValidation type="custom" allowBlank="1" showErrorMessage="1" error="Please enter a numeric value.  If this data is not applicable to your unit of government, the cell should be populated with zero." sqref="F299 F289:F297 F286 F284 F277:F280 F282 F272:F274 F265:F268" xr:uid="{6656F482-2030-43E8-B669-24F0F4187CE8}">
      <formula1>ISNUMBER(F265)</formula1>
    </dataValidation>
    <dataValidation type="custom" allowBlank="1" showInputMessage="1" showErrorMessage="1" error="Please enter a numeric value.  If this data is not applicable to your unit of government, please enter a zero." prompt="This cell requires a numeric value.  If this data is not applicable to your unit of government, please enter a zero." sqref="F269" xr:uid="{8DAFED68-C7CC-4E4B-B0DE-1B3BA6E17585}">
      <formula1>-ISNUMBER(221)</formula1>
    </dataValidation>
    <dataValidation type="list" allowBlank="1" showErrorMessage="1" prompt="Please select appropriate answer from drop down list." sqref="F223" xr:uid="{15C60609-2D17-4E28-A2AB-41834F9A09EE}">
      <formula1>"1,2"</formula1>
    </dataValidation>
    <dataValidation type="custom" allowBlank="1" showInputMessage="1" showErrorMessage="1" error="Please enter a numeric value.  If this data is not applicable to your unit of government, please enter zero." prompt="_x000a_" sqref="Q21:Q23" xr:uid="{9CBC3A0A-ED2F-4189-A811-9F7E91132699}">
      <formula1>ISNUMBER(Q21)</formula1>
    </dataValidation>
    <dataValidation type="custom" allowBlank="1" showInputMessage="1" showErrorMessage="1" error="Please enter a numeric value. " sqref="Q7" xr:uid="{CB95FD3C-B04D-4711-9116-7A469E0AAB1B}">
      <formula1>ISNUMBER(Q7)</formula1>
    </dataValidation>
    <dataValidation type="custom" allowBlank="1" showInputMessage="1" showErrorMessage="1" error="Please enter a numeric value. If this data is not applicable to your unit of government, the cell should be populated with zero." sqref="Q8:Q17 F7:F17" xr:uid="{2B8A4F99-9CD2-4D02-A062-E988EF3799E5}">
      <formula1>ISNUMBER(F7)</formula1>
    </dataValidation>
    <dataValidation allowBlank="1" showInputMessage="1" showErrorMessage="1" error="Please enter a numeric value. If this data is not applicable to your unit of government, the cell should be populated with zero." sqref="Q18:Q19" xr:uid="{74AB16B8-397F-4D3E-B798-0C4CD86D1B10}"/>
    <dataValidation type="custom" allowBlank="1" showInputMessage="1" showErrorMessage="1" error="Please enter a numeric value. If this data is not applicable to your unit of government, the cell should be populated with zero." prompt="_x000a_" sqref="Q20" xr:uid="{ECAB93E3-7E39-4615-8FE4-6276528C897F}">
      <formula1>ISNUMBER(Q20)</formula1>
    </dataValidation>
    <dataValidation type="list" allowBlank="1" showErrorMessage="1" prompt="Please select appropriate answer from drop down list." sqref="F184:F185" xr:uid="{B28A4ED8-9280-4348-99A1-3B99F5248D33}">
      <formula1>$M$1:$M$2</formula1>
    </dataValidation>
    <dataValidation type="list" allowBlank="1" showInputMessage="1" showErrorMessage="1" prompt="Please select appropriate answer from drop down list." sqref="F214" xr:uid="{CE840982-6377-4DDA-A117-91D0B30682FD}">
      <formula1>$O$1:$O$2</formula1>
    </dataValidation>
    <dataValidation type="custom" allowBlank="1" showErrorMessage="1" error="Please enter a numeric value.  If this data is not applicable to your unit of government the cell should be populated with zero." sqref="F262" xr:uid="{CB641EB2-3894-4A74-BBEC-CDF7A3E8D5D8}">
      <formula1>ISNUMBER(F262)</formula1>
    </dataValidation>
    <dataValidation type="custom" allowBlank="1" showErrorMessage="1" error="Please enter a numeric value.  If this data is not applicable to your unit of government, the cell should be populated wih zero." sqref="F270" xr:uid="{EE3DADAD-5656-406D-A714-9D6C22BCD542}">
      <formula1>ISNUMBER(F270)</formula1>
    </dataValidation>
  </dataValidations>
  <printOptions headings="1" gridLines="1"/>
  <pageMargins left="0.25" right="0.25" top="0.25" bottom="0.75" header="0.3" footer="0.3"/>
  <pageSetup fitToHeight="0" orientation="portrait" r:id="rId1"/>
  <headerFooter>
    <oddFooter>&amp;LPage &amp;P&amp;R&amp;Z&amp;F</oddFooter>
  </headerFooter>
  <ignoredErrors>
    <ignoredError sqref="H293:H295" unlockedFormula="1"/>
  </ignoredErrors>
  <extLst>
    <ext xmlns:x14="http://schemas.microsoft.com/office/spreadsheetml/2009/9/main" uri="{CCE6A557-97BC-4b89-ADB6-D9C93CAAB3DF}">
      <x14:dataValidations xmlns:xm="http://schemas.microsoft.com/office/excel/2006/main" xWindow="829" yWindow="690" count="1">
        <x14:dataValidation type="list" allowBlank="1" showInputMessage="1" showErrorMessage="1" xr:uid="{58393190-762B-41D9-B25B-2C7D3E23E833}">
          <x14:formula1>
            <xm:f>'Unit Names(H)'!$A$1:$A$109</xm:f>
          </x14:formula1>
          <xm:sqref>D2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AF871-8D58-4B43-B608-BEB0D5AB7735}">
  <sheetPr codeName="Sheet3">
    <tabColor theme="3" tint="0.79998168889431442"/>
    <pageSetUpPr fitToPage="1"/>
  </sheetPr>
  <dimension ref="A1:AQ97"/>
  <sheetViews>
    <sheetView showGridLines="0" zoomScaleNormal="100" workbookViewId="0">
      <selection activeCell="G41" sqref="G41"/>
    </sheetView>
  </sheetViews>
  <sheetFormatPr defaultColWidth="9.33203125" defaultRowHeight="14.4" x14ac:dyDescent="0.3"/>
  <cols>
    <col min="1" max="1" width="2.6640625" style="194" customWidth="1"/>
    <col min="2" max="3" width="2.33203125" style="194" customWidth="1"/>
    <col min="4" max="4" width="7.44140625" style="264" customWidth="1"/>
    <col min="5" max="5" width="43.6640625" style="252" customWidth="1"/>
    <col min="6" max="6" width="53.33203125" style="252" customWidth="1"/>
    <col min="7" max="7" width="18.6640625" style="194" customWidth="1"/>
    <col min="8" max="8" width="44.44140625" style="194" customWidth="1"/>
    <col min="9" max="9" width="9.44140625" style="194" customWidth="1"/>
    <col min="10" max="10" width="9.33203125" style="252" customWidth="1"/>
    <col min="11" max="12" width="16.6640625" customWidth="1"/>
    <col min="13" max="13" width="15.109375" customWidth="1"/>
    <col min="14" max="14" width="2.6640625" customWidth="1"/>
    <col min="15" max="15" width="61.109375" customWidth="1"/>
    <col min="16" max="16" width="77.6640625" customWidth="1"/>
    <col min="17" max="17" width="30.6640625" customWidth="1"/>
    <col min="18" max="18" width="10.44140625" customWidth="1"/>
    <col min="19" max="19" width="10.6640625" customWidth="1"/>
    <col min="20" max="20" width="11.109375" customWidth="1"/>
    <col min="21" max="21" width="14" customWidth="1"/>
    <col min="22" max="22" width="17.6640625" customWidth="1"/>
    <col min="23" max="23" width="11.33203125" customWidth="1"/>
    <col min="24" max="24" width="57.33203125" customWidth="1"/>
    <col min="25" max="25" width="13.109375" customWidth="1"/>
    <col min="26" max="26" width="31.109375" customWidth="1"/>
    <col min="27" max="27" width="4.6640625" customWidth="1"/>
    <col min="28" max="34" width="9.33203125" customWidth="1"/>
    <col min="35" max="35" width="9.33203125" style="1158" customWidth="1"/>
    <col min="36" max="36" width="9.33203125" style="195" customWidth="1"/>
    <col min="37" max="37" width="36.44140625" style="195" customWidth="1"/>
    <col min="38" max="38" width="9.33203125" style="195" customWidth="1"/>
    <col min="39" max="43" width="9.33203125" style="195"/>
    <col min="44" max="16384" width="9.33203125" style="194"/>
  </cols>
  <sheetData>
    <row r="1" spans="1:43" ht="87" customHeight="1" thickBot="1" x14ac:dyDescent="0.35">
      <c r="B1" s="1195" t="s">
        <v>2074</v>
      </c>
      <c r="C1" s="1196"/>
      <c r="D1" s="1196"/>
      <c r="E1" s="1196"/>
      <c r="F1" s="1196"/>
      <c r="G1" s="1196"/>
      <c r="H1" s="1196"/>
      <c r="I1" s="1196"/>
      <c r="J1" s="1197"/>
    </row>
    <row r="2" spans="1:43" s="196" customFormat="1" ht="16.8" hidden="1" thickBot="1" x14ac:dyDescent="0.35">
      <c r="B2" s="1198" t="s">
        <v>878</v>
      </c>
      <c r="C2" s="1199"/>
      <c r="D2" s="1199"/>
      <c r="E2" s="1199"/>
      <c r="F2" s="1199"/>
      <c r="G2" s="1199"/>
      <c r="H2" s="1199"/>
      <c r="I2" s="1199"/>
      <c r="J2" s="1200"/>
      <c r="K2"/>
      <c r="L2"/>
      <c r="M2"/>
      <c r="N2"/>
      <c r="O2"/>
      <c r="P2"/>
      <c r="Q2"/>
      <c r="R2"/>
      <c r="S2"/>
      <c r="T2"/>
      <c r="U2"/>
      <c r="V2"/>
      <c r="W2"/>
      <c r="X2"/>
      <c r="Y2"/>
      <c r="Z2"/>
      <c r="AA2"/>
      <c r="AB2"/>
      <c r="AC2"/>
      <c r="AD2"/>
      <c r="AE2"/>
      <c r="AF2"/>
      <c r="AG2"/>
      <c r="AH2"/>
      <c r="AI2" s="1158"/>
      <c r="AJ2" s="195"/>
      <c r="AK2" s="195"/>
      <c r="AL2" s="195"/>
      <c r="AM2" s="195"/>
      <c r="AN2" s="195"/>
      <c r="AO2" s="195"/>
      <c r="AP2" s="195"/>
      <c r="AQ2" s="195"/>
    </row>
    <row r="3" spans="1:43" s="198" customFormat="1" ht="39" hidden="1" customHeight="1" thickBot="1" x14ac:dyDescent="0.35">
      <c r="A3" s="194"/>
      <c r="B3" s="1201" t="s">
        <v>879</v>
      </c>
      <c r="C3" s="1202"/>
      <c r="D3" s="1202"/>
      <c r="E3" s="1202"/>
      <c r="F3" s="1202"/>
      <c r="G3" s="1202"/>
      <c r="H3" s="1202"/>
      <c r="I3" s="1202"/>
      <c r="J3" s="1203"/>
      <c r="K3"/>
      <c r="L3"/>
      <c r="M3"/>
      <c r="N3"/>
      <c r="O3"/>
      <c r="P3"/>
      <c r="Q3"/>
      <c r="R3"/>
      <c r="S3"/>
      <c r="T3"/>
      <c r="U3"/>
      <c r="V3"/>
      <c r="W3"/>
      <c r="X3"/>
      <c r="Y3"/>
      <c r="Z3"/>
      <c r="AA3"/>
      <c r="AB3"/>
      <c r="AC3"/>
      <c r="AD3"/>
      <c r="AE3"/>
      <c r="AF3"/>
      <c r="AG3"/>
      <c r="AH3"/>
      <c r="AI3" s="1159"/>
      <c r="AJ3" s="197"/>
      <c r="AK3" s="197"/>
      <c r="AL3" s="197"/>
      <c r="AM3" s="197"/>
      <c r="AN3" s="197"/>
      <c r="AO3" s="197"/>
      <c r="AP3" s="197"/>
      <c r="AQ3" s="197"/>
    </row>
    <row r="4" spans="1:43" s="237" customFormat="1" ht="25.35" customHeight="1" x14ac:dyDescent="0.3">
      <c r="A4" s="1148"/>
      <c r="B4" s="1152" t="s">
        <v>880</v>
      </c>
      <c r="C4" s="1153"/>
      <c r="D4" s="1153"/>
      <c r="E4" s="1153"/>
      <c r="F4" s="1150"/>
      <c r="G4" s="1149"/>
      <c r="H4" s="1150"/>
      <c r="I4" s="1150"/>
      <c r="J4" s="1151"/>
      <c r="K4"/>
      <c r="L4"/>
      <c r="M4"/>
      <c r="N4"/>
      <c r="O4"/>
      <c r="P4"/>
      <c r="Q4"/>
      <c r="R4"/>
      <c r="S4"/>
      <c r="T4"/>
      <c r="U4"/>
      <c r="V4"/>
      <c r="W4"/>
      <c r="X4"/>
      <c r="Y4"/>
      <c r="Z4"/>
      <c r="AA4"/>
      <c r="AB4"/>
      <c r="AC4"/>
      <c r="AD4"/>
      <c r="AE4"/>
      <c r="AF4"/>
      <c r="AG4"/>
      <c r="AH4"/>
      <c r="AI4" s="1160"/>
      <c r="AJ4" s="226"/>
      <c r="AK4" s="226"/>
      <c r="AL4" s="226"/>
      <c r="AM4" s="226"/>
      <c r="AN4" s="226"/>
      <c r="AO4" s="226"/>
      <c r="AP4" s="226"/>
      <c r="AQ4" s="226"/>
    </row>
    <row r="5" spans="1:43" ht="27" hidden="1" customHeight="1" x14ac:dyDescent="0.3">
      <c r="B5" s="1204" t="s">
        <v>1624</v>
      </c>
      <c r="C5" s="1205"/>
      <c r="D5" s="1205"/>
      <c r="E5" s="1205"/>
      <c r="F5" s="1205"/>
      <c r="G5" s="1205"/>
      <c r="H5" s="1205"/>
      <c r="I5" s="1205"/>
      <c r="J5" s="1206"/>
    </row>
    <row r="6" spans="1:43" ht="27" hidden="1" customHeight="1" x14ac:dyDescent="0.3">
      <c r="B6" s="1001"/>
      <c r="C6" s="1002"/>
      <c r="D6" s="1002"/>
      <c r="E6" s="1002"/>
      <c r="F6" s="1002"/>
      <c r="G6" s="1002"/>
      <c r="H6" s="1002"/>
      <c r="I6" s="1002"/>
      <c r="J6" s="1003"/>
    </row>
    <row r="7" spans="1:43" ht="20.25" customHeight="1" thickBot="1" x14ac:dyDescent="0.35">
      <c r="B7" s="1209" t="s">
        <v>881</v>
      </c>
      <c r="C7" s="1210"/>
      <c r="D7" s="1210"/>
      <c r="E7" s="1210"/>
      <c r="F7" s="1210"/>
      <c r="G7" s="1210"/>
      <c r="H7" s="1210"/>
      <c r="I7" s="1210"/>
      <c r="J7" s="1211"/>
    </row>
    <row r="8" spans="1:43" ht="39" hidden="1" customHeight="1" thickBot="1" x14ac:dyDescent="0.35">
      <c r="B8" s="200"/>
      <c r="C8" s="201"/>
      <c r="D8" s="202" t="s">
        <v>882</v>
      </c>
      <c r="E8" s="203"/>
      <c r="F8" s="204"/>
      <c r="G8" s="204"/>
      <c r="H8" s="204"/>
      <c r="I8" s="204"/>
      <c r="J8" s="205"/>
    </row>
    <row r="9" spans="1:43" s="206" customFormat="1" ht="15" hidden="1" thickBot="1" x14ac:dyDescent="0.35">
      <c r="B9" s="207"/>
      <c r="C9" s="208"/>
      <c r="D9" s="259" t="s">
        <v>728</v>
      </c>
      <c r="E9" s="209"/>
      <c r="F9" s="209"/>
      <c r="G9" s="209"/>
      <c r="H9" s="210"/>
      <c r="I9" s="210"/>
      <c r="J9" s="211"/>
      <c r="K9"/>
      <c r="L9"/>
      <c r="M9"/>
      <c r="N9"/>
      <c r="O9"/>
      <c r="P9"/>
      <c r="Q9"/>
      <c r="R9"/>
      <c r="S9"/>
      <c r="T9"/>
      <c r="U9"/>
      <c r="V9"/>
      <c r="W9"/>
      <c r="X9"/>
      <c r="Y9"/>
      <c r="Z9"/>
      <c r="AA9"/>
      <c r="AB9"/>
      <c r="AC9"/>
      <c r="AD9"/>
      <c r="AE9"/>
      <c r="AF9"/>
      <c r="AG9"/>
      <c r="AH9"/>
      <c r="AI9" s="1158"/>
      <c r="AJ9" s="195"/>
      <c r="AK9" s="195"/>
      <c r="AL9" s="195"/>
      <c r="AM9" s="195"/>
      <c r="AN9" s="195"/>
      <c r="AO9" s="195"/>
      <c r="AP9" s="195"/>
      <c r="AQ9" s="195"/>
    </row>
    <row r="10" spans="1:43" ht="19.5" hidden="1" customHeight="1" thickBot="1" x14ac:dyDescent="0.35">
      <c r="B10" s="212"/>
      <c r="C10" s="213"/>
      <c r="D10" s="316" t="s">
        <v>1149</v>
      </c>
      <c r="E10" s="1189" t="s">
        <v>883</v>
      </c>
      <c r="F10" s="1189"/>
      <c r="G10" s="1184"/>
      <c r="H10" s="1185"/>
      <c r="I10" s="1186"/>
      <c r="J10" s="214"/>
      <c r="AK10" s="195" t="s">
        <v>884</v>
      </c>
    </row>
    <row r="11" spans="1:43" ht="14.25" hidden="1" customHeight="1" thickBot="1" x14ac:dyDescent="0.35">
      <c r="B11" s="212"/>
      <c r="C11" s="213"/>
      <c r="D11" s="259"/>
      <c r="E11" s="209"/>
      <c r="F11" s="209"/>
      <c r="G11" s="215" t="str">
        <f>IF(U9&gt;0,"PLEASE SEE INSTRUCTIONS REGARDING NAME","")</f>
        <v/>
      </c>
      <c r="H11" s="216"/>
      <c r="I11" s="216"/>
      <c r="J11" s="214"/>
    </row>
    <row r="12" spans="1:43" ht="21" hidden="1" customHeight="1" thickBot="1" x14ac:dyDescent="0.35">
      <c r="B12" s="212"/>
      <c r="C12" s="213"/>
      <c r="D12" s="317" t="s">
        <v>1150</v>
      </c>
      <c r="E12" s="1189" t="s">
        <v>1353</v>
      </c>
      <c r="F12" s="1189"/>
      <c r="G12" s="217"/>
      <c r="H12" s="216"/>
      <c r="I12" s="216"/>
      <c r="J12" s="214"/>
      <c r="AK12" s="199">
        <v>44012</v>
      </c>
    </row>
    <row r="13" spans="1:43" ht="6.75" hidden="1" customHeight="1" thickBot="1" x14ac:dyDescent="0.35">
      <c r="B13" s="212"/>
      <c r="C13" s="213"/>
      <c r="D13" s="259"/>
      <c r="E13" s="218"/>
      <c r="F13" s="218"/>
      <c r="G13" s="216"/>
      <c r="H13" s="216"/>
      <c r="I13" s="216"/>
      <c r="J13" s="214"/>
    </row>
    <row r="14" spans="1:43" ht="26.25" hidden="1" customHeight="1" thickBot="1" x14ac:dyDescent="0.35">
      <c r="B14" s="212"/>
      <c r="C14" s="213"/>
      <c r="D14" s="265">
        <v>900</v>
      </c>
      <c r="E14" s="1189" t="s">
        <v>885</v>
      </c>
      <c r="F14" s="1189"/>
      <c r="G14" s="219"/>
      <c r="H14" s="216"/>
      <c r="I14" s="216"/>
      <c r="J14" s="214"/>
      <c r="AK14" s="199"/>
    </row>
    <row r="15" spans="1:43" ht="6.75" hidden="1" customHeight="1" thickBot="1" x14ac:dyDescent="0.35">
      <c r="B15" s="212"/>
      <c r="C15" s="213"/>
      <c r="D15" s="265"/>
      <c r="E15" s="218"/>
      <c r="F15" s="218"/>
      <c r="G15" s="216"/>
      <c r="H15" s="216"/>
      <c r="I15" s="216"/>
      <c r="J15" s="214"/>
    </row>
    <row r="16" spans="1:43" ht="26.25" hidden="1" customHeight="1" thickBot="1" x14ac:dyDescent="0.35">
      <c r="B16" s="212"/>
      <c r="C16" s="213"/>
      <c r="D16" s="265" t="s">
        <v>1071</v>
      </c>
      <c r="E16" s="1183" t="s">
        <v>886</v>
      </c>
      <c r="F16" s="1183"/>
      <c r="G16" s="1187"/>
      <c r="H16" s="1185"/>
      <c r="I16" s="1186"/>
      <c r="J16" s="214"/>
      <c r="AK16" s="220" t="s">
        <v>887</v>
      </c>
    </row>
    <row r="17" spans="2:37" ht="6.75" hidden="1" customHeight="1" thickBot="1" x14ac:dyDescent="0.35">
      <c r="B17" s="212"/>
      <c r="C17" s="213"/>
      <c r="D17" s="265"/>
      <c r="E17" s="218"/>
      <c r="F17" s="218"/>
      <c r="G17" s="216"/>
      <c r="H17" s="216"/>
      <c r="I17" s="216"/>
      <c r="J17" s="214"/>
    </row>
    <row r="18" spans="2:37" ht="24" hidden="1" customHeight="1" thickBot="1" x14ac:dyDescent="0.35">
      <c r="B18" s="212"/>
      <c r="C18" s="213"/>
      <c r="D18" s="265" t="s">
        <v>1072</v>
      </c>
      <c r="E18" s="1183" t="s">
        <v>888</v>
      </c>
      <c r="F18" s="1183"/>
      <c r="G18" s="1184"/>
      <c r="H18" s="1185"/>
      <c r="I18" s="1186"/>
      <c r="J18" s="214"/>
      <c r="AK18" s="220" t="s">
        <v>889</v>
      </c>
    </row>
    <row r="19" spans="2:37" ht="6.75" hidden="1" customHeight="1" thickBot="1" x14ac:dyDescent="0.35">
      <c r="B19" s="212"/>
      <c r="C19" s="213"/>
      <c r="D19" s="265"/>
      <c r="E19" s="218"/>
      <c r="F19" s="218"/>
      <c r="G19" s="216"/>
      <c r="H19" s="216"/>
      <c r="I19" s="216"/>
      <c r="J19" s="214"/>
    </row>
    <row r="20" spans="2:37" ht="24" hidden="1" customHeight="1" thickBot="1" x14ac:dyDescent="0.35">
      <c r="B20" s="212"/>
      <c r="C20" s="213"/>
      <c r="D20" s="265" t="s">
        <v>1073</v>
      </c>
      <c r="E20" s="1183" t="s">
        <v>890</v>
      </c>
      <c r="F20" s="1183"/>
      <c r="G20" s="1184"/>
      <c r="H20" s="1185"/>
      <c r="I20" s="1186"/>
      <c r="J20" s="214"/>
      <c r="AK20" s="220" t="s">
        <v>891</v>
      </c>
    </row>
    <row r="21" spans="2:37" ht="6.75" hidden="1" customHeight="1" thickBot="1" x14ac:dyDescent="0.35">
      <c r="B21" s="212"/>
      <c r="C21" s="213"/>
      <c r="D21" s="265"/>
      <c r="E21" s="218"/>
      <c r="F21" s="218"/>
      <c r="G21" s="216"/>
      <c r="H21" s="216"/>
      <c r="I21" s="216"/>
      <c r="J21" s="214"/>
    </row>
    <row r="22" spans="2:37" ht="24" hidden="1" customHeight="1" thickBot="1" x14ac:dyDescent="0.35">
      <c r="B22" s="212"/>
      <c r="C22" s="213"/>
      <c r="D22" s="265" t="s">
        <v>1074</v>
      </c>
      <c r="E22" s="1183" t="s">
        <v>892</v>
      </c>
      <c r="F22" s="1183"/>
      <c r="G22" s="1187"/>
      <c r="H22" s="1185"/>
      <c r="I22" s="1186"/>
      <c r="J22" s="214"/>
      <c r="AK22" s="220" t="s">
        <v>893</v>
      </c>
    </row>
    <row r="23" spans="2:37" ht="6.75" hidden="1" customHeight="1" thickBot="1" x14ac:dyDescent="0.35">
      <c r="B23" s="212"/>
      <c r="C23" s="213"/>
      <c r="D23" s="265"/>
      <c r="E23" s="218"/>
      <c r="F23" s="218"/>
      <c r="G23" s="216"/>
      <c r="H23" s="216"/>
      <c r="I23" s="216"/>
      <c r="J23" s="214"/>
    </row>
    <row r="24" spans="2:37" ht="24" hidden="1" customHeight="1" thickBot="1" x14ac:dyDescent="0.35">
      <c r="B24" s="212"/>
      <c r="C24" s="213"/>
      <c r="D24" s="265" t="s">
        <v>1075</v>
      </c>
      <c r="E24" s="1183" t="s">
        <v>894</v>
      </c>
      <c r="F24" s="1183"/>
      <c r="G24" s="1187"/>
      <c r="H24" s="1185"/>
      <c r="I24" s="1186"/>
      <c r="J24" s="214"/>
      <c r="AK24" s="220" t="s">
        <v>895</v>
      </c>
    </row>
    <row r="25" spans="2:37" ht="6.75" hidden="1" customHeight="1" thickBot="1" x14ac:dyDescent="0.35">
      <c r="B25" s="212"/>
      <c r="C25" s="213"/>
      <c r="D25" s="266"/>
      <c r="E25" s="209"/>
      <c r="F25" s="209"/>
      <c r="G25" s="213"/>
      <c r="H25" s="213"/>
      <c r="I25" s="213"/>
      <c r="J25" s="214"/>
    </row>
    <row r="26" spans="2:37" ht="18.75" hidden="1" customHeight="1" thickBot="1" x14ac:dyDescent="0.35">
      <c r="B26" s="212"/>
      <c r="C26" s="213"/>
      <c r="D26" s="265" t="s">
        <v>1151</v>
      </c>
      <c r="E26" s="1189" t="s">
        <v>896</v>
      </c>
      <c r="F26" s="1189"/>
      <c r="G26" s="1180"/>
      <c r="H26" s="1181"/>
      <c r="I26" s="221"/>
      <c r="J26" s="214"/>
    </row>
    <row r="27" spans="2:37" ht="28.5" hidden="1" customHeight="1" thickBot="1" x14ac:dyDescent="0.35">
      <c r="B27" s="212"/>
      <c r="C27" s="213"/>
      <c r="D27" s="265"/>
      <c r="E27" s="1212" t="str">
        <f>IF(G26="Housing Authority", CONCATENATE("SKIP Questions ",D28,"-",D66),"")</f>
        <v/>
      </c>
      <c r="F27" s="1212"/>
      <c r="G27" s="1212"/>
      <c r="H27" s="1212"/>
      <c r="I27" s="221"/>
      <c r="J27" s="214"/>
    </row>
    <row r="28" spans="2:37" ht="28.5" hidden="1" customHeight="1" thickBot="1" x14ac:dyDescent="0.35">
      <c r="B28" s="212"/>
      <c r="C28" s="213"/>
      <c r="D28" s="265" t="s">
        <v>1077</v>
      </c>
      <c r="E28" s="1189" t="s">
        <v>897</v>
      </c>
      <c r="F28" s="1189"/>
      <c r="G28" s="222"/>
      <c r="H28" s="1213">
        <f>+O28</f>
        <v>0</v>
      </c>
      <c r="I28" s="1214"/>
      <c r="J28" s="214"/>
    </row>
    <row r="29" spans="2:37" ht="6.75" hidden="1" customHeight="1" thickBot="1" x14ac:dyDescent="0.35">
      <c r="B29" s="212"/>
      <c r="C29" s="213"/>
      <c r="D29" s="266"/>
      <c r="E29" s="209"/>
      <c r="F29" s="209"/>
      <c r="G29" s="223"/>
      <c r="H29" s="209"/>
      <c r="I29" s="224"/>
      <c r="J29" s="214"/>
    </row>
    <row r="30" spans="2:37" ht="18.75" hidden="1" customHeight="1" thickBot="1" x14ac:dyDescent="0.35">
      <c r="B30" s="212"/>
      <c r="C30" s="213"/>
      <c r="D30" s="265" t="s">
        <v>1076</v>
      </c>
      <c r="E30" s="1189" t="s">
        <v>898</v>
      </c>
      <c r="F30" s="1189"/>
      <c r="G30" s="225"/>
      <c r="H30" s="1215"/>
      <c r="I30" s="1215"/>
      <c r="J30" s="214"/>
    </row>
    <row r="31" spans="2:37" ht="6.75" hidden="1" customHeight="1" thickBot="1" x14ac:dyDescent="0.35">
      <c r="B31" s="212"/>
      <c r="C31" s="213"/>
      <c r="D31" s="266"/>
      <c r="E31" s="209"/>
      <c r="F31" s="209"/>
      <c r="G31" s="213"/>
      <c r="H31" s="213"/>
      <c r="I31" s="213"/>
      <c r="J31" s="214"/>
    </row>
    <row r="32" spans="2:37" ht="27.75" hidden="1" customHeight="1" thickBot="1" x14ac:dyDescent="0.35">
      <c r="B32" s="212"/>
      <c r="C32" s="213"/>
      <c r="D32" s="265" t="s">
        <v>1078</v>
      </c>
      <c r="E32" s="1207" t="s">
        <v>899</v>
      </c>
      <c r="F32" s="1208"/>
      <c r="G32" s="1216"/>
      <c r="H32" s="1217"/>
      <c r="I32" s="1218"/>
      <c r="J32" s="214"/>
    </row>
    <row r="33" spans="2:10" ht="6.75" hidden="1" customHeight="1" thickBot="1" x14ac:dyDescent="0.35">
      <c r="B33" s="212"/>
      <c r="C33" s="213"/>
      <c r="D33" s="266"/>
      <c r="E33" s="209"/>
      <c r="F33" s="209"/>
      <c r="G33" s="213"/>
      <c r="H33" s="213"/>
      <c r="I33" s="213"/>
      <c r="J33" s="214"/>
    </row>
    <row r="34" spans="2:10" ht="17.25" hidden="1" customHeight="1" thickBot="1" x14ac:dyDescent="0.35">
      <c r="B34" s="212"/>
      <c r="C34" s="213"/>
      <c r="D34" s="265" t="s">
        <v>1079</v>
      </c>
      <c r="E34" s="218" t="s">
        <v>900</v>
      </c>
      <c r="F34" s="218"/>
      <c r="G34" s="1184"/>
      <c r="H34" s="1185"/>
      <c r="I34" s="1186"/>
      <c r="J34" s="214"/>
    </row>
    <row r="35" spans="2:10" ht="6.75" hidden="1" customHeight="1" thickBot="1" x14ac:dyDescent="0.35">
      <c r="B35" s="212"/>
      <c r="C35" s="213"/>
      <c r="D35" s="266"/>
      <c r="E35" s="209"/>
      <c r="F35" s="209"/>
      <c r="G35" s="213"/>
      <c r="H35" s="213"/>
      <c r="I35" s="213"/>
      <c r="J35" s="214"/>
    </row>
    <row r="36" spans="2:10" ht="18" hidden="1" customHeight="1" thickBot="1" x14ac:dyDescent="0.35">
      <c r="B36" s="212"/>
      <c r="C36" s="213"/>
      <c r="D36" s="265" t="s">
        <v>1080</v>
      </c>
      <c r="E36" s="1189" t="s">
        <v>901</v>
      </c>
      <c r="F36" s="1190"/>
      <c r="G36" s="1184"/>
      <c r="H36" s="1185"/>
      <c r="I36" s="1186"/>
      <c r="J36" s="214"/>
    </row>
    <row r="37" spans="2:10" ht="8.25" hidden="1" customHeight="1" thickBot="1" x14ac:dyDescent="0.35">
      <c r="B37" s="212"/>
      <c r="C37" s="213"/>
      <c r="D37" s="259"/>
      <c r="E37" s="1191"/>
      <c r="F37" s="1191"/>
      <c r="G37" s="1191"/>
      <c r="H37" s="1191"/>
      <c r="I37" s="221"/>
      <c r="J37" s="214"/>
    </row>
    <row r="38" spans="2:10" ht="39" customHeight="1" thickBot="1" x14ac:dyDescent="0.35">
      <c r="B38" s="1192" t="s">
        <v>1623</v>
      </c>
      <c r="C38" s="1193"/>
      <c r="D38" s="1193"/>
      <c r="E38" s="1193"/>
      <c r="F38" s="1193"/>
      <c r="G38" s="1193"/>
      <c r="H38" s="1193"/>
      <c r="I38" s="1193"/>
      <c r="J38" s="1194"/>
    </row>
    <row r="39" spans="2:10" ht="4.5" customHeight="1" x14ac:dyDescent="0.3">
      <c r="B39" s="212"/>
      <c r="C39" s="213"/>
      <c r="D39" s="260"/>
      <c r="E39" s="209"/>
      <c r="F39" s="209"/>
      <c r="G39" s="213"/>
      <c r="H39" s="213"/>
      <c r="I39" s="213"/>
      <c r="J39" s="214"/>
    </row>
    <row r="40" spans="2:10" ht="4.5" customHeight="1" thickBot="1" x14ac:dyDescent="0.35">
      <c r="B40" s="212"/>
      <c r="C40" s="213"/>
      <c r="D40" s="260"/>
      <c r="E40" s="209"/>
      <c r="F40" s="209"/>
      <c r="G40" s="213"/>
      <c r="H40" s="213"/>
      <c r="I40" s="213"/>
      <c r="J40" s="214"/>
    </row>
    <row r="41" spans="2:10" ht="30.75" customHeight="1" thickBot="1" x14ac:dyDescent="0.35">
      <c r="B41" s="212"/>
      <c r="C41" s="213"/>
      <c r="D41" s="259">
        <v>906</v>
      </c>
      <c r="E41" s="1189" t="s">
        <v>902</v>
      </c>
      <c r="F41" s="1189"/>
      <c r="G41" s="222"/>
      <c r="H41" s="314" t="str">
        <f>IF(G41="","This Question must be answered before uploading, the report will not be processed if left blank","")</f>
        <v>This Question must be answered before uploading, the report will not be processed if left blank</v>
      </c>
      <c r="I41" s="213"/>
      <c r="J41" s="214"/>
    </row>
    <row r="42" spans="2:10" ht="6.75" customHeight="1" thickBot="1" x14ac:dyDescent="0.35">
      <c r="B42" s="212"/>
      <c r="C42" s="213"/>
      <c r="D42" s="259"/>
      <c r="E42" s="218"/>
      <c r="F42" s="218"/>
      <c r="G42" s="223"/>
      <c r="H42" s="213"/>
      <c r="I42" s="213"/>
      <c r="J42" s="214"/>
    </row>
    <row r="43" spans="2:10" ht="32.25" customHeight="1" thickBot="1" x14ac:dyDescent="0.35">
      <c r="B43" s="212"/>
      <c r="C43" s="213"/>
      <c r="D43" s="259">
        <v>907</v>
      </c>
      <c r="E43" s="1189" t="s">
        <v>903</v>
      </c>
      <c r="F43" s="1189"/>
      <c r="G43" s="222"/>
      <c r="H43" s="314" t="str">
        <f>IF(G43="","This Question must be answered before uploading, the report will not be processed if left blank","")</f>
        <v>This Question must be answered before uploading, the report will not be processed if left blank</v>
      </c>
      <c r="I43" s="213"/>
      <c r="J43" s="214"/>
    </row>
    <row r="44" spans="2:10" ht="6.75" customHeight="1" thickBot="1" x14ac:dyDescent="0.35">
      <c r="B44" s="212"/>
      <c r="C44" s="213"/>
      <c r="D44" s="259"/>
      <c r="E44" s="218"/>
      <c r="F44" s="218"/>
      <c r="G44" s="223"/>
      <c r="H44" s="213"/>
      <c r="I44" s="213"/>
      <c r="J44" s="214"/>
    </row>
    <row r="45" spans="2:10" ht="32.25" customHeight="1" thickBot="1" x14ac:dyDescent="0.35">
      <c r="B45" s="212"/>
      <c r="C45" s="213"/>
      <c r="D45" s="259">
        <v>951</v>
      </c>
      <c r="E45" s="1189" t="s">
        <v>904</v>
      </c>
      <c r="F45" s="1189"/>
      <c r="G45" s="222"/>
      <c r="H45" s="314" t="str">
        <f>IF(G45="","This Question must be answered before uploading, the report will not be processed if left blank","")</f>
        <v>This Question must be answered before uploading, the report will not be processed if left blank</v>
      </c>
      <c r="I45" s="209"/>
      <c r="J45" s="214"/>
    </row>
    <row r="46" spans="2:10" ht="6.75" customHeight="1" thickBot="1" x14ac:dyDescent="0.35">
      <c r="B46" s="212"/>
      <c r="C46" s="213"/>
      <c r="D46" s="259"/>
      <c r="E46" s="218"/>
      <c r="F46" s="218"/>
      <c r="G46" s="223"/>
      <c r="H46" s="213"/>
      <c r="I46" s="213"/>
      <c r="J46" s="214"/>
    </row>
    <row r="47" spans="2:10" ht="33" customHeight="1" thickBot="1" x14ac:dyDescent="0.35">
      <c r="B47" s="212"/>
      <c r="C47" s="213"/>
      <c r="D47" s="259">
        <v>953</v>
      </c>
      <c r="E47" s="1189" t="s">
        <v>905</v>
      </c>
      <c r="F47" s="1189"/>
      <c r="G47" s="222"/>
      <c r="H47" s="314" t="str">
        <f>IF(G47="","This Question must be answered before uploading, the report will not be processed if left blank","")</f>
        <v>This Question must be answered before uploading, the report will not be processed if left blank</v>
      </c>
      <c r="I47" s="209"/>
      <c r="J47" s="214"/>
    </row>
    <row r="48" spans="2:10" ht="6.75" customHeight="1" thickBot="1" x14ac:dyDescent="0.35">
      <c r="B48" s="212"/>
      <c r="C48" s="213"/>
      <c r="D48" s="261"/>
      <c r="E48" s="218"/>
      <c r="F48" s="218"/>
      <c r="G48" s="223"/>
      <c r="H48" s="213"/>
      <c r="I48" s="213"/>
      <c r="J48" s="214"/>
    </row>
    <row r="49" spans="2:43" ht="32.25" customHeight="1" thickBot="1" x14ac:dyDescent="0.35">
      <c r="B49" s="212"/>
      <c r="C49" s="213"/>
      <c r="D49" s="259">
        <v>955</v>
      </c>
      <c r="E49" s="1189" t="s">
        <v>906</v>
      </c>
      <c r="F49" s="1189"/>
      <c r="G49" s="227"/>
      <c r="H49" s="314" t="str">
        <f>IF(G49="","This Question must be answered before uploading, the report will not be processed if left blank","")</f>
        <v>This Question must be answered before uploading, the report will not be processed if left blank</v>
      </c>
      <c r="I49" s="228"/>
      <c r="J49" s="229"/>
      <c r="AK49" s="195">
        <v>0</v>
      </c>
    </row>
    <row r="50" spans="2:43" ht="6.75" customHeight="1" thickBot="1" x14ac:dyDescent="0.35">
      <c r="B50" s="212"/>
      <c r="C50" s="213"/>
      <c r="D50" s="259"/>
      <c r="E50" s="218"/>
      <c r="F50" s="218"/>
      <c r="G50" s="223"/>
      <c r="H50" s="228"/>
      <c r="I50" s="228"/>
      <c r="J50" s="229"/>
    </row>
    <row r="51" spans="2:43" ht="39.75" customHeight="1" thickBot="1" x14ac:dyDescent="0.35">
      <c r="B51" s="212"/>
      <c r="C51" s="213"/>
      <c r="D51" s="259">
        <v>957</v>
      </c>
      <c r="E51" s="1189" t="s">
        <v>907</v>
      </c>
      <c r="F51" s="1189"/>
      <c r="G51" s="227"/>
      <c r="H51" s="314" t="str">
        <f>IF(G51="","This Question must be answered before uploading, the report will not be processed if left blank","")</f>
        <v>This Question must be answered before uploading, the report will not be processed if left blank</v>
      </c>
      <c r="I51" s="228"/>
      <c r="J51" s="229"/>
      <c r="AK51" s="195">
        <v>1</v>
      </c>
    </row>
    <row r="52" spans="2:43" ht="9.75" customHeight="1" thickBot="1" x14ac:dyDescent="0.35">
      <c r="B52" s="212"/>
      <c r="C52" s="213"/>
      <c r="D52" s="260"/>
      <c r="E52" s="209"/>
      <c r="F52" s="209"/>
      <c r="G52" s="213"/>
      <c r="H52" s="213"/>
      <c r="I52" s="213"/>
      <c r="J52" s="214"/>
    </row>
    <row r="53" spans="2:43" ht="35.1" customHeight="1" thickBot="1" x14ac:dyDescent="0.35">
      <c r="B53" s="212"/>
      <c r="C53" s="213"/>
      <c r="D53" s="259">
        <v>959</v>
      </c>
      <c r="E53" s="1188" t="s">
        <v>1345</v>
      </c>
      <c r="F53" s="1188"/>
      <c r="G53" s="222"/>
      <c r="H53" s="314" t="str">
        <f>IF(G53="","This Question must be answered before uploading, the report will not be processed if left blank","")</f>
        <v>This Question must be answered before uploading, the report will not be processed if left blank</v>
      </c>
      <c r="I53" s="213"/>
      <c r="J53" s="214"/>
    </row>
    <row r="54" spans="2:43" ht="8.25" hidden="1" customHeight="1" thickBot="1" x14ac:dyDescent="0.35">
      <c r="B54" s="212"/>
      <c r="C54" s="213"/>
      <c r="D54" s="259"/>
      <c r="E54" s="393"/>
      <c r="F54" s="393"/>
      <c r="G54" s="213"/>
      <c r="H54" s="213"/>
      <c r="I54" s="213"/>
      <c r="J54" s="214"/>
    </row>
    <row r="55" spans="2:43" ht="67.5" hidden="1" customHeight="1" thickBot="1" x14ac:dyDescent="0.35">
      <c r="B55" s="212"/>
      <c r="C55" s="230"/>
      <c r="D55" s="259">
        <v>973</v>
      </c>
      <c r="E55" s="1188" t="s">
        <v>1429</v>
      </c>
      <c r="F55" s="1188"/>
      <c r="G55" s="400"/>
      <c r="H55" s="314" t="str">
        <f>IF(G55="","This Question must be answered before uploading, the report will not be processed if left blank","")</f>
        <v>This Question must be answered before uploading, the report will not be processed if left blank</v>
      </c>
      <c r="I55" s="286"/>
      <c r="J55" s="214"/>
    </row>
    <row r="56" spans="2:43" ht="6.75" customHeight="1" thickBot="1" x14ac:dyDescent="0.35">
      <c r="B56" s="212"/>
      <c r="C56" s="230"/>
      <c r="D56" s="262"/>
      <c r="E56" s="209"/>
      <c r="F56" s="209"/>
      <c r="G56" s="258"/>
      <c r="H56" s="213"/>
      <c r="I56" s="213"/>
      <c r="J56" s="214"/>
    </row>
    <row r="57" spans="2:43" ht="98.25" customHeight="1" thickBot="1" x14ac:dyDescent="0.35">
      <c r="B57" s="212"/>
      <c r="C57" s="213"/>
      <c r="D57" s="259">
        <v>974</v>
      </c>
      <c r="E57" s="1189" t="s">
        <v>1349</v>
      </c>
      <c r="F57" s="1221"/>
      <c r="G57" s="222"/>
      <c r="H57" s="313" t="str">
        <f>IF(G57="","This Question must be answered before uploading, the report will not be processed if left blank","")</f>
        <v>This Question must be answered before uploading, the report will not be processed if left blank</v>
      </c>
      <c r="I57" s="231"/>
      <c r="J57" s="214"/>
    </row>
    <row r="58" spans="2:43" ht="6.75" customHeight="1" x14ac:dyDescent="0.3">
      <c r="B58" s="212"/>
      <c r="C58" s="213"/>
      <c r="D58" s="259"/>
      <c r="E58" s="218"/>
      <c r="F58" s="218"/>
      <c r="G58" s="223"/>
      <c r="H58" s="213"/>
      <c r="I58" s="213"/>
      <c r="J58" s="214"/>
    </row>
    <row r="59" spans="2:43" ht="6.75" hidden="1" customHeight="1" thickBot="1" x14ac:dyDescent="0.35">
      <c r="B59" s="212"/>
      <c r="C59" s="213"/>
      <c r="D59" s="259"/>
      <c r="E59" s="218"/>
      <c r="F59" s="218"/>
      <c r="G59" s="223"/>
      <c r="H59" s="209"/>
      <c r="I59" s="213"/>
      <c r="J59" s="214"/>
    </row>
    <row r="60" spans="2:43" ht="29.25" hidden="1" customHeight="1" thickBot="1" x14ac:dyDescent="0.35">
      <c r="B60" s="212"/>
      <c r="C60" s="213"/>
      <c r="D60" s="259">
        <v>965</v>
      </c>
      <c r="E60" s="1189" t="s">
        <v>908</v>
      </c>
      <c r="F60" s="1189"/>
      <c r="G60" s="225"/>
      <c r="H60" s="314" t="str">
        <f>IF(G60="","This Question must be answered before uploading, the report will not be processed if left blank","")</f>
        <v>This Question must be answered before uploading, the report will not be processed if left blank</v>
      </c>
      <c r="I60" s="224"/>
      <c r="J60" s="214"/>
    </row>
    <row r="61" spans="2:43" ht="6.75" customHeight="1" thickBot="1" x14ac:dyDescent="0.35">
      <c r="B61" s="212"/>
      <c r="C61" s="213"/>
      <c r="D61" s="260"/>
      <c r="E61" s="209"/>
      <c r="F61" s="209"/>
      <c r="G61" s="223"/>
      <c r="H61" s="209"/>
      <c r="I61" s="224"/>
      <c r="J61" s="214"/>
    </row>
    <row r="62" spans="2:43" s="237" customFormat="1" ht="30.75" customHeight="1" thickBot="1" x14ac:dyDescent="0.35">
      <c r="B62" s="232"/>
      <c r="C62" s="233"/>
      <c r="D62" s="259" t="s">
        <v>1152</v>
      </c>
      <c r="E62" s="234" t="s">
        <v>909</v>
      </c>
      <c r="F62" s="235" t="str">
        <f>IF(G62="Yes", "Please Submit Management Letter","")</f>
        <v/>
      </c>
      <c r="G62" s="222"/>
      <c r="H62" s="314" t="str">
        <f>IF(G62="","This Question must be answered before uploading, the report will not be processed if left blank","")</f>
        <v>This Question must be answered before uploading, the report will not be processed if left blank</v>
      </c>
      <c r="I62" s="285"/>
      <c r="J62" s="214"/>
      <c r="K62"/>
      <c r="L62"/>
      <c r="M62"/>
      <c r="N62"/>
      <c r="O62"/>
      <c r="P62"/>
      <c r="Q62"/>
      <c r="R62"/>
      <c r="S62"/>
      <c r="T62"/>
      <c r="U62"/>
      <c r="V62"/>
      <c r="W62"/>
      <c r="X62"/>
      <c r="Y62"/>
      <c r="Z62"/>
      <c r="AA62"/>
      <c r="AB62"/>
      <c r="AC62"/>
      <c r="AD62"/>
      <c r="AE62"/>
      <c r="AF62"/>
      <c r="AG62"/>
      <c r="AH62"/>
      <c r="AI62" s="1160"/>
      <c r="AJ62" s="226"/>
      <c r="AK62" s="236"/>
      <c r="AL62" s="226"/>
      <c r="AM62" s="226"/>
      <c r="AN62" s="226"/>
      <c r="AO62" s="226"/>
      <c r="AP62" s="226"/>
      <c r="AQ62" s="226"/>
    </row>
    <row r="63" spans="2:43" s="237" customFormat="1" ht="9.75" customHeight="1" thickBot="1" x14ac:dyDescent="0.35">
      <c r="B63" s="232"/>
      <c r="C63" s="233"/>
      <c r="D63" s="260"/>
      <c r="E63" s="238"/>
      <c r="F63" s="239"/>
      <c r="G63" s="223"/>
      <c r="H63" s="209"/>
      <c r="I63" s="224"/>
      <c r="J63" s="214"/>
      <c r="K63"/>
      <c r="L63"/>
      <c r="M63"/>
      <c r="N63"/>
      <c r="O63"/>
      <c r="P63"/>
      <c r="Q63"/>
      <c r="R63"/>
      <c r="S63"/>
      <c r="T63"/>
      <c r="U63"/>
      <c r="V63"/>
      <c r="W63"/>
      <c r="X63"/>
      <c r="Y63"/>
      <c r="Z63"/>
      <c r="AA63"/>
      <c r="AB63"/>
      <c r="AC63"/>
      <c r="AD63"/>
      <c r="AE63"/>
      <c r="AF63"/>
      <c r="AG63"/>
      <c r="AH63"/>
      <c r="AI63" s="1160"/>
      <c r="AJ63" s="226"/>
      <c r="AK63" s="236"/>
      <c r="AL63" s="226"/>
      <c r="AM63" s="226"/>
      <c r="AN63" s="226"/>
      <c r="AO63" s="226"/>
      <c r="AP63" s="226"/>
      <c r="AQ63" s="226"/>
    </row>
    <row r="64" spans="2:43" s="237" customFormat="1" ht="31.5" customHeight="1" thickBot="1" x14ac:dyDescent="0.35">
      <c r="B64" s="232"/>
      <c r="C64" s="233"/>
      <c r="D64" s="259" t="s">
        <v>1153</v>
      </c>
      <c r="E64" s="234" t="s">
        <v>910</v>
      </c>
      <c r="F64" s="235" t="str">
        <f>IF(G64="Yes", "Please Submit AU-C 260 Letter","")</f>
        <v/>
      </c>
      <c r="G64" s="222"/>
      <c r="H64" s="314" t="str">
        <f>IF(G64="","This Question must be answered before uploading, the report will not be processed if left blank","")</f>
        <v>This Question must be answered before uploading, the report will not be processed if left blank</v>
      </c>
      <c r="I64" s="285"/>
      <c r="J64" s="214"/>
      <c r="K64"/>
      <c r="L64"/>
      <c r="M64"/>
      <c r="N64"/>
      <c r="O64"/>
      <c r="P64"/>
      <c r="Q64"/>
      <c r="R64"/>
      <c r="S64"/>
      <c r="T64"/>
      <c r="U64"/>
      <c r="V64"/>
      <c r="W64"/>
      <c r="X64"/>
      <c r="Y64"/>
      <c r="Z64"/>
      <c r="AA64"/>
      <c r="AB64"/>
      <c r="AC64"/>
      <c r="AD64"/>
      <c r="AE64"/>
      <c r="AF64"/>
      <c r="AG64"/>
      <c r="AH64"/>
      <c r="AI64" s="1160"/>
      <c r="AJ64" s="226"/>
      <c r="AK64" s="236"/>
      <c r="AL64" s="226"/>
      <c r="AM64" s="226"/>
      <c r="AN64" s="226"/>
      <c r="AO64" s="226"/>
      <c r="AP64" s="226"/>
      <c r="AQ64" s="226"/>
    </row>
    <row r="65" spans="2:43" s="237" customFormat="1" ht="8.25" customHeight="1" thickBot="1" x14ac:dyDescent="0.35">
      <c r="B65" s="232"/>
      <c r="C65" s="233"/>
      <c r="D65" s="260"/>
      <c r="E65" s="240"/>
      <c r="F65" s="239"/>
      <c r="G65" s="223"/>
      <c r="H65" s="209"/>
      <c r="I65" s="224"/>
      <c r="J65" s="214"/>
      <c r="K65"/>
      <c r="L65"/>
      <c r="M65"/>
      <c r="N65"/>
      <c r="O65"/>
      <c r="P65"/>
      <c r="Q65"/>
      <c r="R65"/>
      <c r="S65"/>
      <c r="T65"/>
      <c r="U65"/>
      <c r="V65"/>
      <c r="W65"/>
      <c r="X65"/>
      <c r="Y65"/>
      <c r="Z65"/>
      <c r="AA65"/>
      <c r="AB65"/>
      <c r="AC65"/>
      <c r="AD65"/>
      <c r="AE65"/>
      <c r="AF65"/>
      <c r="AG65"/>
      <c r="AH65"/>
      <c r="AI65" s="1160"/>
      <c r="AJ65" s="226"/>
      <c r="AK65" s="236"/>
      <c r="AL65" s="226"/>
      <c r="AM65" s="226"/>
      <c r="AN65" s="226"/>
      <c r="AO65" s="226"/>
      <c r="AP65" s="226"/>
      <c r="AQ65" s="226"/>
    </row>
    <row r="66" spans="2:43" s="237" customFormat="1" ht="33.75" customHeight="1" thickBot="1" x14ac:dyDescent="0.35">
      <c r="B66" s="232"/>
      <c r="C66" s="233"/>
      <c r="D66" s="259" t="s">
        <v>1154</v>
      </c>
      <c r="E66" s="234" t="s">
        <v>911</v>
      </c>
      <c r="F66" s="235" t="str">
        <f>IF(G66="Yes", "Please Submit AU-C 265 Letter","")</f>
        <v/>
      </c>
      <c r="G66" s="222"/>
      <c r="H66" s="314" t="str">
        <f>IF(G66="","This Question must be answered before uploading, the report will not be processed if left blank","")</f>
        <v>This Question must be answered before uploading, the report will not be processed if left blank</v>
      </c>
      <c r="I66" s="285"/>
      <c r="J66" s="214"/>
      <c r="K66"/>
      <c r="L66"/>
      <c r="M66"/>
      <c r="N66"/>
      <c r="O66"/>
      <c r="P66"/>
      <c r="Q66"/>
      <c r="R66"/>
      <c r="S66"/>
      <c r="T66"/>
      <c r="U66"/>
      <c r="V66"/>
      <c r="W66"/>
      <c r="X66"/>
      <c r="Y66"/>
      <c r="Z66"/>
      <c r="AA66"/>
      <c r="AB66"/>
      <c r="AC66"/>
      <c r="AD66"/>
      <c r="AE66"/>
      <c r="AF66"/>
      <c r="AG66"/>
      <c r="AH66"/>
      <c r="AI66" s="1160"/>
      <c r="AJ66" s="226"/>
      <c r="AK66" s="236"/>
      <c r="AL66" s="226"/>
      <c r="AM66" s="226"/>
      <c r="AN66" s="226"/>
      <c r="AO66" s="226"/>
      <c r="AP66" s="226"/>
      <c r="AQ66" s="226"/>
    </row>
    <row r="67" spans="2:43" ht="6.75" hidden="1" customHeight="1" thickBot="1" x14ac:dyDescent="0.35">
      <c r="B67" s="212"/>
      <c r="C67" s="213"/>
      <c r="D67" s="260"/>
      <c r="E67" s="241"/>
      <c r="F67" s="241"/>
      <c r="G67" s="216"/>
      <c r="H67" s="209"/>
      <c r="I67" s="209"/>
      <c r="J67" s="214"/>
    </row>
    <row r="68" spans="2:43" s="237" customFormat="1" ht="35.25" hidden="1" customHeight="1" thickBot="1" x14ac:dyDescent="0.35">
      <c r="B68" s="232"/>
      <c r="C68" s="216"/>
      <c r="D68" s="403">
        <v>977</v>
      </c>
      <c r="E68" s="1222" t="s">
        <v>1330</v>
      </c>
      <c r="F68" s="1223"/>
      <c r="G68" s="401"/>
      <c r="H68" s="314" t="str">
        <f>IF(G68="","This Question must be answered before uploading, the report will not be processed if left blank","")</f>
        <v>This Question must be answered before uploading, the report will not be processed if left blank</v>
      </c>
      <c r="I68" s="224"/>
      <c r="J68" s="214"/>
      <c r="K68"/>
      <c r="L68"/>
      <c r="M68"/>
      <c r="N68"/>
      <c r="O68"/>
      <c r="P68"/>
      <c r="Q68"/>
      <c r="R68"/>
      <c r="S68"/>
      <c r="T68"/>
      <c r="U68"/>
      <c r="V68"/>
      <c r="W68"/>
      <c r="X68"/>
      <c r="Y68"/>
      <c r="Z68"/>
      <c r="AA68"/>
      <c r="AB68"/>
      <c r="AC68"/>
      <c r="AD68"/>
      <c r="AE68"/>
      <c r="AF68"/>
      <c r="AG68"/>
      <c r="AH68"/>
      <c r="AI68" s="1160"/>
      <c r="AJ68" s="226"/>
      <c r="AK68" s="236"/>
      <c r="AL68" s="226"/>
      <c r="AM68" s="226"/>
      <c r="AN68" s="226"/>
      <c r="AO68" s="226"/>
      <c r="AP68" s="226"/>
      <c r="AQ68" s="226"/>
    </row>
    <row r="69" spans="2:43" s="237" customFormat="1" ht="8.25" hidden="1" customHeight="1" thickBot="1" x14ac:dyDescent="0.35">
      <c r="B69" s="232"/>
      <c r="C69" s="216"/>
      <c r="D69" s="259"/>
      <c r="E69" s="267"/>
      <c r="F69" s="268"/>
      <c r="G69" s="223"/>
      <c r="H69" s="209"/>
      <c r="I69" s="224"/>
      <c r="J69" s="214"/>
      <c r="K69"/>
      <c r="L69"/>
      <c r="M69"/>
      <c r="N69"/>
      <c r="O69"/>
      <c r="P69"/>
      <c r="Q69"/>
      <c r="R69"/>
      <c r="S69"/>
      <c r="T69"/>
      <c r="U69"/>
      <c r="V69"/>
      <c r="W69"/>
      <c r="X69"/>
      <c r="Y69"/>
      <c r="Z69"/>
      <c r="AA69"/>
      <c r="AB69"/>
      <c r="AC69"/>
      <c r="AD69"/>
      <c r="AE69"/>
      <c r="AF69"/>
      <c r="AG69"/>
      <c r="AH69"/>
      <c r="AI69" s="1160"/>
      <c r="AJ69" s="226"/>
      <c r="AK69" s="236"/>
      <c r="AL69" s="226"/>
      <c r="AM69" s="226"/>
      <c r="AN69" s="226"/>
      <c r="AO69" s="226"/>
      <c r="AP69" s="226"/>
      <c r="AQ69" s="226"/>
    </row>
    <row r="70" spans="2:43" s="237" customFormat="1" ht="30" hidden="1" customHeight="1" thickBot="1" x14ac:dyDescent="0.35">
      <c r="B70" s="232"/>
      <c r="C70" s="216"/>
      <c r="D70" s="403">
        <v>978</v>
      </c>
      <c r="E70" s="1222" t="s">
        <v>1082</v>
      </c>
      <c r="F70" s="1223"/>
      <c r="G70" s="401"/>
      <c r="H70" s="314" t="str">
        <f>IF(G70="","This Question must be answered before uploading, the report will not be processed if left blank","")</f>
        <v>This Question must be answered before uploading, the report will not be processed if left blank</v>
      </c>
      <c r="I70" s="224"/>
      <c r="J70" s="214"/>
      <c r="K70"/>
      <c r="L70"/>
      <c r="M70"/>
      <c r="N70"/>
      <c r="O70"/>
      <c r="P70"/>
      <c r="Q70"/>
      <c r="R70"/>
      <c r="S70"/>
      <c r="T70"/>
      <c r="U70"/>
      <c r="V70"/>
      <c r="W70"/>
      <c r="X70"/>
      <c r="Y70"/>
      <c r="Z70"/>
      <c r="AA70"/>
      <c r="AB70"/>
      <c r="AC70"/>
      <c r="AD70"/>
      <c r="AE70"/>
      <c r="AF70"/>
      <c r="AG70"/>
      <c r="AH70"/>
      <c r="AI70" s="1160"/>
      <c r="AJ70" s="226"/>
      <c r="AK70" s="236"/>
      <c r="AL70" s="226"/>
      <c r="AM70" s="226"/>
      <c r="AN70" s="226"/>
      <c r="AO70" s="226"/>
      <c r="AP70" s="226"/>
      <c r="AQ70" s="226"/>
    </row>
    <row r="71" spans="2:43" s="237" customFormat="1" ht="8.25" customHeight="1" thickBot="1" x14ac:dyDescent="0.35">
      <c r="B71" s="232"/>
      <c r="C71" s="216"/>
      <c r="D71" s="403"/>
      <c r="E71" s="267"/>
      <c r="F71" s="268"/>
      <c r="G71" s="223"/>
      <c r="H71" s="209"/>
      <c r="I71" s="224"/>
      <c r="J71" s="214"/>
      <c r="K71"/>
      <c r="L71"/>
      <c r="M71"/>
      <c r="N71"/>
      <c r="O71"/>
      <c r="P71"/>
      <c r="Q71"/>
      <c r="R71"/>
      <c r="S71"/>
      <c r="T71"/>
      <c r="U71"/>
      <c r="V71"/>
      <c r="W71"/>
      <c r="X71"/>
      <c r="Y71"/>
      <c r="Z71"/>
      <c r="AA71"/>
      <c r="AB71"/>
      <c r="AC71"/>
      <c r="AD71"/>
      <c r="AE71"/>
      <c r="AF71"/>
      <c r="AG71"/>
      <c r="AH71"/>
      <c r="AI71" s="1160"/>
      <c r="AJ71" s="226"/>
      <c r="AK71" s="236"/>
      <c r="AL71" s="226"/>
      <c r="AM71" s="226"/>
      <c r="AN71" s="226"/>
      <c r="AO71" s="226"/>
      <c r="AP71" s="226"/>
      <c r="AQ71" s="226"/>
    </row>
    <row r="72" spans="2:43" s="237" customFormat="1" ht="36.75" customHeight="1" thickBot="1" x14ac:dyDescent="0.35">
      <c r="B72" s="232"/>
      <c r="C72" s="216"/>
      <c r="D72" s="403">
        <v>979</v>
      </c>
      <c r="E72" s="1222" t="s">
        <v>2077</v>
      </c>
      <c r="F72" s="1223"/>
      <c r="G72" s="401"/>
      <c r="H72" s="314" t="str">
        <f>IF(G72="","This Question must be answered before uploading, the report will not be processed if left blank","")</f>
        <v>This Question must be answered before uploading, the report will not be processed if left blank</v>
      </c>
      <c r="I72" s="224"/>
      <c r="J72" s="214"/>
      <c r="K72"/>
      <c r="L72"/>
      <c r="M72"/>
      <c r="N72"/>
      <c r="O72"/>
      <c r="P72"/>
      <c r="Q72"/>
      <c r="R72"/>
      <c r="S72"/>
      <c r="T72"/>
      <c r="U72"/>
      <c r="V72"/>
      <c r="W72"/>
      <c r="X72"/>
      <c r="Y72"/>
      <c r="Z72"/>
      <c r="AA72"/>
      <c r="AB72"/>
      <c r="AC72"/>
      <c r="AD72"/>
      <c r="AE72"/>
      <c r="AF72"/>
      <c r="AG72"/>
      <c r="AH72"/>
      <c r="AI72" s="1160"/>
      <c r="AJ72" s="226"/>
      <c r="AK72" s="236"/>
      <c r="AL72" s="226"/>
      <c r="AM72" s="226"/>
      <c r="AN72" s="226"/>
      <c r="AO72" s="226"/>
      <c r="AP72" s="226"/>
      <c r="AQ72" s="226"/>
    </row>
    <row r="73" spans="2:43" s="269" customFormat="1" ht="6.75" customHeight="1" thickBot="1" x14ac:dyDescent="0.35">
      <c r="B73" s="232"/>
      <c r="C73" s="216"/>
      <c r="D73" s="259"/>
      <c r="E73" s="267"/>
      <c r="F73" s="268"/>
      <c r="G73" s="223"/>
      <c r="H73" s="209"/>
      <c r="I73" s="224"/>
      <c r="J73" s="214"/>
      <c r="K73"/>
      <c r="L73"/>
      <c r="M73"/>
      <c r="N73"/>
      <c r="O73"/>
      <c r="P73"/>
      <c r="Q73"/>
      <c r="R73"/>
      <c r="S73"/>
      <c r="T73"/>
      <c r="U73"/>
      <c r="V73"/>
      <c r="W73"/>
      <c r="X73"/>
      <c r="Y73"/>
      <c r="Z73"/>
      <c r="AA73"/>
      <c r="AB73"/>
      <c r="AC73"/>
      <c r="AD73"/>
      <c r="AE73"/>
      <c r="AF73"/>
      <c r="AG73"/>
      <c r="AH73"/>
      <c r="AI73" s="1161"/>
      <c r="AJ73" s="270"/>
      <c r="AK73" s="271"/>
      <c r="AL73" s="270"/>
      <c r="AM73" s="270"/>
      <c r="AN73" s="270"/>
      <c r="AO73" s="270"/>
      <c r="AP73" s="270"/>
      <c r="AQ73" s="270"/>
    </row>
    <row r="74" spans="2:43" s="237" customFormat="1" ht="39" customHeight="1" thickBot="1" x14ac:dyDescent="0.35">
      <c r="B74" s="232"/>
      <c r="C74" s="216"/>
      <c r="D74" s="403">
        <v>980</v>
      </c>
      <c r="E74" s="1182" t="s">
        <v>1081</v>
      </c>
      <c r="F74" s="1182"/>
      <c r="G74" s="402"/>
      <c r="H74" s="314" t="str">
        <f>IF(G74="","This Question must be answered before uploading, the report will not be processed if left blank","")</f>
        <v>This Question must be answered before uploading, the report will not be processed if left blank</v>
      </c>
      <c r="I74" s="224"/>
      <c r="J74" s="214"/>
      <c r="K74"/>
      <c r="L74"/>
      <c r="M74"/>
      <c r="N74"/>
      <c r="O74"/>
      <c r="P74"/>
      <c r="Q74"/>
      <c r="R74"/>
      <c r="S74"/>
      <c r="T74"/>
      <c r="U74"/>
      <c r="V74"/>
      <c r="W74"/>
      <c r="X74"/>
      <c r="Y74"/>
      <c r="Z74"/>
      <c r="AA74"/>
      <c r="AB74"/>
      <c r="AC74"/>
      <c r="AD74"/>
      <c r="AE74"/>
      <c r="AF74"/>
      <c r="AG74"/>
      <c r="AH74"/>
      <c r="AI74" s="1160"/>
      <c r="AJ74" s="226"/>
      <c r="AK74" s="236"/>
      <c r="AL74" s="226"/>
      <c r="AM74" s="226"/>
      <c r="AN74" s="226"/>
      <c r="AO74" s="226"/>
      <c r="AP74" s="226"/>
      <c r="AQ74" s="226"/>
    </row>
    <row r="75" spans="2:43" s="269" customFormat="1" ht="6.75" customHeight="1" thickBot="1" x14ac:dyDescent="0.35">
      <c r="B75" s="232"/>
      <c r="C75" s="216"/>
      <c r="D75" s="259"/>
      <c r="E75" s="1121"/>
      <c r="F75" s="268"/>
      <c r="G75" s="223"/>
      <c r="H75" s="1120"/>
      <c r="I75" s="224"/>
      <c r="J75" s="214"/>
      <c r="K75"/>
      <c r="L75"/>
      <c r="M75"/>
      <c r="N75"/>
      <c r="O75"/>
      <c r="P75"/>
      <c r="Q75"/>
      <c r="R75"/>
      <c r="S75"/>
      <c r="T75"/>
      <c r="U75"/>
      <c r="V75"/>
      <c r="W75"/>
      <c r="X75"/>
      <c r="Y75"/>
      <c r="Z75"/>
      <c r="AA75"/>
      <c r="AB75"/>
      <c r="AC75"/>
      <c r="AD75"/>
      <c r="AE75"/>
      <c r="AF75"/>
      <c r="AG75"/>
      <c r="AH75"/>
      <c r="AI75" s="1161"/>
      <c r="AJ75" s="270"/>
      <c r="AK75" s="271"/>
      <c r="AL75" s="270"/>
      <c r="AM75" s="270"/>
      <c r="AN75" s="270"/>
      <c r="AO75" s="270"/>
      <c r="AP75" s="270"/>
      <c r="AQ75" s="270"/>
    </row>
    <row r="76" spans="2:43" ht="32.25" customHeight="1" thickBot="1" x14ac:dyDescent="0.35">
      <c r="B76" s="212"/>
      <c r="C76" s="230"/>
      <c r="D76" s="259">
        <v>975</v>
      </c>
      <c r="E76" s="1189" t="s">
        <v>1084</v>
      </c>
      <c r="F76" s="1221"/>
      <c r="G76" s="222"/>
      <c r="H76" s="313" t="str">
        <f>IF(G76="","This Question must be answered before uploading, the report will not be processed if left blank","")</f>
        <v>This Question must be answered before uploading, the report will not be processed if left blank</v>
      </c>
      <c r="I76" s="228"/>
      <c r="J76" s="229"/>
    </row>
    <row r="77" spans="2:43" s="269" customFormat="1" ht="6.75" customHeight="1" thickBot="1" x14ac:dyDescent="0.35">
      <c r="B77" s="232"/>
      <c r="C77" s="216"/>
      <c r="D77" s="259"/>
      <c r="E77" s="1119"/>
      <c r="F77" s="268"/>
      <c r="G77" s="223"/>
      <c r="H77" s="1118"/>
      <c r="I77" s="224"/>
      <c r="J77" s="214"/>
      <c r="K77"/>
      <c r="L77"/>
      <c r="M77"/>
      <c r="N77"/>
      <c r="O77"/>
      <c r="P77"/>
      <c r="Q77"/>
      <c r="R77"/>
      <c r="S77"/>
      <c r="T77"/>
      <c r="U77"/>
      <c r="V77"/>
      <c r="W77"/>
      <c r="X77"/>
      <c r="Y77"/>
      <c r="Z77"/>
      <c r="AA77"/>
      <c r="AB77"/>
      <c r="AC77"/>
      <c r="AD77"/>
      <c r="AE77"/>
      <c r="AF77"/>
      <c r="AG77"/>
      <c r="AH77"/>
      <c r="AI77" s="1161"/>
      <c r="AJ77" s="270"/>
      <c r="AK77" s="271"/>
      <c r="AL77" s="270"/>
      <c r="AM77" s="270"/>
      <c r="AN77" s="270"/>
      <c r="AO77" s="270"/>
      <c r="AP77" s="270"/>
      <c r="AQ77" s="270"/>
    </row>
    <row r="78" spans="2:43" ht="61.5" customHeight="1" thickBot="1" x14ac:dyDescent="0.35">
      <c r="B78" s="212"/>
      <c r="C78" s="230"/>
      <c r="D78" s="259">
        <v>976</v>
      </c>
      <c r="E78" s="1189" t="s">
        <v>1299</v>
      </c>
      <c r="F78" s="1221"/>
      <c r="G78" s="222"/>
      <c r="H78" s="313" t="str">
        <f>IF(G78="","This Question must be answered before uploading, the report will not be processed if left blank","")</f>
        <v>This Question must be answered before uploading, the report will not be processed if left blank</v>
      </c>
      <c r="I78" s="228"/>
      <c r="J78" s="229"/>
    </row>
    <row r="79" spans="2:43" ht="39" customHeight="1" thickBot="1" x14ac:dyDescent="0.35">
      <c r="B79" s="200"/>
      <c r="C79" s="201"/>
      <c r="D79" s="202"/>
      <c r="E79" s="203"/>
      <c r="F79" s="204"/>
      <c r="G79" s="280"/>
      <c r="H79" s="204"/>
      <c r="I79" s="204"/>
      <c r="J79" s="205"/>
    </row>
    <row r="80" spans="2:43" ht="10.5" customHeight="1" thickBot="1" x14ac:dyDescent="0.35">
      <c r="B80" s="212"/>
      <c r="C80" s="213"/>
      <c r="D80" s="260"/>
      <c r="E80" s="209"/>
      <c r="F80" s="209"/>
      <c r="G80" s="216"/>
      <c r="H80" s="213"/>
      <c r="I80" s="213"/>
      <c r="J80" s="214"/>
    </row>
    <row r="81" spans="1:37" ht="39.6" customHeight="1" thickBot="1" x14ac:dyDescent="0.35">
      <c r="B81" s="212"/>
      <c r="C81" s="213"/>
      <c r="D81" s="260" t="s">
        <v>1155</v>
      </c>
      <c r="E81" s="1163" t="str">
        <f>IF(G81="","This Question must be answered before uploading, the report will not be processed if left blank","")</f>
        <v>This Question must be answered before uploading, the report will not be processed if left blank</v>
      </c>
      <c r="F81" s="1157" t="s">
        <v>912</v>
      </c>
      <c r="G81" s="1184"/>
      <c r="H81" s="1185"/>
      <c r="I81" s="1186"/>
      <c r="J81" s="214"/>
      <c r="AK81" s="195" t="s">
        <v>891</v>
      </c>
    </row>
    <row r="82" spans="1:37" ht="6.75" customHeight="1" thickBot="1" x14ac:dyDescent="0.35">
      <c r="B82" s="212"/>
      <c r="C82" s="213"/>
      <c r="D82" s="260"/>
      <c r="E82" s="241"/>
      <c r="F82" s="241"/>
      <c r="G82" s="216"/>
      <c r="H82" s="216"/>
      <c r="I82" s="216"/>
      <c r="J82" s="214"/>
    </row>
    <row r="83" spans="1:37" ht="30.6" customHeight="1" thickBot="1" x14ac:dyDescent="0.35">
      <c r="B83" s="212"/>
      <c r="C83" s="213"/>
      <c r="D83" s="260" t="s">
        <v>1156</v>
      </c>
      <c r="E83" s="1163" t="str">
        <f>IF(G83="","This Question must be answered before uploading, the report will not be processed if left blank","")</f>
        <v>This Question must be answered before uploading, the report will not be processed if left blank</v>
      </c>
      <c r="F83" s="1157" t="s">
        <v>913</v>
      </c>
      <c r="G83" s="1184"/>
      <c r="H83" s="1185"/>
      <c r="I83" s="1186"/>
      <c r="J83" s="214"/>
      <c r="AK83" s="195" t="s">
        <v>914</v>
      </c>
    </row>
    <row r="84" spans="1:37" ht="6.75" customHeight="1" thickBot="1" x14ac:dyDescent="0.35">
      <c r="B84" s="212"/>
      <c r="C84" s="213"/>
      <c r="D84" s="260"/>
      <c r="E84" s="241"/>
      <c r="F84" s="241"/>
      <c r="G84" s="242"/>
      <c r="H84" s="216"/>
      <c r="I84" s="216"/>
      <c r="J84" s="214"/>
    </row>
    <row r="85" spans="1:37" ht="36.6" customHeight="1" thickBot="1" x14ac:dyDescent="0.35">
      <c r="B85" s="212"/>
      <c r="C85" s="213"/>
      <c r="D85" s="260" t="s">
        <v>1880</v>
      </c>
      <c r="E85" s="1163" t="str">
        <f>IF(G85="","This Question must be answered before uploading, the report will not be processed if left blank","")</f>
        <v>This Question must be answered before uploading, the report will not be processed if left blank</v>
      </c>
      <c r="F85" s="1157" t="s">
        <v>1354</v>
      </c>
      <c r="G85" s="217"/>
      <c r="H85" s="216"/>
      <c r="I85" s="216"/>
      <c r="J85" s="214"/>
      <c r="AK85" s="195">
        <v>44048</v>
      </c>
    </row>
    <row r="86" spans="1:37" ht="6.75" customHeight="1" x14ac:dyDescent="0.3">
      <c r="B86" s="212"/>
      <c r="C86" s="213"/>
      <c r="D86" s="260"/>
      <c r="E86" s="241"/>
      <c r="F86" s="241"/>
      <c r="G86" s="216"/>
      <c r="H86" s="216"/>
      <c r="I86" s="216"/>
      <c r="J86" s="214"/>
    </row>
    <row r="87" spans="1:37" ht="30" hidden="1" customHeight="1" x14ac:dyDescent="0.3">
      <c r="B87" s="212"/>
      <c r="C87" s="213"/>
      <c r="D87" s="260"/>
      <c r="E87" s="1219"/>
      <c r="F87" s="1219"/>
      <c r="G87" s="243" t="str">
        <f>CONCATENATE(G10," 2021 TD.xlsx")</f>
        <v xml:space="preserve"> 2021 TD.xlsx</v>
      </c>
      <c r="H87" s="243"/>
      <c r="I87" s="244"/>
      <c r="J87" s="214"/>
    </row>
    <row r="88" spans="1:37" ht="18" customHeight="1" x14ac:dyDescent="0.3">
      <c r="B88" s="212"/>
      <c r="C88" s="213"/>
      <c r="D88" s="1162"/>
      <c r="E88" s="1162"/>
      <c r="F88" s="1162"/>
      <c r="G88" s="1220" t="str">
        <f>IF(G11="","","Please review the Transmittal Instructions and your answer to Question 1")</f>
        <v/>
      </c>
      <c r="H88" s="1220"/>
      <c r="I88" s="1220"/>
      <c r="J88" s="214"/>
    </row>
    <row r="89" spans="1:37" ht="13.2" customHeight="1" x14ac:dyDescent="0.3">
      <c r="B89" s="212"/>
      <c r="C89" s="213"/>
      <c r="D89" s="1162"/>
      <c r="E89" s="1162"/>
      <c r="F89" s="1162"/>
      <c r="G89" s="1220" t="str">
        <f>IF(G88="Currently the file name is incorrect, please correct before uploading",CONCATENATE("File current name is ",O89),"")</f>
        <v/>
      </c>
      <c r="H89" s="1220"/>
      <c r="I89" s="245"/>
      <c r="J89" s="246"/>
    </row>
    <row r="90" spans="1:37" ht="6.75" customHeight="1" thickBot="1" x14ac:dyDescent="0.35">
      <c r="B90" s="247"/>
      <c r="C90" s="248"/>
      <c r="D90" s="263"/>
      <c r="E90" s="249"/>
      <c r="F90" s="249"/>
      <c r="G90" s="250"/>
      <c r="H90" s="250"/>
      <c r="I90" s="250"/>
      <c r="J90" s="251"/>
    </row>
    <row r="93" spans="1:37" x14ac:dyDescent="0.3">
      <c r="B93" s="194" t="s">
        <v>915</v>
      </c>
      <c r="D93" s="198"/>
      <c r="E93" s="253">
        <v>1.01</v>
      </c>
      <c r="F93" s="254"/>
    </row>
    <row r="94" spans="1:37" x14ac:dyDescent="0.3">
      <c r="A94" s="198"/>
      <c r="B94" s="194" t="s">
        <v>916</v>
      </c>
      <c r="D94" s="198"/>
      <c r="E94" s="255">
        <v>44427</v>
      </c>
      <c r="F94" s="256"/>
    </row>
    <row r="95" spans="1:37" x14ac:dyDescent="0.3">
      <c r="E95" s="254"/>
      <c r="F95" s="254"/>
    </row>
    <row r="97" spans="5:5" x14ac:dyDescent="0.3">
      <c r="E97" s="252">
        <f>SUBTOTAL(109,D3:D89)</f>
        <v>11472</v>
      </c>
    </row>
  </sheetData>
  <sheetProtection selectLockedCells="1"/>
  <mergeCells count="54">
    <mergeCell ref="G89:H89"/>
    <mergeCell ref="E51:F51"/>
    <mergeCell ref="E53:F53"/>
    <mergeCell ref="G81:I81"/>
    <mergeCell ref="E76:F76"/>
    <mergeCell ref="E78:F78"/>
    <mergeCell ref="E57:F57"/>
    <mergeCell ref="E60:F60"/>
    <mergeCell ref="E68:F68"/>
    <mergeCell ref="E70:F70"/>
    <mergeCell ref="E72:F72"/>
    <mergeCell ref="E47:F47"/>
    <mergeCell ref="E49:F49"/>
    <mergeCell ref="G83:I83"/>
    <mergeCell ref="E87:F87"/>
    <mergeCell ref="G88:I88"/>
    <mergeCell ref="E16:F16"/>
    <mergeCell ref="G16:I16"/>
    <mergeCell ref="E18:F18"/>
    <mergeCell ref="E32:F32"/>
    <mergeCell ref="B7:J7"/>
    <mergeCell ref="E10:F10"/>
    <mergeCell ref="G10:I10"/>
    <mergeCell ref="E27:H27"/>
    <mergeCell ref="E28:F28"/>
    <mergeCell ref="H28:I28"/>
    <mergeCell ref="E30:F30"/>
    <mergeCell ref="H30:I30"/>
    <mergeCell ref="E22:F22"/>
    <mergeCell ref="G18:I18"/>
    <mergeCell ref="G32:I32"/>
    <mergeCell ref="E26:F26"/>
    <mergeCell ref="B1:J1"/>
    <mergeCell ref="B2:J2"/>
    <mergeCell ref="B3:J3"/>
    <mergeCell ref="E12:F12"/>
    <mergeCell ref="E14:F14"/>
    <mergeCell ref="B5:J5"/>
    <mergeCell ref="G26:H26"/>
    <mergeCell ref="E74:F74"/>
    <mergeCell ref="E20:F20"/>
    <mergeCell ref="G20:I20"/>
    <mergeCell ref="G22:I22"/>
    <mergeCell ref="E24:F24"/>
    <mergeCell ref="G24:I24"/>
    <mergeCell ref="E55:F55"/>
    <mergeCell ref="G34:I34"/>
    <mergeCell ref="E36:F36"/>
    <mergeCell ref="G36:I36"/>
    <mergeCell ref="E37:H37"/>
    <mergeCell ref="B38:J38"/>
    <mergeCell ref="E41:F41"/>
    <mergeCell ref="E43:F43"/>
    <mergeCell ref="E45:F45"/>
  </mergeCells>
  <conditionalFormatting sqref="G10 G41 G43 G45 G47 G49 G57 G66 G60 G51 G78 G76">
    <cfRule type="expression" dxfId="96" priority="41">
      <formula>$T10</formula>
    </cfRule>
  </conditionalFormatting>
  <conditionalFormatting sqref="G10">
    <cfRule type="containsText" priority="40" operator="containsText" text="The, City,Village,of">
      <formula>NOT(ISERROR(SEARCH("The, City,Village,of",G10)))</formula>
    </cfRule>
  </conditionalFormatting>
  <conditionalFormatting sqref="G26">
    <cfRule type="expression" dxfId="95" priority="39">
      <formula>$T26</formula>
    </cfRule>
  </conditionalFormatting>
  <conditionalFormatting sqref="G41 G43 G45 G47 G49 G60 G62 G64 G66 G30 G32 G76 G51:G57 G78">
    <cfRule type="expression" dxfId="94" priority="38">
      <formula>$G$26="Housing Authority"</formula>
    </cfRule>
  </conditionalFormatting>
  <conditionalFormatting sqref="G14">
    <cfRule type="expression" dxfId="93" priority="37">
      <formula>$T14</formula>
    </cfRule>
  </conditionalFormatting>
  <conditionalFormatting sqref="G12">
    <cfRule type="expression" dxfId="92" priority="36">
      <formula>$T12</formula>
    </cfRule>
  </conditionalFormatting>
  <conditionalFormatting sqref="G85">
    <cfRule type="expression" dxfId="91" priority="35">
      <formula>$T85</formula>
    </cfRule>
  </conditionalFormatting>
  <conditionalFormatting sqref="G81">
    <cfRule type="expression" dxfId="90" priority="34">
      <formula>$T81</formula>
    </cfRule>
  </conditionalFormatting>
  <conditionalFormatting sqref="G81">
    <cfRule type="containsText" priority="33" operator="containsText" text="The, City,Village,of">
      <formula>NOT(ISERROR(SEARCH("The, City,Village,of",G81)))</formula>
    </cfRule>
  </conditionalFormatting>
  <conditionalFormatting sqref="G83">
    <cfRule type="expression" dxfId="89" priority="32">
      <formula>$T83</formula>
    </cfRule>
  </conditionalFormatting>
  <conditionalFormatting sqref="G83">
    <cfRule type="containsText" priority="31" operator="containsText" text="The, City,Village,of">
      <formula>NOT(ISERROR(SEARCH("The, City,Village,of",G83)))</formula>
    </cfRule>
  </conditionalFormatting>
  <conditionalFormatting sqref="G18">
    <cfRule type="expression" dxfId="88" priority="30">
      <formula>$T18</formula>
    </cfRule>
  </conditionalFormatting>
  <conditionalFormatting sqref="G18">
    <cfRule type="containsText" priority="29" operator="containsText" text="The, City,Village,of">
      <formula>NOT(ISERROR(SEARCH("The, City,Village,of",G18)))</formula>
    </cfRule>
  </conditionalFormatting>
  <conditionalFormatting sqref="G60">
    <cfRule type="expression" dxfId="87" priority="23">
      <formula>$G$26="Housing Authority"</formula>
    </cfRule>
  </conditionalFormatting>
  <conditionalFormatting sqref="G64">
    <cfRule type="expression" dxfId="86" priority="28">
      <formula>$T64</formula>
    </cfRule>
  </conditionalFormatting>
  <conditionalFormatting sqref="G64">
    <cfRule type="expression" dxfId="85" priority="27">
      <formula>$G$26="Housing Authority"</formula>
    </cfRule>
  </conditionalFormatting>
  <conditionalFormatting sqref="G66">
    <cfRule type="expression" dxfId="84" priority="26">
      <formula>$G$26="Housing Authority"</formula>
    </cfRule>
  </conditionalFormatting>
  <conditionalFormatting sqref="G62">
    <cfRule type="expression" dxfId="83" priority="25">
      <formula>$T62</formula>
    </cfRule>
  </conditionalFormatting>
  <conditionalFormatting sqref="G62">
    <cfRule type="expression" dxfId="82" priority="24">
      <formula>$G$26="Housing Authority"</formula>
    </cfRule>
  </conditionalFormatting>
  <conditionalFormatting sqref="G31">
    <cfRule type="expression" dxfId="81" priority="22">
      <formula>$T31</formula>
    </cfRule>
  </conditionalFormatting>
  <conditionalFormatting sqref="G28">
    <cfRule type="expression" dxfId="80" priority="21">
      <formula>$T28</formula>
    </cfRule>
  </conditionalFormatting>
  <conditionalFormatting sqref="G28">
    <cfRule type="expression" dxfId="79" priority="20">
      <formula>$G$26="Housing Authority"</formula>
    </cfRule>
  </conditionalFormatting>
  <conditionalFormatting sqref="G30">
    <cfRule type="expression" dxfId="78" priority="19">
      <formula>$T30</formula>
    </cfRule>
  </conditionalFormatting>
  <conditionalFormatting sqref="G16">
    <cfRule type="expression" dxfId="77" priority="17">
      <formula>$T16</formula>
    </cfRule>
  </conditionalFormatting>
  <conditionalFormatting sqref="G16">
    <cfRule type="containsText" priority="16" operator="containsText" text="The, City,Village,of">
      <formula>NOT(ISERROR(SEARCH("The, City,Village,of",G16)))</formula>
    </cfRule>
  </conditionalFormatting>
  <conditionalFormatting sqref="G20">
    <cfRule type="expression" dxfId="76" priority="15">
      <formula>$T20</formula>
    </cfRule>
  </conditionalFormatting>
  <conditionalFormatting sqref="G20">
    <cfRule type="containsText" priority="14" operator="containsText" text="The, City,Village,of">
      <formula>NOT(ISERROR(SEARCH("The, City,Village,of",G20)))</formula>
    </cfRule>
  </conditionalFormatting>
  <conditionalFormatting sqref="G22">
    <cfRule type="expression" dxfId="75" priority="13">
      <formula>$T22</formula>
    </cfRule>
  </conditionalFormatting>
  <conditionalFormatting sqref="G22">
    <cfRule type="containsText" priority="12" operator="containsText" text="The, City,Village,of">
      <formula>NOT(ISERROR(SEARCH("The, City,Village,of",G22)))</formula>
    </cfRule>
  </conditionalFormatting>
  <conditionalFormatting sqref="G28">
    <cfRule type="expression" dxfId="74" priority="10">
      <formula>$G$26="Housing Authority"</formula>
    </cfRule>
  </conditionalFormatting>
  <conditionalFormatting sqref="G32">
    <cfRule type="expression" dxfId="73" priority="11">
      <formula>$P$32</formula>
    </cfRule>
    <cfRule type="expression" dxfId="72" priority="18">
      <formula>$T32</formula>
    </cfRule>
  </conditionalFormatting>
  <conditionalFormatting sqref="G36">
    <cfRule type="expression" dxfId="71" priority="7">
      <formula>$G$26="Housing Authority"</formula>
    </cfRule>
  </conditionalFormatting>
  <conditionalFormatting sqref="G36">
    <cfRule type="expression" dxfId="70" priority="8">
      <formula>$P$32</formula>
    </cfRule>
    <cfRule type="expression" dxfId="69" priority="9">
      <formula>$T36</formula>
    </cfRule>
  </conditionalFormatting>
  <conditionalFormatting sqref="G34">
    <cfRule type="expression" dxfId="68" priority="4">
      <formula>$G$26="Housing Authority"</formula>
    </cfRule>
  </conditionalFormatting>
  <conditionalFormatting sqref="G34">
    <cfRule type="expression" dxfId="67" priority="5">
      <formula>$P$32</formula>
    </cfRule>
    <cfRule type="expression" dxfId="66" priority="6">
      <formula>$T34</formula>
    </cfRule>
  </conditionalFormatting>
  <conditionalFormatting sqref="G24">
    <cfRule type="expression" dxfId="65" priority="3">
      <formula>$T24</formula>
    </cfRule>
  </conditionalFormatting>
  <conditionalFormatting sqref="G24">
    <cfRule type="containsText" priority="2" operator="containsText" text="The, City,Village,of">
      <formula>NOT(ISERROR(SEARCH("The, City,Village,of",G24)))</formula>
    </cfRule>
  </conditionalFormatting>
  <conditionalFormatting sqref="G53">
    <cfRule type="expression" dxfId="64" priority="1">
      <formula>$T53</formula>
    </cfRule>
  </conditionalFormatting>
  <dataValidations xWindow="873" yWindow="799" count="25">
    <dataValidation type="list" allowBlank="1" showInputMessage="1" showErrorMessage="1" prompt="Chose Unit Type" sqref="G26:H26" xr:uid="{0F10F559-8F23-44EB-987B-C924C826D337}">
      <formula1>"Municipality, County, Charter School, Tourism Development Authority, Housing Authority, Other"</formula1>
    </dataValidation>
    <dataValidation type="date" operator="greaterThan" allowBlank="1" showInputMessage="1" showErrorMessage="1" sqref="G63 G71 G89:G90 G65 G79:G80 G85:G86 G67 G69 G73 G77" xr:uid="{4BF7E2BE-68E4-4EDC-9705-A6DBFAEB7B90}">
      <formula1>44012</formula1>
    </dataValidation>
    <dataValidation type="list" allowBlank="1" showInputMessage="1" showErrorMessage="1" prompt="Please select Yes or No from the drop down list" sqref="G30" xr:uid="{53DB461E-98F8-470D-9081-CDE7B5E62384}">
      <formula1>"Financial Only, Yellow Book, Single Audit"</formula1>
    </dataValidation>
    <dataValidation allowBlank="1" showInputMessage="1" showErrorMessage="1" error="Cannot be blank" sqref="G24:I24 G20:I20 G22:I22" xr:uid="{4F77B4D1-7320-4937-BC6C-3C85879203C8}"/>
    <dataValidation type="list" operator="greaterThan" showInputMessage="1" showErrorMessage="1" promptTitle="Cannot be blank" prompt="This cannot be blank - please complete before uploading to the portal" sqref="G69 G80 G71 G67 G73 G77" xr:uid="{D198A47C-CDFA-4D46-B722-9DA3FB2EB984}">
      <formula1>"N/A, 1,2,3,4"</formula1>
    </dataValidation>
    <dataValidation type="list" allowBlank="1" showInputMessage="1" showErrorMessage="1" prompt="Chose Unit Type" sqref="G31:H31 H33" xr:uid="{75E505E4-60F6-4743-B472-20907ABD52A6}">
      <formula1>"Municipality, County, Tourism Development Authority, Housing Authority, Other"</formula1>
    </dataValidation>
    <dataValidation type="textLength" operator="greaterThan" showInputMessage="1" showErrorMessage="1" errorTitle="Blank Field" error="Check the name entered for length" promptTitle="Cannot be blank" prompt="This cannot be blank - please complete before uploading to the portal" sqref="G10 G18 G16" xr:uid="{7C48D2AE-CF0B-4E23-BD0B-A4168116C962}">
      <formula1>3</formula1>
    </dataValidation>
    <dataValidation type="date" showDropDown="1" showInputMessage="1" showErrorMessage="1" errorTitle="FYE date error" error="FYE must be 06/30/21 or after to use this form." prompt="For Fiscal Year ends prior to 06/30/21, please use the  2020 Transmittal Document_x000a_" sqref="G12" xr:uid="{BCAA93FC-8B8A-41A3-AB91-C0CDA25B87BA}">
      <formula1>44287</formula1>
      <formula2>44712</formula2>
    </dataValidation>
    <dataValidation type="list" allowBlank="1" showInputMessage="1" showErrorMessage="1" prompt="Please select Yes, No or N/A from the drop down list" sqref="G57" xr:uid="{740F9C53-B8A7-483C-B384-B0DCDA2D2BCB}">
      <formula1>"Yes, No, N/A"</formula1>
    </dataValidation>
    <dataValidation type="whole" operator="greaterThan" allowBlank="1" showInputMessage="1" showErrorMessage="1" prompt="Please enter a whole number.  If there are no findings please enter 0" sqref="G49 G51:G52 G54:G56" xr:uid="{1A2CB230-B6DB-4036-94B3-6FD2E784AB33}">
      <formula1>-1</formula1>
    </dataValidation>
    <dataValidation type="textLength" operator="greaterThan" allowBlank="1" showInputMessage="1" showErrorMessage="1" errorTitle="File Name Error" error="Check that you have not left the Primary Government Name blank...see Question 1" sqref="G87" xr:uid="{653B8F25-9FF3-4457-86FF-093169F7B39F}">
      <formula1>10</formula1>
    </dataValidation>
    <dataValidation type="textLength" operator="greaterThan" showInputMessage="1" showErrorMessage="1" errorTitle="Blank Field" error="Check the name entered for length" promptTitle="Cannot be blank" prompt="This cannot be blank - please complete before uploading to the portal" sqref="H11" xr:uid="{D1874534-B18B-445D-9D56-8708CFB0B431}">
      <formula1>4</formula1>
    </dataValidation>
    <dataValidation type="list" showInputMessage="1" showErrorMessage="1" errorTitle="Cannot be blank" error="This cell cannot be left blank" prompt="Please select Yes or No from the drop down list" sqref="G14" xr:uid="{FA0A92A0-CFAB-49D4-8608-8D1DB740CB36}">
      <formula1>"Yes, No"</formula1>
    </dataValidation>
    <dataValidation type="textLength" operator="greaterThan" showInputMessage="1" showErrorMessage="1" promptTitle="Cannot be blank" prompt="This cannot be blank - please complete before uploading to the portal" sqref="H89:I90 H79:H80 I63 H85:I87 H65:I65 H69 H71 G81 H76:H77 H73 I68:I80" xr:uid="{970B9B41-3DA6-49D9-8538-915E33C95C98}">
      <formula1>5</formula1>
    </dataValidation>
    <dataValidation type="list" allowBlank="1" showInputMessage="1" showErrorMessage="1" prompt="Please select Yes or No from the drop down list" sqref="G47 G60 G43 G45 G66 G62 G64 G28 G41" xr:uid="{F8DAA637-067A-4445-87D8-12A58F77F0A2}">
      <formula1>"Yes, No"</formula1>
    </dataValidation>
    <dataValidation type="list" operator="greaterThan" allowBlank="1" showInputMessage="1" showErrorMessage="1" sqref="G70" xr:uid="{05F2F645-3F7B-4EB6-A09F-034934497E3E}">
      <formula1>"Yes, No"</formula1>
    </dataValidation>
    <dataValidation type="list" operator="greaterThan" allowBlank="1" showInputMessage="1" showErrorMessage="1" prompt="Please select Yes or No from drop down list" sqref="G68" xr:uid="{E971EE97-C595-4AA1-9573-23EDB218A969}">
      <formula1>"yes, No"</formula1>
    </dataValidation>
    <dataValidation type="list" allowBlank="1" showInputMessage="1" showErrorMessage="1" prompt="Please select Yes, No or N/A from drop down list" sqref="G78 G53" xr:uid="{AD8CBEC4-23F6-4F06-B268-46366C73CF32}">
      <formula1>"Yes, No,N/A"</formula1>
    </dataValidation>
    <dataValidation type="list" allowBlank="1" showInputMessage="1" showErrorMessage="1" prompt="Please select Yes or No from the drop down list" sqref="G76:G77" xr:uid="{0BEC721E-0D27-4077-8790-03D91092BB64}">
      <formula1>"Yes,No"</formula1>
    </dataValidation>
    <dataValidation type="list" operator="greaterThan" allowBlank="1" showInputMessage="1" showErrorMessage="1" prompt="Please select Yes or No from drop down list" sqref="G72" xr:uid="{80B217B5-9DCE-4043-A1B7-D1BB209B176F}">
      <formula1>"Yes, No"</formula1>
    </dataValidation>
    <dataValidation type="date" operator="greaterThan" allowBlank="1" showInputMessage="1" showErrorMessage="1" sqref="G87" xr:uid="{1CB4710E-81E8-4DA8-BB55-72CEC5ACBD8A}">
      <formula1>44377</formula1>
    </dataValidation>
    <dataValidation type="list" operator="greaterThan" allowBlank="1" showInputMessage="1" showErrorMessage="1" sqref="G76" xr:uid="{88F7A55F-54A8-43AC-9559-A6B059CD4307}">
      <formula1>"6/30/2020"</formula1>
    </dataValidation>
    <dataValidation type="list" showInputMessage="1" showErrorMessage="1" sqref="G76" xr:uid="{05687151-3E3B-4826-B66C-E6C4C6589FA2}">
      <formula1>"Yes,No"</formula1>
    </dataValidation>
    <dataValidation type="date" operator="greaterThan" showInputMessage="1" showErrorMessage="1" promptTitle="MM/DD/YYYY" prompt="This cannot be blank" sqref="G74:G78" xr:uid="{FA296981-A236-46B7-9FFE-5DC3167CFD46}">
      <formula1>44377</formula1>
    </dataValidation>
    <dataValidation type="date" operator="greaterThan" allowBlank="1" showInputMessage="1" showErrorMessage="1" prompt="MM/DD/YYYY" sqref="G74:G78" xr:uid="{362B854A-1333-435D-A562-CD0AC3D0CBDC}">
      <formula1>44012</formula1>
    </dataValidation>
  </dataValidations>
  <hyperlinks>
    <hyperlink ref="AK16" r:id="rId1" xr:uid="{B0B5000D-91BF-4416-A582-CCA86307BD44}"/>
    <hyperlink ref="AK22" r:id="rId2" xr:uid="{0450F1F5-67CF-4FAC-A3CF-C30014F5F87B}"/>
    <hyperlink ref="AK24" r:id="rId3" xr:uid="{6D29BB61-1A28-4C3B-A44E-A134E65797CF}"/>
  </hyperlinks>
  <printOptions horizontalCentered="1" verticalCentered="1"/>
  <pageMargins left="0" right="0" top="0" bottom="1" header="0.3" footer="0.3"/>
  <pageSetup scale="58" fitToWidth="0" orientation="portrait" r:id="rId4"/>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AA744"/>
  <sheetViews>
    <sheetView zoomScaleNormal="100" workbookViewId="0">
      <pane xSplit="3" ySplit="3" topLeftCell="D4" activePane="bottomRight" state="frozen"/>
      <selection activeCell="K179" sqref="K179"/>
      <selection pane="topRight" activeCell="K179" sqref="K179"/>
      <selection pane="bottomLeft" activeCell="K179" sqref="K179"/>
      <selection pane="bottomRight" activeCell="E111" sqref="E111"/>
    </sheetView>
  </sheetViews>
  <sheetFormatPr defaultColWidth="9.109375" defaultRowHeight="14.4" x14ac:dyDescent="0.3"/>
  <cols>
    <col min="1" max="1" width="8.88671875" style="3" customWidth="1"/>
    <col min="2" max="2" width="17.5546875" style="52" bestFit="1" customWidth="1"/>
    <col min="3" max="3" width="36.6640625" style="700" customWidth="1"/>
    <col min="4" max="4" width="20.88671875" style="3" bestFit="1" customWidth="1"/>
    <col min="5" max="5" width="17.5546875" style="3" customWidth="1"/>
    <col min="6" max="6" width="22.6640625" style="3" customWidth="1"/>
    <col min="7" max="7" width="17.44140625" style="597" bestFit="1" customWidth="1"/>
    <col min="8" max="8" width="9.6640625" style="3" bestFit="1" customWidth="1"/>
    <col min="9" max="9" width="1" style="631" customWidth="1"/>
    <col min="10" max="10" width="18.109375" style="5" customWidth="1"/>
    <col min="11" max="11" width="36.88671875" style="9" customWidth="1"/>
    <col min="12" max="12" width="15.44140625" style="708" bestFit="1" customWidth="1"/>
    <col min="13" max="13" width="1.44140625" style="3" customWidth="1"/>
    <col min="14" max="14" width="18.109375" style="3" customWidth="1"/>
    <col min="15" max="15" width="17.88671875" style="3" customWidth="1"/>
    <col min="16" max="16" width="8.6640625" style="310"/>
    <col min="17" max="17" width="10.33203125" style="600" hidden="1" customWidth="1"/>
    <col min="18" max="18" width="7.109375" style="3" hidden="1" customWidth="1"/>
    <col min="19" max="19" width="6" style="3" hidden="1" customWidth="1"/>
    <col min="20" max="20" width="6.6640625" style="3" hidden="1" customWidth="1"/>
    <col min="21" max="21" width="7.5546875" style="3" hidden="1" customWidth="1"/>
    <col min="22" max="22" width="3.44140625" style="3" hidden="1" customWidth="1"/>
    <col min="23" max="23" width="7.33203125" style="3" hidden="1" customWidth="1"/>
    <col min="24" max="24" width="10.5546875" style="3" hidden="1" customWidth="1"/>
    <col min="25" max="25" width="9.88671875" style="3" hidden="1" customWidth="1"/>
    <col min="26" max="26" width="0" style="3" hidden="1" customWidth="1"/>
    <col min="27" max="16384" width="9.109375" style="3"/>
  </cols>
  <sheetData>
    <row r="1" spans="1:25" ht="36" x14ac:dyDescent="0.3">
      <c r="C1" s="49" t="s">
        <v>780</v>
      </c>
      <c r="D1" s="13">
        <f>L65-(L52+L53-L57-L58-L233)-L61</f>
        <v>0</v>
      </c>
      <c r="I1" s="598"/>
      <c r="J1" s="48"/>
      <c r="K1" s="14" t="s">
        <v>47</v>
      </c>
      <c r="L1" s="63"/>
      <c r="M1" s="599"/>
      <c r="S1" s="3">
        <v>100</v>
      </c>
      <c r="T1" s="3">
        <v>1</v>
      </c>
    </row>
    <row r="2" spans="1:25" ht="36" x14ac:dyDescent="0.4">
      <c r="C2" s="74" t="str">
        <f>'Unit Data from Audit Worksheet'!D2</f>
        <v>Select Unit Name from Drop Down List</v>
      </c>
      <c r="D2" s="145">
        <v>2021</v>
      </c>
      <c r="E2" s="12">
        <v>2021</v>
      </c>
      <c r="F2" s="12"/>
      <c r="G2" s="70"/>
      <c r="H2" s="12"/>
      <c r="I2" s="598"/>
      <c r="J2" s="43" t="s">
        <v>43</v>
      </c>
      <c r="K2" s="8" t="s">
        <v>42</v>
      </c>
      <c r="L2" s="68" t="s">
        <v>30</v>
      </c>
      <c r="S2" s="3">
        <v>200</v>
      </c>
      <c r="T2" s="3">
        <v>2</v>
      </c>
    </row>
    <row r="3" spans="1:25" ht="31.2" x14ac:dyDescent="0.3">
      <c r="A3" s="601" t="s">
        <v>43</v>
      </c>
      <c r="B3" s="602"/>
      <c r="C3" s="46" t="s">
        <v>1</v>
      </c>
      <c r="D3" s="15" t="s">
        <v>44</v>
      </c>
      <c r="E3" s="15" t="s">
        <v>45</v>
      </c>
      <c r="F3" s="16" t="s">
        <v>49</v>
      </c>
      <c r="G3" s="75" t="s">
        <v>557</v>
      </c>
      <c r="H3" s="16" t="s">
        <v>675</v>
      </c>
      <c r="I3" s="598"/>
      <c r="J3" s="603"/>
      <c r="K3" s="146"/>
      <c r="L3" s="604"/>
      <c r="O3" s="3" t="s">
        <v>296</v>
      </c>
      <c r="Q3" s="86" t="s">
        <v>558</v>
      </c>
      <c r="S3" s="3">
        <v>300</v>
      </c>
      <c r="T3" s="3">
        <v>3</v>
      </c>
    </row>
    <row r="4" spans="1:25" ht="18" x14ac:dyDescent="0.35">
      <c r="A4" s="605"/>
      <c r="B4" s="606"/>
      <c r="C4" s="50"/>
      <c r="D4" s="7"/>
      <c r="E4" s="7"/>
      <c r="F4" s="7"/>
      <c r="G4" s="71"/>
      <c r="H4" s="7"/>
      <c r="I4" s="598"/>
      <c r="J4" s="45">
        <v>999</v>
      </c>
      <c r="K4" s="11" t="s">
        <v>293</v>
      </c>
      <c r="L4" s="134" t="e">
        <f>'Unit Data from Audit Worksheet'!D3</f>
        <v>#N/A</v>
      </c>
      <c r="S4" s="3">
        <v>400</v>
      </c>
      <c r="T4" s="3">
        <v>4</v>
      </c>
      <c r="W4" s="3" t="b">
        <f t="shared" ref="W4:W35" si="0">EXACT(A4,J4)</f>
        <v>0</v>
      </c>
      <c r="X4" s="607" t="e">
        <f>E4-L4</f>
        <v>#N/A</v>
      </c>
      <c r="Y4" s="607" t="e">
        <f>D4-L4</f>
        <v>#N/A</v>
      </c>
    </row>
    <row r="5" spans="1:25" ht="57" customHeight="1" x14ac:dyDescent="0.3">
      <c r="A5" s="608">
        <f>'Unit Data from Audit Worksheet'!A7</f>
        <v>333</v>
      </c>
      <c r="B5" s="54" t="str">
        <f>'Unit Data from Audit Worksheet'!C7</f>
        <v>Net Position-Governmental Activities</v>
      </c>
      <c r="C5" s="609" t="str">
        <f>'Unit Data from Audit Worksheet'!D7</f>
        <v xml:space="preserve"> All unrestricted Cash and investments.  
Exclude: restricted cash 
                   cash held by a third party. </v>
      </c>
      <c r="D5" s="144"/>
      <c r="E5" s="152">
        <f>'Unit Data from Audit Worksheet'!F7</f>
        <v>0</v>
      </c>
      <c r="F5" s="359">
        <f>IF(L5&lt;0,"Error: Number is normally positive.",)</f>
        <v>0</v>
      </c>
      <c r="G5" s="72"/>
      <c r="H5" s="358">
        <f>'Unit Data from Audit Worksheet'!I7</f>
        <v>0</v>
      </c>
      <c r="I5" s="38"/>
      <c r="J5" s="42">
        <v>333</v>
      </c>
      <c r="K5" s="51" t="s">
        <v>184</v>
      </c>
      <c r="L5" s="610">
        <f>IF(D5="",E5,D5)</f>
        <v>0</v>
      </c>
      <c r="P5" s="327"/>
      <c r="S5" s="3">
        <v>500</v>
      </c>
      <c r="T5" s="3">
        <v>5</v>
      </c>
      <c r="W5" s="3" t="b">
        <f t="shared" si="0"/>
        <v>1</v>
      </c>
      <c r="X5" s="607">
        <f t="shared" ref="X5:X116" si="1">E5-L5</f>
        <v>0</v>
      </c>
      <c r="Y5" s="607">
        <f t="shared" ref="Y5:Y116" si="2">D5-L5</f>
        <v>0</v>
      </c>
    </row>
    <row r="6" spans="1:25" ht="39.75" customHeight="1" x14ac:dyDescent="0.3">
      <c r="A6" s="346">
        <f>'Unit Data from Audit Worksheet'!A8</f>
        <v>500</v>
      </c>
      <c r="B6" s="360" t="str">
        <f>'Unit Data from Audit Worksheet'!C8</f>
        <v>Net Position-Governmental Activities</v>
      </c>
      <c r="C6" s="345" t="str">
        <f>'Unit Data from Audit Worksheet'!D8</f>
        <v xml:space="preserve"> All restricted Cash and investments</v>
      </c>
      <c r="D6" s="144"/>
      <c r="E6" s="366">
        <f>'Unit Data from Audit Worksheet'!F8</f>
        <v>0</v>
      </c>
      <c r="F6" s="359">
        <f>IF(L6&lt;0,"Error: Number is normally positive.",)</f>
        <v>0</v>
      </c>
      <c r="G6" s="361"/>
      <c r="H6" s="358">
        <f>'Unit Data from Audit Worksheet'!I8</f>
        <v>0</v>
      </c>
      <c r="I6" s="38"/>
      <c r="J6" s="357">
        <v>500</v>
      </c>
      <c r="K6" s="356" t="s">
        <v>183</v>
      </c>
      <c r="L6" s="610">
        <f>IF(D6="",E6,D6)</f>
        <v>0</v>
      </c>
      <c r="P6" s="328"/>
      <c r="T6" s="3">
        <v>6</v>
      </c>
      <c r="W6" s="3" t="b">
        <f t="shared" si="0"/>
        <v>1</v>
      </c>
      <c r="X6" s="607">
        <f t="shared" si="1"/>
        <v>0</v>
      </c>
      <c r="Y6" s="607">
        <f t="shared" si="2"/>
        <v>0</v>
      </c>
    </row>
    <row r="7" spans="1:25" ht="43.5" customHeight="1" x14ac:dyDescent="0.3">
      <c r="A7" s="346">
        <f>'Unit Data from Audit Worksheet'!A9</f>
        <v>385</v>
      </c>
      <c r="B7" s="360" t="str">
        <f>'Unit Data from Audit Worksheet'!C9</f>
        <v>Net Position-Governmental Activities</v>
      </c>
      <c r="C7" s="345" t="str">
        <f>'Unit Data from Audit Worksheet'!D9</f>
        <v>Total Assets and deferred outflows</v>
      </c>
      <c r="D7" s="144"/>
      <c r="E7" s="366">
        <f>'Unit Data from Audit Worksheet'!F9</f>
        <v>0</v>
      </c>
      <c r="F7" s="135">
        <f>IF((L5+L6)&gt;L7,"Error: Please review accts (333 + 500) &gt; 385",)</f>
        <v>0</v>
      </c>
      <c r="G7" s="361" t="str">
        <f>IF(Q7=1," Included in error count"," ")</f>
        <v xml:space="preserve"> </v>
      </c>
      <c r="H7" s="358">
        <f>'Unit Data from Audit Worksheet'!I9</f>
        <v>0</v>
      </c>
      <c r="I7" s="38"/>
      <c r="J7" s="76">
        <v>385</v>
      </c>
      <c r="K7" s="77" t="s">
        <v>115</v>
      </c>
      <c r="L7" s="611">
        <f>IF(D7="",E7,D7)+IF(D9="",E9,D9)</f>
        <v>0</v>
      </c>
      <c r="N7" s="78" t="s">
        <v>544</v>
      </c>
      <c r="P7" s="328"/>
      <c r="T7" s="3">
        <v>7</v>
      </c>
      <c r="W7" s="3" t="b">
        <f t="shared" si="0"/>
        <v>1</v>
      </c>
      <c r="X7" s="607">
        <f t="shared" si="1"/>
        <v>0</v>
      </c>
      <c r="Y7" s="607">
        <f t="shared" si="2"/>
        <v>0</v>
      </c>
    </row>
    <row r="8" spans="1:25" ht="90.75" customHeight="1" x14ac:dyDescent="0.3">
      <c r="A8" s="346">
        <f>'Unit Data from Audit Worksheet'!A10</f>
        <v>575</v>
      </c>
      <c r="B8" s="360" t="str">
        <f>'Unit Data from Audit Worksheet'!C10</f>
        <v>Net Position-Governmental Activities</v>
      </c>
      <c r="C8" s="345" t="str">
        <f>'Unit Data from Audit Worksheet'!D10</f>
        <v>Record any positive Internal balances on the net position statements that appear in the Asset Section of the Net Position Statement</v>
      </c>
      <c r="D8" s="144"/>
      <c r="E8" s="366">
        <f>'Unit Data from Audit Worksheet'!F10</f>
        <v>0</v>
      </c>
      <c r="F8" s="359">
        <f>IF(L8&lt;0,"Error: Number is normally positive.",)</f>
        <v>0</v>
      </c>
      <c r="G8" s="361"/>
      <c r="H8" s="358">
        <f>'Unit Data from Audit Worksheet'!I10</f>
        <v>0</v>
      </c>
      <c r="I8" s="38"/>
      <c r="J8" s="357">
        <v>575</v>
      </c>
      <c r="K8" s="363" t="s">
        <v>547</v>
      </c>
      <c r="L8" s="610">
        <f>IF(D8="",E8,D8)</f>
        <v>0</v>
      </c>
      <c r="N8" s="64"/>
      <c r="P8" s="328"/>
      <c r="W8" s="3" t="b">
        <f t="shared" si="0"/>
        <v>1</v>
      </c>
      <c r="X8" s="607">
        <f t="shared" si="1"/>
        <v>0</v>
      </c>
      <c r="Y8" s="607">
        <f t="shared" si="2"/>
        <v>0</v>
      </c>
    </row>
    <row r="9" spans="1:25" ht="103.5" customHeight="1" x14ac:dyDescent="0.3">
      <c r="A9" s="346">
        <f>'Unit Data from Audit Worksheet'!A11</f>
        <v>576</v>
      </c>
      <c r="B9" s="360" t="str">
        <f>'Unit Data from Audit Worksheet'!C11</f>
        <v>Net Position-Governmental Activities</v>
      </c>
      <c r="C9" s="612" t="str">
        <f>'Unit Data from Audit Worksheet'!D11</f>
        <v>Record any negative Internal balances on the net position statements that appear in the Asset Section of the Net Position Statement.
Enter as a positive</v>
      </c>
      <c r="D9" s="110"/>
      <c r="E9" s="155">
        <f>'Unit Data from Audit Worksheet'!F11</f>
        <v>0</v>
      </c>
      <c r="F9" s="355">
        <f>IF(E9&lt;0,"Error: Enter as positive.",)</f>
        <v>0</v>
      </c>
      <c r="G9" s="112"/>
      <c r="H9" s="113">
        <f>'Unit Data from Audit Worksheet'!I11</f>
        <v>0</v>
      </c>
      <c r="I9" s="38"/>
      <c r="J9" s="105">
        <v>576</v>
      </c>
      <c r="K9" s="363" t="s">
        <v>548</v>
      </c>
      <c r="L9" s="610">
        <f>IF(D9="",E9,D9)</f>
        <v>0</v>
      </c>
      <c r="N9" s="64"/>
      <c r="P9" s="329"/>
      <c r="W9" s="3" t="b">
        <f t="shared" si="0"/>
        <v>1</v>
      </c>
      <c r="X9" s="607">
        <f t="shared" si="1"/>
        <v>0</v>
      </c>
      <c r="Y9" s="607">
        <f t="shared" si="2"/>
        <v>0</v>
      </c>
    </row>
    <row r="10" spans="1:25" s="18" customFormat="1" ht="100.5" customHeight="1" x14ac:dyDescent="0.3">
      <c r="A10" s="346">
        <f>'Unit Data from Audit Worksheet'!A12</f>
        <v>626</v>
      </c>
      <c r="B10" s="351" t="str">
        <f>'Unit Data from Audit Worksheet'!C12</f>
        <v>Net Position-Governmental Activities</v>
      </c>
      <c r="C10" s="350" t="str">
        <f>'Unit Data from Audit Worksheet'!D12</f>
        <v xml:space="preserve">Total Current liabilities (as reported on Statement of Net Position)
Include:   Current liabilities including current portion of long-term debt.  Deferred inflows should not be included in Current Liabilities  </v>
      </c>
      <c r="D10" s="110"/>
      <c r="E10" s="372">
        <f>'Unit Data from Audit Worksheet'!F12</f>
        <v>0</v>
      </c>
      <c r="F10" s="354">
        <f>IF(L10&lt;0,"Error: Enter as a positive.",)</f>
        <v>0</v>
      </c>
      <c r="G10" s="339"/>
      <c r="H10" s="354">
        <f>'Unit Data from Audit Worksheet'!I12</f>
        <v>0</v>
      </c>
      <c r="I10" s="38"/>
      <c r="J10" s="353">
        <v>626</v>
      </c>
      <c r="K10" s="321" t="s">
        <v>714</v>
      </c>
      <c r="L10" s="613">
        <f>IF(D10="",E10,D10)+IF(D9="",E9,D9)</f>
        <v>0</v>
      </c>
      <c r="M10" s="614"/>
      <c r="N10" s="182" t="s">
        <v>544</v>
      </c>
      <c r="O10" s="614"/>
      <c r="P10" s="330"/>
      <c r="Q10" s="615"/>
      <c r="R10" s="3"/>
      <c r="W10" s="18" t="b">
        <f t="shared" si="0"/>
        <v>1</v>
      </c>
      <c r="X10" s="616">
        <f t="shared" si="1"/>
        <v>0</v>
      </c>
      <c r="Y10" s="616">
        <f t="shared" si="2"/>
        <v>0</v>
      </c>
    </row>
    <row r="11" spans="1:25" s="18" customFormat="1" ht="86.25" customHeight="1" x14ac:dyDescent="0.3">
      <c r="A11" s="346">
        <f>'Unit Data from Audit Worksheet'!A13</f>
        <v>627</v>
      </c>
      <c r="B11" s="351" t="str">
        <f>'Unit Data from Audit Worksheet'!C13</f>
        <v>Net Position-Governmental Activities</v>
      </c>
      <c r="C11" s="350" t="str">
        <f>'Unit Data from Audit Worksheet'!D13</f>
        <v>Please enter any bond anticipation notes that are classified as current liabilities and included in account 626 above (amounts entered should agree to the current amount included in the changes to long-term debt note)</v>
      </c>
      <c r="D11" s="110"/>
      <c r="E11" s="372">
        <f>'Unit Data from Audit Worksheet'!F13</f>
        <v>0</v>
      </c>
      <c r="F11" s="354"/>
      <c r="G11" s="339"/>
      <c r="H11" s="354"/>
      <c r="I11" s="38"/>
      <c r="J11" s="353">
        <v>627</v>
      </c>
      <c r="K11" s="321" t="s">
        <v>706</v>
      </c>
      <c r="L11" s="617">
        <f t="shared" ref="L11:L16" si="3">IF(D11="",E11,D11)</f>
        <v>0</v>
      </c>
      <c r="M11" s="614"/>
      <c r="N11" s="181"/>
      <c r="O11" s="614"/>
      <c r="P11" s="330"/>
      <c r="Q11" s="615"/>
      <c r="R11" s="3"/>
      <c r="W11" s="18" t="b">
        <f t="shared" si="0"/>
        <v>1</v>
      </c>
      <c r="X11" s="616">
        <f t="shared" si="1"/>
        <v>0</v>
      </c>
      <c r="Y11" s="616">
        <f t="shared" si="2"/>
        <v>0</v>
      </c>
    </row>
    <row r="12" spans="1:25" s="18" customFormat="1" ht="86.25" customHeight="1" x14ac:dyDescent="0.3">
      <c r="A12" s="346">
        <f>'Unit Data from Audit Worksheet'!A14</f>
        <v>628</v>
      </c>
      <c r="B12" s="351" t="str">
        <f>'Unit Data from Audit Worksheet'!C14</f>
        <v>Net Position-Governmental Activities</v>
      </c>
      <c r="C12" s="350" t="str">
        <f>'Unit Data from Audit Worksheet'!D14</f>
        <v>Please enter any compensated absences that are classified as current liabilities and included in account 626 above (amounts entered should agree to the current amount included in the changes to long-term debt note)</v>
      </c>
      <c r="D12" s="110"/>
      <c r="E12" s="372">
        <f>'Unit Data from Audit Worksheet'!F14</f>
        <v>0</v>
      </c>
      <c r="F12" s="354"/>
      <c r="G12" s="339"/>
      <c r="H12" s="354"/>
      <c r="I12" s="38"/>
      <c r="J12" s="353">
        <v>628</v>
      </c>
      <c r="K12" s="321" t="s">
        <v>711</v>
      </c>
      <c r="L12" s="617">
        <f t="shared" si="3"/>
        <v>0</v>
      </c>
      <c r="M12" s="614"/>
      <c r="N12" s="181"/>
      <c r="O12" s="614"/>
      <c r="P12" s="330"/>
      <c r="Q12" s="615"/>
      <c r="R12" s="3"/>
      <c r="W12" s="18" t="b">
        <f t="shared" si="0"/>
        <v>1</v>
      </c>
      <c r="X12" s="616">
        <f t="shared" si="1"/>
        <v>0</v>
      </c>
      <c r="Y12" s="616">
        <f t="shared" si="2"/>
        <v>0</v>
      </c>
    </row>
    <row r="13" spans="1:25" s="18" customFormat="1" ht="93" customHeight="1" x14ac:dyDescent="0.3">
      <c r="A13" s="346">
        <f>'Unit Data from Audit Worksheet'!A15</f>
        <v>629</v>
      </c>
      <c r="B13" s="351" t="str">
        <f>'Unit Data from Audit Worksheet'!C15</f>
        <v>Net Position-Governmental Activities</v>
      </c>
      <c r="C13" s="350" t="str">
        <f>'Unit Data from Audit Worksheet'!D15</f>
        <v>Please enter any pension liabilities that are classified as current liabilities and included in account 626 above (amounts entered should agree to the current amount included in the changes to long-term debt note)</v>
      </c>
      <c r="D13" s="110"/>
      <c r="E13" s="372">
        <f>'Unit Data from Audit Worksheet'!F15</f>
        <v>0</v>
      </c>
      <c r="F13" s="354"/>
      <c r="G13" s="339"/>
      <c r="H13" s="354"/>
      <c r="I13" s="38"/>
      <c r="J13" s="353">
        <v>629</v>
      </c>
      <c r="K13" s="321" t="s">
        <v>710</v>
      </c>
      <c r="L13" s="617">
        <f t="shared" si="3"/>
        <v>0</v>
      </c>
      <c r="M13" s="614"/>
      <c r="N13" s="181"/>
      <c r="O13" s="614"/>
      <c r="P13" s="330"/>
      <c r="Q13" s="615"/>
      <c r="R13" s="3"/>
      <c r="W13" s="18" t="b">
        <f t="shared" si="0"/>
        <v>1</v>
      </c>
      <c r="X13" s="616">
        <f t="shared" si="1"/>
        <v>0</v>
      </c>
      <c r="Y13" s="616">
        <f t="shared" si="2"/>
        <v>0</v>
      </c>
    </row>
    <row r="14" spans="1:25" s="18" customFormat="1" ht="67.5" customHeight="1" x14ac:dyDescent="0.3">
      <c r="A14" s="346">
        <f>'Unit Data from Audit Worksheet'!A16</f>
        <v>630</v>
      </c>
      <c r="B14" s="351" t="str">
        <f>'Unit Data from Audit Worksheet'!C16</f>
        <v>Net Position-Governmental Activities</v>
      </c>
      <c r="C14" s="350" t="str">
        <f>'Unit Data from Audit Worksheet'!D16</f>
        <v>Please enter any current liabilities that are payable from restricted assets and included in account 626 above</v>
      </c>
      <c r="D14" s="110"/>
      <c r="E14" s="372">
        <f>'Unit Data from Audit Worksheet'!F16</f>
        <v>0</v>
      </c>
      <c r="F14" s="354"/>
      <c r="G14" s="339"/>
      <c r="H14" s="354"/>
      <c r="I14" s="38"/>
      <c r="J14" s="353">
        <v>630</v>
      </c>
      <c r="K14" s="321" t="s">
        <v>709</v>
      </c>
      <c r="L14" s="617">
        <f t="shared" si="3"/>
        <v>0</v>
      </c>
      <c r="M14" s="614"/>
      <c r="N14" s="181"/>
      <c r="O14" s="614"/>
      <c r="P14" s="330"/>
      <c r="Q14" s="615"/>
      <c r="R14" s="3"/>
      <c r="W14" s="18" t="b">
        <f t="shared" si="0"/>
        <v>1</v>
      </c>
      <c r="X14" s="616">
        <f t="shared" si="1"/>
        <v>0</v>
      </c>
      <c r="Y14" s="616">
        <f t="shared" si="2"/>
        <v>0</v>
      </c>
    </row>
    <row r="15" spans="1:25" s="18" customFormat="1" ht="102.75" customHeight="1" x14ac:dyDescent="0.3">
      <c r="A15" s="346">
        <f>'Unit Data from Audit Worksheet'!A17</f>
        <v>631</v>
      </c>
      <c r="B15" s="360" t="str">
        <f>'Unit Data from Audit Worksheet'!C17</f>
        <v>Net Position-Governmental Activities</v>
      </c>
      <c r="C15" s="340" t="str">
        <f>'Unit Data from Audit Worksheet'!D17</f>
        <v>Please enter any OPEB liabilities that are classified as current liabilities and included in account 626 above (amounts entered should agree to the current amount included in the changes to long-term debt note)</v>
      </c>
      <c r="D15" s="110"/>
      <c r="E15" s="372">
        <f>'Unit Data from Audit Worksheet'!F17</f>
        <v>0</v>
      </c>
      <c r="F15" s="354"/>
      <c r="G15" s="339"/>
      <c r="H15" s="354"/>
      <c r="I15" s="38"/>
      <c r="J15" s="353">
        <v>631</v>
      </c>
      <c r="K15" s="321" t="s">
        <v>708</v>
      </c>
      <c r="L15" s="617">
        <f t="shared" si="3"/>
        <v>0</v>
      </c>
      <c r="M15" s="614"/>
      <c r="N15" s="181"/>
      <c r="O15" s="614"/>
      <c r="P15" s="330"/>
      <c r="Q15" s="615"/>
      <c r="R15" s="3"/>
      <c r="W15" s="18" t="b">
        <f t="shared" si="0"/>
        <v>1</v>
      </c>
      <c r="X15" s="616">
        <f t="shared" si="1"/>
        <v>0</v>
      </c>
      <c r="Y15" s="616">
        <f t="shared" si="2"/>
        <v>0</v>
      </c>
    </row>
    <row r="16" spans="1:25" s="18" customFormat="1" ht="119.25" customHeight="1" x14ac:dyDescent="0.3">
      <c r="A16" s="346">
        <f>'Unit Data from Audit Worksheet'!A18</f>
        <v>632</v>
      </c>
      <c r="B16" s="360" t="str">
        <f>'Unit Data from Audit Worksheet'!C18</f>
        <v>Net Position-Governmental Activities</v>
      </c>
      <c r="C16" s="340" t="str">
        <f>'Unit Data from Audit Worksheet'!D18</f>
        <v>Please enter any landfill closure/postclosure liabilities that are classified as current liabilities and included in account 626 above (amounts entered should agree to the current amount included in the changes to long-term debt note)</v>
      </c>
      <c r="D16" s="110"/>
      <c r="E16" s="372">
        <f>'Unit Data from Audit Worksheet'!F18</f>
        <v>0</v>
      </c>
      <c r="F16" s="354"/>
      <c r="G16" s="339"/>
      <c r="H16" s="354"/>
      <c r="I16" s="38"/>
      <c r="J16" s="353">
        <v>632</v>
      </c>
      <c r="K16" s="321" t="s">
        <v>707</v>
      </c>
      <c r="L16" s="617">
        <f t="shared" si="3"/>
        <v>0</v>
      </c>
      <c r="M16" s="614"/>
      <c r="N16" s="181"/>
      <c r="O16" s="614"/>
      <c r="P16" s="330"/>
      <c r="Q16" s="615"/>
      <c r="R16" s="3"/>
      <c r="W16" s="18" t="b">
        <f t="shared" si="0"/>
        <v>1</v>
      </c>
      <c r="X16" s="616">
        <f t="shared" si="1"/>
        <v>0</v>
      </c>
      <c r="Y16" s="616">
        <f t="shared" si="2"/>
        <v>0</v>
      </c>
    </row>
    <row r="17" spans="1:25" ht="30.6" x14ac:dyDescent="0.3">
      <c r="A17" s="346">
        <f>'Unit Data from Audit Worksheet'!A19</f>
        <v>338</v>
      </c>
      <c r="B17" s="360" t="str">
        <f>'Unit Data from Audit Worksheet'!C19</f>
        <v>Net Position-Governmental Activities</v>
      </c>
      <c r="C17" s="345" t="str">
        <f>'Unit Data from Audit Worksheet'!D19</f>
        <v>Total Liabilities and total deferred inflows</v>
      </c>
      <c r="D17" s="110"/>
      <c r="E17" s="152">
        <f>'Unit Data from Audit Worksheet'!F19</f>
        <v>0</v>
      </c>
      <c r="F17" s="135" t="str">
        <f>IF(L10&gt;L17,"Please review accounts 626 greater than 338","")</f>
        <v/>
      </c>
      <c r="G17" s="72"/>
      <c r="H17" s="358">
        <f>'Unit Data from Audit Worksheet'!I19</f>
        <v>0</v>
      </c>
      <c r="I17" s="38"/>
      <c r="J17" s="114">
        <v>338</v>
      </c>
      <c r="K17" s="115" t="s">
        <v>116</v>
      </c>
      <c r="L17" s="611">
        <f>IF(D17="",E17,D17)+IF(D9="",E9,D9)</f>
        <v>0</v>
      </c>
      <c r="N17" s="78" t="s">
        <v>544</v>
      </c>
      <c r="P17" s="327"/>
      <c r="W17" s="3" t="b">
        <f t="shared" si="0"/>
        <v>1</v>
      </c>
      <c r="X17" s="607">
        <f t="shared" si="1"/>
        <v>0</v>
      </c>
      <c r="Y17" s="607">
        <f t="shared" si="2"/>
        <v>0</v>
      </c>
    </row>
    <row r="18" spans="1:25" ht="100.5" customHeight="1" x14ac:dyDescent="0.3">
      <c r="A18" s="346">
        <f>'Unit Data from Audit Worksheet'!A20</f>
        <v>335</v>
      </c>
      <c r="B18" s="360" t="str">
        <f>'Unit Data from Audit Worksheet'!C20</f>
        <v>Net Position-Governmental Activities</v>
      </c>
      <c r="C18" s="345" t="str">
        <f>'Unit Data from Audit Worksheet'!D20</f>
        <v>Unearned revenues that were included in current liabilities in your audit report or entered in acct # 626 above. 
Exclude - unearned revenues that are listed in deferred inflows.</v>
      </c>
      <c r="D18" s="110"/>
      <c r="E18" s="366">
        <f>'Unit Data from Audit Worksheet'!F20</f>
        <v>0</v>
      </c>
      <c r="F18" s="359">
        <f>IF(L18&lt;0,"Error: Enter as a positive.",)</f>
        <v>0</v>
      </c>
      <c r="G18" s="361"/>
      <c r="H18" s="358">
        <f>'Unit Data from Audit Worksheet'!I20</f>
        <v>0</v>
      </c>
      <c r="I18" s="38"/>
      <c r="J18" s="357">
        <v>335</v>
      </c>
      <c r="K18" s="356" t="s">
        <v>117</v>
      </c>
      <c r="L18" s="610">
        <f>IF(D18="",E18,D18)</f>
        <v>0</v>
      </c>
      <c r="P18" s="328"/>
      <c r="W18" s="3" t="b">
        <f t="shared" si="0"/>
        <v>1</v>
      </c>
      <c r="X18" s="607">
        <f t="shared" si="1"/>
        <v>0</v>
      </c>
      <c r="Y18" s="607">
        <f t="shared" si="2"/>
        <v>0</v>
      </c>
    </row>
    <row r="19" spans="1:25" ht="20.399999999999999" x14ac:dyDescent="0.3">
      <c r="A19" s="346">
        <f>'Unit Data from Audit Worksheet'!A21</f>
        <v>252</v>
      </c>
      <c r="B19" s="360" t="str">
        <f>'Unit Data from Audit Worksheet'!C21</f>
        <v>Net Position-Governmental Activities</v>
      </c>
      <c r="C19" s="345" t="str">
        <f>'Unit Data from Audit Worksheet'!D21</f>
        <v xml:space="preserve"> Total Net investment in capital assets</v>
      </c>
      <c r="D19" s="110"/>
      <c r="E19" s="366">
        <f>'Unit Data from Audit Worksheet'!F21</f>
        <v>0</v>
      </c>
      <c r="F19" s="359"/>
      <c r="G19" s="361"/>
      <c r="H19" s="358">
        <f>'Unit Data from Audit Worksheet'!I21</f>
        <v>0</v>
      </c>
      <c r="I19" s="38"/>
      <c r="J19" s="357">
        <v>252</v>
      </c>
      <c r="K19" s="356" t="s">
        <v>103</v>
      </c>
      <c r="L19" s="610">
        <f t="shared" ref="L19:L51" si="4">IF(D19="",E19,D19)</f>
        <v>0</v>
      </c>
      <c r="O19" s="618" t="e">
        <f>'Unit Data from Audit Worksheet'!E21</f>
        <v>#N/A</v>
      </c>
      <c r="P19" s="328"/>
      <c r="W19" s="3" t="b">
        <f t="shared" si="0"/>
        <v>1</v>
      </c>
      <c r="X19" s="607">
        <f t="shared" si="1"/>
        <v>0</v>
      </c>
      <c r="Y19" s="607">
        <f t="shared" si="2"/>
        <v>0</v>
      </c>
    </row>
    <row r="20" spans="1:25" ht="20.399999999999999" x14ac:dyDescent="0.3">
      <c r="A20" s="346">
        <f>'Unit Data from Audit Worksheet'!A22</f>
        <v>253</v>
      </c>
      <c r="B20" s="360" t="str">
        <f>'Unit Data from Audit Worksheet'!C22</f>
        <v>Net Position-Governmental Activities</v>
      </c>
      <c r="C20" s="345" t="str">
        <f>'Unit Data from Audit Worksheet'!D22</f>
        <v xml:space="preserve"> Total Net Position, Restricted</v>
      </c>
      <c r="D20" s="110"/>
      <c r="E20" s="366">
        <f>'Unit Data from Audit Worksheet'!F22</f>
        <v>0</v>
      </c>
      <c r="F20" s="359"/>
      <c r="G20" s="361"/>
      <c r="H20" s="358">
        <f>'Unit Data from Audit Worksheet'!I22</f>
        <v>0</v>
      </c>
      <c r="I20" s="38"/>
      <c r="J20" s="357">
        <v>253</v>
      </c>
      <c r="K20" s="356" t="s">
        <v>104</v>
      </c>
      <c r="L20" s="610">
        <f t="shared" si="4"/>
        <v>0</v>
      </c>
      <c r="O20" s="618" t="e">
        <f>'Unit Data from Audit Worksheet'!E22</f>
        <v>#N/A</v>
      </c>
      <c r="P20" s="328"/>
      <c r="W20" s="3" t="b">
        <f t="shared" si="0"/>
        <v>1</v>
      </c>
      <c r="X20" s="607">
        <f t="shared" si="1"/>
        <v>0</v>
      </c>
      <c r="Y20" s="607">
        <f t="shared" si="2"/>
        <v>0</v>
      </c>
    </row>
    <row r="21" spans="1:25" ht="73.5" customHeight="1" x14ac:dyDescent="0.3">
      <c r="A21" s="346">
        <f>'Unit Data from Audit Worksheet'!A23</f>
        <v>254</v>
      </c>
      <c r="B21" s="360" t="str">
        <f>'Unit Data from Audit Worksheet'!C23</f>
        <v>Net Position-Governmental Activities</v>
      </c>
      <c r="C21" s="345" t="str">
        <f>'Unit Data from Audit Worksheet'!D23</f>
        <v>Total Net Position, Unrestricted - enter negative unrestricted net position as a negative)</v>
      </c>
      <c r="D21" s="110"/>
      <c r="E21" s="366">
        <f>'Unit Data from Audit Worksheet'!F23</f>
        <v>0</v>
      </c>
      <c r="F21" s="359">
        <f>IF((L7-L17-L19-L20-L21)=0,,"Error: Total assets and deferred outflows less total liabilities and deferred inflows do not equal total net position accts 385-338-252-253-254")</f>
        <v>0</v>
      </c>
      <c r="G21" s="90">
        <f>+L7-L17-L19-L20-L21</f>
        <v>0</v>
      </c>
      <c r="H21" s="358">
        <f>'Unit Data from Audit Worksheet'!I23</f>
        <v>0</v>
      </c>
      <c r="I21" s="38"/>
      <c r="J21" s="357">
        <v>254</v>
      </c>
      <c r="K21" s="356" t="s">
        <v>105</v>
      </c>
      <c r="L21" s="610">
        <f t="shared" si="4"/>
        <v>0</v>
      </c>
      <c r="O21" s="618" t="e">
        <f>'Unit Data from Audit Worksheet'!E23</f>
        <v>#N/A</v>
      </c>
      <c r="P21" s="328"/>
      <c r="Q21" s="600">
        <f>IF(G21&lt;&gt;0,1,0)</f>
        <v>0</v>
      </c>
      <c r="W21" s="3" t="b">
        <f t="shared" si="0"/>
        <v>1</v>
      </c>
      <c r="X21" s="607">
        <f t="shared" si="1"/>
        <v>0</v>
      </c>
      <c r="Y21" s="607">
        <f t="shared" si="2"/>
        <v>0</v>
      </c>
    </row>
    <row r="22" spans="1:25" ht="51.75" customHeight="1" x14ac:dyDescent="0.3">
      <c r="A22" s="346">
        <f>'Unit Data from Audit Worksheet'!A25</f>
        <v>502</v>
      </c>
      <c r="B22" s="360" t="str">
        <f>'Unit Data from Audit Worksheet'!C25</f>
        <v>Net Position-Business Activities</v>
      </c>
      <c r="C22" s="345" t="str">
        <f>'Unit Data from Audit Worksheet'!D25</f>
        <v xml:space="preserve">All unrestricted Cash and investments. 
Exclude restricted cash and cash held by a third party. </v>
      </c>
      <c r="D22" s="110"/>
      <c r="E22" s="366">
        <f>'Unit Data from Audit Worksheet'!F25</f>
        <v>0</v>
      </c>
      <c r="F22" s="359">
        <f>IF(L22&lt;0,"Error: Number is normally positive.",)</f>
        <v>0</v>
      </c>
      <c r="G22" s="361"/>
      <c r="H22" s="358">
        <f>'Unit Data from Audit Worksheet'!I25</f>
        <v>0</v>
      </c>
      <c r="I22" s="38"/>
      <c r="J22" s="357">
        <v>502</v>
      </c>
      <c r="K22" s="356" t="s">
        <v>186</v>
      </c>
      <c r="L22" s="610">
        <f t="shared" si="4"/>
        <v>0</v>
      </c>
      <c r="P22" s="328"/>
      <c r="W22" s="3" t="b">
        <f t="shared" si="0"/>
        <v>1</v>
      </c>
      <c r="X22" s="607">
        <f t="shared" si="1"/>
        <v>0</v>
      </c>
      <c r="Y22" s="607">
        <f t="shared" si="2"/>
        <v>0</v>
      </c>
    </row>
    <row r="23" spans="1:25" ht="40.5" customHeight="1" x14ac:dyDescent="0.3">
      <c r="A23" s="346">
        <f>'Unit Data from Audit Worksheet'!A26</f>
        <v>503</v>
      </c>
      <c r="B23" s="360" t="str">
        <f>'Unit Data from Audit Worksheet'!C26</f>
        <v>Net Position-Business Activities</v>
      </c>
      <c r="C23" s="345" t="str">
        <f>'Unit Data from Audit Worksheet'!D26</f>
        <v>All restricted Cash and investments</v>
      </c>
      <c r="D23" s="110"/>
      <c r="E23" s="366">
        <f>'Unit Data from Audit Worksheet'!F26</f>
        <v>0</v>
      </c>
      <c r="F23" s="359">
        <f>IF(L23&lt;0,"Error: Number is normally positive.",)</f>
        <v>0</v>
      </c>
      <c r="G23" s="361"/>
      <c r="H23" s="358">
        <f>'Unit Data from Audit Worksheet'!I26</f>
        <v>0</v>
      </c>
      <c r="I23" s="38"/>
      <c r="J23" s="357">
        <v>503</v>
      </c>
      <c r="K23" s="356" t="s">
        <v>187</v>
      </c>
      <c r="L23" s="610">
        <f t="shared" si="4"/>
        <v>0</v>
      </c>
      <c r="P23" s="328"/>
      <c r="W23" s="3" t="b">
        <f t="shared" si="0"/>
        <v>1</v>
      </c>
      <c r="X23" s="607">
        <f t="shared" si="1"/>
        <v>0</v>
      </c>
      <c r="Y23" s="607">
        <f t="shared" si="2"/>
        <v>0</v>
      </c>
    </row>
    <row r="24" spans="1:25" ht="39" customHeight="1" x14ac:dyDescent="0.3">
      <c r="A24" s="346">
        <f>'Unit Data from Audit Worksheet'!A28</f>
        <v>344</v>
      </c>
      <c r="B24" s="360" t="str">
        <f>'Unit Data from Audit Worksheet'!C28</f>
        <v>Statement of Activities - Governmental</v>
      </c>
      <c r="C24" s="345" t="str">
        <f>'Unit Data from Audit Worksheet'!D28</f>
        <v xml:space="preserve">Total Interest expense on Long-Term Debt </v>
      </c>
      <c r="D24" s="110"/>
      <c r="E24" s="366">
        <f>'Unit Data from Audit Worksheet'!F28</f>
        <v>0</v>
      </c>
      <c r="F24" s="359">
        <f>IF(L24&lt;0,"Error: Enter as a positive.",)</f>
        <v>0</v>
      </c>
      <c r="G24" s="361"/>
      <c r="H24" s="358">
        <f>'Unit Data from Audit Worksheet'!I28</f>
        <v>0</v>
      </c>
      <c r="I24" s="38"/>
      <c r="J24" s="357">
        <v>344</v>
      </c>
      <c r="K24" s="356" t="s">
        <v>188</v>
      </c>
      <c r="L24" s="610">
        <f t="shared" si="4"/>
        <v>0</v>
      </c>
      <c r="P24" s="328"/>
      <c r="W24" s="3" t="b">
        <f t="shared" si="0"/>
        <v>1</v>
      </c>
      <c r="X24" s="607">
        <f t="shared" si="1"/>
        <v>0</v>
      </c>
      <c r="Y24" s="607">
        <f t="shared" si="2"/>
        <v>0</v>
      </c>
    </row>
    <row r="25" spans="1:25" ht="39" customHeight="1" x14ac:dyDescent="0.3">
      <c r="A25" s="346">
        <f>'Unit Data from Audit Worksheet'!A29</f>
        <v>388</v>
      </c>
      <c r="B25" s="360" t="str">
        <f>'Unit Data from Audit Worksheet'!C29</f>
        <v>Statement of Activities - Governmental</v>
      </c>
      <c r="C25" s="345" t="str">
        <f>'Unit Data from Audit Worksheet'!D29</f>
        <v>Total Expenses</v>
      </c>
      <c r="D25" s="110"/>
      <c r="E25" s="366">
        <f>'Unit Data from Audit Worksheet'!F29</f>
        <v>0</v>
      </c>
      <c r="F25" s="359">
        <f t="shared" ref="F25:F30" si="5">IF(L25&lt;0,"Error: Number is normally positive.",)</f>
        <v>0</v>
      </c>
      <c r="G25" s="361"/>
      <c r="H25" s="358">
        <f>'Unit Data from Audit Worksheet'!I29</f>
        <v>0</v>
      </c>
      <c r="I25" s="38"/>
      <c r="J25" s="357">
        <v>388</v>
      </c>
      <c r="K25" s="356" t="s">
        <v>189</v>
      </c>
      <c r="L25" s="610">
        <f t="shared" si="4"/>
        <v>0</v>
      </c>
      <c r="P25" s="328"/>
      <c r="W25" s="3" t="b">
        <f t="shared" si="0"/>
        <v>1</v>
      </c>
      <c r="X25" s="607">
        <f t="shared" si="1"/>
        <v>0</v>
      </c>
      <c r="Y25" s="607">
        <f t="shared" si="2"/>
        <v>0</v>
      </c>
    </row>
    <row r="26" spans="1:25" ht="39" customHeight="1" x14ac:dyDescent="0.3">
      <c r="A26" s="346">
        <f>'Unit Data from Audit Worksheet'!A30</f>
        <v>339</v>
      </c>
      <c r="B26" s="360" t="str">
        <f>'Unit Data from Audit Worksheet'!C30</f>
        <v>Statement of Activities - Governmental</v>
      </c>
      <c r="C26" s="345" t="str">
        <f>'Unit Data from Audit Worksheet'!D30</f>
        <v xml:space="preserve">Charges for services </v>
      </c>
      <c r="D26" s="110"/>
      <c r="E26" s="366">
        <f>'Unit Data from Audit Worksheet'!F30</f>
        <v>0</v>
      </c>
      <c r="F26" s="359">
        <f t="shared" si="5"/>
        <v>0</v>
      </c>
      <c r="G26" s="361"/>
      <c r="H26" s="358">
        <f>'Unit Data from Audit Worksheet'!I30</f>
        <v>0</v>
      </c>
      <c r="I26" s="38"/>
      <c r="J26" s="357">
        <v>339</v>
      </c>
      <c r="K26" s="356" t="s">
        <v>190</v>
      </c>
      <c r="L26" s="610">
        <f t="shared" si="4"/>
        <v>0</v>
      </c>
      <c r="P26" s="328"/>
      <c r="W26" s="3" t="b">
        <f t="shared" si="0"/>
        <v>1</v>
      </c>
      <c r="X26" s="607">
        <f t="shared" si="1"/>
        <v>0</v>
      </c>
      <c r="Y26" s="607">
        <f t="shared" si="2"/>
        <v>0</v>
      </c>
    </row>
    <row r="27" spans="1:25" ht="39" customHeight="1" x14ac:dyDescent="0.3">
      <c r="A27" s="346">
        <f>'Unit Data from Audit Worksheet'!A31</f>
        <v>504</v>
      </c>
      <c r="B27" s="360" t="str">
        <f>'Unit Data from Audit Worksheet'!C31</f>
        <v>Statement of Activities - Governmental</v>
      </c>
      <c r="C27" s="345" t="str">
        <f>'Unit Data from Audit Worksheet'!D31</f>
        <v>Operating grants and contributions</v>
      </c>
      <c r="D27" s="110"/>
      <c r="E27" s="366">
        <f>'Unit Data from Audit Worksheet'!F31</f>
        <v>0</v>
      </c>
      <c r="F27" s="359">
        <f t="shared" si="5"/>
        <v>0</v>
      </c>
      <c r="G27" s="361"/>
      <c r="H27" s="358">
        <f>'Unit Data from Audit Worksheet'!I31</f>
        <v>0</v>
      </c>
      <c r="I27" s="38"/>
      <c r="J27" s="357">
        <v>504</v>
      </c>
      <c r="K27" s="356" t="s">
        <v>191</v>
      </c>
      <c r="L27" s="610">
        <f t="shared" si="4"/>
        <v>0</v>
      </c>
      <c r="P27" s="328"/>
      <c r="W27" s="3" t="b">
        <f t="shared" si="0"/>
        <v>1</v>
      </c>
      <c r="X27" s="607">
        <f t="shared" si="1"/>
        <v>0</v>
      </c>
      <c r="Y27" s="607">
        <f t="shared" si="2"/>
        <v>0</v>
      </c>
    </row>
    <row r="28" spans="1:25" ht="39" customHeight="1" x14ac:dyDescent="0.3">
      <c r="A28" s="346">
        <f>'Unit Data from Audit Worksheet'!A32</f>
        <v>505</v>
      </c>
      <c r="B28" s="360" t="str">
        <f>'Unit Data from Audit Worksheet'!C32</f>
        <v>Statement of Activities - Governmental</v>
      </c>
      <c r="C28" s="345" t="str">
        <f>'Unit Data from Audit Worksheet'!D32</f>
        <v>Capital grants and contributions</v>
      </c>
      <c r="D28" s="110"/>
      <c r="E28" s="366">
        <f>'Unit Data from Audit Worksheet'!F32</f>
        <v>0</v>
      </c>
      <c r="F28" s="359">
        <f t="shared" si="5"/>
        <v>0</v>
      </c>
      <c r="G28" s="361"/>
      <c r="H28" s="358">
        <f>'Unit Data from Audit Worksheet'!I32</f>
        <v>0</v>
      </c>
      <c r="I28" s="38"/>
      <c r="J28" s="357">
        <v>505</v>
      </c>
      <c r="K28" s="356" t="s">
        <v>192</v>
      </c>
      <c r="L28" s="610">
        <f t="shared" si="4"/>
        <v>0</v>
      </c>
      <c r="P28" s="328"/>
      <c r="W28" s="3" t="b">
        <f t="shared" si="0"/>
        <v>1</v>
      </c>
      <c r="X28" s="607">
        <f t="shared" si="1"/>
        <v>0</v>
      </c>
      <c r="Y28" s="607">
        <f t="shared" si="2"/>
        <v>0</v>
      </c>
    </row>
    <row r="29" spans="1:25" ht="82.5" customHeight="1" x14ac:dyDescent="0.3">
      <c r="A29" s="346">
        <f>'Unit Data from Audit Worksheet'!A33</f>
        <v>341</v>
      </c>
      <c r="B29" s="360" t="str">
        <f>'Unit Data from Audit Worksheet'!C33</f>
        <v>Statement of Activities - Governmental</v>
      </c>
      <c r="C29" s="345" t="str">
        <f>'Unit Data from Audit Worksheet'!D33</f>
        <v>Total General revenues
Exclude: transfers-in or out,
                 special items,
                 extraordinary amounts</v>
      </c>
      <c r="D29" s="110"/>
      <c r="E29" s="366">
        <f>'Unit Data from Audit Worksheet'!F33</f>
        <v>0</v>
      </c>
      <c r="F29" s="359">
        <f t="shared" si="5"/>
        <v>0</v>
      </c>
      <c r="G29" s="361"/>
      <c r="H29" s="358">
        <f>'Unit Data from Audit Worksheet'!I33</f>
        <v>0</v>
      </c>
      <c r="I29" s="38"/>
      <c r="J29" s="357">
        <v>341</v>
      </c>
      <c r="K29" s="356" t="s">
        <v>193</v>
      </c>
      <c r="L29" s="610">
        <f t="shared" si="4"/>
        <v>0</v>
      </c>
      <c r="P29" s="328"/>
      <c r="W29" s="3" t="b">
        <f t="shared" si="0"/>
        <v>1</v>
      </c>
      <c r="X29" s="607">
        <f t="shared" si="1"/>
        <v>0</v>
      </c>
      <c r="Y29" s="607">
        <f t="shared" si="2"/>
        <v>0</v>
      </c>
    </row>
    <row r="30" spans="1:25" ht="82.5" customHeight="1" x14ac:dyDescent="0.3">
      <c r="A30" s="346">
        <f>'Unit Data from Audit Worksheet'!A34</f>
        <v>386</v>
      </c>
      <c r="B30" s="360" t="str">
        <f>'Unit Data from Audit Worksheet'!C34</f>
        <v>Statement of Activities - Governmental</v>
      </c>
      <c r="C30" s="345" t="str">
        <f>'Unit Data from Audit Worksheet'!D34</f>
        <v>Total Transfers in    (Preference is that transfers-in  are not netted against transfers-out)</v>
      </c>
      <c r="D30" s="110"/>
      <c r="E30" s="366">
        <f>'Unit Data from Audit Worksheet'!F34</f>
        <v>0</v>
      </c>
      <c r="F30" s="359">
        <f t="shared" si="5"/>
        <v>0</v>
      </c>
      <c r="G30" s="361"/>
      <c r="H30" s="358">
        <f>'Unit Data from Audit Worksheet'!I34</f>
        <v>0</v>
      </c>
      <c r="I30" s="38"/>
      <c r="J30" s="357">
        <v>386</v>
      </c>
      <c r="K30" s="356" t="s">
        <v>194</v>
      </c>
      <c r="L30" s="610">
        <f t="shared" si="4"/>
        <v>0</v>
      </c>
      <c r="P30" s="328"/>
      <c r="W30" s="3" t="b">
        <f t="shared" si="0"/>
        <v>1</v>
      </c>
      <c r="X30" s="607">
        <f t="shared" si="1"/>
        <v>0</v>
      </c>
      <c r="Y30" s="607">
        <f t="shared" si="2"/>
        <v>0</v>
      </c>
    </row>
    <row r="31" spans="1:25" ht="82.5" customHeight="1" x14ac:dyDescent="0.3">
      <c r="A31" s="346">
        <f>'Unit Data from Audit Worksheet'!A35</f>
        <v>387</v>
      </c>
      <c r="B31" s="360" t="str">
        <f>'Unit Data from Audit Worksheet'!C35</f>
        <v>Statement of Activities - Governmental</v>
      </c>
      <c r="C31" s="345" t="str">
        <f>'Unit Data from Audit Worksheet'!D35</f>
        <v>Total Transfers out    (Preference is that transfers-in  are not netted against transfers-out)</v>
      </c>
      <c r="D31" s="110"/>
      <c r="E31" s="366">
        <f>'Unit Data from Audit Worksheet'!F35</f>
        <v>0</v>
      </c>
      <c r="F31" s="359">
        <f>IF(L31&lt;0,"Error: Enter as a positive.",)</f>
        <v>0</v>
      </c>
      <c r="G31" s="361"/>
      <c r="H31" s="358">
        <f>'Unit Data from Audit Worksheet'!I35</f>
        <v>0</v>
      </c>
      <c r="I31" s="38"/>
      <c r="J31" s="357">
        <v>387</v>
      </c>
      <c r="K31" s="356" t="s">
        <v>195</v>
      </c>
      <c r="L31" s="610">
        <f t="shared" si="4"/>
        <v>0</v>
      </c>
      <c r="P31" s="328"/>
      <c r="W31" s="3" t="b">
        <f t="shared" si="0"/>
        <v>1</v>
      </c>
      <c r="X31" s="607">
        <f t="shared" si="1"/>
        <v>0</v>
      </c>
      <c r="Y31" s="607">
        <f t="shared" si="2"/>
        <v>0</v>
      </c>
    </row>
    <row r="32" spans="1:25" ht="82.5" customHeight="1" x14ac:dyDescent="0.3">
      <c r="A32" s="346">
        <f>'Unit Data from Audit Worksheet'!A36</f>
        <v>389</v>
      </c>
      <c r="B32" s="360" t="str">
        <f>'Unit Data from Audit Worksheet'!C36</f>
        <v>Statement of Activities - Governmental</v>
      </c>
      <c r="C32" s="345" t="str">
        <f>'Unit Data from Audit Worksheet'!D36</f>
        <v>Total Special and Extraordinary items.    (Amounts that increase net position are recorded as positive and amounts that decrease net position are recorded as negative)</v>
      </c>
      <c r="D32" s="110"/>
      <c r="E32" s="366">
        <f>'Unit Data from Audit Worksheet'!F36</f>
        <v>0</v>
      </c>
      <c r="F32" s="359"/>
      <c r="G32" s="361"/>
      <c r="H32" s="358">
        <f>'Unit Data from Audit Worksheet'!I36</f>
        <v>0</v>
      </c>
      <c r="I32" s="38"/>
      <c r="J32" s="357">
        <v>389</v>
      </c>
      <c r="K32" s="356" t="s">
        <v>196</v>
      </c>
      <c r="L32" s="610">
        <f t="shared" si="4"/>
        <v>0</v>
      </c>
      <c r="N32" s="619"/>
      <c r="P32" s="328"/>
      <c r="W32" s="3" t="b">
        <f t="shared" si="0"/>
        <v>1</v>
      </c>
      <c r="X32" s="607">
        <f t="shared" si="1"/>
        <v>0</v>
      </c>
      <c r="Y32" s="607">
        <f t="shared" si="2"/>
        <v>0</v>
      </c>
    </row>
    <row r="33" spans="1:25" ht="79.5" customHeight="1" x14ac:dyDescent="0.3">
      <c r="A33" s="346">
        <f>'Unit Data from Audit Worksheet'!A37</f>
        <v>255</v>
      </c>
      <c r="B33" s="360" t="str">
        <f>'Unit Data from Audit Worksheet'!C37</f>
        <v>Statement of Activities - Governmental</v>
      </c>
      <c r="C33" s="345" t="str">
        <f>'Unit Data from Audit Worksheet'!D37</f>
        <v>Total Change in net position - (Increase in net position is recorded as a positive and a decrease in net position is recorded as a negative)</v>
      </c>
      <c r="D33" s="110"/>
      <c r="E33" s="366">
        <f>'Unit Data from Audit Worksheet'!F37</f>
        <v>0</v>
      </c>
      <c r="F33" s="359">
        <f>IF((L26+L27+L28+L29+L30-L31+L32-L25-L33)=0,,"Total revenues less total expenses do not equal total change in net position. Acct 339+504+505+341+386-387+389-388-255=0")</f>
        <v>0</v>
      </c>
      <c r="G33" s="91">
        <f>L26+L27+L28+L29+L30-L31+L32-L25-L33</f>
        <v>0</v>
      </c>
      <c r="H33" s="358">
        <f>'Unit Data from Audit Worksheet'!I37</f>
        <v>0</v>
      </c>
      <c r="I33" s="38"/>
      <c r="J33" s="357">
        <v>255</v>
      </c>
      <c r="K33" s="356" t="s">
        <v>197</v>
      </c>
      <c r="L33" s="610">
        <f t="shared" si="4"/>
        <v>0</v>
      </c>
      <c r="O33" s="618" t="e">
        <f>'Unit Data from Audit Worksheet'!E37</f>
        <v>#N/A</v>
      </c>
      <c r="P33" s="328"/>
      <c r="Q33" s="600">
        <f>IF(G33&lt;&gt;0,1,0)</f>
        <v>0</v>
      </c>
      <c r="W33" s="3" t="b">
        <f t="shared" si="0"/>
        <v>1</v>
      </c>
      <c r="X33" s="607">
        <f t="shared" si="1"/>
        <v>0</v>
      </c>
      <c r="Y33" s="607">
        <f t="shared" si="2"/>
        <v>0</v>
      </c>
    </row>
    <row r="34" spans="1:25" ht="89.25" customHeight="1" x14ac:dyDescent="0.3">
      <c r="A34" s="346">
        <f>'Unit Data from Audit Worksheet'!A38</f>
        <v>376</v>
      </c>
      <c r="B34" s="360" t="str">
        <f>'Unit Data from Audit Worksheet'!C38</f>
        <v>Statement of Activities - Governmental</v>
      </c>
      <c r="C34" s="345" t="str">
        <f>'Unit Data from Audit Worksheet'!D38</f>
        <v>Any adjustment to beginning net position including rounding, prior period adjustments and restatements.   (Increases to net position are positive; decreases to net position are negative)</v>
      </c>
      <c r="D34" s="110"/>
      <c r="E34" s="366">
        <f>'Unit Data from Audit Worksheet'!F38</f>
        <v>0</v>
      </c>
      <c r="F34" s="87" t="e">
        <f>IF(L19+L20+L21-L33-L34=O19+O20+O21,,"Beginning Balance does not agree with our records acct (252+253+254-255-376=PY252+PY253+PY254)")</f>
        <v>#N/A</v>
      </c>
      <c r="G34" s="92" t="e">
        <f>L19+L20+L21-L33-L34-(O19+O20+O21)</f>
        <v>#N/A</v>
      </c>
      <c r="H34" s="358">
        <f>'Unit Data from Audit Worksheet'!I38</f>
        <v>0</v>
      </c>
      <c r="I34" s="38"/>
      <c r="J34" s="357">
        <v>376</v>
      </c>
      <c r="K34" s="356" t="s">
        <v>108</v>
      </c>
      <c r="L34" s="610">
        <f t="shared" si="4"/>
        <v>0</v>
      </c>
      <c r="O34" s="618" t="e">
        <f>'Unit Data from Audit Worksheet'!E38</f>
        <v>#N/A</v>
      </c>
      <c r="P34" s="328"/>
      <c r="Q34" s="600" t="e">
        <f>IF(G34&lt;&gt;0,1,0)</f>
        <v>#N/A</v>
      </c>
      <c r="W34" s="3" t="b">
        <f t="shared" si="0"/>
        <v>1</v>
      </c>
      <c r="X34" s="607">
        <f t="shared" si="1"/>
        <v>0</v>
      </c>
      <c r="Y34" s="607">
        <f t="shared" si="2"/>
        <v>0</v>
      </c>
    </row>
    <row r="35" spans="1:25" ht="157.5" customHeight="1" x14ac:dyDescent="0.3">
      <c r="A35" s="346">
        <f>'Unit Data from Audit Worksheet'!A39</f>
        <v>597</v>
      </c>
      <c r="B35" s="360" t="str">
        <f>'Unit Data from Audit Worksheet'!C39</f>
        <v>Statement of Activities                               (all governmental and business funds)</v>
      </c>
      <c r="C35" s="345" t="str">
        <f>'Unit Data from Audit Worksheet'!D39</f>
        <v>Amount of interest income and investment income recognized as revenue in your audit report for all governmental and proprietary funds.  In the past we have asked you to adjust this number, but this year we would like the number as it appears on your Statement of Activities without adjustment.</v>
      </c>
      <c r="D35" s="110"/>
      <c r="E35" s="366">
        <f>'Unit Data from Audit Worksheet'!F39</f>
        <v>0</v>
      </c>
      <c r="F35" s="359">
        <f>IF(L35&lt;0,"Error: Number is normally positive.",)</f>
        <v>0</v>
      </c>
      <c r="G35" s="361"/>
      <c r="H35" s="358">
        <f>'Unit Data from Audit Worksheet'!I39</f>
        <v>0</v>
      </c>
      <c r="I35" s="38"/>
      <c r="J35" s="357">
        <v>597</v>
      </c>
      <c r="K35" s="356" t="s">
        <v>655</v>
      </c>
      <c r="L35" s="610">
        <f t="shared" si="4"/>
        <v>0</v>
      </c>
      <c r="O35" s="618"/>
      <c r="P35" s="328"/>
      <c r="W35" s="3" t="b">
        <f t="shared" si="0"/>
        <v>1</v>
      </c>
      <c r="X35" s="607">
        <f t="shared" si="1"/>
        <v>0</v>
      </c>
      <c r="Y35" s="607">
        <f t="shared" si="2"/>
        <v>0</v>
      </c>
    </row>
    <row r="36" spans="1:25" ht="90" customHeight="1" x14ac:dyDescent="0.3">
      <c r="A36" s="346">
        <f>'Unit Data from Audit Worksheet'!A41</f>
        <v>592</v>
      </c>
      <c r="B36" s="360" t="str">
        <f>'Unit Data from Audit Worksheet'!C41</f>
        <v>Statement of Activities - Business Activities</v>
      </c>
      <c r="C36" s="345" t="str">
        <f>'Unit Data from Audit Worksheet'!D41</f>
        <v>Total Change in net position Business Type 
(Increase in net position is recorded as a positive and a decrease in net position is recorded as a negative)</v>
      </c>
      <c r="D36" s="110"/>
      <c r="E36" s="366">
        <f>'Unit Data from Audit Worksheet'!F41</f>
        <v>0</v>
      </c>
      <c r="F36" s="359"/>
      <c r="G36" s="361"/>
      <c r="H36" s="358">
        <f>'Unit Data from Audit Worksheet'!I41</f>
        <v>0</v>
      </c>
      <c r="I36" s="38"/>
      <c r="J36" s="357">
        <v>592</v>
      </c>
      <c r="K36" s="356" t="s">
        <v>610</v>
      </c>
      <c r="L36" s="610">
        <f t="shared" si="4"/>
        <v>0</v>
      </c>
      <c r="O36" s="618"/>
      <c r="P36" s="328"/>
      <c r="W36" s="3" t="b">
        <f t="shared" ref="W36:W66" si="6">EXACT(A36,J36)</f>
        <v>1</v>
      </c>
      <c r="X36" s="607">
        <f t="shared" si="1"/>
        <v>0</v>
      </c>
      <c r="Y36" s="607">
        <f t="shared" si="2"/>
        <v>0</v>
      </c>
    </row>
    <row r="37" spans="1:25" ht="66" customHeight="1" x14ac:dyDescent="0.3">
      <c r="A37" s="346">
        <f>'Unit Data from Audit Worksheet'!A42</f>
        <v>591</v>
      </c>
      <c r="B37" s="360" t="str">
        <f>'Unit Data from Audit Worksheet'!C42</f>
        <v>Statement of Activities - Business Activities</v>
      </c>
      <c r="C37" s="345" t="str">
        <f>'Unit Data from Audit Worksheet'!D42</f>
        <v>Total Expenses - Exclude Transfers</v>
      </c>
      <c r="D37" s="110"/>
      <c r="E37" s="366">
        <f>'Unit Data from Audit Worksheet'!F42</f>
        <v>0</v>
      </c>
      <c r="F37" s="359">
        <f>IF(L37&lt;0,"Error: Enter as a positive.",)</f>
        <v>0</v>
      </c>
      <c r="G37" s="361"/>
      <c r="H37" s="358">
        <f>'Unit Data from Audit Worksheet'!I42</f>
        <v>0</v>
      </c>
      <c r="I37" s="38"/>
      <c r="J37" s="357">
        <v>591</v>
      </c>
      <c r="K37" s="356" t="s">
        <v>609</v>
      </c>
      <c r="L37" s="610">
        <f t="shared" si="4"/>
        <v>0</v>
      </c>
      <c r="O37" s="618"/>
      <c r="P37" s="328"/>
      <c r="W37" s="3" t="b">
        <f t="shared" si="6"/>
        <v>1</v>
      </c>
      <c r="X37" s="607">
        <f t="shared" si="1"/>
        <v>0</v>
      </c>
      <c r="Y37" s="607">
        <f t="shared" si="2"/>
        <v>0</v>
      </c>
    </row>
    <row r="38" spans="1:25" s="746" customFormat="1" ht="66" customHeight="1" x14ac:dyDescent="0.3">
      <c r="A38" s="346">
        <f>'Unit Data from Audit Worksheet'!A43</f>
        <v>593</v>
      </c>
      <c r="B38" s="360" t="str">
        <f>'Unit Data from Audit Worksheet'!C43</f>
        <v>Statement of Activities - Business Activities</v>
      </c>
      <c r="C38" s="345" t="str">
        <f>'Unit Data from Audit Worksheet'!D43</f>
        <v>Total Transfers in    (Preference is that transfers-in  are not netted against transfers-out)</v>
      </c>
      <c r="D38" s="110"/>
      <c r="E38" s="366">
        <f>'Unit Data from Audit Worksheet'!F43</f>
        <v>0</v>
      </c>
      <c r="F38" s="359"/>
      <c r="G38" s="361"/>
      <c r="H38" s="358"/>
      <c r="I38" s="748"/>
      <c r="J38" s="357">
        <v>593</v>
      </c>
      <c r="K38" s="751" t="s">
        <v>1431</v>
      </c>
      <c r="L38" s="610">
        <f t="shared" si="4"/>
        <v>0</v>
      </c>
      <c r="O38" s="618"/>
      <c r="P38" s="328"/>
      <c r="Q38" s="600"/>
      <c r="X38" s="607"/>
      <c r="Y38" s="607"/>
    </row>
    <row r="39" spans="1:25" s="746" customFormat="1" ht="66" customHeight="1" x14ac:dyDescent="0.3">
      <c r="A39" s="346">
        <f>'Unit Data from Audit Worksheet'!A44</f>
        <v>594</v>
      </c>
      <c r="B39" s="360" t="str">
        <f>'Unit Data from Audit Worksheet'!C44</f>
        <v>Statement of Activities - Business Activities</v>
      </c>
      <c r="C39" s="345" t="str">
        <f>'Unit Data from Audit Worksheet'!D44</f>
        <v>Total Transfers out    (Preference is that transfers-in  are not netted against transfers-out)</v>
      </c>
      <c r="D39" s="110"/>
      <c r="E39" s="366">
        <f>'Unit Data from Audit Worksheet'!F44</f>
        <v>0</v>
      </c>
      <c r="F39" s="359"/>
      <c r="G39" s="361"/>
      <c r="H39" s="358"/>
      <c r="I39" s="748"/>
      <c r="J39" s="357">
        <v>594</v>
      </c>
      <c r="K39" s="751" t="s">
        <v>1432</v>
      </c>
      <c r="L39" s="610">
        <f t="shared" si="4"/>
        <v>0</v>
      </c>
      <c r="O39" s="618"/>
      <c r="P39" s="328"/>
      <c r="Q39" s="600"/>
      <c r="X39" s="607"/>
      <c r="Y39" s="607"/>
    </row>
    <row r="40" spans="1:25" s="746" customFormat="1" ht="66" customHeight="1" x14ac:dyDescent="0.3">
      <c r="A40" s="346">
        <f>'Unit Data from Audit Worksheet'!A46</f>
        <v>558</v>
      </c>
      <c r="B40" s="360" t="str">
        <f>'Unit Data from Audit Worksheet'!C46</f>
        <v>Mental Health-Balance Sheet - Non GAAP</v>
      </c>
      <c r="C40" s="345" t="str">
        <f>'Unit Data from Audit Worksheet'!D46</f>
        <v xml:space="preserve">All unrestricted cash and investments.  
Exclude restricted cash and cash held by a third party. </v>
      </c>
      <c r="D40" s="110"/>
      <c r="E40" s="366">
        <f>'Unit Data from Audit Worksheet'!F46</f>
        <v>0</v>
      </c>
      <c r="F40" s="359"/>
      <c r="G40" s="361"/>
      <c r="H40" s="358"/>
      <c r="I40" s="748"/>
      <c r="J40" s="357">
        <v>558</v>
      </c>
      <c r="K40" s="747" t="s">
        <v>1433</v>
      </c>
      <c r="L40" s="610">
        <f t="shared" si="4"/>
        <v>0</v>
      </c>
      <c r="O40" s="618"/>
      <c r="P40" s="328"/>
      <c r="Q40" s="600"/>
      <c r="X40" s="607"/>
      <c r="Y40" s="607"/>
    </row>
    <row r="41" spans="1:25" s="746" customFormat="1" ht="66" customHeight="1" x14ac:dyDescent="0.3">
      <c r="A41" s="346">
        <f>'Unit Data from Audit Worksheet'!A47</f>
        <v>559</v>
      </c>
      <c r="B41" s="360" t="str">
        <f>'Unit Data from Audit Worksheet'!C47</f>
        <v>Mental Health-Balance Sheet - Non GAAP</v>
      </c>
      <c r="C41" s="345" t="str">
        <f>'Unit Data from Audit Worksheet'!D47</f>
        <v>All restricted cash and investments</v>
      </c>
      <c r="D41" s="110"/>
      <c r="E41" s="366">
        <f>'Unit Data from Audit Worksheet'!F47</f>
        <v>0</v>
      </c>
      <c r="F41" s="359"/>
      <c r="G41" s="361"/>
      <c r="H41" s="358"/>
      <c r="I41" s="748"/>
      <c r="J41" s="357">
        <v>559</v>
      </c>
      <c r="K41" s="747" t="s">
        <v>1434</v>
      </c>
      <c r="L41" s="610">
        <f t="shared" si="4"/>
        <v>0</v>
      </c>
      <c r="O41" s="618"/>
      <c r="P41" s="328"/>
      <c r="Q41" s="600"/>
      <c r="X41" s="607"/>
      <c r="Y41" s="607"/>
    </row>
    <row r="42" spans="1:25" s="746" customFormat="1" ht="124.5" customHeight="1" x14ac:dyDescent="0.3">
      <c r="A42" s="346">
        <f>'Unit Data from Audit Worksheet'!A48</f>
        <v>560</v>
      </c>
      <c r="B42" s="360" t="str">
        <f>'Unit Data from Audit Worksheet'!C48</f>
        <v>Mental Health-Balance Sheet - Non GAAP</v>
      </c>
      <c r="C42" s="345" t="str">
        <f>'Unit Data from Audit Worksheet'!D48</f>
        <v>Current Liabilities 
Exclude: all deferred inflows
                 current debt service payments
Include: Liabilities payable from restricted assets.</v>
      </c>
      <c r="D42" s="110"/>
      <c r="E42" s="366">
        <f>'Unit Data from Audit Worksheet'!F48</f>
        <v>0</v>
      </c>
      <c r="F42" s="359"/>
      <c r="G42" s="361"/>
      <c r="H42" s="358"/>
      <c r="I42" s="748"/>
      <c r="J42" s="357">
        <v>560</v>
      </c>
      <c r="K42" s="747" t="s">
        <v>1435</v>
      </c>
      <c r="L42" s="610">
        <f t="shared" si="4"/>
        <v>0</v>
      </c>
      <c r="O42" s="618"/>
      <c r="P42" s="328"/>
      <c r="Q42" s="600"/>
      <c r="X42" s="607"/>
      <c r="Y42" s="607"/>
    </row>
    <row r="43" spans="1:25" s="746" customFormat="1" ht="66" customHeight="1" x14ac:dyDescent="0.3">
      <c r="A43" s="346">
        <f>'Unit Data from Audit Worksheet'!A49</f>
        <v>561</v>
      </c>
      <c r="B43" s="360" t="str">
        <f>'Unit Data from Audit Worksheet'!C49</f>
        <v>Mental Health-Balance Sheet - Non GAAP</v>
      </c>
      <c r="C43" s="345" t="str">
        <f>'Unit Data from Audit Worksheet'!D49</f>
        <v xml:space="preserve">Mental Health Enterprise Fund Non GAAP deferred inflows or liabilities derived from cash receipts.   </v>
      </c>
      <c r="D43" s="110"/>
      <c r="E43" s="366">
        <f>'Unit Data from Audit Worksheet'!F49</f>
        <v>0</v>
      </c>
      <c r="F43" s="359"/>
      <c r="G43" s="361"/>
      <c r="H43" s="358"/>
      <c r="I43" s="748"/>
      <c r="J43" s="357">
        <v>561</v>
      </c>
      <c r="K43" s="747" t="s">
        <v>1436</v>
      </c>
      <c r="L43" s="610">
        <f t="shared" si="4"/>
        <v>0</v>
      </c>
      <c r="O43" s="618"/>
      <c r="P43" s="328"/>
      <c r="Q43" s="600"/>
      <c r="X43" s="607"/>
      <c r="Y43" s="607"/>
    </row>
    <row r="44" spans="1:25" s="746" customFormat="1" ht="137.25" customHeight="1" x14ac:dyDescent="0.3">
      <c r="A44" s="346">
        <f>'Unit Data from Audit Worksheet'!A50</f>
        <v>563</v>
      </c>
      <c r="B44" s="360" t="str">
        <f>'Unit Data from Audit Worksheet'!C50</f>
        <v>Mental Health-Balance Sheet - Non GAAP</v>
      </c>
      <c r="C44" s="345" t="str">
        <f>'Unit Data from Audit Worksheet'!D50</f>
        <v>Total Liabilities payable from restricted assets (only complete if this if unit has listed this account in their financial statements for the Mental Health Enterprise Fund Non GAAP and the auditor has listed the cash to be used to pay the liabilities as restricted)</v>
      </c>
      <c r="D44" s="110"/>
      <c r="E44" s="366">
        <f>'Unit Data from Audit Worksheet'!F50</f>
        <v>0</v>
      </c>
      <c r="F44" s="359"/>
      <c r="G44" s="361"/>
      <c r="H44" s="358"/>
      <c r="I44" s="748"/>
      <c r="J44" s="357">
        <v>563</v>
      </c>
      <c r="K44" s="747" t="s">
        <v>1437</v>
      </c>
      <c r="L44" s="610">
        <f t="shared" si="4"/>
        <v>0</v>
      </c>
      <c r="O44" s="618"/>
      <c r="P44" s="328"/>
      <c r="Q44" s="600"/>
      <c r="X44" s="607"/>
      <c r="Y44" s="607"/>
    </row>
    <row r="45" spans="1:25" s="746" customFormat="1" ht="66" customHeight="1" x14ac:dyDescent="0.3">
      <c r="A45" s="346">
        <f>'Unit Data from Audit Worksheet'!A51</f>
        <v>564</v>
      </c>
      <c r="B45" s="360" t="str">
        <f>'Unit Data from Audit Worksheet'!C51</f>
        <v>Mental Health Enterprise Fund Non GAAP-Rev, Exp. Change in Fund Balance</v>
      </c>
      <c r="C45" s="345" t="str">
        <f>'Unit Data from Audit Worksheet'!D51</f>
        <v>Total expenditures  
Exclude: expenditures in the ""other financing sources (uses)"" section.</v>
      </c>
      <c r="D45" s="110"/>
      <c r="E45" s="366">
        <f>'Unit Data from Audit Worksheet'!F51</f>
        <v>0</v>
      </c>
      <c r="F45" s="359"/>
      <c r="G45" s="361"/>
      <c r="H45" s="358"/>
      <c r="I45" s="748"/>
      <c r="J45" s="357">
        <v>564</v>
      </c>
      <c r="K45" s="747" t="s">
        <v>1438</v>
      </c>
      <c r="L45" s="610">
        <f t="shared" si="4"/>
        <v>0</v>
      </c>
      <c r="O45" s="618"/>
      <c r="P45" s="328"/>
      <c r="Q45" s="600"/>
      <c r="X45" s="607"/>
      <c r="Y45" s="607"/>
    </row>
    <row r="46" spans="1:25" s="746" customFormat="1" ht="66" customHeight="1" x14ac:dyDescent="0.3">
      <c r="A46" s="346">
        <f>'Unit Data from Audit Worksheet'!A52</f>
        <v>568</v>
      </c>
      <c r="B46" s="360" t="str">
        <f>'Unit Data from Audit Worksheet'!C52</f>
        <v>Mental Health Enterprise Fund Non GAAP-Rev, Exp. Change in Fund Balance</v>
      </c>
      <c r="C46" s="345" t="str">
        <f>'Unit Data from Audit Worksheet'!D52</f>
        <v>Total Proceeds from all long-term debt issuances 
Exclude: proceeds from refundings</v>
      </c>
      <c r="D46" s="110"/>
      <c r="E46" s="366">
        <f>'Unit Data from Audit Worksheet'!F52</f>
        <v>0</v>
      </c>
      <c r="F46" s="359"/>
      <c r="G46" s="361"/>
      <c r="H46" s="358"/>
      <c r="I46" s="748"/>
      <c r="J46" s="357">
        <v>568</v>
      </c>
      <c r="K46" s="747" t="s">
        <v>1439</v>
      </c>
      <c r="L46" s="610">
        <f t="shared" si="4"/>
        <v>0</v>
      </c>
      <c r="O46" s="618"/>
      <c r="P46" s="328"/>
      <c r="Q46" s="600"/>
      <c r="X46" s="607"/>
      <c r="Y46" s="607"/>
    </row>
    <row r="47" spans="1:25" s="750" customFormat="1" ht="66" customHeight="1" x14ac:dyDescent="0.3">
      <c r="A47" s="346">
        <f>'Unit Data from Audit Worksheet'!A53</f>
        <v>565</v>
      </c>
      <c r="B47" s="360" t="str">
        <f>'Unit Data from Audit Worksheet'!C53</f>
        <v>Mental Health Enterprise Fund Non GAAP-Rev, Exp. Change in Fund Balance</v>
      </c>
      <c r="C47" s="345" t="str">
        <f>'Unit Data from Audit Worksheet'!D53</f>
        <v>Debt Refunding - Net refunding proceeds against debt payoff and if negative place results on this line.</v>
      </c>
      <c r="D47" s="110"/>
      <c r="E47" s="366">
        <f>'Unit Data from Audit Worksheet'!F53</f>
        <v>0</v>
      </c>
      <c r="F47" s="359"/>
      <c r="G47" s="361"/>
      <c r="H47" s="358"/>
      <c r="I47" s="752"/>
      <c r="J47" s="357">
        <v>565</v>
      </c>
      <c r="K47" s="747" t="s">
        <v>1573</v>
      </c>
      <c r="L47" s="610">
        <f t="shared" si="4"/>
        <v>0</v>
      </c>
      <c r="O47" s="618"/>
      <c r="P47" s="328"/>
      <c r="Q47" s="600"/>
      <c r="X47" s="607"/>
      <c r="Y47" s="607"/>
    </row>
    <row r="48" spans="1:25" s="746" customFormat="1" ht="66" customHeight="1" x14ac:dyDescent="0.3">
      <c r="A48" s="346">
        <f>'Unit Data from Audit Worksheet'!A54</f>
        <v>566</v>
      </c>
      <c r="B48" s="360" t="str">
        <f>'Unit Data from Audit Worksheet'!C54</f>
        <v>Mental Health Enterprise Fund Non GAAP-Rev, Exp. Change in Fund Balance</v>
      </c>
      <c r="C48" s="345" t="str">
        <f>'Unit Data from Audit Worksheet'!D54</f>
        <v>Debt Refunding - Net refunding proceeds against debt payoff and if positive place results on this line.</v>
      </c>
      <c r="D48" s="110"/>
      <c r="E48" s="366">
        <f>'Unit Data from Audit Worksheet'!F54</f>
        <v>0</v>
      </c>
      <c r="F48" s="359"/>
      <c r="G48" s="361"/>
      <c r="H48" s="358"/>
      <c r="I48" s="748"/>
      <c r="J48" s="357">
        <v>566</v>
      </c>
      <c r="K48" s="747" t="s">
        <v>1440</v>
      </c>
      <c r="L48" s="610">
        <f t="shared" si="4"/>
        <v>0</v>
      </c>
      <c r="O48" s="618"/>
      <c r="P48" s="328"/>
      <c r="Q48" s="600"/>
      <c r="X48" s="607"/>
      <c r="Y48" s="607"/>
    </row>
    <row r="49" spans="1:25" s="746" customFormat="1" ht="66" customHeight="1" x14ac:dyDescent="0.3">
      <c r="A49" s="346">
        <f>'Unit Data from Audit Worksheet'!A55</f>
        <v>567</v>
      </c>
      <c r="B49" s="360" t="str">
        <f>'Unit Data from Audit Worksheet'!C55</f>
        <v>Mental Health Enterprise Fund Non GAAP-Rev, Exp. Change in Fund Balance</v>
      </c>
      <c r="C49" s="345" t="str">
        <f>'Unit Data from Audit Worksheet'!D55</f>
        <v>Total Transfers out    (Preference is that transfers-in  are not netted against transfers-out)</v>
      </c>
      <c r="D49" s="110"/>
      <c r="E49" s="366">
        <f>'Unit Data from Audit Worksheet'!F55</f>
        <v>0</v>
      </c>
      <c r="F49" s="359"/>
      <c r="G49" s="361"/>
      <c r="H49" s="358"/>
      <c r="I49" s="748"/>
      <c r="J49" s="357">
        <v>567</v>
      </c>
      <c r="K49" s="747" t="s">
        <v>1441</v>
      </c>
      <c r="L49" s="610">
        <f t="shared" si="4"/>
        <v>0</v>
      </c>
      <c r="O49" s="618"/>
      <c r="P49" s="328"/>
      <c r="Q49" s="600"/>
      <c r="X49" s="607"/>
      <c r="Y49" s="607"/>
    </row>
    <row r="50" spans="1:25" s="746" customFormat="1" ht="66" customHeight="1" x14ac:dyDescent="0.3">
      <c r="A50" s="346">
        <f>'Unit Data from Audit Worksheet'!A56</f>
        <v>562</v>
      </c>
      <c r="B50" s="360" t="str">
        <f>'Unit Data from Audit Worksheet'!C56</f>
        <v>Notes</v>
      </c>
      <c r="C50" s="345" t="str">
        <f>'Unit Data from Audit Worksheet'!D56</f>
        <v>Mental Health Enterprise Fund Non GAAP -  Total Encumbrances.  You will have to refer to the note disclosure where the amount of encumbrances is listed.</v>
      </c>
      <c r="D50" s="110"/>
      <c r="E50" s="366">
        <f>'Unit Data from Audit Worksheet'!F56</f>
        <v>0</v>
      </c>
      <c r="F50" s="359"/>
      <c r="G50" s="361"/>
      <c r="H50" s="358"/>
      <c r="I50" s="748"/>
      <c r="J50" s="357">
        <v>562</v>
      </c>
      <c r="K50" s="747" t="s">
        <v>1442</v>
      </c>
      <c r="L50" s="610">
        <f t="shared" si="4"/>
        <v>0</v>
      </c>
      <c r="O50" s="618"/>
      <c r="P50" s="328"/>
      <c r="Q50" s="600"/>
      <c r="X50" s="607"/>
      <c r="Y50" s="607"/>
    </row>
    <row r="51" spans="1:25" s="746" customFormat="1" ht="66" customHeight="1" x14ac:dyDescent="0.3">
      <c r="A51" s="346">
        <f>'Unit Data from Audit Worksheet'!A57</f>
        <v>569</v>
      </c>
      <c r="B51" s="360" t="str">
        <f>'Unit Data from Audit Worksheet'!C57</f>
        <v>Notes</v>
      </c>
      <c r="C51" s="345" t="str">
        <f>'Unit Data from Audit Worksheet'!D57</f>
        <v>Please enter the principal and interest due next fiscal year on existing borrowings.</v>
      </c>
      <c r="D51" s="110"/>
      <c r="E51" s="366">
        <f>'Unit Data from Audit Worksheet'!F57</f>
        <v>0</v>
      </c>
      <c r="F51" s="359"/>
      <c r="G51" s="361"/>
      <c r="H51" s="358"/>
      <c r="I51" s="748"/>
      <c r="J51" s="357">
        <v>569</v>
      </c>
      <c r="K51" s="747" t="s">
        <v>1443</v>
      </c>
      <c r="L51" s="610">
        <f t="shared" si="4"/>
        <v>0</v>
      </c>
      <c r="O51" s="618"/>
      <c r="P51" s="328"/>
      <c r="Q51" s="600"/>
      <c r="X51" s="607"/>
      <c r="Y51" s="607"/>
    </row>
    <row r="52" spans="1:25" ht="54" customHeight="1" x14ac:dyDescent="0.3">
      <c r="A52" s="346">
        <f>'Unit Data from Audit Worksheet'!A59</f>
        <v>506</v>
      </c>
      <c r="B52" s="53" t="str">
        <f>'Unit Data from Audit Worksheet'!C59</f>
        <v>General Fund-Balance Sheet</v>
      </c>
      <c r="C52" s="620" t="str">
        <f>'Unit Data from Audit Worksheet'!D59</f>
        <v xml:space="preserve">All unrestricted cash and investments.  
Exclude restricted cash and cash held by a third party. </v>
      </c>
      <c r="D52" s="110"/>
      <c r="E52" s="154">
        <f>'Unit Data from Audit Worksheet'!F59</f>
        <v>0</v>
      </c>
      <c r="F52" s="37">
        <f>IF(L52&lt;0,"Error: Number is normally positive.",)</f>
        <v>0</v>
      </c>
      <c r="G52" s="73"/>
      <c r="H52" s="358">
        <f>'Unit Data from Audit Worksheet'!I59</f>
        <v>0</v>
      </c>
      <c r="I52" s="38"/>
      <c r="J52" s="41">
        <v>506</v>
      </c>
      <c r="K52" s="356" t="s">
        <v>198</v>
      </c>
      <c r="L52" s="621">
        <f t="shared" ref="L52:L65" si="7">IF(D52="",E52,D52)</f>
        <v>0</v>
      </c>
      <c r="P52" s="328"/>
      <c r="W52" s="3" t="b">
        <f t="shared" si="6"/>
        <v>1</v>
      </c>
      <c r="X52" s="607">
        <f t="shared" si="1"/>
        <v>0</v>
      </c>
      <c r="Y52" s="607">
        <f t="shared" si="2"/>
        <v>0</v>
      </c>
    </row>
    <row r="53" spans="1:25" ht="45.75" customHeight="1" x14ac:dyDescent="0.3">
      <c r="A53" s="346">
        <f>'Unit Data from Audit Worksheet'!A60</f>
        <v>536</v>
      </c>
      <c r="B53" s="53" t="str">
        <f>'Unit Data from Audit Worksheet'!C60</f>
        <v>General Fund-Balance Sheet</v>
      </c>
      <c r="C53" s="620" t="str">
        <f>'Unit Data from Audit Worksheet'!D60</f>
        <v>All restricted cash and investments</v>
      </c>
      <c r="D53" s="110"/>
      <c r="E53" s="154">
        <f>'Unit Data from Audit Worksheet'!F60</f>
        <v>0</v>
      </c>
      <c r="F53" s="37">
        <f>IF(L53&lt;0,"Error: Number is normally positive.",)</f>
        <v>0</v>
      </c>
      <c r="G53" s="73"/>
      <c r="H53" s="358">
        <f>'Unit Data from Audit Worksheet'!I60</f>
        <v>0</v>
      </c>
      <c r="I53" s="38"/>
      <c r="J53" s="41">
        <v>536</v>
      </c>
      <c r="K53" s="356" t="s">
        <v>199</v>
      </c>
      <c r="L53" s="621">
        <f t="shared" si="7"/>
        <v>0</v>
      </c>
      <c r="P53" s="328"/>
      <c r="W53" s="3" t="b">
        <f t="shared" si="6"/>
        <v>1</v>
      </c>
      <c r="X53" s="607">
        <f t="shared" si="1"/>
        <v>0</v>
      </c>
      <c r="Y53" s="607">
        <f t="shared" si="2"/>
        <v>0</v>
      </c>
    </row>
    <row r="54" spans="1:25" ht="56.25" customHeight="1" x14ac:dyDescent="0.3">
      <c r="A54" s="346">
        <f>'Unit Data from Audit Worksheet'!A61</f>
        <v>586</v>
      </c>
      <c r="B54" s="360" t="str">
        <f>'Unit Data from Audit Worksheet'!C61</f>
        <v>General Fund-Balance Sheet</v>
      </c>
      <c r="C54" s="345" t="str">
        <f>'Unit Data from Audit Worksheet'!D61</f>
        <v>Advance To: Interfund loan receivable-portion of repayment plan longer than 12 months</v>
      </c>
      <c r="D54" s="144"/>
      <c r="E54" s="366">
        <f>'Unit Data from Audit Worksheet'!F61</f>
        <v>0</v>
      </c>
      <c r="F54" s="359"/>
      <c r="G54" s="361"/>
      <c r="H54" s="358"/>
      <c r="I54" s="38"/>
      <c r="J54" s="357">
        <v>586</v>
      </c>
      <c r="K54" s="345" t="s">
        <v>562</v>
      </c>
      <c r="L54" s="610">
        <f t="shared" si="7"/>
        <v>0</v>
      </c>
      <c r="P54" s="328"/>
      <c r="W54" s="3" t="b">
        <f t="shared" si="6"/>
        <v>1</v>
      </c>
      <c r="X54" s="607">
        <f t="shared" si="1"/>
        <v>0</v>
      </c>
      <c r="Y54" s="607">
        <f t="shared" si="2"/>
        <v>0</v>
      </c>
    </row>
    <row r="55" spans="1:25" ht="28.8" x14ac:dyDescent="0.3">
      <c r="A55" s="346">
        <f>'Unit Data from Audit Worksheet'!A62</f>
        <v>379</v>
      </c>
      <c r="B55" s="360" t="str">
        <f>'Unit Data from Audit Worksheet'!C62</f>
        <v>General Fund-Balance Sheet</v>
      </c>
      <c r="C55" s="345" t="str">
        <f>'Unit Data from Audit Worksheet'!D62</f>
        <v>Total Assets and deferred outflows</v>
      </c>
      <c r="D55" s="144"/>
      <c r="E55" s="366">
        <f>'Unit Data from Audit Worksheet'!F62</f>
        <v>0</v>
      </c>
      <c r="F55" s="84">
        <f>IF((L52+L53)&gt;L55,"Error: Please review accts (506+536)&gt;379",)</f>
        <v>0</v>
      </c>
      <c r="G55" s="361" t="str">
        <f>IF(Q55=1," Included in error count"," ")</f>
        <v xml:space="preserve"> </v>
      </c>
      <c r="H55" s="358">
        <f>'Unit Data from Audit Worksheet'!I62</f>
        <v>0</v>
      </c>
      <c r="I55" s="38"/>
      <c r="J55" s="357">
        <v>379</v>
      </c>
      <c r="K55" s="356" t="s">
        <v>118</v>
      </c>
      <c r="L55" s="610">
        <f t="shared" si="7"/>
        <v>0</v>
      </c>
      <c r="P55" s="328"/>
      <c r="Q55" s="600">
        <f>IF(L52+L53&gt;L55,1,0)</f>
        <v>0</v>
      </c>
      <c r="W55" s="3" t="b">
        <f t="shared" si="6"/>
        <v>1</v>
      </c>
      <c r="X55" s="607">
        <f t="shared" si="1"/>
        <v>0</v>
      </c>
      <c r="Y55" s="607">
        <f t="shared" si="2"/>
        <v>0</v>
      </c>
    </row>
    <row r="56" spans="1:25" ht="106.5" customHeight="1" x14ac:dyDescent="0.3">
      <c r="A56" s="346">
        <f>'Unit Data from Audit Worksheet'!A63</f>
        <v>368</v>
      </c>
      <c r="B56" s="360" t="str">
        <f>'Unit Data from Audit Worksheet'!C63</f>
        <v>General Fund-Balance Sheet</v>
      </c>
      <c r="C56" s="345" t="str">
        <f>'Unit Data from Audit Worksheet'!D63</f>
        <v>Total Liabilities payable from restricted assets (only complete if this is listed in your financial statements for the general fund and the auditor has listed the cash to be used to pay the liabilities as restricted)</v>
      </c>
      <c r="D56" s="144"/>
      <c r="E56" s="366">
        <f>'Unit Data from Audit Worksheet'!F63</f>
        <v>0</v>
      </c>
      <c r="F56" s="359">
        <f>IF(L56&lt;0,"Error: Enter as a positive.",)</f>
        <v>0</v>
      </c>
      <c r="G56" s="361"/>
      <c r="H56" s="358">
        <f>'Unit Data from Audit Worksheet'!I63</f>
        <v>0</v>
      </c>
      <c r="I56" s="38"/>
      <c r="J56" s="357">
        <v>368</v>
      </c>
      <c r="K56" s="356" t="s">
        <v>200</v>
      </c>
      <c r="L56" s="610">
        <f t="shared" si="7"/>
        <v>0</v>
      </c>
      <c r="P56" s="328"/>
      <c r="W56" s="3" t="b">
        <f t="shared" si="6"/>
        <v>1</v>
      </c>
      <c r="X56" s="607">
        <f t="shared" si="1"/>
        <v>0</v>
      </c>
      <c r="Y56" s="607">
        <f t="shared" si="2"/>
        <v>0</v>
      </c>
    </row>
    <row r="57" spans="1:25" ht="90.75" customHeight="1" x14ac:dyDescent="0.3">
      <c r="A57" s="346">
        <f>'Unit Data from Audit Worksheet'!A64</f>
        <v>4</v>
      </c>
      <c r="B57" s="53" t="str">
        <f>'Unit Data from Audit Worksheet'!C64</f>
        <v>General Fund-Balance Sheet</v>
      </c>
      <c r="C57" s="620" t="str">
        <f>'Unit Data from Audit Worksheet'!D64</f>
        <v>Current Liabilities (as reported on the Balance Sheet)
Exclude all deferred inflows. 
Include advance from(long-term portion of interfund loans)</v>
      </c>
      <c r="D57" s="144"/>
      <c r="E57" s="154">
        <f>'Unit Data from Audit Worksheet'!F64</f>
        <v>0</v>
      </c>
      <c r="F57" s="37">
        <f t="shared" ref="F57:F66" si="8">IF(L57&lt;0,"Error: Enter as a positive.",)</f>
        <v>0</v>
      </c>
      <c r="G57" s="73"/>
      <c r="H57" s="358">
        <f>'Unit Data from Audit Worksheet'!I64</f>
        <v>0</v>
      </c>
      <c r="I57" s="38"/>
      <c r="J57" s="41">
        <v>4</v>
      </c>
      <c r="K57" s="356" t="s">
        <v>119</v>
      </c>
      <c r="L57" s="621">
        <f t="shared" si="7"/>
        <v>0</v>
      </c>
      <c r="P57" s="328"/>
      <c r="W57" s="3" t="b">
        <f t="shared" si="6"/>
        <v>1</v>
      </c>
      <c r="X57" s="607">
        <f t="shared" si="1"/>
        <v>0</v>
      </c>
      <c r="Y57" s="607">
        <f t="shared" si="2"/>
        <v>0</v>
      </c>
    </row>
    <row r="58" spans="1:25" ht="131.25" customHeight="1" x14ac:dyDescent="0.3">
      <c r="A58" s="346">
        <f>'Unit Data from Audit Worksheet'!A65</f>
        <v>5</v>
      </c>
      <c r="B58" s="53" t="str">
        <f>'Unit Data from Audit Worksheet'!C65</f>
        <v>General Fund-Balance Sheet</v>
      </c>
      <c r="C58" s="620" t="str">
        <f>'Unit Data from Audit Worksheet'!D65</f>
        <v>General fund deferred inflows derived from cash receipts. 
 Prepaid taxes is a common item listed.  Deferred inflows on the face of the statements can include cash and non-cash.  You may have to refer to the note disclosure where the cash and non-cash is broken out.</v>
      </c>
      <c r="D58" s="144"/>
      <c r="E58" s="154">
        <f>'Unit Data from Audit Worksheet'!F65</f>
        <v>0</v>
      </c>
      <c r="F58" s="37">
        <f t="shared" si="8"/>
        <v>0</v>
      </c>
      <c r="G58" s="73"/>
      <c r="H58" s="358">
        <f>'Unit Data from Audit Worksheet'!I65</f>
        <v>0</v>
      </c>
      <c r="I58" s="38"/>
      <c r="J58" s="41">
        <v>5</v>
      </c>
      <c r="K58" s="356" t="s">
        <v>120</v>
      </c>
      <c r="L58" s="621">
        <f t="shared" si="7"/>
        <v>0</v>
      </c>
      <c r="P58" s="328"/>
      <c r="W58" s="3" t="b">
        <f t="shared" si="6"/>
        <v>1</v>
      </c>
      <c r="X58" s="607">
        <f t="shared" si="1"/>
        <v>0</v>
      </c>
      <c r="Y58" s="607">
        <f t="shared" si="2"/>
        <v>0</v>
      </c>
    </row>
    <row r="59" spans="1:25" ht="104.25" customHeight="1" x14ac:dyDescent="0.3">
      <c r="A59" s="346">
        <f>'Unit Data from Audit Worksheet'!A66</f>
        <v>380</v>
      </c>
      <c r="B59" s="360" t="str">
        <f>'Unit Data from Audit Worksheet'!C66</f>
        <v>General Fund-Balance Sheet</v>
      </c>
      <c r="C59" s="345" t="str">
        <f>'Unit Data from Audit Worksheet'!D66</f>
        <v>Total Deferred inflows not derived from cash receipts.  Deferred inflows on the face of the statements can include cash and non-cash.  You may have to refer to the note disclosure where the cash and non-cash is broken out.</v>
      </c>
      <c r="D59" s="144"/>
      <c r="E59" s="366">
        <f>'Unit Data from Audit Worksheet'!F66</f>
        <v>0</v>
      </c>
      <c r="F59" s="359">
        <f t="shared" si="8"/>
        <v>0</v>
      </c>
      <c r="G59" s="361"/>
      <c r="H59" s="358">
        <f>'Unit Data from Audit Worksheet'!I66</f>
        <v>0</v>
      </c>
      <c r="I59" s="38"/>
      <c r="J59" s="357">
        <v>380</v>
      </c>
      <c r="K59" s="356" t="s">
        <v>121</v>
      </c>
      <c r="L59" s="610">
        <f t="shared" si="7"/>
        <v>0</v>
      </c>
      <c r="P59" s="328"/>
      <c r="W59" s="3" t="b">
        <f t="shared" si="6"/>
        <v>1</v>
      </c>
      <c r="X59" s="607">
        <f t="shared" si="1"/>
        <v>0</v>
      </c>
      <c r="Y59" s="607">
        <f t="shared" si="2"/>
        <v>0</v>
      </c>
    </row>
    <row r="60" spans="1:25" ht="41.25" customHeight="1" x14ac:dyDescent="0.3">
      <c r="A60" s="346">
        <f>'Unit Data from Audit Worksheet'!A67</f>
        <v>391</v>
      </c>
      <c r="B60" s="360" t="str">
        <f>'Unit Data from Audit Worksheet'!C67</f>
        <v>General Fund-Balance Sheet</v>
      </c>
      <c r="C60" s="345" t="str">
        <f>'Unit Data from Audit Worksheet'!D67</f>
        <v xml:space="preserve">Fund balance, Restricted for Stabilization by State Statute </v>
      </c>
      <c r="D60" s="144"/>
      <c r="E60" s="366">
        <f>'Unit Data from Audit Worksheet'!F67</f>
        <v>0</v>
      </c>
      <c r="F60" s="359">
        <f t="shared" si="8"/>
        <v>0</v>
      </c>
      <c r="G60" s="361"/>
      <c r="H60" s="358">
        <f>'Unit Data from Audit Worksheet'!I67</f>
        <v>0</v>
      </c>
      <c r="I60" s="38"/>
      <c r="J60" s="357">
        <v>391</v>
      </c>
      <c r="K60" s="356" t="s">
        <v>201</v>
      </c>
      <c r="L60" s="610">
        <f t="shared" si="7"/>
        <v>0</v>
      </c>
      <c r="P60" s="328"/>
      <c r="W60" s="3" t="b">
        <f t="shared" si="6"/>
        <v>1</v>
      </c>
      <c r="X60" s="607">
        <f t="shared" si="1"/>
        <v>0</v>
      </c>
      <c r="Y60" s="607">
        <f t="shared" si="2"/>
        <v>0</v>
      </c>
    </row>
    <row r="61" spans="1:25" ht="28.8" x14ac:dyDescent="0.3">
      <c r="A61" s="346">
        <f>'Unit Data from Audit Worksheet'!A68</f>
        <v>7</v>
      </c>
      <c r="B61" s="53" t="str">
        <f>'Unit Data from Audit Worksheet'!C68</f>
        <v>General Fund-Balance Sheet</v>
      </c>
      <c r="C61" s="620" t="str">
        <f>'Unit Data from Audit Worksheet'!D68</f>
        <v>Fund balance, Nonspendable-  inventory/prepaids/etc.</v>
      </c>
      <c r="D61" s="144"/>
      <c r="E61" s="154">
        <f>'Unit Data from Audit Worksheet'!F68</f>
        <v>0</v>
      </c>
      <c r="F61" s="37">
        <f t="shared" si="8"/>
        <v>0</v>
      </c>
      <c r="G61" s="73"/>
      <c r="H61" s="358">
        <f>'Unit Data from Audit Worksheet'!I68</f>
        <v>0</v>
      </c>
      <c r="I61" s="38"/>
      <c r="J61" s="41">
        <v>7</v>
      </c>
      <c r="K61" s="356" t="s">
        <v>202</v>
      </c>
      <c r="L61" s="621">
        <f t="shared" si="7"/>
        <v>0</v>
      </c>
      <c r="P61" s="328"/>
      <c r="W61" s="3" t="b">
        <f t="shared" si="6"/>
        <v>1</v>
      </c>
      <c r="X61" s="607">
        <f t="shared" si="1"/>
        <v>0</v>
      </c>
      <c r="Y61" s="607">
        <f t="shared" si="2"/>
        <v>0</v>
      </c>
    </row>
    <row r="62" spans="1:25" ht="89.25" customHeight="1" x14ac:dyDescent="0.3">
      <c r="A62" s="622">
        <f>'Unit Data from Audit Worksheet'!A69</f>
        <v>11</v>
      </c>
      <c r="B62" s="117" t="str">
        <f>'Unit Data from Audit Worksheet'!C69</f>
        <v>General Fund-Balance Sheet</v>
      </c>
      <c r="C62" s="612" t="str">
        <f>'Unit Data from Audit Worksheet'!D69</f>
        <v>Fund balance, Restricted for Streets (unspent Powell Bill balance).  You may have to refer to the note disclosure where restricted fund balance is described.</v>
      </c>
      <c r="D62" s="110"/>
      <c r="E62" s="155">
        <f>'Unit Data from Audit Worksheet'!F69</f>
        <v>0</v>
      </c>
      <c r="F62" s="111">
        <f t="shared" si="8"/>
        <v>0</v>
      </c>
      <c r="G62" s="112"/>
      <c r="H62" s="113">
        <f>'Unit Data from Audit Worksheet'!I69</f>
        <v>0</v>
      </c>
      <c r="I62" s="38"/>
      <c r="J62" s="105">
        <v>11</v>
      </c>
      <c r="K62" s="44" t="s">
        <v>203</v>
      </c>
      <c r="L62" s="610">
        <f t="shared" si="7"/>
        <v>0</v>
      </c>
      <c r="P62" s="329"/>
      <c r="W62" s="3" t="b">
        <f t="shared" si="6"/>
        <v>1</v>
      </c>
      <c r="X62" s="607">
        <f t="shared" si="1"/>
        <v>0</v>
      </c>
      <c r="Y62" s="607">
        <f t="shared" si="2"/>
        <v>0</v>
      </c>
    </row>
    <row r="63" spans="1:25" s="18" customFormat="1" ht="48.75" customHeight="1" x14ac:dyDescent="0.3">
      <c r="A63" s="318">
        <f>'Unit Data from Audit Worksheet'!A70</f>
        <v>645</v>
      </c>
      <c r="B63" s="373" t="str">
        <f>'Unit Data from Audit Worksheet'!C70</f>
        <v>General Fund-Balance Sheet</v>
      </c>
      <c r="C63" s="318" t="str">
        <f>'Unit Data from Audit Worksheet'!D70</f>
        <v>Fund balance, Assigned (total of all assigned components)</v>
      </c>
      <c r="D63" s="116"/>
      <c r="E63" s="372">
        <f>'Unit Data from Audit Worksheet'!F70</f>
        <v>0</v>
      </c>
      <c r="F63" s="354">
        <f>IF(L63&lt;0,"Error: Enter as a positive.",)</f>
        <v>0</v>
      </c>
      <c r="G63" s="339"/>
      <c r="H63" s="354">
        <f>'Unit Data from Audit Worksheet'!I70</f>
        <v>0</v>
      </c>
      <c r="I63" s="623"/>
      <c r="J63" s="353">
        <v>645</v>
      </c>
      <c r="K63" s="318" t="s">
        <v>725</v>
      </c>
      <c r="L63" s="624">
        <f t="shared" si="7"/>
        <v>0</v>
      </c>
      <c r="M63" s="614"/>
      <c r="N63" s="614"/>
      <c r="O63" s="614"/>
      <c r="P63" s="330"/>
      <c r="Q63" s="615"/>
      <c r="R63" s="3"/>
      <c r="S63" s="614"/>
      <c r="T63" s="614"/>
      <c r="U63" s="614"/>
      <c r="V63" s="614"/>
      <c r="W63" s="18" t="b">
        <f t="shared" si="6"/>
        <v>1</v>
      </c>
      <c r="X63" s="616">
        <f t="shared" si="1"/>
        <v>0</v>
      </c>
      <c r="Y63" s="616">
        <f t="shared" si="2"/>
        <v>0</v>
      </c>
    </row>
    <row r="64" spans="1:25" s="18" customFormat="1" ht="45.75" customHeight="1" x14ac:dyDescent="0.3">
      <c r="A64" s="318">
        <f>'Unit Data from Audit Worksheet'!A71</f>
        <v>646</v>
      </c>
      <c r="B64" s="373" t="str">
        <f>'Unit Data from Audit Worksheet'!C71</f>
        <v>General Fund-Balance Sheet</v>
      </c>
      <c r="C64" s="318" t="str">
        <f>'Unit Data from Audit Worksheet'!D71</f>
        <v>Fund Balance, Unassigned</v>
      </c>
      <c r="D64" s="116"/>
      <c r="E64" s="372">
        <f>'Unit Data from Audit Worksheet'!F71</f>
        <v>0</v>
      </c>
      <c r="F64" s="354">
        <f>IF(L64&lt;0,"Error: Enter as a positive.",)</f>
        <v>0</v>
      </c>
      <c r="G64" s="339"/>
      <c r="H64" s="354">
        <f>'Unit Data from Audit Worksheet'!I71</f>
        <v>0</v>
      </c>
      <c r="I64" s="623"/>
      <c r="J64" s="353">
        <v>646</v>
      </c>
      <c r="K64" s="318" t="s">
        <v>726</v>
      </c>
      <c r="L64" s="624">
        <f t="shared" si="7"/>
        <v>0</v>
      </c>
      <c r="M64" s="614"/>
      <c r="N64" s="614"/>
      <c r="O64" s="614"/>
      <c r="P64" s="330"/>
      <c r="Q64" s="615"/>
      <c r="R64" s="3"/>
      <c r="S64" s="614"/>
      <c r="T64" s="614"/>
      <c r="U64" s="614"/>
      <c r="V64" s="614"/>
      <c r="W64" s="18" t="b">
        <f t="shared" si="6"/>
        <v>1</v>
      </c>
      <c r="X64" s="616">
        <f t="shared" si="1"/>
        <v>0</v>
      </c>
      <c r="Y64" s="616">
        <f t="shared" si="2"/>
        <v>0</v>
      </c>
    </row>
    <row r="65" spans="1:27" ht="55.5" customHeight="1" x14ac:dyDescent="0.3">
      <c r="A65" s="608">
        <f>'Unit Data from Audit Worksheet'!A72</f>
        <v>9</v>
      </c>
      <c r="B65" s="118" t="str">
        <f>'Unit Data from Audit Worksheet'!C72</f>
        <v>General Fund-Balance Sheet</v>
      </c>
      <c r="C65" s="625" t="str">
        <f>'Unit Data from Audit Worksheet'!D72</f>
        <v>Total Fund balance (enter fund deficits as negative)</v>
      </c>
      <c r="D65" s="144"/>
      <c r="E65" s="153">
        <f>'Unit Data from Audit Worksheet'!F72</f>
        <v>0</v>
      </c>
      <c r="F65" s="119">
        <f>IF(L55-L57-L58-L59-L65=0,,"Error: Total assets less total liabilities do not equal Acct +379-4-5-380-9=0")</f>
        <v>0</v>
      </c>
      <c r="G65" s="120">
        <f>L55-L57-L58-L59-L65</f>
        <v>0</v>
      </c>
      <c r="H65" s="358">
        <f>'Unit Data from Audit Worksheet'!I72</f>
        <v>0</v>
      </c>
      <c r="I65" s="38"/>
      <c r="J65" s="121">
        <v>9</v>
      </c>
      <c r="K65" s="51" t="s">
        <v>204</v>
      </c>
      <c r="L65" s="621">
        <f t="shared" si="7"/>
        <v>0</v>
      </c>
      <c r="O65" s="618" t="e">
        <f>'Unit Data from Audit Worksheet'!E72</f>
        <v>#N/A</v>
      </c>
      <c r="P65" s="327"/>
      <c r="Q65" s="600">
        <f>IF(G65&lt;&gt;0,1,0)</f>
        <v>0</v>
      </c>
      <c r="W65" s="3" t="b">
        <f t="shared" si="6"/>
        <v>1</v>
      </c>
      <c r="X65" s="607">
        <f t="shared" si="1"/>
        <v>0</v>
      </c>
      <c r="Y65" s="607">
        <f t="shared" si="2"/>
        <v>0</v>
      </c>
    </row>
    <row r="66" spans="1:27" s="18" customFormat="1" ht="73.5" customHeight="1" x14ac:dyDescent="0.3">
      <c r="A66" s="346">
        <f>'Unit Data from Audit Worksheet'!A73</f>
        <v>540</v>
      </c>
      <c r="B66" s="360" t="str">
        <f>'Unit Data from Audit Worksheet'!C73</f>
        <v>General Fund - Budget Actual Statement</v>
      </c>
      <c r="C66" s="345" t="str">
        <f>'Unit Data from Audit Worksheet'!D73</f>
        <v>Amount of the General Fund Balance appropriated in next year's budget. As reported on the General Fund Balance Sheet.</v>
      </c>
      <c r="D66" s="144"/>
      <c r="E66" s="366">
        <f>'Unit Data from Audit Worksheet'!F73</f>
        <v>0</v>
      </c>
      <c r="F66" s="359">
        <f t="shared" si="8"/>
        <v>0</v>
      </c>
      <c r="G66" s="361"/>
      <c r="H66" s="358">
        <f>'Unit Data from Audit Worksheet'!I73</f>
        <v>0</v>
      </c>
      <c r="I66" s="38"/>
      <c r="J66" s="357">
        <v>540</v>
      </c>
      <c r="K66" s="356" t="s">
        <v>267</v>
      </c>
      <c r="L66" s="610">
        <f t="shared" ref="L66:L123" si="9">IF(D66="",E66,D66)</f>
        <v>0</v>
      </c>
      <c r="P66" s="328"/>
      <c r="Q66" s="600"/>
      <c r="R66" s="3"/>
      <c r="W66" s="3" t="b">
        <f t="shared" si="6"/>
        <v>1</v>
      </c>
      <c r="X66" s="607">
        <f t="shared" si="1"/>
        <v>0</v>
      </c>
      <c r="Y66" s="607">
        <f t="shared" si="2"/>
        <v>0</v>
      </c>
      <c r="AA66" s="3"/>
    </row>
    <row r="67" spans="1:27" s="18" customFormat="1" ht="73.5" customHeight="1" x14ac:dyDescent="0.3">
      <c r="A67" s="626">
        <f>'Unit Data from Audit Worksheet'!A75</f>
        <v>984</v>
      </c>
      <c r="B67" s="364" t="str">
        <f>'Unit Data from Audit Worksheet'!C75</f>
        <v>General Fund - Budget Actual Statement</v>
      </c>
      <c r="C67" s="627" t="str">
        <f>'Unit Data from Audit Worksheet'!D75</f>
        <v>Amount of Ad valorem tax collected (including motor vehicle and prior years) reported on budget actual statement</v>
      </c>
      <c r="D67" s="144"/>
      <c r="E67" s="367">
        <f>'Unit Data from Audit Worksheet'!F75</f>
        <v>0</v>
      </c>
      <c r="F67" s="359"/>
      <c r="G67" s="361"/>
      <c r="H67" s="358"/>
      <c r="I67" s="38"/>
      <c r="J67" s="375">
        <v>984</v>
      </c>
      <c r="K67" s="126" t="s">
        <v>1126</v>
      </c>
      <c r="L67" s="628">
        <f t="shared" si="9"/>
        <v>0</v>
      </c>
      <c r="P67" s="328"/>
      <c r="Q67" s="600"/>
      <c r="R67" s="3"/>
      <c r="W67" s="3"/>
      <c r="X67" s="607"/>
      <c r="Y67" s="607"/>
      <c r="AA67" s="3"/>
    </row>
    <row r="68" spans="1:27" s="18" customFormat="1" ht="73.5" customHeight="1" x14ac:dyDescent="0.3">
      <c r="A68" s="626">
        <f>'Unit Data from Audit Worksheet'!A76</f>
        <v>985</v>
      </c>
      <c r="B68" s="364" t="str">
        <f>'Unit Data from Audit Worksheet'!C76</f>
        <v>General Fund - Budget Actual Statement</v>
      </c>
      <c r="C68" s="627" t="str">
        <f>'Unit Data from Audit Worksheet'!D76</f>
        <v>Amount of Ad valorem tax budgeted (including motor vehicle and prior years) reported on budget actual statement</v>
      </c>
      <c r="D68" s="144"/>
      <c r="E68" s="367">
        <f>'Unit Data from Audit Worksheet'!F76</f>
        <v>0</v>
      </c>
      <c r="F68" s="359"/>
      <c r="G68" s="361"/>
      <c r="H68" s="358"/>
      <c r="I68" s="38"/>
      <c r="J68" s="375">
        <v>985</v>
      </c>
      <c r="K68" s="126" t="s">
        <v>1127</v>
      </c>
      <c r="L68" s="628">
        <f t="shared" si="9"/>
        <v>0</v>
      </c>
      <c r="P68" s="328"/>
      <c r="Q68" s="600"/>
      <c r="R68" s="3"/>
      <c r="W68" s="3"/>
      <c r="X68" s="607"/>
      <c r="Y68" s="607"/>
      <c r="AA68" s="3"/>
    </row>
    <row r="69" spans="1:27" ht="73.5" customHeight="1" x14ac:dyDescent="0.3">
      <c r="A69" s="346">
        <f>'Unit Data from Audit Worksheet'!A77</f>
        <v>369</v>
      </c>
      <c r="B69" s="360" t="str">
        <f>'Unit Data from Audit Worksheet'!C77</f>
        <v>General Fund-Rev, Exp. Change in Fund Balance</v>
      </c>
      <c r="C69" s="345" t="str">
        <f>'Unit Data from Audit Worksheet'!D77</f>
        <v>Total Intergovernmental revenue 
Include restricted and unrestricted revenues</v>
      </c>
      <c r="D69" s="144"/>
      <c r="E69" s="366">
        <f>'Unit Data from Audit Worksheet'!F77</f>
        <v>0</v>
      </c>
      <c r="F69" s="359"/>
      <c r="G69" s="361"/>
      <c r="H69" s="358">
        <f>'Unit Data from Audit Worksheet'!I77</f>
        <v>0</v>
      </c>
      <c r="I69" s="38"/>
      <c r="J69" s="357">
        <v>369</v>
      </c>
      <c r="K69" s="356" t="s">
        <v>205</v>
      </c>
      <c r="L69" s="610">
        <f t="shared" si="9"/>
        <v>0</v>
      </c>
      <c r="P69" s="328"/>
      <c r="W69" s="3" t="b">
        <f t="shared" ref="W69:W132" si="10">EXACT(A69,J69)</f>
        <v>1</v>
      </c>
      <c r="X69" s="607">
        <f t="shared" si="1"/>
        <v>0</v>
      </c>
      <c r="Y69" s="607">
        <f t="shared" si="2"/>
        <v>0</v>
      </c>
    </row>
    <row r="70" spans="1:27" ht="73.5" customHeight="1" x14ac:dyDescent="0.3">
      <c r="A70" s="346">
        <f>'Unit Data from Audit Worksheet'!A78</f>
        <v>16</v>
      </c>
      <c r="B70" s="360" t="str">
        <f>'Unit Data from Audit Worksheet'!C78</f>
        <v>General Fund-Rev, Exp. Change in Fund Balance</v>
      </c>
      <c r="C70" s="345" t="str">
        <f>'Unit Data from Audit Worksheet'!D78</f>
        <v>Total revenues</v>
      </c>
      <c r="D70" s="144"/>
      <c r="E70" s="366">
        <f>'Unit Data from Audit Worksheet'!F78</f>
        <v>0</v>
      </c>
      <c r="F70" s="359"/>
      <c r="G70" s="361"/>
      <c r="H70" s="358">
        <f>'Unit Data from Audit Worksheet'!I78</f>
        <v>0</v>
      </c>
      <c r="I70" s="38"/>
      <c r="J70" s="357">
        <v>16</v>
      </c>
      <c r="K70" s="356" t="s">
        <v>206</v>
      </c>
      <c r="L70" s="610">
        <f t="shared" si="9"/>
        <v>0</v>
      </c>
      <c r="P70" s="328"/>
      <c r="W70" s="3" t="b">
        <f t="shared" si="10"/>
        <v>1</v>
      </c>
      <c r="X70" s="607">
        <f t="shared" si="1"/>
        <v>0</v>
      </c>
      <c r="Y70" s="607">
        <f t="shared" si="2"/>
        <v>0</v>
      </c>
    </row>
    <row r="71" spans="1:27" ht="73.5" customHeight="1" x14ac:dyDescent="0.3">
      <c r="A71" s="346">
        <f>'Unit Data from Audit Worksheet'!A79</f>
        <v>370</v>
      </c>
      <c r="B71" s="360" t="str">
        <f>'Unit Data from Audit Worksheet'!C79</f>
        <v>General Fund-Rev, Exp. Change in Fund Balance</v>
      </c>
      <c r="C71" s="345" t="str">
        <f>'Unit Data from Audit Worksheet'!D79</f>
        <v>Debt service expenditures. 
Include principal, interest paid, and bond/debt issuance costs on long-term debt</v>
      </c>
      <c r="D71" s="144"/>
      <c r="E71" s="366">
        <f>'Unit Data from Audit Worksheet'!F79</f>
        <v>0</v>
      </c>
      <c r="F71" s="359">
        <f t="shared" ref="F71:F77" si="11">IF(L71&lt;0,"Error: Enter as a positive.",)</f>
        <v>0</v>
      </c>
      <c r="G71" s="361"/>
      <c r="H71" s="358">
        <f>'Unit Data from Audit Worksheet'!I79</f>
        <v>0</v>
      </c>
      <c r="I71" s="38"/>
      <c r="J71" s="357">
        <v>370</v>
      </c>
      <c r="K71" s="356" t="s">
        <v>207</v>
      </c>
      <c r="L71" s="610">
        <f t="shared" si="9"/>
        <v>0</v>
      </c>
      <c r="P71" s="328"/>
      <c r="W71" s="3" t="b">
        <f t="shared" si="10"/>
        <v>1</v>
      </c>
      <c r="X71" s="607">
        <f t="shared" si="1"/>
        <v>0</v>
      </c>
      <c r="Y71" s="607">
        <f t="shared" si="2"/>
        <v>0</v>
      </c>
    </row>
    <row r="72" spans="1:27" ht="73.5" customHeight="1" x14ac:dyDescent="0.3">
      <c r="A72" s="346">
        <f>'Unit Data from Audit Worksheet'!A80</f>
        <v>532</v>
      </c>
      <c r="B72" s="360" t="str">
        <f>'Unit Data from Audit Worksheet'!C80</f>
        <v>General Fund-Rev, Exp. Change in Fund Balance</v>
      </c>
      <c r="C72" s="345" t="str">
        <f>'Unit Data from Audit Worksheet'!D80</f>
        <v xml:space="preserve">Total expenditures  
Exclude expenditures in the "other financing sources (uses)" section.
</v>
      </c>
      <c r="D72" s="144"/>
      <c r="E72" s="366">
        <f>'Unit Data from Audit Worksheet'!F80</f>
        <v>0</v>
      </c>
      <c r="F72" s="359">
        <f t="shared" si="11"/>
        <v>0</v>
      </c>
      <c r="G72" s="361"/>
      <c r="H72" s="358">
        <f>'Unit Data from Audit Worksheet'!I80</f>
        <v>0</v>
      </c>
      <c r="I72" s="38"/>
      <c r="J72" s="357">
        <v>532</v>
      </c>
      <c r="K72" s="629" t="s">
        <v>208</v>
      </c>
      <c r="L72" s="610">
        <f t="shared" si="9"/>
        <v>0</v>
      </c>
      <c r="P72" s="328"/>
      <c r="W72" s="3" t="b">
        <f t="shared" si="10"/>
        <v>1</v>
      </c>
      <c r="X72" s="607">
        <f t="shared" si="1"/>
        <v>0</v>
      </c>
      <c r="Y72" s="607">
        <f t="shared" si="2"/>
        <v>0</v>
      </c>
    </row>
    <row r="73" spans="1:27" ht="73.5" customHeight="1" x14ac:dyDescent="0.3">
      <c r="A73" s="346">
        <f>'Unit Data from Audit Worksheet'!A81</f>
        <v>17</v>
      </c>
      <c r="B73" s="360" t="str">
        <f>'Unit Data from Audit Worksheet'!C81</f>
        <v>General Fund-Rev, Exp. Change in Fund Balance</v>
      </c>
      <c r="C73" s="345" t="str">
        <f>'Unit Data from Audit Worksheet'!D81</f>
        <v>Total Transfers in    (Preference is that transfers-in  are not netted against transfers-out)</v>
      </c>
      <c r="D73" s="144"/>
      <c r="E73" s="366">
        <f>'Unit Data from Audit Worksheet'!F81</f>
        <v>0</v>
      </c>
      <c r="F73" s="359">
        <f t="shared" si="11"/>
        <v>0</v>
      </c>
      <c r="G73" s="361"/>
      <c r="H73" s="358">
        <f>'Unit Data from Audit Worksheet'!I81</f>
        <v>0</v>
      </c>
      <c r="I73" s="38"/>
      <c r="J73" s="357">
        <v>17</v>
      </c>
      <c r="K73" s="356" t="s">
        <v>209</v>
      </c>
      <c r="L73" s="610">
        <f t="shared" si="9"/>
        <v>0</v>
      </c>
      <c r="P73" s="328"/>
      <c r="W73" s="3" t="b">
        <f t="shared" si="10"/>
        <v>1</v>
      </c>
      <c r="X73" s="607">
        <f t="shared" si="1"/>
        <v>0</v>
      </c>
      <c r="Y73" s="607">
        <f t="shared" si="2"/>
        <v>0</v>
      </c>
    </row>
    <row r="74" spans="1:27" ht="54.75" customHeight="1" x14ac:dyDescent="0.3">
      <c r="A74" s="346">
        <f>'Unit Data from Audit Worksheet'!A82</f>
        <v>20</v>
      </c>
      <c r="B74" s="360" t="str">
        <f>'Unit Data from Audit Worksheet'!C82</f>
        <v>General Fund-Rev, Exp. Change in Fund Balance</v>
      </c>
      <c r="C74" s="345" t="str">
        <f>'Unit Data from Audit Worksheet'!D82</f>
        <v>Total Transfers out    (Preference is that transfers-in  are not netted against transfers-out)</v>
      </c>
      <c r="D74" s="144"/>
      <c r="E74" s="366">
        <f>'Unit Data from Audit Worksheet'!F82</f>
        <v>0</v>
      </c>
      <c r="F74" s="359">
        <f t="shared" si="11"/>
        <v>0</v>
      </c>
      <c r="G74" s="361"/>
      <c r="H74" s="358">
        <f>'Unit Data from Audit Worksheet'!I82</f>
        <v>0</v>
      </c>
      <c r="I74" s="38"/>
      <c r="J74" s="357">
        <v>20</v>
      </c>
      <c r="K74" s="356" t="s">
        <v>210</v>
      </c>
      <c r="L74" s="610">
        <f t="shared" si="9"/>
        <v>0</v>
      </c>
      <c r="P74" s="328"/>
      <c r="W74" s="3" t="b">
        <f t="shared" si="10"/>
        <v>1</v>
      </c>
      <c r="X74" s="607">
        <f t="shared" si="1"/>
        <v>0</v>
      </c>
      <c r="Y74" s="607">
        <f t="shared" si="2"/>
        <v>0</v>
      </c>
    </row>
    <row r="75" spans="1:27" ht="54.75" customHeight="1" x14ac:dyDescent="0.3">
      <c r="A75" s="346">
        <f>'Unit Data from Audit Worksheet'!A83</f>
        <v>533</v>
      </c>
      <c r="B75" s="360" t="str">
        <f>'Unit Data from Audit Worksheet'!C83</f>
        <v>General Fund-Rev, Exp. Change in Fund Balance</v>
      </c>
      <c r="C75" s="345" t="str">
        <f>'Unit Data from Audit Worksheet'!D83</f>
        <v>Total Proceeds from all long-term debt issuances 
Exclude proceeds from refundings</v>
      </c>
      <c r="D75" s="144"/>
      <c r="E75" s="366">
        <f>'Unit Data from Audit Worksheet'!F83</f>
        <v>0</v>
      </c>
      <c r="F75" s="359">
        <f t="shared" si="11"/>
        <v>0</v>
      </c>
      <c r="G75" s="361"/>
      <c r="H75" s="358">
        <f>'Unit Data from Audit Worksheet'!I83</f>
        <v>0</v>
      </c>
      <c r="I75" s="38"/>
      <c r="J75" s="357">
        <v>533</v>
      </c>
      <c r="K75" s="629" t="s">
        <v>211</v>
      </c>
      <c r="L75" s="610">
        <f t="shared" si="9"/>
        <v>0</v>
      </c>
      <c r="P75" s="328"/>
      <c r="W75" s="3" t="b">
        <f t="shared" si="10"/>
        <v>1</v>
      </c>
      <c r="X75" s="607">
        <f t="shared" si="1"/>
        <v>0</v>
      </c>
      <c r="Y75" s="607">
        <f t="shared" si="2"/>
        <v>0</v>
      </c>
    </row>
    <row r="76" spans="1:27" ht="54.75" customHeight="1" x14ac:dyDescent="0.3">
      <c r="A76" s="346">
        <f>'Unit Data from Audit Worksheet'!A84</f>
        <v>508</v>
      </c>
      <c r="B76" s="360" t="str">
        <f>'Unit Data from Audit Worksheet'!C84</f>
        <v>General Fund-Rev, Exp. Change in Fund Balance</v>
      </c>
      <c r="C76" s="345" t="str">
        <f>'Unit Data from Audit Worksheet'!D84</f>
        <v>Debt Refunding - Net refunding proceeds against debt payoff and if positive place results on this line.</v>
      </c>
      <c r="D76" s="144"/>
      <c r="E76" s="366">
        <f>'Unit Data from Audit Worksheet'!F84</f>
        <v>0</v>
      </c>
      <c r="F76" s="359">
        <f t="shared" si="11"/>
        <v>0</v>
      </c>
      <c r="G76" s="361"/>
      <c r="H76" s="358">
        <f>'Unit Data from Audit Worksheet'!I84</f>
        <v>0</v>
      </c>
      <c r="I76" s="38"/>
      <c r="J76" s="357">
        <v>508</v>
      </c>
      <c r="K76" s="356" t="s">
        <v>213</v>
      </c>
      <c r="L76" s="610">
        <f t="shared" si="9"/>
        <v>0</v>
      </c>
      <c r="P76" s="328"/>
      <c r="W76" s="3" t="b">
        <f t="shared" si="10"/>
        <v>1</v>
      </c>
      <c r="X76" s="607">
        <f t="shared" si="1"/>
        <v>0</v>
      </c>
      <c r="Y76" s="607">
        <f t="shared" si="2"/>
        <v>0</v>
      </c>
    </row>
    <row r="77" spans="1:27" ht="54.75" customHeight="1" x14ac:dyDescent="0.3">
      <c r="A77" s="346">
        <f>'Unit Data from Audit Worksheet'!A85</f>
        <v>509</v>
      </c>
      <c r="B77" s="360" t="str">
        <f>'Unit Data from Audit Worksheet'!C85</f>
        <v>General Fund-Rev, Exp. Change in Fund Balance</v>
      </c>
      <c r="C77" s="345" t="str">
        <f>'Unit Data from Audit Worksheet'!D85</f>
        <v>Debt Refunding - Net refunding proceeds against debt payoff and if negative place results on this line.</v>
      </c>
      <c r="D77" s="144"/>
      <c r="E77" s="366">
        <f>'Unit Data from Audit Worksheet'!F85</f>
        <v>0</v>
      </c>
      <c r="F77" s="359">
        <f t="shared" si="11"/>
        <v>0</v>
      </c>
      <c r="G77" s="361"/>
      <c r="H77" s="358">
        <f>'Unit Data from Audit Worksheet'!I85</f>
        <v>0</v>
      </c>
      <c r="I77" s="38"/>
      <c r="J77" s="357">
        <v>509</v>
      </c>
      <c r="K77" s="356" t="s">
        <v>214</v>
      </c>
      <c r="L77" s="610">
        <f t="shared" si="9"/>
        <v>0</v>
      </c>
      <c r="P77" s="328"/>
      <c r="W77" s="3" t="b">
        <f t="shared" si="10"/>
        <v>1</v>
      </c>
      <c r="X77" s="607">
        <f t="shared" si="1"/>
        <v>0</v>
      </c>
      <c r="Y77" s="607">
        <f t="shared" si="2"/>
        <v>0</v>
      </c>
    </row>
    <row r="78" spans="1:27" ht="84.75" customHeight="1" x14ac:dyDescent="0.3">
      <c r="A78" s="346">
        <f>'Unit Data from Audit Worksheet'!A86</f>
        <v>22</v>
      </c>
      <c r="B78" s="360" t="str">
        <f>'Unit Data from Audit Worksheet'!C86</f>
        <v>General Fund-Rev, Exp. Change in Fund Balance</v>
      </c>
      <c r="C78" s="345" t="str">
        <f>'Unit Data from Audit Worksheet'!D86</f>
        <v xml:space="preserve">All other items on this statement that were not included in total revenues, total expenditures, transfers in or out, or proceeds from long-term debt above.  </v>
      </c>
      <c r="D78" s="144"/>
      <c r="E78" s="366">
        <f>'Unit Data from Audit Worksheet'!F86</f>
        <v>0</v>
      </c>
      <c r="F78" s="359"/>
      <c r="G78" s="361"/>
      <c r="H78" s="358">
        <f>'Unit Data from Audit Worksheet'!I86</f>
        <v>0</v>
      </c>
      <c r="I78" s="38"/>
      <c r="J78" s="357">
        <v>22</v>
      </c>
      <c r="K78" s="356" t="s">
        <v>212</v>
      </c>
      <c r="L78" s="610">
        <f t="shared" si="9"/>
        <v>0</v>
      </c>
      <c r="P78" s="328"/>
      <c r="W78" s="3" t="b">
        <f t="shared" si="10"/>
        <v>1</v>
      </c>
      <c r="X78" s="607">
        <f t="shared" si="1"/>
        <v>0</v>
      </c>
      <c r="Y78" s="607">
        <f t="shared" si="2"/>
        <v>0</v>
      </c>
    </row>
    <row r="79" spans="1:27" ht="74.25" customHeight="1" x14ac:dyDescent="0.3">
      <c r="A79" s="346">
        <f>'Unit Data from Audit Worksheet'!A87</f>
        <v>23</v>
      </c>
      <c r="B79" s="360" t="str">
        <f>'Unit Data from Audit Worksheet'!C87</f>
        <v>General Fund-Rev, Exp. Change in Fund Balance</v>
      </c>
      <c r="C79" s="345" t="str">
        <f>'Unit Data from Audit Worksheet'!D87</f>
        <v>Change in fund balance - (Increase in Fund balance is recorded as a positive and a decrease in fund balance is recorded as a negative)</v>
      </c>
      <c r="D79" s="144"/>
      <c r="E79" s="366">
        <f>'Unit Data from Audit Worksheet'!F87</f>
        <v>0</v>
      </c>
      <c r="F79" s="359">
        <f>IF(+L70-L72+L73-L74+L75+L76-L77+L78-L79=0,,"Error:Total revenues less toal Expenditures do not equal change in fund balance")</f>
        <v>0</v>
      </c>
      <c r="G79" s="91">
        <f>+L70-L72+L73-L74+L75+L78+L76-L77-L79</f>
        <v>0</v>
      </c>
      <c r="H79" s="358">
        <f>'Unit Data from Audit Worksheet'!I87</f>
        <v>0</v>
      </c>
      <c r="I79" s="38"/>
      <c r="J79" s="357">
        <v>23</v>
      </c>
      <c r="K79" s="356" t="s">
        <v>215</v>
      </c>
      <c r="L79" s="610">
        <f t="shared" si="9"/>
        <v>0</v>
      </c>
      <c r="P79" s="328"/>
      <c r="Q79" s="600">
        <f>IF(G79&lt;&gt;0,1,0)</f>
        <v>0</v>
      </c>
      <c r="W79" s="3" t="b">
        <f t="shared" si="10"/>
        <v>1</v>
      </c>
      <c r="X79" s="607">
        <f t="shared" si="1"/>
        <v>0</v>
      </c>
      <c r="Y79" s="607">
        <f t="shared" si="2"/>
        <v>0</v>
      </c>
    </row>
    <row r="80" spans="1:27" ht="123" customHeight="1" x14ac:dyDescent="0.3">
      <c r="A80" s="622">
        <f>'Unit Data from Audit Worksheet'!A89</f>
        <v>507</v>
      </c>
      <c r="B80" s="117" t="str">
        <f>'Unit Data from Audit Worksheet'!C89</f>
        <v>General Fund-Rev, Exp. Change in Fund Balance</v>
      </c>
      <c r="C80" s="338" t="str">
        <f>'Unit Data from Audit Worksheet'!D89</f>
        <v>Any adjustment to beginning fund balance including rounding, prior period adjustments and restatements.   (Amounts that increase fund balance are recorded as positive and amounts that decrease fund balance are recorded as negative)</v>
      </c>
      <c r="D80" s="110"/>
      <c r="E80" s="155">
        <f>'Unit Data from Audit Worksheet'!F89</f>
        <v>0</v>
      </c>
      <c r="F80" s="111" t="e">
        <f>IF(+L65-L79-L80=O65,,"Error: Beginning Fund Bal does not equal our records Accts 9-23-507= PY9")</f>
        <v>#N/A</v>
      </c>
      <c r="G80" s="122" t="e">
        <f>L65-L79-L80-O65</f>
        <v>#N/A</v>
      </c>
      <c r="H80" s="113">
        <f>'Unit Data from Audit Worksheet'!I89</f>
        <v>0</v>
      </c>
      <c r="I80" s="38"/>
      <c r="J80" s="105">
        <v>507</v>
      </c>
      <c r="K80" s="44" t="s">
        <v>216</v>
      </c>
      <c r="L80" s="610">
        <f t="shared" si="9"/>
        <v>0</v>
      </c>
      <c r="N80" s="619"/>
      <c r="O80" s="618"/>
      <c r="P80" s="329"/>
      <c r="Q80" s="600" t="e">
        <f>IF(G80&lt;&gt;0,1,0)</f>
        <v>#N/A</v>
      </c>
      <c r="W80" s="3" t="b">
        <f t="shared" si="10"/>
        <v>1</v>
      </c>
      <c r="X80" s="607">
        <f t="shared" si="1"/>
        <v>0</v>
      </c>
      <c r="Y80" s="607">
        <f t="shared" si="2"/>
        <v>0</v>
      </c>
    </row>
    <row r="81" spans="1:26" ht="123" customHeight="1" x14ac:dyDescent="0.3">
      <c r="A81" s="622">
        <f>'Unit Data from Audit Worksheet'!A90</f>
        <v>147</v>
      </c>
      <c r="B81" s="117" t="str">
        <f>'Unit Data from Audit Worksheet'!C90</f>
        <v>General Fund-Rev, Exp. Change in Fund Balance or General Fund Budget Actual</v>
      </c>
      <c r="C81" s="338" t="str">
        <f>'Unit Data from Audit Worksheet'!D90</f>
        <v>Local Current Expense sent to Boards of Education (some units present this information in the detailed general fund statements after the notes)
Exclude: amounts for community colleges and 
                  supplemental taxes
Include: amounts spent on resource officers, 
                  nurses and Timber receipts</v>
      </c>
      <c r="D81" s="369"/>
      <c r="E81" s="155">
        <f>'Unit Data from Audit Worksheet'!F90</f>
        <v>0</v>
      </c>
      <c r="F81" s="362"/>
      <c r="G81" s="370"/>
      <c r="H81" s="362"/>
      <c r="I81" s="38"/>
      <c r="J81" s="371">
        <v>147</v>
      </c>
      <c r="K81" s="363" t="s">
        <v>372</v>
      </c>
      <c r="L81" s="610">
        <f t="shared" si="9"/>
        <v>0</v>
      </c>
      <c r="N81" s="619"/>
      <c r="O81" s="618"/>
      <c r="P81" s="337"/>
      <c r="W81" s="3" t="b">
        <f t="shared" si="10"/>
        <v>1</v>
      </c>
      <c r="X81" s="607"/>
      <c r="Y81" s="607"/>
    </row>
    <row r="82" spans="1:26" ht="123" customHeight="1" x14ac:dyDescent="0.3">
      <c r="A82" s="622">
        <f>'Unit Data from Audit Worksheet'!A91</f>
        <v>585</v>
      </c>
      <c r="B82" s="117" t="str">
        <f>'Unit Data from Audit Worksheet'!C91</f>
        <v>General Fund-Rev, Exp. Change in Fund Balance or General Fund Budget Actual</v>
      </c>
      <c r="C82" s="612" t="str">
        <f>'Unit Data from Audit Worksheet'!D91</f>
        <v xml:space="preserve">How much of the above number in account 147 is from Timber Receipts sent to the schools </v>
      </c>
      <c r="D82" s="369"/>
      <c r="E82" s="155">
        <f>'Unit Data from Audit Worksheet'!F91</f>
        <v>0</v>
      </c>
      <c r="F82" s="362"/>
      <c r="G82" s="370"/>
      <c r="H82" s="362"/>
      <c r="I82" s="38"/>
      <c r="J82" s="371">
        <v>585</v>
      </c>
      <c r="K82" s="374" t="s">
        <v>640</v>
      </c>
      <c r="L82" s="610">
        <f t="shared" si="9"/>
        <v>0</v>
      </c>
      <c r="N82" s="619"/>
      <c r="O82" s="618"/>
      <c r="P82" s="337"/>
      <c r="W82" s="3" t="b">
        <f t="shared" si="10"/>
        <v>1</v>
      </c>
      <c r="X82" s="607"/>
      <c r="Y82" s="607"/>
    </row>
    <row r="83" spans="1:26" ht="123" customHeight="1" x14ac:dyDescent="0.3">
      <c r="A83" s="622">
        <f>'Unit Data from Audit Worksheet'!A92</f>
        <v>546</v>
      </c>
      <c r="B83" s="117" t="str">
        <f>'Unit Data from Audit Worksheet'!C92</f>
        <v>General Fund-Rev, Exp. Change in Fund Balance or General Fund Budget Actual</v>
      </c>
      <c r="C83" s="612" t="str">
        <f>'Unit Data from Audit Worksheet'!D92</f>
        <v>Amount of Supplemental School Tax revenue recorded in the governmental funds.</v>
      </c>
      <c r="D83" s="369"/>
      <c r="E83" s="155">
        <f>'Unit Data from Audit Worksheet'!F92</f>
        <v>0</v>
      </c>
      <c r="F83" s="362"/>
      <c r="G83" s="370"/>
      <c r="H83" s="362"/>
      <c r="I83" s="38"/>
      <c r="J83" s="371">
        <v>546</v>
      </c>
      <c r="K83" s="374" t="s">
        <v>846</v>
      </c>
      <c r="L83" s="610">
        <f t="shared" si="9"/>
        <v>0</v>
      </c>
      <c r="N83" s="619"/>
      <c r="O83" s="618"/>
      <c r="P83" s="337"/>
      <c r="W83" s="3" t="b">
        <f t="shared" si="10"/>
        <v>1</v>
      </c>
      <c r="X83" s="607"/>
      <c r="Y83" s="607"/>
    </row>
    <row r="84" spans="1:26" ht="123" customHeight="1" x14ac:dyDescent="0.3">
      <c r="A84" s="622">
        <f>'Unit Data from Audit Worksheet'!A93</f>
        <v>589</v>
      </c>
      <c r="B84" s="117" t="str">
        <f>'Unit Data from Audit Worksheet'!C93</f>
        <v>General Fund-Rev, Exp. Change in Fund Balance or General Fund Budget Actual</v>
      </c>
      <c r="C84" s="612" t="str">
        <f>'Unit Data from Audit Worksheet'!D93</f>
        <v>Amount of Supplemental School Tax revenue recorded in agency funds.</v>
      </c>
      <c r="D84" s="369"/>
      <c r="E84" s="155">
        <f>'Unit Data from Audit Worksheet'!F93</f>
        <v>0</v>
      </c>
      <c r="F84" s="362"/>
      <c r="G84" s="370"/>
      <c r="H84" s="362"/>
      <c r="I84" s="38"/>
      <c r="J84" s="371">
        <v>589</v>
      </c>
      <c r="K84" s="124" t="s">
        <v>1297</v>
      </c>
      <c r="L84" s="610">
        <f t="shared" si="9"/>
        <v>0</v>
      </c>
      <c r="N84" s="619"/>
      <c r="O84" s="618"/>
      <c r="P84" s="337"/>
      <c r="W84" s="3" t="b">
        <f t="shared" si="10"/>
        <v>1</v>
      </c>
      <c r="X84" s="607"/>
      <c r="Y84" s="607"/>
    </row>
    <row r="85" spans="1:26" ht="123" customHeight="1" x14ac:dyDescent="0.3">
      <c r="A85" s="622">
        <f>'Unit Data from Audit Worksheet'!A94</f>
        <v>149</v>
      </c>
      <c r="B85" s="117" t="str">
        <f>'Unit Data from Audit Worksheet'!C94</f>
        <v>General Fund-Rev, Exp. Change in Fund Balance or General Fund Budget Actual</v>
      </c>
      <c r="C85" s="612" t="str">
        <f>'Unit Data from Audit Worksheet'!D94</f>
        <v>Local Current Expense Revenue from the County (Enter as a positive) 
Exclude: supplemental taxes
Include: Timber Receipts, amounts spent on 
                  resource officers and nurses, etc.  
                  Amount must agree with the amount
                  reported in the County Audit Report</v>
      </c>
      <c r="D85" s="369"/>
      <c r="E85" s="155">
        <f>'Unit Data from Audit Worksheet'!F94</f>
        <v>0</v>
      </c>
      <c r="F85" s="362"/>
      <c r="G85" s="370"/>
      <c r="H85" s="362"/>
      <c r="I85" s="38"/>
      <c r="J85" s="371">
        <v>149</v>
      </c>
      <c r="K85" s="257" t="s">
        <v>376</v>
      </c>
      <c r="L85" s="610">
        <f t="shared" si="9"/>
        <v>0</v>
      </c>
      <c r="N85" s="619"/>
      <c r="O85" s="618"/>
      <c r="P85" s="337"/>
      <c r="W85" s="3" t="b">
        <f t="shared" si="10"/>
        <v>1</v>
      </c>
      <c r="X85" s="607"/>
      <c r="Y85" s="607"/>
      <c r="Z85" s="3" t="s">
        <v>1387</v>
      </c>
    </row>
    <row r="86" spans="1:26" ht="123" customHeight="1" x14ac:dyDescent="0.3">
      <c r="A86" s="622">
        <f>'Unit Data from Audit Worksheet'!A95</f>
        <v>150</v>
      </c>
      <c r="B86" s="117" t="str">
        <f>'Unit Data from Audit Worksheet'!C95</f>
        <v>General Fund-Rev, Exp. Change in Fund Balance or General Fund Budget Actual</v>
      </c>
      <c r="C86" s="612" t="str">
        <f>'Unit Data from Audit Worksheet'!D95</f>
        <v xml:space="preserve">Capital Outlay revenue from the County and budgeted by the County as Capital Outlay reported in the School Capital Outlay fund or the local current expense fund.  (capitalization policies might be different between the Schools and County)
</v>
      </c>
      <c r="D86" s="369"/>
      <c r="E86" s="155">
        <f>'Unit Data from Audit Worksheet'!F95</f>
        <v>0</v>
      </c>
      <c r="F86" s="362"/>
      <c r="G86" s="370"/>
      <c r="H86" s="362"/>
      <c r="I86" s="38"/>
      <c r="J86" s="371">
        <v>150</v>
      </c>
      <c r="K86" s="257" t="s">
        <v>846</v>
      </c>
      <c r="L86" s="610">
        <f t="shared" si="9"/>
        <v>0</v>
      </c>
      <c r="N86" s="619"/>
      <c r="O86" s="618"/>
      <c r="P86" s="337"/>
      <c r="W86" s="3" t="b">
        <f t="shared" si="10"/>
        <v>1</v>
      </c>
      <c r="X86" s="607"/>
      <c r="Y86" s="607"/>
      <c r="Z86" s="3" t="s">
        <v>1387</v>
      </c>
    </row>
    <row r="87" spans="1:26" ht="123" customHeight="1" x14ac:dyDescent="0.3">
      <c r="A87" s="622">
        <f>'Unit Data from Audit Worksheet'!A96</f>
        <v>587</v>
      </c>
      <c r="B87" s="117" t="str">
        <f>'Unit Data from Audit Worksheet'!C96</f>
        <v xml:space="preserve">Fund 8 Rev, Exp. Change in Fund Balance Rpt. </v>
      </c>
      <c r="C87" s="612" t="str">
        <f>'Unit Data from Audit Worksheet'!D96</f>
        <v>Amount of Local Current Expense Funds received from the County transferred to Fund 8 this year.</v>
      </c>
      <c r="D87" s="369"/>
      <c r="E87" s="155">
        <f>'Unit Data from Audit Worksheet'!F96</f>
        <v>0</v>
      </c>
      <c r="F87" s="362"/>
      <c r="G87" s="370"/>
      <c r="H87" s="362"/>
      <c r="I87" s="38"/>
      <c r="J87" s="371">
        <v>587</v>
      </c>
      <c r="K87" s="257" t="s">
        <v>644</v>
      </c>
      <c r="L87" s="610">
        <f t="shared" si="9"/>
        <v>0</v>
      </c>
      <c r="N87" s="619"/>
      <c r="O87" s="618"/>
      <c r="P87" s="337"/>
      <c r="W87" s="3" t="b">
        <f t="shared" si="10"/>
        <v>1</v>
      </c>
      <c r="X87" s="607"/>
      <c r="Y87" s="607"/>
      <c r="Z87" s="3" t="s">
        <v>1387</v>
      </c>
    </row>
    <row r="88" spans="1:26" ht="123" customHeight="1" x14ac:dyDescent="0.3">
      <c r="A88" s="622">
        <f>'Unit Data from Audit Worksheet'!A97</f>
        <v>588</v>
      </c>
      <c r="B88" s="117" t="str">
        <f>'Unit Data from Audit Worksheet'!C97</f>
        <v xml:space="preserve">Fund 8 Rev, Exp. Change in Fund Balance Rpt. </v>
      </c>
      <c r="C88" s="612" t="str">
        <f>'Unit Data from Audit Worksheet'!D97</f>
        <v>Amount of Capital Outlay Funds received from the County transferred to Fund 8 this year.</v>
      </c>
      <c r="D88" s="369"/>
      <c r="E88" s="155">
        <f>'Unit Data from Audit Worksheet'!F97</f>
        <v>0</v>
      </c>
      <c r="F88" s="362"/>
      <c r="G88" s="370"/>
      <c r="H88" s="362"/>
      <c r="I88" s="38"/>
      <c r="J88" s="371">
        <v>588</v>
      </c>
      <c r="K88" s="257" t="s">
        <v>646</v>
      </c>
      <c r="L88" s="610">
        <f t="shared" si="9"/>
        <v>0</v>
      </c>
      <c r="N88" s="619"/>
      <c r="O88" s="618"/>
      <c r="P88" s="337"/>
      <c r="W88" s="3" t="b">
        <f t="shared" si="10"/>
        <v>1</v>
      </c>
      <c r="X88" s="607"/>
      <c r="Y88" s="607"/>
      <c r="Z88" s="3" t="s">
        <v>1387</v>
      </c>
    </row>
    <row r="89" spans="1:26" s="18" customFormat="1" ht="40.5" customHeight="1" x14ac:dyDescent="0.3">
      <c r="A89" s="318">
        <f>'Unit Data from Audit Worksheet'!A98</f>
        <v>647</v>
      </c>
      <c r="B89" s="373" t="str">
        <f>'Unit Data from Audit Worksheet'!C98</f>
        <v>Debt Service Fund</v>
      </c>
      <c r="C89" s="318" t="str">
        <f>'Unit Data from Audit Worksheet'!D98</f>
        <v>Please enter the Total Fund Balance for any Debt Service Funds</v>
      </c>
      <c r="D89" s="116"/>
      <c r="E89" s="372">
        <f>'Unit Data from Audit Worksheet'!F98</f>
        <v>0</v>
      </c>
      <c r="F89" s="354"/>
      <c r="G89" s="349"/>
      <c r="H89" s="354">
        <f>'Unit Data from Audit Worksheet'!I98</f>
        <v>0</v>
      </c>
      <c r="I89" s="623"/>
      <c r="J89" s="353">
        <v>647</v>
      </c>
      <c r="K89" s="321" t="s">
        <v>1600</v>
      </c>
      <c r="L89" s="624">
        <f>IF(D89="",E89,D89)</f>
        <v>0</v>
      </c>
      <c r="M89" s="614"/>
      <c r="N89" s="614"/>
      <c r="O89" s="630"/>
      <c r="P89" s="330"/>
      <c r="Q89" s="615"/>
      <c r="R89" s="3"/>
      <c r="S89" s="614"/>
      <c r="T89" s="614"/>
      <c r="U89" s="614"/>
      <c r="V89" s="614"/>
      <c r="W89" s="18" t="b">
        <f t="shared" si="10"/>
        <v>1</v>
      </c>
      <c r="X89" s="616">
        <f t="shared" si="1"/>
        <v>0</v>
      </c>
      <c r="Y89" s="616">
        <f t="shared" si="2"/>
        <v>0</v>
      </c>
    </row>
    <row r="90" spans="1:26" s="18" customFormat="1" ht="66" customHeight="1" x14ac:dyDescent="0.3">
      <c r="A90" s="318">
        <f>'Unit Data from Audit Worksheet'!A100</f>
        <v>148</v>
      </c>
      <c r="B90" s="373" t="str">
        <f>'Unit Data from Audit Worksheet'!C100</f>
        <v>All Gov. Funds Rev, Exp. Change in Fund Balance</v>
      </c>
      <c r="C90" s="352" t="str">
        <f>'Unit Data from Audit Worksheet'!D100</f>
        <v>Capital Outlay contributions to the BOEs (include amounts from general fund, capital project funds and any other fund sent to the BOE as part of capital outlay)</v>
      </c>
      <c r="D90" s="369"/>
      <c r="E90" s="372">
        <f>'Unit Data from Audit Worksheet'!F100</f>
        <v>0</v>
      </c>
      <c r="F90" s="362"/>
      <c r="G90" s="370"/>
      <c r="H90" s="362"/>
      <c r="I90" s="38"/>
      <c r="J90" s="371">
        <v>148</v>
      </c>
      <c r="K90" s="363" t="s">
        <v>374</v>
      </c>
      <c r="L90" s="610">
        <f t="shared" si="9"/>
        <v>0</v>
      </c>
      <c r="M90" s="631"/>
      <c r="N90" s="631"/>
      <c r="O90" s="632"/>
      <c r="P90" s="337"/>
      <c r="Q90" s="633"/>
      <c r="R90" s="3"/>
      <c r="S90" s="631"/>
      <c r="T90" s="631"/>
      <c r="U90" s="631"/>
      <c r="V90" s="631"/>
      <c r="W90" s="631" t="b">
        <f t="shared" si="10"/>
        <v>1</v>
      </c>
      <c r="X90" s="616"/>
      <c r="Y90" s="616"/>
    </row>
    <row r="91" spans="1:26" ht="60" customHeight="1" x14ac:dyDescent="0.3">
      <c r="A91" s="608">
        <f>'Unit Data from Audit Worksheet'!A101</f>
        <v>171</v>
      </c>
      <c r="B91" s="54" t="str">
        <f>'Unit Data from Audit Worksheet'!C101</f>
        <v>Fund Statements - all Governmental Funds</v>
      </c>
      <c r="C91" s="609" t="str">
        <f>'Unit Data from Audit Worksheet'!D101</f>
        <v>Debt service expenditures from all governmental funds.  Include principal, interest paid, and debt issuance costs on long-term debt.</v>
      </c>
      <c r="D91" s="365"/>
      <c r="E91" s="152">
        <f>'Unit Data from Audit Worksheet'!F101</f>
        <v>0</v>
      </c>
      <c r="F91" s="47">
        <f>IF(L91&lt;0,"Error: Enter as a positive.",)</f>
        <v>0</v>
      </c>
      <c r="G91" s="72"/>
      <c r="H91" s="358">
        <f>'Unit Data from Audit Worksheet'!I101</f>
        <v>0</v>
      </c>
      <c r="I91" s="38"/>
      <c r="J91" s="42">
        <v>171</v>
      </c>
      <c r="K91" s="51" t="s">
        <v>217</v>
      </c>
      <c r="L91" s="610">
        <f t="shared" si="9"/>
        <v>0</v>
      </c>
      <c r="P91" s="327"/>
      <c r="W91" s="3" t="b">
        <f t="shared" si="10"/>
        <v>1</v>
      </c>
      <c r="X91" s="607">
        <f t="shared" si="1"/>
        <v>0</v>
      </c>
      <c r="Y91" s="607">
        <f t="shared" si="2"/>
        <v>0</v>
      </c>
    </row>
    <row r="92" spans="1:26" s="750" customFormat="1" ht="60" customHeight="1" x14ac:dyDescent="0.3">
      <c r="A92" s="608">
        <f>'Unit Data from Audit Worksheet'!A103</f>
        <v>36</v>
      </c>
      <c r="B92" s="54" t="str">
        <f>'Unit Data from Audit Worksheet'!C103</f>
        <v>Net Position</v>
      </c>
      <c r="C92" s="609" t="str">
        <f>'Unit Data from Audit Worksheet'!D103</f>
        <v>Total Gross Capital Assets - without accumulated depreciation</v>
      </c>
      <c r="D92" s="365"/>
      <c r="E92" s="152">
        <f>'Unit Data from Audit Worksheet'!F103</f>
        <v>0</v>
      </c>
      <c r="F92" s="47"/>
      <c r="G92" s="72"/>
      <c r="H92" s="358"/>
      <c r="I92" s="752"/>
      <c r="J92" s="42">
        <v>36</v>
      </c>
      <c r="K92" s="51" t="s">
        <v>1444</v>
      </c>
      <c r="L92" s="610">
        <f t="shared" si="9"/>
        <v>0</v>
      </c>
      <c r="P92" s="327"/>
      <c r="Q92" s="600"/>
      <c r="W92" s="631" t="b">
        <f t="shared" si="10"/>
        <v>1</v>
      </c>
      <c r="X92" s="607"/>
      <c r="Y92" s="607"/>
    </row>
    <row r="93" spans="1:26" s="750" customFormat="1" ht="60" customHeight="1" x14ac:dyDescent="0.3">
      <c r="A93" s="608">
        <f>'Unit Data from Audit Worksheet'!A104</f>
        <v>534</v>
      </c>
      <c r="B93" s="54" t="str">
        <f>'Unit Data from Audit Worksheet'!C104</f>
        <v>Net Position</v>
      </c>
      <c r="C93" s="609" t="str">
        <f>'Unit Data from Audit Worksheet'!D104</f>
        <v>Combined Totals of all Proprietary Funds - Amount of Inventories and Prepaids in current assets</v>
      </c>
      <c r="D93" s="365"/>
      <c r="E93" s="152">
        <f>'Unit Data from Audit Worksheet'!F104</f>
        <v>0</v>
      </c>
      <c r="F93" s="47"/>
      <c r="G93" s="72"/>
      <c r="H93" s="358"/>
      <c r="I93" s="752"/>
      <c r="J93" s="42">
        <v>534</v>
      </c>
      <c r="K93" s="51" t="s">
        <v>275</v>
      </c>
      <c r="L93" s="610">
        <f t="shared" si="9"/>
        <v>0</v>
      </c>
      <c r="P93" s="327"/>
      <c r="Q93" s="600"/>
      <c r="W93" s="631" t="b">
        <f t="shared" si="10"/>
        <v>1</v>
      </c>
      <c r="X93" s="607"/>
      <c r="Y93" s="607"/>
    </row>
    <row r="94" spans="1:26" ht="60" customHeight="1" x14ac:dyDescent="0.3">
      <c r="A94" s="608">
        <f>'Unit Data from Audit Worksheet'!A105</f>
        <v>13</v>
      </c>
      <c r="B94" s="54" t="str">
        <f>'Unit Data from Audit Worksheet'!C105</f>
        <v>Combined Proprietary Funds - Net Position</v>
      </c>
      <c r="C94" s="609" t="str">
        <f>'Unit Data from Audit Worksheet'!D105</f>
        <v>Comb-Proprietary Funds-Current Assets 
Exclude: any restricted assets
                  deferred outflows</v>
      </c>
      <c r="D94" s="365"/>
      <c r="E94" s="152">
        <f>'Unit Data from Audit Worksheet'!F105</f>
        <v>0</v>
      </c>
      <c r="F94" s="47"/>
      <c r="G94" s="72"/>
      <c r="H94" s="358"/>
      <c r="I94" s="38"/>
      <c r="J94" s="42">
        <v>13</v>
      </c>
      <c r="K94" s="51" t="s">
        <v>1376</v>
      </c>
      <c r="L94" s="610">
        <f t="shared" si="9"/>
        <v>0</v>
      </c>
      <c r="P94" s="327"/>
      <c r="X94" s="607"/>
      <c r="Y94" s="607"/>
    </row>
    <row r="95" spans="1:26" ht="60" customHeight="1" x14ac:dyDescent="0.3">
      <c r="A95" s="608">
        <f>'Unit Data from Audit Worksheet'!A106</f>
        <v>14</v>
      </c>
      <c r="B95" s="54" t="str">
        <f>'Unit Data from Audit Worksheet'!C106</f>
        <v>Combined Proprietary Funds - Net Position</v>
      </c>
      <c r="C95" s="609" t="str">
        <f>'Unit Data from Audit Worksheet'!D106</f>
        <v>Combined Totals of all Proprietary Funds - Total Current Liabilities  
Include:  Current liabilities and current portion of long-term debt 
Exclude:   Bond anticipation notes
                   Compensated Absences
                   Pension liabilities
                   Liabilities payable from restricted assets
                   Other post employment liabilities (OPEB)
                   Deferred inflows</v>
      </c>
      <c r="D95" s="365"/>
      <c r="E95" s="152">
        <f>'Unit Data from Audit Worksheet'!F106</f>
        <v>0</v>
      </c>
      <c r="F95" s="47"/>
      <c r="G95" s="72"/>
      <c r="H95" s="358"/>
      <c r="I95" s="38"/>
      <c r="J95" s="42">
        <v>14</v>
      </c>
      <c r="K95" s="51" t="s">
        <v>1377</v>
      </c>
      <c r="L95" s="610">
        <f t="shared" si="9"/>
        <v>0</v>
      </c>
      <c r="P95" s="327"/>
      <c r="X95" s="607"/>
      <c r="Y95" s="607"/>
    </row>
    <row r="96" spans="1:26" s="750" customFormat="1" ht="60" customHeight="1" x14ac:dyDescent="0.3">
      <c r="A96" s="608">
        <f>'Unit Data from Audit Worksheet'!A107</f>
        <v>571</v>
      </c>
      <c r="B96" s="54" t="str">
        <f>'Unit Data from Audit Worksheet'!C107</f>
        <v>Statement of Net Position - combined totals from all Proprietary Funds</v>
      </c>
      <c r="C96" s="609" t="str">
        <f>'Unit Data from Audit Worksheet'!D107</f>
        <v>Mental Health Net Position - Net Investment in Capital Assets</v>
      </c>
      <c r="D96" s="365"/>
      <c r="E96" s="152">
        <f>'Unit Data from Audit Worksheet'!F107</f>
        <v>0</v>
      </c>
      <c r="F96" s="47"/>
      <c r="G96" s="72"/>
      <c r="H96" s="358"/>
      <c r="I96" s="752"/>
      <c r="J96" s="42">
        <v>571</v>
      </c>
      <c r="K96" s="51" t="s">
        <v>1415</v>
      </c>
      <c r="L96" s="610">
        <f t="shared" si="9"/>
        <v>0</v>
      </c>
      <c r="P96" s="327"/>
      <c r="Q96" s="600"/>
      <c r="X96" s="607"/>
      <c r="Y96" s="607"/>
    </row>
    <row r="97" spans="1:26" s="750" customFormat="1" ht="60" customHeight="1" x14ac:dyDescent="0.3">
      <c r="A97" s="608">
        <f>'Unit Data from Audit Worksheet'!A108</f>
        <v>572</v>
      </c>
      <c r="B97" s="54" t="str">
        <f>'Unit Data from Audit Worksheet'!C108</f>
        <v>Statement of Net Position - combined totals from all Proprietary Funds</v>
      </c>
      <c r="C97" s="609" t="str">
        <f>'Unit Data from Audit Worksheet'!D108</f>
        <v>Mental Health Net Position - Restricted Net Position</v>
      </c>
      <c r="D97" s="365"/>
      <c r="E97" s="152">
        <f>'Unit Data from Audit Worksheet'!F108</f>
        <v>0</v>
      </c>
      <c r="F97" s="47"/>
      <c r="G97" s="72"/>
      <c r="H97" s="358"/>
      <c r="I97" s="752"/>
      <c r="J97" s="42">
        <v>572</v>
      </c>
      <c r="K97" s="51" t="s">
        <v>1416</v>
      </c>
      <c r="L97" s="610">
        <f t="shared" si="9"/>
        <v>0</v>
      </c>
      <c r="P97" s="327"/>
      <c r="Q97" s="600"/>
      <c r="X97" s="607"/>
      <c r="Y97" s="607"/>
    </row>
    <row r="98" spans="1:26" s="750" customFormat="1" ht="60" customHeight="1" x14ac:dyDescent="0.3">
      <c r="A98" s="608">
        <f>'Unit Data from Audit Worksheet'!A109</f>
        <v>573</v>
      </c>
      <c r="B98" s="54" t="str">
        <f>'Unit Data from Audit Worksheet'!C109</f>
        <v>Statement of Net Position - combined totals from all Proprietary Funds</v>
      </c>
      <c r="C98" s="609" t="str">
        <f>'Unit Data from Audit Worksheet'!D109</f>
        <v>Mental Health Net Position - Unrestricted Net Position</v>
      </c>
      <c r="D98" s="365"/>
      <c r="E98" s="152">
        <f>'Unit Data from Audit Worksheet'!F109</f>
        <v>0</v>
      </c>
      <c r="F98" s="47"/>
      <c r="G98" s="72"/>
      <c r="H98" s="358"/>
      <c r="I98" s="752"/>
      <c r="J98" s="42">
        <v>573</v>
      </c>
      <c r="K98" s="51" t="s">
        <v>1574</v>
      </c>
      <c r="L98" s="610">
        <f t="shared" si="9"/>
        <v>0</v>
      </c>
      <c r="P98" s="327"/>
      <c r="Q98" s="600"/>
      <c r="X98" s="607"/>
      <c r="Y98" s="607"/>
    </row>
    <row r="99" spans="1:26" ht="60" customHeight="1" x14ac:dyDescent="0.3">
      <c r="A99" s="608">
        <f>'Unit Data from Audit Worksheet'!A110</f>
        <v>34</v>
      </c>
      <c r="B99" s="54" t="str">
        <f>'Unit Data from Audit Worksheet'!C110</f>
        <v>Net Position</v>
      </c>
      <c r="C99" s="609" t="str">
        <f>'Unit Data from Audit Worksheet'!D110</f>
        <v>Hospital-EF- Unrestricted Cash &amp; Invest. [Incl.all but Held by Trustee or 3rd party restricted](BS)</v>
      </c>
      <c r="D99" s="365"/>
      <c r="E99" s="152">
        <f>'Unit Data from Audit Worksheet'!F110</f>
        <v>0</v>
      </c>
      <c r="F99" s="47"/>
      <c r="G99" s="72"/>
      <c r="H99" s="358"/>
      <c r="I99" s="38"/>
      <c r="J99" s="42">
        <v>34</v>
      </c>
      <c r="K99" s="51" t="s">
        <v>1390</v>
      </c>
      <c r="L99" s="610">
        <f t="shared" si="9"/>
        <v>0</v>
      </c>
      <c r="P99" s="327"/>
      <c r="X99" s="607"/>
      <c r="Y99" s="607"/>
      <c r="Z99" s="3" t="s">
        <v>1388</v>
      </c>
    </row>
    <row r="100" spans="1:26" ht="60" customHeight="1" x14ac:dyDescent="0.3">
      <c r="A100" s="608">
        <f>'Unit Data from Audit Worksheet'!A111</f>
        <v>35</v>
      </c>
      <c r="B100" s="54" t="str">
        <f>'Unit Data from Audit Worksheet'!C111</f>
        <v>Net Position</v>
      </c>
      <c r="C100" s="609" t="str">
        <f>'Unit Data from Audit Worksheet'!D111</f>
        <v>Mental Health or Hospital-EF- Patient Accounts Receivable, Net of Allowance for Bad Debt</v>
      </c>
      <c r="D100" s="365"/>
      <c r="E100" s="152">
        <f>'Unit Data from Audit Worksheet'!F111</f>
        <v>0</v>
      </c>
      <c r="F100" s="47"/>
      <c r="G100" s="72"/>
      <c r="H100" s="358"/>
      <c r="I100" s="38"/>
      <c r="J100" s="42">
        <v>35</v>
      </c>
      <c r="K100" s="51" t="s">
        <v>1391</v>
      </c>
      <c r="L100" s="610">
        <f t="shared" si="9"/>
        <v>0</v>
      </c>
      <c r="P100" s="327"/>
      <c r="X100" s="607"/>
      <c r="Y100" s="607"/>
      <c r="Z100" s="3" t="s">
        <v>1388</v>
      </c>
    </row>
    <row r="101" spans="1:26" ht="60" customHeight="1" x14ac:dyDescent="0.3">
      <c r="A101" s="608">
        <f>'Unit Data from Audit Worksheet'!A112</f>
        <v>37</v>
      </c>
      <c r="B101" s="54" t="str">
        <f>'Unit Data from Audit Worksheet'!C112</f>
        <v>Net Position</v>
      </c>
      <c r="C101" s="609" t="str">
        <f>'Unit Data from Audit Worksheet'!D112</f>
        <v>Total Long-term debt (non current portion only) - enter as a positive</v>
      </c>
      <c r="D101" s="365"/>
      <c r="E101" s="152">
        <f>'Unit Data from Audit Worksheet'!F112</f>
        <v>0</v>
      </c>
      <c r="F101" s="47"/>
      <c r="G101" s="72"/>
      <c r="H101" s="358"/>
      <c r="I101" s="38"/>
      <c r="J101" s="42">
        <v>37</v>
      </c>
      <c r="K101" s="51" t="s">
        <v>1401</v>
      </c>
      <c r="L101" s="610">
        <f t="shared" si="9"/>
        <v>0</v>
      </c>
      <c r="P101" s="327"/>
      <c r="X101" s="607"/>
      <c r="Y101" s="607"/>
      <c r="Z101" s="3" t="s">
        <v>1388</v>
      </c>
    </row>
    <row r="102" spans="1:26" ht="60" customHeight="1" x14ac:dyDescent="0.3">
      <c r="A102" s="608">
        <f>'Unit Data from Audit Worksheet'!A113</f>
        <v>38</v>
      </c>
      <c r="B102" s="54" t="str">
        <f>'Unit Data from Audit Worksheet'!C113</f>
        <v>Net Position</v>
      </c>
      <c r="C102" s="609" t="str">
        <f>'Unit Data from Audit Worksheet'!D113</f>
        <v>Unrestricted fund equity or net position</v>
      </c>
      <c r="D102" s="365"/>
      <c r="E102" s="152">
        <f>'Unit Data from Audit Worksheet'!F113</f>
        <v>0</v>
      </c>
      <c r="F102" s="47"/>
      <c r="G102" s="72"/>
      <c r="H102" s="358"/>
      <c r="I102" s="38"/>
      <c r="J102" s="42">
        <v>38</v>
      </c>
      <c r="K102" s="51" t="s">
        <v>1392</v>
      </c>
      <c r="L102" s="610">
        <f t="shared" si="9"/>
        <v>0</v>
      </c>
      <c r="P102" s="327"/>
      <c r="X102" s="607"/>
      <c r="Y102" s="607"/>
      <c r="Z102" s="3" t="s">
        <v>1388</v>
      </c>
    </row>
    <row r="103" spans="1:26" ht="60" customHeight="1" x14ac:dyDescent="0.3">
      <c r="A103" s="608">
        <f>'Unit Data from Audit Worksheet'!A114</f>
        <v>32</v>
      </c>
      <c r="B103" s="54" t="str">
        <f>'Unit Data from Audit Worksheet'!C114</f>
        <v>Combined Totals of all Proprietary Funds - Revenue, Expenses, Changes in Net Position</v>
      </c>
      <c r="C103" s="609" t="str">
        <f>'Unit Data from Audit Worksheet'!D114</f>
        <v>Combined Totals of all proprietary Funds - Depreciation &amp; Amortization Expense</v>
      </c>
      <c r="D103" s="365"/>
      <c r="E103" s="152">
        <f>'Unit Data from Audit Worksheet'!F114</f>
        <v>0</v>
      </c>
      <c r="F103" s="47"/>
      <c r="G103" s="72"/>
      <c r="H103" s="358"/>
      <c r="I103" s="38"/>
      <c r="J103" s="42">
        <v>32</v>
      </c>
      <c r="K103" s="51" t="s">
        <v>1379</v>
      </c>
      <c r="L103" s="610">
        <f t="shared" si="9"/>
        <v>0</v>
      </c>
      <c r="P103" s="327"/>
      <c r="X103" s="607"/>
      <c r="Y103" s="607"/>
      <c r="Z103" s="3" t="s">
        <v>1388</v>
      </c>
    </row>
    <row r="104" spans="1:26" ht="60" customHeight="1" x14ac:dyDescent="0.3">
      <c r="A104" s="608">
        <f>'Unit Data from Audit Worksheet'!A115</f>
        <v>40</v>
      </c>
      <c r="B104" s="54" t="str">
        <f>'Unit Data from Audit Worksheet'!C115</f>
        <v>Revenue, Expenses, Changes in Net Position</v>
      </c>
      <c r="C104" s="609" t="str">
        <f>'Unit Data from Audit Worksheet'!D115</f>
        <v>Net Patient Revenues</v>
      </c>
      <c r="D104" s="365"/>
      <c r="E104" s="152">
        <f>'Unit Data from Audit Worksheet'!F115</f>
        <v>0</v>
      </c>
      <c r="F104" s="47"/>
      <c r="G104" s="72"/>
      <c r="H104" s="358"/>
      <c r="I104" s="38"/>
      <c r="J104" s="42">
        <v>40</v>
      </c>
      <c r="K104" s="51" t="s">
        <v>1394</v>
      </c>
      <c r="L104" s="610">
        <f t="shared" si="9"/>
        <v>0</v>
      </c>
      <c r="P104" s="327"/>
      <c r="X104" s="607"/>
      <c r="Y104" s="607"/>
      <c r="Z104" s="3" t="s">
        <v>1388</v>
      </c>
    </row>
    <row r="105" spans="1:26" ht="60" customHeight="1" x14ac:dyDescent="0.3">
      <c r="A105" s="608">
        <f>'Unit Data from Audit Worksheet'!A116</f>
        <v>107</v>
      </c>
      <c r="B105" s="54" t="str">
        <f>'Unit Data from Audit Worksheet'!C116</f>
        <v>Revenue, Expenses, Changes in Net Position</v>
      </c>
      <c r="C105" s="609" t="str">
        <f>'Unit Data from Audit Worksheet'!D116</f>
        <v>Total Operating Revenues</v>
      </c>
      <c r="D105" s="365"/>
      <c r="E105" s="152">
        <f>'Unit Data from Audit Worksheet'!F116</f>
        <v>0</v>
      </c>
      <c r="F105" s="47"/>
      <c r="G105" s="72"/>
      <c r="H105" s="358"/>
      <c r="I105" s="38"/>
      <c r="J105" s="42">
        <v>107</v>
      </c>
      <c r="K105" s="51" t="s">
        <v>1395</v>
      </c>
      <c r="L105" s="610">
        <f t="shared" si="9"/>
        <v>0</v>
      </c>
      <c r="P105" s="327"/>
      <c r="X105" s="607"/>
      <c r="Y105" s="607"/>
      <c r="Z105" s="3" t="s">
        <v>1388</v>
      </c>
    </row>
    <row r="106" spans="1:26" ht="60" customHeight="1" x14ac:dyDescent="0.3">
      <c r="A106" s="608">
        <f>'Unit Data from Audit Worksheet'!A117</f>
        <v>108</v>
      </c>
      <c r="B106" s="54" t="str">
        <f>'Unit Data from Audit Worksheet'!C117</f>
        <v>Revenue, Expenses, Changes in Net Position</v>
      </c>
      <c r="C106" s="609" t="str">
        <f>'Unit Data from Audit Worksheet'!D117</f>
        <v>Total Operating Expenses. May include Interest Expense - Enter as a positive</v>
      </c>
      <c r="D106" s="365"/>
      <c r="E106" s="152">
        <f>'Unit Data from Audit Worksheet'!F117</f>
        <v>0</v>
      </c>
      <c r="F106" s="47"/>
      <c r="G106" s="72"/>
      <c r="H106" s="358"/>
      <c r="I106" s="38"/>
      <c r="J106" s="42">
        <v>108</v>
      </c>
      <c r="K106" s="51" t="s">
        <v>1402</v>
      </c>
      <c r="L106" s="610">
        <f t="shared" si="9"/>
        <v>0</v>
      </c>
      <c r="P106" s="327"/>
      <c r="X106" s="607"/>
      <c r="Y106" s="607"/>
      <c r="Z106" s="3" t="s">
        <v>1388</v>
      </c>
    </row>
    <row r="107" spans="1:26" ht="60" customHeight="1" x14ac:dyDescent="0.3">
      <c r="A107" s="608">
        <f>'Unit Data from Audit Worksheet'!A118</f>
        <v>41</v>
      </c>
      <c r="B107" s="54" t="str">
        <f>'Unit Data from Audit Worksheet'!C118</f>
        <v>Revenue, Expenses, Changes in Net Position</v>
      </c>
      <c r="C107" s="609" t="str">
        <f>'Unit Data from Audit Worksheet'!D118</f>
        <v xml:space="preserve">Interest Expense - Enter as a positive </v>
      </c>
      <c r="D107" s="365"/>
      <c r="E107" s="152">
        <f>'Unit Data from Audit Worksheet'!F118</f>
        <v>0</v>
      </c>
      <c r="F107" s="47"/>
      <c r="G107" s="72"/>
      <c r="H107" s="358"/>
      <c r="I107" s="38"/>
      <c r="J107" s="42">
        <v>41</v>
      </c>
      <c r="K107" s="51" t="s">
        <v>1403</v>
      </c>
      <c r="L107" s="610">
        <f t="shared" si="9"/>
        <v>0</v>
      </c>
      <c r="P107" s="327"/>
      <c r="X107" s="607"/>
      <c r="Y107" s="607"/>
      <c r="Z107" s="3" t="s">
        <v>1388</v>
      </c>
    </row>
    <row r="108" spans="1:26" ht="60" customHeight="1" x14ac:dyDescent="0.3">
      <c r="A108" s="608">
        <f>'Unit Data from Audit Worksheet'!A119</f>
        <v>194</v>
      </c>
      <c r="B108" s="54" t="str">
        <f>'Unit Data from Audit Worksheet'!C119</f>
        <v>Revenue, Expenses, Changes in Net Position</v>
      </c>
      <c r="C108" s="609" t="str">
        <f>'Unit Data from Audit Worksheet'!D119</f>
        <v xml:space="preserve">Capital Contributions </v>
      </c>
      <c r="D108" s="365"/>
      <c r="E108" s="152">
        <f>'Unit Data from Audit Worksheet'!F119</f>
        <v>0</v>
      </c>
      <c r="F108" s="47"/>
      <c r="G108" s="72"/>
      <c r="H108" s="358"/>
      <c r="I108" s="38"/>
      <c r="J108" s="42">
        <v>194</v>
      </c>
      <c r="K108" s="51" t="s">
        <v>1396</v>
      </c>
      <c r="L108" s="610">
        <f t="shared" si="9"/>
        <v>0</v>
      </c>
      <c r="P108" s="327"/>
      <c r="X108" s="607"/>
      <c r="Y108" s="607"/>
      <c r="Z108" s="3" t="s">
        <v>1388</v>
      </c>
    </row>
    <row r="109" spans="1:26" ht="60" customHeight="1" x14ac:dyDescent="0.3">
      <c r="A109" s="608">
        <f>'Unit Data from Audit Worksheet'!A120</f>
        <v>294</v>
      </c>
      <c r="B109" s="54" t="str">
        <f>'Unit Data from Audit Worksheet'!C120</f>
        <v>Revenue, Expenses, Changes in Net Position</v>
      </c>
      <c r="C109" s="609" t="str">
        <f>'Unit Data from Audit Worksheet'!D120</f>
        <v>Change in Net Position</v>
      </c>
      <c r="D109" s="365"/>
      <c r="E109" s="152">
        <f>'Unit Data from Audit Worksheet'!F120</f>
        <v>0</v>
      </c>
      <c r="F109" s="47"/>
      <c r="G109" s="72"/>
      <c r="H109" s="358"/>
      <c r="I109" s="38"/>
      <c r="J109" s="42">
        <v>294</v>
      </c>
      <c r="K109" s="51" t="s">
        <v>1397</v>
      </c>
      <c r="L109" s="610">
        <f t="shared" si="9"/>
        <v>0</v>
      </c>
      <c r="P109" s="327"/>
      <c r="X109" s="607"/>
      <c r="Y109" s="607"/>
      <c r="Z109" s="3" t="s">
        <v>1388</v>
      </c>
    </row>
    <row r="110" spans="1:26" ht="60" customHeight="1" x14ac:dyDescent="0.3">
      <c r="A110" s="608">
        <f>'Unit Data from Audit Worksheet'!A123</f>
        <v>31</v>
      </c>
      <c r="B110" s="54" t="str">
        <f>'Unit Data from Audit Worksheet'!C123</f>
        <v>Combined Totals of all Proprietary Funds - Revenue, Expenses, Changes in Net Position</v>
      </c>
      <c r="C110" s="609" t="str">
        <f>'Unit Data from Audit Worksheet'!D123</f>
        <v>Combined Totals of all Proprietary Funds - Change in net position - (increase in net position is recorded as a positive and a decrease in net position is recorded as a negative)</v>
      </c>
      <c r="D110" s="365"/>
      <c r="E110" s="152">
        <f>'Unit Data from Audit Worksheet'!F123</f>
        <v>0</v>
      </c>
      <c r="F110" s="47"/>
      <c r="G110" s="72"/>
      <c r="H110" s="358"/>
      <c r="I110" s="38"/>
      <c r="J110" s="42">
        <v>31</v>
      </c>
      <c r="K110" s="51" t="s">
        <v>1380</v>
      </c>
      <c r="L110" s="610">
        <f t="shared" si="9"/>
        <v>0</v>
      </c>
      <c r="P110" s="327"/>
      <c r="X110" s="607"/>
      <c r="Y110" s="607"/>
    </row>
    <row r="111" spans="1:26" ht="60" customHeight="1" x14ac:dyDescent="0.3">
      <c r="A111" s="608" t="str">
        <f>'Unit Data from Audit Worksheet'!A124</f>
        <v>193</v>
      </c>
      <c r="B111" s="54" t="str">
        <f>'Unit Data from Audit Worksheet'!C124</f>
        <v>Combined Proprietary Funds - Change in Cash Flow Statement</v>
      </c>
      <c r="C111" s="609" t="str">
        <f>'Unit Data from Audit Worksheet'!D124</f>
        <v>Combined Totals of all Proprietary Funds - Capital Contributions</v>
      </c>
      <c r="D111" s="365"/>
      <c r="E111" s="152">
        <f>'Unit Data from Audit Worksheet'!F124</f>
        <v>0</v>
      </c>
      <c r="F111" s="47"/>
      <c r="G111" s="72"/>
      <c r="H111" s="358"/>
      <c r="I111" s="38"/>
      <c r="J111" s="42">
        <v>193</v>
      </c>
      <c r="K111" s="51" t="s">
        <v>383</v>
      </c>
      <c r="L111" s="610">
        <f t="shared" si="9"/>
        <v>0</v>
      </c>
      <c r="P111" s="327"/>
      <c r="X111" s="607"/>
      <c r="Y111" s="607"/>
    </row>
    <row r="112" spans="1:26" ht="60" customHeight="1" x14ac:dyDescent="0.3">
      <c r="A112" s="608">
        <f>'Unit Data from Audit Worksheet'!A125</f>
        <v>33</v>
      </c>
      <c r="B112" s="54" t="str">
        <f>'Unit Data from Audit Worksheet'!C125</f>
        <v>Combined Proprietary Funds - Change in Cash Flow Statement</v>
      </c>
      <c r="C112" s="609" t="str">
        <f>'Unit Data from Audit Worksheet'!D125</f>
        <v>Combined Totals of all Proprietary Funds - Cash Flow from Operating</v>
      </c>
      <c r="D112" s="365"/>
      <c r="E112" s="152">
        <f>'Unit Data from Audit Worksheet'!F125</f>
        <v>0</v>
      </c>
      <c r="F112" s="47"/>
      <c r="G112" s="72"/>
      <c r="H112" s="358"/>
      <c r="I112" s="38"/>
      <c r="J112" s="42">
        <v>33</v>
      </c>
      <c r="K112" s="51" t="s">
        <v>318</v>
      </c>
      <c r="L112" s="610">
        <f t="shared" si="9"/>
        <v>0</v>
      </c>
      <c r="P112" s="327"/>
      <c r="X112" s="607"/>
      <c r="Y112" s="607"/>
    </row>
    <row r="113" spans="1:26" ht="60" customHeight="1" x14ac:dyDescent="0.3">
      <c r="A113" s="608">
        <f>'Unit Data from Audit Worksheet'!A126</f>
        <v>104</v>
      </c>
      <c r="B113" s="54" t="str">
        <f>'Unit Data from Audit Worksheet'!C126</f>
        <v>Cash Flows</v>
      </c>
      <c r="C113" s="609" t="str">
        <f>'Unit Data from Audit Worksheet'!D126</f>
        <v>Capital Outlays</v>
      </c>
      <c r="D113" s="144"/>
      <c r="E113" s="152">
        <f>'Unit Data from Audit Worksheet'!F126</f>
        <v>0</v>
      </c>
      <c r="F113" s="47"/>
      <c r="G113" s="72"/>
      <c r="H113" s="358"/>
      <c r="I113" s="38"/>
      <c r="J113" s="42">
        <v>104</v>
      </c>
      <c r="K113" s="51" t="s">
        <v>1399</v>
      </c>
      <c r="L113" s="610">
        <f t="shared" si="9"/>
        <v>0</v>
      </c>
      <c r="P113" s="327"/>
      <c r="X113" s="607"/>
      <c r="Y113" s="607"/>
      <c r="Z113" s="3" t="s">
        <v>1388</v>
      </c>
    </row>
    <row r="114" spans="1:26" ht="60" customHeight="1" x14ac:dyDescent="0.3">
      <c r="A114" s="608">
        <f>'Unit Data from Audit Worksheet'!A127</f>
        <v>39</v>
      </c>
      <c r="B114" s="54" t="str">
        <f>'Unit Data from Audit Worksheet'!C127</f>
        <v>Cash Flows</v>
      </c>
      <c r="C114" s="609" t="str">
        <f>'Unit Data from Audit Worksheet'!D127</f>
        <v>Principal Paid - Long-term Debt</v>
      </c>
      <c r="D114" s="144"/>
      <c r="E114" s="152">
        <f>'Unit Data from Audit Worksheet'!F127</f>
        <v>0</v>
      </c>
      <c r="F114" s="47"/>
      <c r="G114" s="72"/>
      <c r="H114" s="358"/>
      <c r="I114" s="38"/>
      <c r="J114" s="42">
        <v>39</v>
      </c>
      <c r="K114" s="51" t="s">
        <v>1400</v>
      </c>
      <c r="L114" s="610">
        <f t="shared" si="9"/>
        <v>0</v>
      </c>
      <c r="P114" s="327"/>
      <c r="X114" s="607"/>
      <c r="Y114" s="607"/>
      <c r="Z114" s="3" t="s">
        <v>1388</v>
      </c>
    </row>
    <row r="115" spans="1:26" ht="60" customHeight="1" x14ac:dyDescent="0.3">
      <c r="A115" s="346">
        <f>'Unit Data from Audit Worksheet'!A131</f>
        <v>596</v>
      </c>
      <c r="B115" s="360"/>
      <c r="C115" s="345" t="str">
        <f>'Unit Data from Audit Worksheet'!D131</f>
        <v>Indicate if your water/sewer system:
50 - Became Operational
51 - Ceased Operations
52 - No Change</v>
      </c>
      <c r="D115" s="144"/>
      <c r="E115" s="366">
        <f>'Unit Data from Audit Worksheet'!F131</f>
        <v>0</v>
      </c>
      <c r="F115" s="359"/>
      <c r="G115" s="359"/>
      <c r="H115" s="358">
        <f>'Unit Data from Audit Worksheet'!I131</f>
        <v>0</v>
      </c>
      <c r="I115" s="38"/>
      <c r="J115" s="357">
        <v>596</v>
      </c>
      <c r="K115" s="356" t="s">
        <v>616</v>
      </c>
      <c r="L115" s="610">
        <f t="shared" si="9"/>
        <v>0</v>
      </c>
      <c r="P115" s="328"/>
      <c r="W115" s="3" t="b">
        <f t="shared" si="10"/>
        <v>1</v>
      </c>
      <c r="X115" s="607">
        <f t="shared" si="1"/>
        <v>0</v>
      </c>
      <c r="Y115" s="607">
        <f t="shared" si="2"/>
        <v>0</v>
      </c>
    </row>
    <row r="116" spans="1:26" ht="43.2" x14ac:dyDescent="0.3">
      <c r="A116" s="346">
        <f>'Unit Data from Audit Worksheet'!A132</f>
        <v>80</v>
      </c>
      <c r="B116" s="360" t="str">
        <f>'Unit Data from Audit Worksheet'!C132</f>
        <v>Water Sewer Net Position Statement</v>
      </c>
      <c r="C116" s="345" t="str">
        <f>'Unit Data from Audit Worksheet'!D132</f>
        <v>Unrestricted Cash and investments 
Exclude restricted cash and/or restricted investments.</v>
      </c>
      <c r="D116" s="144"/>
      <c r="E116" s="366">
        <f>'Unit Data from Audit Worksheet'!F132</f>
        <v>0</v>
      </c>
      <c r="F116" s="359">
        <f>IF(L116&lt;0,"Error: Number is normally positive.",)</f>
        <v>0</v>
      </c>
      <c r="G116" s="359" t="e">
        <f>'Unit Data from Audit Worksheet'!G132</f>
        <v>#N/A</v>
      </c>
      <c r="H116" s="358">
        <f>'Unit Data from Audit Worksheet'!I132</f>
        <v>0</v>
      </c>
      <c r="I116" s="38"/>
      <c r="J116" s="357">
        <v>80</v>
      </c>
      <c r="K116" s="356" t="s">
        <v>218</v>
      </c>
      <c r="L116" s="610">
        <f t="shared" si="9"/>
        <v>0</v>
      </c>
      <c r="P116" s="328"/>
      <c r="W116" s="3" t="b">
        <f t="shared" si="10"/>
        <v>1</v>
      </c>
      <c r="X116" s="607">
        <f t="shared" si="1"/>
        <v>0</v>
      </c>
      <c r="Y116" s="607">
        <f t="shared" si="2"/>
        <v>0</v>
      </c>
    </row>
    <row r="117" spans="1:26" ht="43.2" x14ac:dyDescent="0.3">
      <c r="A117" s="346">
        <f>'Unit Data from Audit Worksheet'!A133</f>
        <v>81</v>
      </c>
      <c r="B117" s="360" t="str">
        <f>'Unit Data from Audit Worksheet'!C133</f>
        <v>Water Sewer Net Position Statement</v>
      </c>
      <c r="C117" s="345" t="str">
        <f>'Unit Data from Audit Worksheet'!D133</f>
        <v>Customer accounts receivable (net of allowance accounts). 
Include both billed and unbilled amounts.</v>
      </c>
      <c r="D117" s="144"/>
      <c r="E117" s="366">
        <f>'Unit Data from Audit Worksheet'!F133</f>
        <v>0</v>
      </c>
      <c r="F117" s="359">
        <f>IF(L117&lt;0,"Error: Number is normally positive.",)</f>
        <v>0</v>
      </c>
      <c r="G117" s="361"/>
      <c r="H117" s="358">
        <f>'Unit Data from Audit Worksheet'!I133</f>
        <v>0</v>
      </c>
      <c r="I117" s="38"/>
      <c r="J117" s="357">
        <v>81</v>
      </c>
      <c r="K117" s="356" t="s">
        <v>219</v>
      </c>
      <c r="L117" s="610">
        <f t="shared" si="9"/>
        <v>0</v>
      </c>
      <c r="P117" s="328"/>
      <c r="W117" s="3" t="b">
        <f t="shared" si="10"/>
        <v>1</v>
      </c>
      <c r="X117" s="607">
        <f t="shared" ref="X117:X181" si="12">E117-L117</f>
        <v>0</v>
      </c>
      <c r="Y117" s="607">
        <f t="shared" ref="Y117:Y181" si="13">D117-L117</f>
        <v>0</v>
      </c>
    </row>
    <row r="118" spans="1:26" ht="68.25" customHeight="1" x14ac:dyDescent="0.3">
      <c r="A118" s="346">
        <f>'Unit Data from Audit Worksheet'!A134</f>
        <v>579</v>
      </c>
      <c r="B118" s="360" t="str">
        <f>'Unit Data from Audit Worksheet'!C134</f>
        <v>Water Sewer Net Position Statement</v>
      </c>
      <c r="C118" s="345" t="str">
        <f>'Unit Data from Audit Worksheet'!D134</f>
        <v>Water Sewer - Advance To:
Interfund loan receivable-portion of repayment plan longer than 12 months</v>
      </c>
      <c r="D118" s="144"/>
      <c r="E118" s="366">
        <f>'Unit Data from Audit Worksheet'!F134</f>
        <v>0</v>
      </c>
      <c r="F118" s="359"/>
      <c r="G118" s="361"/>
      <c r="H118" s="358"/>
      <c r="I118" s="38"/>
      <c r="J118" s="357">
        <v>579</v>
      </c>
      <c r="K118" s="356" t="s">
        <v>563</v>
      </c>
      <c r="L118" s="610">
        <f t="shared" si="9"/>
        <v>0</v>
      </c>
      <c r="N118" s="634"/>
      <c r="P118" s="328"/>
      <c r="W118" s="3" t="b">
        <f t="shared" si="10"/>
        <v>1</v>
      </c>
      <c r="X118" s="607">
        <f t="shared" si="12"/>
        <v>0</v>
      </c>
      <c r="Y118" s="607">
        <f t="shared" si="13"/>
        <v>0</v>
      </c>
    </row>
    <row r="119" spans="1:26" ht="47.25" customHeight="1" x14ac:dyDescent="0.3">
      <c r="A119" s="346">
        <f>'Unit Data from Audit Worksheet'!A135</f>
        <v>510</v>
      </c>
      <c r="B119" s="360" t="str">
        <f>'Unit Data from Audit Worksheet'!C135</f>
        <v>Water Sewer Net Position Statement</v>
      </c>
      <c r="C119" s="345" t="str">
        <f>'Unit Data from Audit Worksheet'!D135</f>
        <v>Amount of Inventories and Prepaid expenses in current assets</v>
      </c>
      <c r="D119" s="144"/>
      <c r="E119" s="366">
        <f>'Unit Data from Audit Worksheet'!F135</f>
        <v>0</v>
      </c>
      <c r="F119" s="359"/>
      <c r="G119" s="361"/>
      <c r="H119" s="358">
        <f>'Unit Data from Audit Worksheet'!I135</f>
        <v>0</v>
      </c>
      <c r="I119" s="38"/>
      <c r="J119" s="357">
        <v>510</v>
      </c>
      <c r="K119" s="356" t="s">
        <v>220</v>
      </c>
      <c r="L119" s="610">
        <f t="shared" si="9"/>
        <v>0</v>
      </c>
      <c r="P119" s="328"/>
      <c r="W119" s="3" t="b">
        <f t="shared" si="10"/>
        <v>1</v>
      </c>
      <c r="X119" s="607">
        <f t="shared" si="12"/>
        <v>0</v>
      </c>
      <c r="Y119" s="607">
        <f t="shared" si="13"/>
        <v>0</v>
      </c>
    </row>
    <row r="120" spans="1:26" ht="43.2" x14ac:dyDescent="0.3">
      <c r="A120" s="346">
        <f>'Unit Data from Audit Worksheet'!A136</f>
        <v>654</v>
      </c>
      <c r="B120" s="360" t="str">
        <f>'Unit Data from Audit Worksheet'!C136</f>
        <v>Water Sewer Net Position Statement</v>
      </c>
      <c r="C120" s="345" t="str">
        <f>'Unit Data from Audit Worksheet'!D136</f>
        <v xml:space="preserve">Total Current assets as listed on the WS Net Position Statement.  
</v>
      </c>
      <c r="D120" s="144"/>
      <c r="E120" s="366">
        <f>'Unit Data from Audit Worksheet'!F136</f>
        <v>0</v>
      </c>
      <c r="F120" s="359">
        <f>IF((+L116+L117+L119)&gt;L120,"Please review components of current assets above Acct. (80+81+510&gt;654",)</f>
        <v>0</v>
      </c>
      <c r="G120" s="361" t="str">
        <f>IF(Q120=1," Included in error count"," ")</f>
        <v xml:space="preserve"> </v>
      </c>
      <c r="H120" s="358">
        <f>'Unit Data from Audit Worksheet'!I136</f>
        <v>0</v>
      </c>
      <c r="I120" s="38"/>
      <c r="J120" s="357">
        <v>654</v>
      </c>
      <c r="K120" s="363" t="s">
        <v>781</v>
      </c>
      <c r="L120" s="610">
        <f t="shared" si="9"/>
        <v>0</v>
      </c>
      <c r="P120" s="328"/>
      <c r="Q120" s="600">
        <f>IF((+L116+L117+L119)&gt;L120,1,0)</f>
        <v>0</v>
      </c>
      <c r="W120" s="3" t="b">
        <f t="shared" si="10"/>
        <v>1</v>
      </c>
      <c r="X120" s="607">
        <f t="shared" si="12"/>
        <v>0</v>
      </c>
      <c r="Y120" s="607">
        <f t="shared" si="13"/>
        <v>0</v>
      </c>
    </row>
    <row r="121" spans="1:26" ht="43.2" x14ac:dyDescent="0.3">
      <c r="A121" s="346">
        <f>'Unit Data from Audit Worksheet'!A137</f>
        <v>655</v>
      </c>
      <c r="B121" s="360" t="str">
        <f>'Unit Data from Audit Worksheet'!C137</f>
        <v>Water Sewer Net Position Statement</v>
      </c>
      <c r="C121" s="345" t="str">
        <f>'Unit Data from Audit Worksheet'!D137</f>
        <v>WS-Any current assets that are restricted (Cash, Accounts Rec., etc..) and included in account 654 above</v>
      </c>
      <c r="D121" s="144"/>
      <c r="E121" s="366">
        <f>'Unit Data from Audit Worksheet'!F137</f>
        <v>0</v>
      </c>
      <c r="F121" s="359"/>
      <c r="G121" s="361"/>
      <c r="H121" s="358"/>
      <c r="I121" s="38"/>
      <c r="J121" s="357">
        <v>655</v>
      </c>
      <c r="K121" s="363" t="s">
        <v>854</v>
      </c>
      <c r="L121" s="610">
        <f t="shared" si="9"/>
        <v>0</v>
      </c>
      <c r="P121" s="328"/>
      <c r="W121" s="3" t="b">
        <f t="shared" si="10"/>
        <v>1</v>
      </c>
      <c r="X121" s="607">
        <f t="shared" si="12"/>
        <v>0</v>
      </c>
      <c r="Y121" s="607">
        <f t="shared" si="13"/>
        <v>0</v>
      </c>
    </row>
    <row r="122" spans="1:26" ht="42.75" customHeight="1" x14ac:dyDescent="0.3">
      <c r="A122" s="346">
        <f>'Unit Data from Audit Worksheet'!A138</f>
        <v>381</v>
      </c>
      <c r="B122" s="360" t="str">
        <f>'Unit Data from Audit Worksheet'!C138</f>
        <v>Water Sewer Net Position Statement</v>
      </c>
      <c r="C122" s="345" t="str">
        <f>'Unit Data from Audit Worksheet'!D138</f>
        <v>Total Assets and deferred outflows</v>
      </c>
      <c r="D122" s="144"/>
      <c r="E122" s="366">
        <f>'Unit Data from Audit Worksheet'!F138</f>
        <v>0</v>
      </c>
      <c r="F122" s="359" t="str">
        <f>IF(L122&lt;L120,"Please review components of current assets above acct. 381&lt;654"," ")</f>
        <v xml:space="preserve"> </v>
      </c>
      <c r="G122" s="361" t="str">
        <f>IF(Q122=1," Included in error count"," ")</f>
        <v xml:space="preserve"> </v>
      </c>
      <c r="H122" s="358">
        <f>'Unit Data from Audit Worksheet'!I138</f>
        <v>0</v>
      </c>
      <c r="I122" s="38"/>
      <c r="J122" s="357">
        <v>381</v>
      </c>
      <c r="K122" s="356" t="s">
        <v>113</v>
      </c>
      <c r="L122" s="610">
        <f t="shared" si="9"/>
        <v>0</v>
      </c>
      <c r="P122" s="328"/>
      <c r="Q122" s="600">
        <f>IF(L122&lt;L120,1,0)</f>
        <v>0</v>
      </c>
      <c r="W122" s="3" t="b">
        <f t="shared" si="10"/>
        <v>1</v>
      </c>
      <c r="X122" s="607">
        <f t="shared" si="12"/>
        <v>0</v>
      </c>
      <c r="Y122" s="607">
        <f t="shared" si="13"/>
        <v>0</v>
      </c>
    </row>
    <row r="123" spans="1:26" ht="60.75" customHeight="1" x14ac:dyDescent="0.3">
      <c r="A123" s="622">
        <f>'Unit Data from Audit Worksheet'!A139</f>
        <v>578</v>
      </c>
      <c r="B123" s="117" t="str">
        <f>'Unit Data from Audit Worksheet'!C139</f>
        <v>Water Sewer Net Position Statement</v>
      </c>
      <c r="C123" s="612" t="str">
        <f>'Unit Data from Audit Worksheet'!D139</f>
        <v>Water Sewer - Advance From: 
Interfund loan Payable-portion of repayment plan longer than 12 months</v>
      </c>
      <c r="D123" s="110"/>
      <c r="E123" s="155">
        <f>'Unit Data from Audit Worksheet'!F139</f>
        <v>0</v>
      </c>
      <c r="F123" s="111"/>
      <c r="G123" s="112"/>
      <c r="H123" s="113"/>
      <c r="I123" s="38"/>
      <c r="J123" s="105">
        <v>578</v>
      </c>
      <c r="K123" s="44" t="s">
        <v>564</v>
      </c>
      <c r="L123" s="610">
        <f t="shared" si="9"/>
        <v>0</v>
      </c>
      <c r="P123" s="329"/>
      <c r="Q123" s="362"/>
      <c r="W123" s="3" t="b">
        <f t="shared" si="10"/>
        <v>1</v>
      </c>
      <c r="X123" s="607">
        <f t="shared" si="12"/>
        <v>0</v>
      </c>
      <c r="Y123" s="607">
        <f t="shared" si="13"/>
        <v>0</v>
      </c>
    </row>
    <row r="124" spans="1:26" s="18" customFormat="1" ht="104.25" customHeight="1" x14ac:dyDescent="0.3">
      <c r="A124" s="318">
        <v>633</v>
      </c>
      <c r="B124" s="373" t="str">
        <f>'Unit Data from Audit Worksheet'!C140</f>
        <v>Water Sewer Net Position Statement</v>
      </c>
      <c r="C124" s="318" t="str">
        <f>'Unit Data from Audit Worksheet'!D140</f>
        <v>Current liabilities (as reported on the Statement of Fund Net Position)
Include:   Current liabilities including current portion of long-term debt.  Deferred inflows should not be included in Current Liabilities  
Enter as positive</v>
      </c>
      <c r="D124" s="110"/>
      <c r="E124" s="372">
        <f>'Unit Data from Audit Worksheet'!F140</f>
        <v>0</v>
      </c>
      <c r="F124" s="354" t="str">
        <f>IF(L124&gt;=(L125+L126+L127+L128+L129+L130),"","Account 633 is less than the total sum of accounts 634 through 638 + 383")</f>
        <v/>
      </c>
      <c r="G124" s="339">
        <f>L124-(L125+L126+L127+L128+L129+L130)</f>
        <v>0</v>
      </c>
      <c r="H124" s="354"/>
      <c r="I124" s="623"/>
      <c r="J124" s="353">
        <v>633</v>
      </c>
      <c r="K124" s="321" t="s">
        <v>715</v>
      </c>
      <c r="L124" s="624">
        <f>IF(D124="",E124,D124)</f>
        <v>0</v>
      </c>
      <c r="M124" s="614"/>
      <c r="N124" s="614"/>
      <c r="O124" s="614"/>
      <c r="P124" s="330"/>
      <c r="Q124" s="615"/>
      <c r="R124" s="3"/>
      <c r="S124" s="614"/>
      <c r="T124" s="614"/>
      <c r="U124" s="614"/>
      <c r="V124" s="614"/>
      <c r="W124" s="18" t="b">
        <f t="shared" si="10"/>
        <v>1</v>
      </c>
      <c r="X124" s="616">
        <f t="shared" si="12"/>
        <v>0</v>
      </c>
      <c r="Y124" s="616">
        <f t="shared" si="13"/>
        <v>0</v>
      </c>
    </row>
    <row r="125" spans="1:26" s="18" customFormat="1" ht="130.5" customHeight="1" x14ac:dyDescent="0.3">
      <c r="A125" s="318">
        <v>634</v>
      </c>
      <c r="B125" s="373" t="str">
        <f>'Unit Data from Audit Worksheet'!C141</f>
        <v>Water Sewer Net Position Statement</v>
      </c>
      <c r="C125" s="318" t="str">
        <f>'Unit Data from Audit Worksheet'!D141</f>
        <v>Please enter any bond anticipation notes that are classified as current liabilities and included in account 633 above (amounts entered should agree to the current amount included in the changes to long-term debt note)
Enter as positive</v>
      </c>
      <c r="D125" s="110"/>
      <c r="E125" s="372">
        <f>'Unit Data from Audit Worksheet'!F141</f>
        <v>0</v>
      </c>
      <c r="F125" s="354"/>
      <c r="G125" s="339"/>
      <c r="H125" s="354"/>
      <c r="I125" s="623"/>
      <c r="J125" s="353">
        <v>634</v>
      </c>
      <c r="K125" s="321" t="s">
        <v>716</v>
      </c>
      <c r="L125" s="624">
        <f>IF(D125="",E125,D125)</f>
        <v>0</v>
      </c>
      <c r="M125" s="614"/>
      <c r="N125" s="614"/>
      <c r="O125" s="614"/>
      <c r="P125" s="330"/>
      <c r="Q125" s="615"/>
      <c r="R125" s="3"/>
      <c r="S125" s="614"/>
      <c r="T125" s="614"/>
      <c r="U125" s="614"/>
      <c r="V125" s="614"/>
      <c r="W125" s="18" t="b">
        <f t="shared" si="10"/>
        <v>1</v>
      </c>
      <c r="X125" s="616">
        <f t="shared" si="12"/>
        <v>0</v>
      </c>
      <c r="Y125" s="616">
        <f t="shared" si="13"/>
        <v>0</v>
      </c>
    </row>
    <row r="126" spans="1:26" s="18" customFormat="1" ht="105.75" customHeight="1" x14ac:dyDescent="0.3">
      <c r="A126" s="318">
        <v>635</v>
      </c>
      <c r="B126" s="373" t="str">
        <f>'Unit Data from Audit Worksheet'!C142</f>
        <v>Water Sewer Net Position Statement</v>
      </c>
      <c r="C126" s="318" t="str">
        <f>'Unit Data from Audit Worksheet'!D142</f>
        <v>Please enter any compensated absences that are classified as current liabilities and included in account 633 above (amounts entered should agree to the current amount included in the changes to long-term debt note)
Enter as positive</v>
      </c>
      <c r="D126" s="110"/>
      <c r="E126" s="372">
        <f>'Unit Data from Audit Worksheet'!F142</f>
        <v>0</v>
      </c>
      <c r="F126" s="354"/>
      <c r="G126" s="339"/>
      <c r="H126" s="354"/>
      <c r="I126" s="623"/>
      <c r="J126" s="353">
        <v>635</v>
      </c>
      <c r="K126" s="321" t="s">
        <v>717</v>
      </c>
      <c r="L126" s="624">
        <f>IF(D126="",E126,D126)</f>
        <v>0</v>
      </c>
      <c r="M126" s="614"/>
      <c r="N126" s="614"/>
      <c r="O126" s="614"/>
      <c r="P126" s="330"/>
      <c r="Q126" s="615"/>
      <c r="R126" s="3"/>
      <c r="S126" s="614"/>
      <c r="T126" s="614"/>
      <c r="U126" s="614"/>
      <c r="V126" s="614"/>
      <c r="W126" s="18" t="b">
        <f t="shared" si="10"/>
        <v>1</v>
      </c>
      <c r="X126" s="616">
        <f t="shared" si="12"/>
        <v>0</v>
      </c>
      <c r="Y126" s="616">
        <f t="shared" si="13"/>
        <v>0</v>
      </c>
    </row>
    <row r="127" spans="1:26" s="18" customFormat="1" ht="105.75" customHeight="1" x14ac:dyDescent="0.3">
      <c r="A127" s="318">
        <v>636</v>
      </c>
      <c r="B127" s="373" t="str">
        <f>'Unit Data from Audit Worksheet'!C143</f>
        <v>Water Sewer Net Position Statement</v>
      </c>
      <c r="C127" s="318" t="str">
        <f>'Unit Data from Audit Worksheet'!D143</f>
        <v>Please enter any pension liabilities that are classified as current liabilities and included in account 633 above (amounts entered should agree to the current amount included in the changes to long-term debt note)
Enter as positive</v>
      </c>
      <c r="D127" s="110"/>
      <c r="E127" s="372">
        <f>'Unit Data from Audit Worksheet'!F143</f>
        <v>0</v>
      </c>
      <c r="F127" s="354"/>
      <c r="G127" s="339"/>
      <c r="H127" s="354"/>
      <c r="I127" s="623"/>
      <c r="J127" s="353">
        <v>636</v>
      </c>
      <c r="K127" s="321" t="s">
        <v>712</v>
      </c>
      <c r="L127" s="624">
        <f t="shared" ref="L127:L137" si="14">IF(D127="",E127,D127)</f>
        <v>0</v>
      </c>
      <c r="M127" s="614"/>
      <c r="N127" s="614"/>
      <c r="O127" s="614"/>
      <c r="P127" s="330"/>
      <c r="Q127" s="615"/>
      <c r="R127" s="3"/>
      <c r="S127" s="614"/>
      <c r="T127" s="614"/>
      <c r="U127" s="614"/>
      <c r="V127" s="614"/>
      <c r="W127" s="18" t="b">
        <f t="shared" si="10"/>
        <v>1</v>
      </c>
      <c r="X127" s="616">
        <f t="shared" si="12"/>
        <v>0</v>
      </c>
      <c r="Y127" s="616">
        <f t="shared" si="13"/>
        <v>0</v>
      </c>
    </row>
    <row r="128" spans="1:26" s="18" customFormat="1" ht="59.25" customHeight="1" x14ac:dyDescent="0.3">
      <c r="A128" s="318">
        <v>637</v>
      </c>
      <c r="B128" s="373" t="str">
        <f>'Unit Data from Audit Worksheet'!C144</f>
        <v>Water Sewer Net Position Statement</v>
      </c>
      <c r="C128" s="318" t="str">
        <f>'Unit Data from Audit Worksheet'!D144</f>
        <v>Please enter any current liabilities that are payable from restricted assets and included in account 633 above.
Enter as positive</v>
      </c>
      <c r="D128" s="110"/>
      <c r="E128" s="372">
        <f>'Unit Data from Audit Worksheet'!F144</f>
        <v>0</v>
      </c>
      <c r="F128" s="354"/>
      <c r="G128" s="339"/>
      <c r="H128" s="354"/>
      <c r="I128" s="623"/>
      <c r="J128" s="353">
        <v>637</v>
      </c>
      <c r="K128" s="321" t="s">
        <v>713</v>
      </c>
      <c r="L128" s="624">
        <f t="shared" si="14"/>
        <v>0</v>
      </c>
      <c r="M128" s="614"/>
      <c r="N128" s="614"/>
      <c r="O128" s="614"/>
      <c r="P128" s="330"/>
      <c r="Q128" s="615"/>
      <c r="R128" s="3"/>
      <c r="S128" s="614"/>
      <c r="T128" s="614"/>
      <c r="U128" s="614"/>
      <c r="V128" s="614"/>
      <c r="W128" s="18" t="b">
        <f t="shared" si="10"/>
        <v>1</v>
      </c>
      <c r="X128" s="616">
        <f t="shared" si="12"/>
        <v>0</v>
      </c>
      <c r="Y128" s="616">
        <f t="shared" si="13"/>
        <v>0</v>
      </c>
    </row>
    <row r="129" spans="1:25" s="18" customFormat="1" ht="103.5" customHeight="1" x14ac:dyDescent="0.3">
      <c r="A129" s="318">
        <v>638</v>
      </c>
      <c r="B129" s="373" t="str">
        <f>'Unit Data from Audit Worksheet'!C145</f>
        <v>Water Sewer Net Position Statement</v>
      </c>
      <c r="C129" s="318" t="str">
        <f>'Unit Data from Audit Worksheet'!D145</f>
        <v>Please enter any OPEB liabilities that are classified as current liabilities and included in account 633 above (amounts entered should agree to the current amount included in the changes to long-term debt note)
Enter as positive</v>
      </c>
      <c r="D129" s="110"/>
      <c r="E129" s="372">
        <f>'Unit Data from Audit Worksheet'!F145</f>
        <v>0</v>
      </c>
      <c r="F129" s="354"/>
      <c r="G129" s="339"/>
      <c r="H129" s="354"/>
      <c r="I129" s="623"/>
      <c r="J129" s="353">
        <v>638</v>
      </c>
      <c r="K129" s="321" t="s">
        <v>718</v>
      </c>
      <c r="L129" s="624">
        <f t="shared" si="14"/>
        <v>0</v>
      </c>
      <c r="M129" s="614"/>
      <c r="N129" s="614"/>
      <c r="O129" s="614"/>
      <c r="P129" s="330"/>
      <c r="Q129" s="615"/>
      <c r="R129" s="3"/>
      <c r="S129" s="614"/>
      <c r="T129" s="614"/>
      <c r="U129" s="614"/>
      <c r="V129" s="614"/>
      <c r="W129" s="18" t="b">
        <f t="shared" si="10"/>
        <v>1</v>
      </c>
      <c r="X129" s="616">
        <f t="shared" si="12"/>
        <v>0</v>
      </c>
      <c r="Y129" s="616">
        <f t="shared" si="13"/>
        <v>0</v>
      </c>
    </row>
    <row r="130" spans="1:25" ht="76.5" customHeight="1" x14ac:dyDescent="0.3">
      <c r="A130" s="608">
        <f>'Unit Data from Audit Worksheet'!A146</f>
        <v>383</v>
      </c>
      <c r="B130" s="54" t="str">
        <f>'Unit Data from Audit Worksheet'!C146</f>
        <v>Water Sewer Net Position Statement</v>
      </c>
      <c r="C130" s="609" t="str">
        <f>'Unit Data from Audit Worksheet'!D146</f>
        <v>Unearned revenue (arising from cash receipts) that were included in Current Liabilities in the question in account 633 above.
Enter as positive</v>
      </c>
      <c r="D130" s="144"/>
      <c r="E130" s="152">
        <f>'Unit Data from Audit Worksheet'!F146</f>
        <v>0</v>
      </c>
      <c r="F130" s="47">
        <f>IF(L130&lt;0,"Error: Enter as a positive.",)</f>
        <v>0</v>
      </c>
      <c r="G130" s="72"/>
      <c r="H130" s="358">
        <f>'Unit Data from Audit Worksheet'!I146</f>
        <v>0</v>
      </c>
      <c r="I130" s="38"/>
      <c r="J130" s="42">
        <v>383</v>
      </c>
      <c r="K130" s="51" t="s">
        <v>221</v>
      </c>
      <c r="L130" s="610">
        <f t="shared" si="14"/>
        <v>0</v>
      </c>
      <c r="P130" s="327"/>
      <c r="W130" s="3" t="b">
        <f t="shared" si="10"/>
        <v>1</v>
      </c>
      <c r="X130" s="607">
        <f t="shared" si="12"/>
        <v>0</v>
      </c>
      <c r="Y130" s="607">
        <f t="shared" si="13"/>
        <v>0</v>
      </c>
    </row>
    <row r="131" spans="1:25" ht="54" customHeight="1" x14ac:dyDescent="0.3">
      <c r="A131" s="346">
        <f>'Unit Data from Audit Worksheet'!A147</f>
        <v>349</v>
      </c>
      <c r="B131" s="360" t="str">
        <f>'Unit Data from Audit Worksheet'!C147</f>
        <v>Water Sewer Net Position Statement</v>
      </c>
      <c r="C131" s="345" t="str">
        <f>'Unit Data from Audit Worksheet'!D147</f>
        <v>Total Liabilities and deferred inflows</v>
      </c>
      <c r="D131" s="144"/>
      <c r="E131" s="366">
        <f>'Unit Data from Audit Worksheet'!F147</f>
        <v>0</v>
      </c>
      <c r="F131" s="359">
        <f>IF(L124&gt;L131,"Error: Please review accts 633&gt;349",)</f>
        <v>0</v>
      </c>
      <c r="G131" s="361" t="str">
        <f>IF(Q131=1," Included in error count"," ")</f>
        <v xml:space="preserve"> </v>
      </c>
      <c r="H131" s="358">
        <f>'Unit Data from Audit Worksheet'!I147</f>
        <v>0</v>
      </c>
      <c r="I131" s="38"/>
      <c r="J131" s="357">
        <v>349</v>
      </c>
      <c r="K131" s="356" t="s">
        <v>122</v>
      </c>
      <c r="L131" s="610">
        <f t="shared" si="14"/>
        <v>0</v>
      </c>
      <c r="P131" s="328"/>
      <c r="Q131" s="600">
        <f>IF(L124&gt;L131,1,0)</f>
        <v>0</v>
      </c>
      <c r="W131" s="3" t="b">
        <f t="shared" si="10"/>
        <v>1</v>
      </c>
      <c r="X131" s="607">
        <f t="shared" si="12"/>
        <v>0</v>
      </c>
      <c r="Y131" s="607">
        <f t="shared" si="13"/>
        <v>0</v>
      </c>
    </row>
    <row r="132" spans="1:25" ht="56.25" customHeight="1" x14ac:dyDescent="0.3">
      <c r="A132" s="346">
        <f>'Unit Data from Audit Worksheet'!A148</f>
        <v>375</v>
      </c>
      <c r="B132" s="360" t="str">
        <f>'Unit Data from Audit Worksheet'!C148</f>
        <v>Water Sewer Net Position Statement</v>
      </c>
      <c r="C132" s="345" t="str">
        <f>'Unit Data from Audit Worksheet'!D148</f>
        <v>Total Net position, Unrestricted - enter negative unrestricted net position as a negative</v>
      </c>
      <c r="D132" s="144"/>
      <c r="E132" s="366">
        <f>'Unit Data from Audit Worksheet'!F148</f>
        <v>0</v>
      </c>
      <c r="F132" s="359"/>
      <c r="G132" s="361"/>
      <c r="H132" s="358">
        <f>'Unit Data from Audit Worksheet'!I148</f>
        <v>0</v>
      </c>
      <c r="I132" s="38"/>
      <c r="J132" s="357">
        <v>375</v>
      </c>
      <c r="K132" s="356" t="s">
        <v>222</v>
      </c>
      <c r="L132" s="610">
        <f t="shared" si="14"/>
        <v>0</v>
      </c>
      <c r="P132" s="328"/>
      <c r="W132" s="3" t="b">
        <f t="shared" si="10"/>
        <v>1</v>
      </c>
      <c r="X132" s="607">
        <f t="shared" si="12"/>
        <v>0</v>
      </c>
      <c r="Y132" s="607">
        <f t="shared" si="13"/>
        <v>0</v>
      </c>
    </row>
    <row r="133" spans="1:25" ht="56.25" customHeight="1" x14ac:dyDescent="0.3">
      <c r="A133" s="346">
        <f>'Unit Data from Audit Worksheet'!A149</f>
        <v>83</v>
      </c>
      <c r="B133" s="360" t="str">
        <f>'Unit Data from Audit Worksheet'!C149</f>
        <v>Water Sewer Net Position Statement</v>
      </c>
      <c r="C133" s="345" t="str">
        <f>'Unit Data from Audit Worksheet'!D149</f>
        <v>Total Net position</v>
      </c>
      <c r="D133" s="144"/>
      <c r="E133" s="366">
        <f>'Unit Data from Audit Worksheet'!F149</f>
        <v>0</v>
      </c>
      <c r="F133" s="359">
        <f>IF(+L122-L131-L133=0,,"Error: Total assets less total liabilities do not equal net position acct 381-349-83=0")</f>
        <v>0</v>
      </c>
      <c r="G133" s="91">
        <f>L122-L131-L133</f>
        <v>0</v>
      </c>
      <c r="H133" s="358">
        <f>'Unit Data from Audit Worksheet'!I149</f>
        <v>0</v>
      </c>
      <c r="I133" s="38"/>
      <c r="J133" s="357">
        <v>83</v>
      </c>
      <c r="K133" s="356" t="s">
        <v>102</v>
      </c>
      <c r="L133" s="610">
        <f t="shared" si="14"/>
        <v>0</v>
      </c>
      <c r="O133" s="618" t="e">
        <f>'Unit Data from Audit Worksheet'!E149</f>
        <v>#N/A</v>
      </c>
      <c r="P133" s="328"/>
      <c r="Q133" s="600">
        <f>IF(G133&lt;&gt;0,1,0)</f>
        <v>0</v>
      </c>
      <c r="W133" s="3" t="b">
        <f t="shared" ref="W133:W164" si="15">EXACT(A133,J133)</f>
        <v>1</v>
      </c>
      <c r="X133" s="607">
        <f t="shared" si="12"/>
        <v>0</v>
      </c>
      <c r="Y133" s="607">
        <f t="shared" si="13"/>
        <v>0</v>
      </c>
    </row>
    <row r="134" spans="1:25" ht="56.25" customHeight="1" x14ac:dyDescent="0.3">
      <c r="A134" s="346">
        <f>'Unit Data from Audit Worksheet'!A151</f>
        <v>90</v>
      </c>
      <c r="B134" s="360" t="str">
        <f>'Unit Data from Audit Worksheet'!C151</f>
        <v>Electric Fund Net Position Statement</v>
      </c>
      <c r="C134" s="345" t="str">
        <f>'Unit Data from Audit Worksheet'!D151</f>
        <v>All Unrestricted Cash and Investments.  
Exclude any restricted cash and investments.</v>
      </c>
      <c r="D134" s="144"/>
      <c r="E134" s="366">
        <f>'Unit Data from Audit Worksheet'!F151</f>
        <v>0</v>
      </c>
      <c r="F134" s="359">
        <f>IF(L134&lt;0,"Error: Number is normally positive.",)</f>
        <v>0</v>
      </c>
      <c r="G134" s="361"/>
      <c r="H134" s="358">
        <f>'Unit Data from Audit Worksheet'!I151</f>
        <v>0</v>
      </c>
      <c r="I134" s="38"/>
      <c r="J134" s="357">
        <v>90</v>
      </c>
      <c r="K134" s="356" t="s">
        <v>223</v>
      </c>
      <c r="L134" s="610">
        <f t="shared" si="14"/>
        <v>0</v>
      </c>
      <c r="P134" s="328"/>
      <c r="W134" s="3" t="b">
        <f t="shared" si="15"/>
        <v>1</v>
      </c>
      <c r="X134" s="607">
        <f t="shared" si="12"/>
        <v>0</v>
      </c>
      <c r="Y134" s="607">
        <f t="shared" si="13"/>
        <v>0</v>
      </c>
    </row>
    <row r="135" spans="1:25" ht="56.25" customHeight="1" x14ac:dyDescent="0.3">
      <c r="A135" s="346">
        <f>'Unit Data from Audit Worksheet'!A152</f>
        <v>91</v>
      </c>
      <c r="B135" s="360" t="str">
        <f>'Unit Data from Audit Worksheet'!C152</f>
        <v>Electric Fund Net Position Statement</v>
      </c>
      <c r="C135" s="345" t="str">
        <f>'Unit Data from Audit Worksheet'!D152</f>
        <v xml:space="preserve">Customer accounts receivable (net of allowance accounts)
Include billed and unbilled amounts </v>
      </c>
      <c r="D135" s="144"/>
      <c r="E135" s="366">
        <f>'Unit Data from Audit Worksheet'!F152</f>
        <v>0</v>
      </c>
      <c r="F135" s="359">
        <f>IF(L135&lt;0,"Error: Number is normally positive.",)</f>
        <v>0</v>
      </c>
      <c r="G135" s="361"/>
      <c r="H135" s="358">
        <f>'Unit Data from Audit Worksheet'!I152</f>
        <v>0</v>
      </c>
      <c r="I135" s="38"/>
      <c r="J135" s="357">
        <v>91</v>
      </c>
      <c r="K135" s="356" t="s">
        <v>224</v>
      </c>
      <c r="L135" s="610">
        <f t="shared" si="14"/>
        <v>0</v>
      </c>
      <c r="P135" s="328"/>
      <c r="W135" s="3" t="b">
        <f t="shared" si="15"/>
        <v>1</v>
      </c>
      <c r="X135" s="607">
        <f t="shared" si="12"/>
        <v>0</v>
      </c>
      <c r="Y135" s="607">
        <f t="shared" si="13"/>
        <v>0</v>
      </c>
    </row>
    <row r="136" spans="1:25" ht="56.25" customHeight="1" x14ac:dyDescent="0.3">
      <c r="A136" s="346">
        <f>'Unit Data from Audit Worksheet'!A153</f>
        <v>581</v>
      </c>
      <c r="B136" s="360" t="str">
        <f>'Unit Data from Audit Worksheet'!C153</f>
        <v>Electric Fund Net Position Statement</v>
      </c>
      <c r="C136" s="345" t="str">
        <f>'Unit Data from Audit Worksheet'!D153</f>
        <v>Electric Fund - Advance To:
Interfund loan receivable-portion of repayment plan longer than 12 months</v>
      </c>
      <c r="D136" s="144"/>
      <c r="E136" s="366">
        <f>'Unit Data from Audit Worksheet'!F153</f>
        <v>0</v>
      </c>
      <c r="F136" s="359"/>
      <c r="G136" s="361"/>
      <c r="H136" s="358"/>
      <c r="I136" s="38"/>
      <c r="J136" s="357">
        <v>581</v>
      </c>
      <c r="K136" s="356" t="s">
        <v>565</v>
      </c>
      <c r="L136" s="610">
        <f t="shared" si="14"/>
        <v>0</v>
      </c>
      <c r="P136" s="328"/>
      <c r="W136" s="3" t="b">
        <f t="shared" si="15"/>
        <v>1</v>
      </c>
      <c r="X136" s="607">
        <f t="shared" si="12"/>
        <v>0</v>
      </c>
      <c r="Y136" s="607">
        <f t="shared" si="13"/>
        <v>0</v>
      </c>
    </row>
    <row r="137" spans="1:25" ht="56.25" customHeight="1" x14ac:dyDescent="0.3">
      <c r="A137" s="346">
        <f>'Unit Data from Audit Worksheet'!A154</f>
        <v>511</v>
      </c>
      <c r="B137" s="360" t="str">
        <f>'Unit Data from Audit Worksheet'!C154</f>
        <v>Electric Fund Net Position Statement</v>
      </c>
      <c r="C137" s="345" t="str">
        <f>'Unit Data from Audit Worksheet'!D154</f>
        <v>Amount of inventories and prepaids</v>
      </c>
      <c r="D137" s="144"/>
      <c r="E137" s="366">
        <f>'Unit Data from Audit Worksheet'!F154</f>
        <v>0</v>
      </c>
      <c r="F137" s="359">
        <f t="shared" ref="F137:F142" si="16">IF(L137&lt;0,"Error: Number is normally positive.",)</f>
        <v>0</v>
      </c>
      <c r="G137" s="361"/>
      <c r="H137" s="358">
        <f>'Unit Data from Audit Worksheet'!I154</f>
        <v>0</v>
      </c>
      <c r="I137" s="38"/>
      <c r="J137" s="357">
        <v>511</v>
      </c>
      <c r="K137" s="356" t="s">
        <v>225</v>
      </c>
      <c r="L137" s="610">
        <f t="shared" si="14"/>
        <v>0</v>
      </c>
      <c r="P137" s="328"/>
      <c r="W137" s="3" t="b">
        <f t="shared" si="15"/>
        <v>1</v>
      </c>
      <c r="X137" s="607">
        <f t="shared" si="12"/>
        <v>0</v>
      </c>
      <c r="Y137" s="607">
        <f t="shared" si="13"/>
        <v>0</v>
      </c>
    </row>
    <row r="138" spans="1:25" ht="62.25" customHeight="1" x14ac:dyDescent="0.3">
      <c r="A138" s="346">
        <f>'Unit Data from Audit Worksheet'!A155</f>
        <v>657</v>
      </c>
      <c r="B138" s="360" t="str">
        <f>'Unit Data from Audit Worksheet'!C155</f>
        <v>Electric Fund Net Position Statement</v>
      </c>
      <c r="C138" s="345" t="str">
        <f>'Unit Data from Audit Worksheet'!D155</f>
        <v xml:space="preserve">Total Current assets as listed on the Electric Net Position Statement.  
</v>
      </c>
      <c r="D138" s="144"/>
      <c r="E138" s="366">
        <f>'Unit Data from Audit Worksheet'!F155</f>
        <v>0</v>
      </c>
      <c r="F138" s="359">
        <f t="shared" si="16"/>
        <v>0</v>
      </c>
      <c r="G138" s="361"/>
      <c r="H138" s="358">
        <f>'Unit Data from Audit Worksheet'!I155</f>
        <v>0</v>
      </c>
      <c r="I138" s="38"/>
      <c r="J138" s="357">
        <v>657</v>
      </c>
      <c r="K138" s="356" t="s">
        <v>786</v>
      </c>
      <c r="L138" s="624">
        <f>IF(D138="",E138,D138)</f>
        <v>0</v>
      </c>
      <c r="P138" s="328"/>
      <c r="Q138" s="600">
        <f>IF((L134+L135+L137)&gt;L140,1,0)</f>
        <v>0</v>
      </c>
      <c r="W138" s="3" t="b">
        <f t="shared" si="15"/>
        <v>1</v>
      </c>
      <c r="X138" s="607">
        <f t="shared" si="12"/>
        <v>0</v>
      </c>
      <c r="Y138" s="607">
        <f t="shared" si="13"/>
        <v>0</v>
      </c>
    </row>
    <row r="139" spans="1:25" ht="62.25" customHeight="1" x14ac:dyDescent="0.3">
      <c r="A139" s="346">
        <f>'Unit Data from Audit Worksheet'!A156</f>
        <v>658</v>
      </c>
      <c r="B139" s="360" t="str">
        <f>'Unit Data from Audit Worksheet'!C156</f>
        <v>Electric Fund Net Position Statement</v>
      </c>
      <c r="C139" s="345" t="str">
        <f>'Unit Data from Audit Worksheet'!D156</f>
        <v>Electric-Any current assets that are restricted (Cash, Accounts Rec., etc..) and included in account 657 above</v>
      </c>
      <c r="D139" s="144"/>
      <c r="E139" s="366">
        <f>'Unit Data from Audit Worksheet'!F156</f>
        <v>0</v>
      </c>
      <c r="F139" s="359">
        <f t="shared" si="16"/>
        <v>0</v>
      </c>
      <c r="G139" s="361"/>
      <c r="H139" s="358"/>
      <c r="I139" s="38"/>
      <c r="J139" s="357">
        <v>658</v>
      </c>
      <c r="K139" s="356" t="s">
        <v>853</v>
      </c>
      <c r="L139" s="624">
        <f>IF(D139="",E139,D139)</f>
        <v>0</v>
      </c>
      <c r="P139" s="328"/>
      <c r="W139" s="3" t="b">
        <f t="shared" si="15"/>
        <v>1</v>
      </c>
      <c r="X139" s="607">
        <f t="shared" si="12"/>
        <v>0</v>
      </c>
      <c r="Y139" s="607">
        <f t="shared" si="13"/>
        <v>0</v>
      </c>
    </row>
    <row r="140" spans="1:25" ht="39.75" customHeight="1" x14ac:dyDescent="0.3">
      <c r="A140" s="346">
        <f>'Unit Data from Audit Worksheet'!A157</f>
        <v>382</v>
      </c>
      <c r="B140" s="360" t="str">
        <f>'Unit Data from Audit Worksheet'!C157</f>
        <v>Electric Fund Net Position Statement</v>
      </c>
      <c r="C140" s="345" t="str">
        <f>'Unit Data from Audit Worksheet'!D157</f>
        <v>Total Assets and deferred outflows</v>
      </c>
      <c r="D140" s="144"/>
      <c r="E140" s="366">
        <f>'Unit Data from Audit Worksheet'!F157</f>
        <v>0</v>
      </c>
      <c r="F140" s="359">
        <f t="shared" si="16"/>
        <v>0</v>
      </c>
      <c r="G140" s="361"/>
      <c r="H140" s="358">
        <f>'Unit Data from Audit Worksheet'!I157</f>
        <v>0</v>
      </c>
      <c r="I140" s="38"/>
      <c r="J140" s="357">
        <v>382</v>
      </c>
      <c r="K140" s="356" t="s">
        <v>114</v>
      </c>
      <c r="L140" s="610">
        <f>IF(D140="",E140,D140)</f>
        <v>0</v>
      </c>
      <c r="P140" s="328"/>
      <c r="W140" s="3" t="b">
        <f t="shared" si="15"/>
        <v>1</v>
      </c>
      <c r="X140" s="607">
        <f t="shared" si="12"/>
        <v>0</v>
      </c>
      <c r="Y140" s="607">
        <f t="shared" si="13"/>
        <v>0</v>
      </c>
    </row>
    <row r="141" spans="1:25" ht="39.75" customHeight="1" x14ac:dyDescent="0.3">
      <c r="A141" s="346">
        <f>'Unit Data from Audit Worksheet'!A158</f>
        <v>360</v>
      </c>
      <c r="B141" s="360" t="str">
        <f>'Unit Data from Audit Worksheet'!C158</f>
        <v>Electric Fund Net Position Statement</v>
      </c>
      <c r="C141" s="345" t="str">
        <f>'Unit Data from Audit Worksheet'!D158</f>
        <v>Total liabilities and total deferred inflows</v>
      </c>
      <c r="D141" s="144"/>
      <c r="E141" s="366">
        <f>'Unit Data from Audit Worksheet'!F158</f>
        <v>0</v>
      </c>
      <c r="F141" s="359">
        <f t="shared" si="16"/>
        <v>0</v>
      </c>
      <c r="G141" s="361"/>
      <c r="H141" s="358">
        <f>'Unit Data from Audit Worksheet'!I158</f>
        <v>0</v>
      </c>
      <c r="I141" s="38"/>
      <c r="J141" s="357">
        <v>360</v>
      </c>
      <c r="K141" s="109" t="s">
        <v>125</v>
      </c>
      <c r="L141" s="610">
        <f>IF(D141="",E141,D141)</f>
        <v>0</v>
      </c>
      <c r="P141" s="328"/>
      <c r="W141" s="3" t="b">
        <f t="shared" si="15"/>
        <v>1</v>
      </c>
      <c r="X141" s="607">
        <f t="shared" si="12"/>
        <v>0</v>
      </c>
      <c r="Y141" s="607">
        <f t="shared" si="13"/>
        <v>0</v>
      </c>
    </row>
    <row r="142" spans="1:25" ht="58.5" customHeight="1" x14ac:dyDescent="0.3">
      <c r="A142" s="346">
        <f>'Unit Data from Audit Worksheet'!A159</f>
        <v>580</v>
      </c>
      <c r="B142" s="360" t="str">
        <f>'Unit Data from Audit Worksheet'!C159</f>
        <v>Electric Fund Net Position Statement</v>
      </c>
      <c r="C142" s="345" t="str">
        <f>'Unit Data from Audit Worksheet'!D159</f>
        <v>Electric Fund - Advance From:
Interfund loans payable-portion of repayment plan longer than 12 months</v>
      </c>
      <c r="D142" s="144"/>
      <c r="E142" s="366">
        <f>'Unit Data from Audit Worksheet'!F159</f>
        <v>0</v>
      </c>
      <c r="F142" s="359">
        <f t="shared" si="16"/>
        <v>0</v>
      </c>
      <c r="G142" s="361"/>
      <c r="H142" s="358">
        <f>'Unit Data from Audit Worksheet'!I159</f>
        <v>0</v>
      </c>
      <c r="I142" s="38"/>
      <c r="J142" s="357">
        <v>580</v>
      </c>
      <c r="K142" s="109" t="s">
        <v>566</v>
      </c>
      <c r="L142" s="610">
        <f>IF(D142="",E142,D142)</f>
        <v>0</v>
      </c>
      <c r="N142" s="619"/>
      <c r="P142" s="328"/>
      <c r="W142" s="3" t="b">
        <f t="shared" si="15"/>
        <v>1</v>
      </c>
      <c r="X142" s="607">
        <f t="shared" si="12"/>
        <v>0</v>
      </c>
      <c r="Y142" s="607">
        <f t="shared" si="13"/>
        <v>0</v>
      </c>
    </row>
    <row r="143" spans="1:25" s="18" customFormat="1" ht="104.25" customHeight="1" x14ac:dyDescent="0.3">
      <c r="A143" s="346">
        <f>'Unit Data from Audit Worksheet'!A160</f>
        <v>639</v>
      </c>
      <c r="B143" s="360" t="str">
        <f>'Unit Data from Audit Worksheet'!C160</f>
        <v>Electric Fund Net Position Statement</v>
      </c>
      <c r="C143" s="345" t="str">
        <f>'Unit Data from Audit Worksheet'!D160</f>
        <v>Current liabilities (as reported on the Statement of Fund Net Position)
Include:   Current liabilities including current portion of long-term debt.  Deferred inflows should not be included in Current Liabilities   
Enter as a positive</v>
      </c>
      <c r="D143" s="144"/>
      <c r="E143" s="366">
        <f>'Unit Data from Audit Worksheet'!F160</f>
        <v>0</v>
      </c>
      <c r="F143" s="359" t="str">
        <f>IF(L143&gt;=(L144+L145+L146+L147+L148+L149),"","Account 639 is less than the total sum of accounts 640 through 644 + 384")</f>
        <v/>
      </c>
      <c r="G143" s="361">
        <f>L143-(L144+L145+L146+L147+L148+L149)</f>
        <v>0</v>
      </c>
      <c r="H143" s="358">
        <f>'Unit Data from Audit Worksheet'!I160</f>
        <v>0</v>
      </c>
      <c r="I143" s="38"/>
      <c r="J143" s="357">
        <v>639</v>
      </c>
      <c r="K143" s="356" t="s">
        <v>719</v>
      </c>
      <c r="L143" s="624">
        <f t="shared" ref="L143:L164" si="17">IF(D143="",E143,D143)</f>
        <v>0</v>
      </c>
      <c r="P143" s="328"/>
      <c r="Q143" s="600"/>
      <c r="R143" s="3"/>
      <c r="W143" s="18" t="b">
        <f t="shared" si="15"/>
        <v>1</v>
      </c>
      <c r="X143" s="616">
        <f t="shared" si="12"/>
        <v>0</v>
      </c>
      <c r="Y143" s="616">
        <f t="shared" si="13"/>
        <v>0</v>
      </c>
    </row>
    <row r="144" spans="1:25" s="18" customFormat="1" ht="104.25" customHeight="1" x14ac:dyDescent="0.3">
      <c r="A144" s="346">
        <f>'Unit Data from Audit Worksheet'!A161</f>
        <v>640</v>
      </c>
      <c r="B144" s="360" t="str">
        <f>'Unit Data from Audit Worksheet'!C161</f>
        <v>Electric Fund Net Position Statement</v>
      </c>
      <c r="C144" s="345" t="str">
        <f>'Unit Data from Audit Worksheet'!D161</f>
        <v>Please enter any bond anticipation notes that are classified as current liabilities and included in account 639 above (amounts entered should agree to the current amount included in the changes to long-term debt note)
Enter as a positive</v>
      </c>
      <c r="D144" s="144"/>
      <c r="E144" s="366">
        <f>'Unit Data from Audit Worksheet'!F161</f>
        <v>0</v>
      </c>
      <c r="F144" s="359">
        <f t="shared" ref="F144:F149" si="18">IF(L144&lt;0,"Error: Number is normally positive.",)</f>
        <v>0</v>
      </c>
      <c r="G144" s="361"/>
      <c r="H144" s="358">
        <f>'Unit Data from Audit Worksheet'!I161</f>
        <v>0</v>
      </c>
      <c r="I144" s="38"/>
      <c r="J144" s="357">
        <v>640</v>
      </c>
      <c r="K144" s="356" t="s">
        <v>720</v>
      </c>
      <c r="L144" s="624">
        <f t="shared" si="17"/>
        <v>0</v>
      </c>
      <c r="P144" s="328"/>
      <c r="Q144" s="600"/>
      <c r="R144" s="3"/>
      <c r="W144" s="18" t="b">
        <f t="shared" si="15"/>
        <v>1</v>
      </c>
      <c r="X144" s="616">
        <f t="shared" si="12"/>
        <v>0</v>
      </c>
      <c r="Y144" s="616">
        <f t="shared" si="13"/>
        <v>0</v>
      </c>
    </row>
    <row r="145" spans="1:25" s="18" customFormat="1" ht="104.25" customHeight="1" x14ac:dyDescent="0.3">
      <c r="A145" s="346">
        <f>'Unit Data from Audit Worksheet'!A162</f>
        <v>641</v>
      </c>
      <c r="B145" s="360" t="str">
        <f>'Unit Data from Audit Worksheet'!C162</f>
        <v>Electric Fund Net Position Statement</v>
      </c>
      <c r="C145" s="345" t="str">
        <f>'Unit Data from Audit Worksheet'!D162</f>
        <v>Please enter any compensated absences that are classified as current liabilities and included in account 639 above (amounts entered should agree to the current amount included in the changes to long-term debt note)
Enter as a positive</v>
      </c>
      <c r="D145" s="144"/>
      <c r="E145" s="366">
        <f>'Unit Data from Audit Worksheet'!F162</f>
        <v>0</v>
      </c>
      <c r="F145" s="359">
        <f t="shared" si="18"/>
        <v>0</v>
      </c>
      <c r="G145" s="361"/>
      <c r="H145" s="358">
        <f>'Unit Data from Audit Worksheet'!I162</f>
        <v>0</v>
      </c>
      <c r="I145" s="38"/>
      <c r="J145" s="357">
        <v>641</v>
      </c>
      <c r="K145" s="356" t="s">
        <v>721</v>
      </c>
      <c r="L145" s="624">
        <f t="shared" si="17"/>
        <v>0</v>
      </c>
      <c r="P145" s="328"/>
      <c r="Q145" s="600"/>
      <c r="R145" s="3"/>
      <c r="W145" s="18" t="b">
        <f t="shared" si="15"/>
        <v>1</v>
      </c>
      <c r="X145" s="616">
        <f t="shared" si="12"/>
        <v>0</v>
      </c>
      <c r="Y145" s="616">
        <f t="shared" si="13"/>
        <v>0</v>
      </c>
    </row>
    <row r="146" spans="1:25" s="18" customFormat="1" ht="104.25" customHeight="1" x14ac:dyDescent="0.3">
      <c r="A146" s="346">
        <f>'Unit Data from Audit Worksheet'!A163</f>
        <v>642</v>
      </c>
      <c r="B146" s="360" t="str">
        <f>'Unit Data from Audit Worksheet'!C163</f>
        <v>Electric Fund Net Position Statement</v>
      </c>
      <c r="C146" s="345" t="str">
        <f>'Unit Data from Audit Worksheet'!D163</f>
        <v>Please enter any pension liabilities that are classified as current liabilities and included account in 639 above (amounts entered should agree to the current amount included in the changes to long-term debt note)
Enter as a positive</v>
      </c>
      <c r="D146" s="144"/>
      <c r="E146" s="366">
        <f>'Unit Data from Audit Worksheet'!F163</f>
        <v>0</v>
      </c>
      <c r="F146" s="359">
        <f t="shared" si="18"/>
        <v>0</v>
      </c>
      <c r="G146" s="361"/>
      <c r="H146" s="358">
        <f>'Unit Data from Audit Worksheet'!I163</f>
        <v>0</v>
      </c>
      <c r="I146" s="38"/>
      <c r="J146" s="357">
        <v>642</v>
      </c>
      <c r="K146" s="356" t="s">
        <v>722</v>
      </c>
      <c r="L146" s="624">
        <f t="shared" si="17"/>
        <v>0</v>
      </c>
      <c r="P146" s="328"/>
      <c r="Q146" s="600"/>
      <c r="R146" s="3"/>
      <c r="W146" s="18" t="b">
        <f t="shared" si="15"/>
        <v>1</v>
      </c>
      <c r="X146" s="616">
        <f t="shared" si="12"/>
        <v>0</v>
      </c>
      <c r="Y146" s="616">
        <f t="shared" si="13"/>
        <v>0</v>
      </c>
    </row>
    <row r="147" spans="1:25" s="18" customFormat="1" ht="60.75" customHeight="1" x14ac:dyDescent="0.3">
      <c r="A147" s="346">
        <f>'Unit Data from Audit Worksheet'!A164</f>
        <v>643</v>
      </c>
      <c r="B147" s="360" t="str">
        <f>'Unit Data from Audit Worksheet'!C164</f>
        <v>Electric Fund Net Position Statement</v>
      </c>
      <c r="C147" s="345" t="str">
        <f>'Unit Data from Audit Worksheet'!D164</f>
        <v>Please enter any current liabilities that are payable from restricted assets and included in account 639 above. 
Enter as a positive</v>
      </c>
      <c r="D147" s="144"/>
      <c r="E147" s="366">
        <f>'Unit Data from Audit Worksheet'!F164</f>
        <v>0</v>
      </c>
      <c r="F147" s="359">
        <f t="shared" si="18"/>
        <v>0</v>
      </c>
      <c r="G147" s="361"/>
      <c r="H147" s="358">
        <f>'Unit Data from Audit Worksheet'!I164</f>
        <v>0</v>
      </c>
      <c r="I147" s="38"/>
      <c r="J147" s="357">
        <v>643</v>
      </c>
      <c r="K147" s="356" t="s">
        <v>723</v>
      </c>
      <c r="L147" s="624">
        <f t="shared" si="17"/>
        <v>0</v>
      </c>
      <c r="P147" s="328"/>
      <c r="Q147" s="600"/>
      <c r="R147" s="3"/>
      <c r="W147" s="18" t="b">
        <f t="shared" si="15"/>
        <v>1</v>
      </c>
      <c r="X147" s="616">
        <f t="shared" si="12"/>
        <v>0</v>
      </c>
      <c r="Y147" s="616">
        <f t="shared" si="13"/>
        <v>0</v>
      </c>
    </row>
    <row r="148" spans="1:25" s="18" customFormat="1" ht="102" customHeight="1" x14ac:dyDescent="0.3">
      <c r="A148" s="346">
        <f>'Unit Data from Audit Worksheet'!A165</f>
        <v>644</v>
      </c>
      <c r="B148" s="360" t="str">
        <f>'Unit Data from Audit Worksheet'!C165</f>
        <v>Electric Fund Net Position Statement</v>
      </c>
      <c r="C148" s="345" t="str">
        <f>'Unit Data from Audit Worksheet'!D165</f>
        <v>Please enter any OPEB liabilities that are classified as current liabilities and included in account 639 above (amounts entered should agree to the current amount included in the changes to long-term debt note)
Enter as a positive</v>
      </c>
      <c r="D148" s="144"/>
      <c r="E148" s="366">
        <f>'Unit Data from Audit Worksheet'!F165</f>
        <v>0</v>
      </c>
      <c r="F148" s="359">
        <f t="shared" si="18"/>
        <v>0</v>
      </c>
      <c r="G148" s="361"/>
      <c r="H148" s="358">
        <f>'Unit Data from Audit Worksheet'!I165</f>
        <v>0</v>
      </c>
      <c r="I148" s="38"/>
      <c r="J148" s="281">
        <v>644</v>
      </c>
      <c r="K148" s="356" t="s">
        <v>724</v>
      </c>
      <c r="L148" s="624">
        <f t="shared" si="17"/>
        <v>0</v>
      </c>
      <c r="P148" s="331"/>
      <c r="Q148" s="600"/>
      <c r="R148" s="3"/>
      <c r="W148" s="18" t="b">
        <f t="shared" si="15"/>
        <v>1</v>
      </c>
      <c r="X148" s="616">
        <f t="shared" si="12"/>
        <v>0</v>
      </c>
      <c r="Y148" s="616">
        <f t="shared" si="13"/>
        <v>0</v>
      </c>
    </row>
    <row r="149" spans="1:25" ht="63.75" customHeight="1" x14ac:dyDescent="0.3">
      <c r="A149" s="346">
        <f>+'Unit Data from Audit Worksheet'!A166</f>
        <v>384</v>
      </c>
      <c r="B149" s="346" t="str">
        <f>+'Unit Data from Audit Worksheet'!C166</f>
        <v>Electric Fund Net Position Statement</v>
      </c>
      <c r="C149" s="346" t="str">
        <f>+'Unit Data from Audit Worksheet'!D166</f>
        <v>Unearned revenue (arising from cash receipts) that were included in Current Liabilities in account 639 above.
Enter as a positive</v>
      </c>
      <c r="D149" s="144"/>
      <c r="E149" s="366">
        <f>+'Unit Data from Audit Worksheet'!F166</f>
        <v>0</v>
      </c>
      <c r="F149" s="359">
        <f t="shared" si="18"/>
        <v>0</v>
      </c>
      <c r="G149" s="361"/>
      <c r="H149" s="358">
        <f>'Unit Data from Audit Worksheet'!I166</f>
        <v>0</v>
      </c>
      <c r="I149" s="38"/>
      <c r="J149" s="357">
        <v>384</v>
      </c>
      <c r="K149" s="58" t="s">
        <v>124</v>
      </c>
      <c r="L149" s="610">
        <f t="shared" si="17"/>
        <v>0</v>
      </c>
      <c r="P149" s="328"/>
      <c r="W149" s="3" t="b">
        <f t="shared" si="15"/>
        <v>1</v>
      </c>
      <c r="X149" s="607">
        <f t="shared" si="12"/>
        <v>0</v>
      </c>
      <c r="Y149" s="607">
        <f t="shared" si="13"/>
        <v>0</v>
      </c>
    </row>
    <row r="150" spans="1:25" ht="86.4" x14ac:dyDescent="0.3">
      <c r="A150" s="346">
        <f>+'Unit Data from Audit Worksheet'!A167</f>
        <v>361</v>
      </c>
      <c r="B150" s="346" t="str">
        <f>+'Unit Data from Audit Worksheet'!C167</f>
        <v>Electric Fund Net Position Statement</v>
      </c>
      <c r="C150" s="346" t="str">
        <f>+'Unit Data from Audit Worksheet'!D167</f>
        <v>Total net position, unrestricted - Amount of negative unrestricted net position should be entered as a negative amount and the amount of positive unrestricted net position should be entered as a positive amount.</v>
      </c>
      <c r="D150" s="144"/>
      <c r="E150" s="366">
        <f>+'Unit Data from Audit Worksheet'!F167</f>
        <v>0</v>
      </c>
      <c r="F150" s="359"/>
      <c r="G150" s="361"/>
      <c r="H150" s="358">
        <f>'Unit Data from Audit Worksheet'!I167</f>
        <v>0</v>
      </c>
      <c r="I150" s="38"/>
      <c r="J150" s="357">
        <v>361</v>
      </c>
      <c r="K150" s="356" t="s">
        <v>106</v>
      </c>
      <c r="L150" s="610">
        <f t="shared" si="17"/>
        <v>0</v>
      </c>
      <c r="P150" s="328"/>
      <c r="W150" s="3" t="b">
        <f t="shared" si="15"/>
        <v>1</v>
      </c>
      <c r="X150" s="607">
        <f t="shared" si="12"/>
        <v>0</v>
      </c>
      <c r="Y150" s="607">
        <f t="shared" si="13"/>
        <v>0</v>
      </c>
    </row>
    <row r="151" spans="1:25" ht="46.5" customHeight="1" x14ac:dyDescent="0.3">
      <c r="A151" s="346">
        <f>'Unit Data from Audit Worksheet'!A168</f>
        <v>362</v>
      </c>
      <c r="B151" s="360" t="str">
        <f>'Unit Data from Audit Worksheet'!C168</f>
        <v>Electric Fund Net Position Statement</v>
      </c>
      <c r="C151" s="345" t="str">
        <f>'Unit Data from Audit Worksheet'!D168</f>
        <v>Total net position</v>
      </c>
      <c r="D151" s="144"/>
      <c r="E151" s="366">
        <f>'Unit Data from Audit Worksheet'!F168</f>
        <v>0</v>
      </c>
      <c r="F151" s="359">
        <f>IF(L140-L141-L151=0,,"Error: Total assets less total liabilities do not equal net position acct 382-360-362=0")</f>
        <v>0</v>
      </c>
      <c r="G151" s="91">
        <f>+L140-L141-L151</f>
        <v>0</v>
      </c>
      <c r="H151" s="358">
        <f>'Unit Data from Audit Worksheet'!I168</f>
        <v>0</v>
      </c>
      <c r="I151" s="38"/>
      <c r="J151" s="357">
        <v>362</v>
      </c>
      <c r="K151" s="356" t="s">
        <v>107</v>
      </c>
      <c r="L151" s="610">
        <f t="shared" si="17"/>
        <v>0</v>
      </c>
      <c r="O151" s="618" t="e">
        <f>'Unit Data from Audit Worksheet'!E168</f>
        <v>#N/A</v>
      </c>
      <c r="P151" s="328"/>
      <c r="Q151" s="600">
        <f>IF(+L140-L141-L151=0,0,1)</f>
        <v>0</v>
      </c>
      <c r="W151" s="3" t="b">
        <f t="shared" si="15"/>
        <v>1</v>
      </c>
      <c r="X151" s="607">
        <f t="shared" si="12"/>
        <v>0</v>
      </c>
      <c r="Y151" s="607">
        <f t="shared" si="13"/>
        <v>0</v>
      </c>
    </row>
    <row r="152" spans="1:25" ht="61.5" customHeight="1" x14ac:dyDescent="0.3">
      <c r="A152" s="346">
        <f>'Unit Data from Audit Worksheet'!A171</f>
        <v>88</v>
      </c>
      <c r="B152" s="360" t="str">
        <f>'Unit Data from Audit Worksheet'!C171</f>
        <v>Water Sewer Revenue, Expenses &amp; Changes in Fund Net Position</v>
      </c>
      <c r="C152" s="345" t="str">
        <f>'Unit Data from Audit Worksheet'!D171</f>
        <v>Charges for services. 
Exclude tap, capacity fees and other misc. income .</v>
      </c>
      <c r="D152" s="144"/>
      <c r="E152" s="366">
        <f>'Unit Data from Audit Worksheet'!F171</f>
        <v>0</v>
      </c>
      <c r="F152" s="359"/>
      <c r="G152" s="361"/>
      <c r="H152" s="358">
        <f>'Unit Data from Audit Worksheet'!I171</f>
        <v>0</v>
      </c>
      <c r="I152" s="38"/>
      <c r="J152" s="357">
        <v>88</v>
      </c>
      <c r="K152" s="356" t="s">
        <v>226</v>
      </c>
      <c r="L152" s="610">
        <f t="shared" si="17"/>
        <v>0</v>
      </c>
      <c r="P152" s="328"/>
      <c r="Q152" s="362"/>
      <c r="W152" s="3" t="b">
        <f t="shared" si="15"/>
        <v>1</v>
      </c>
      <c r="X152" s="607">
        <f t="shared" si="12"/>
        <v>0</v>
      </c>
      <c r="Y152" s="607">
        <f t="shared" si="13"/>
        <v>0</v>
      </c>
    </row>
    <row r="153" spans="1:25" ht="72" customHeight="1" x14ac:dyDescent="0.3">
      <c r="A153" s="346">
        <f>'Unit Data from Audit Worksheet'!A172</f>
        <v>84</v>
      </c>
      <c r="B153" s="360" t="str">
        <f>'Unit Data from Audit Worksheet'!C172</f>
        <v>Water Sewer Revenue, Expenses &amp; Changes in Fund Net Position</v>
      </c>
      <c r="C153" s="345" t="str">
        <f>'Unit Data from Audit Worksheet'!D172</f>
        <v>Total Operating revenues</v>
      </c>
      <c r="D153" s="144"/>
      <c r="E153" s="366">
        <f>'Unit Data from Audit Worksheet'!F172</f>
        <v>0</v>
      </c>
      <c r="F153" s="359" t="str">
        <f>IF(L152&gt;L153,"Error: Charges for services exceed total operating revenues. Acct # 88&gt;84"," ")</f>
        <v xml:space="preserve"> </v>
      </c>
      <c r="G153" s="361" t="str">
        <f>IF(Q153=1," Included in error count"," ")</f>
        <v xml:space="preserve"> </v>
      </c>
      <c r="H153" s="358">
        <f>'Unit Data from Audit Worksheet'!I172</f>
        <v>0</v>
      </c>
      <c r="I153" s="38"/>
      <c r="J153" s="357">
        <v>84</v>
      </c>
      <c r="K153" s="356" t="s">
        <v>227</v>
      </c>
      <c r="L153" s="610">
        <f t="shared" si="17"/>
        <v>0</v>
      </c>
      <c r="P153" s="328"/>
      <c r="Q153" s="600">
        <f>IF(L152&gt;L153,1,0)</f>
        <v>0</v>
      </c>
      <c r="W153" s="3" t="b">
        <f t="shared" si="15"/>
        <v>1</v>
      </c>
      <c r="X153" s="607">
        <f t="shared" si="12"/>
        <v>0</v>
      </c>
      <c r="Y153" s="607">
        <f t="shared" si="13"/>
        <v>0</v>
      </c>
    </row>
    <row r="154" spans="1:25" ht="72" customHeight="1" x14ac:dyDescent="0.3">
      <c r="A154" s="346">
        <f>'Unit Data from Audit Worksheet'!A173</f>
        <v>49</v>
      </c>
      <c r="B154" s="360" t="str">
        <f>'Unit Data from Audit Worksheet'!C173</f>
        <v>Water Sewer Revenue, Expenses &amp; Changes in Fund Net Position</v>
      </c>
      <c r="C154" s="345" t="str">
        <f>'Unit Data from Audit Worksheet'!D173</f>
        <v>Depreciation and amortization expense</v>
      </c>
      <c r="D154" s="144"/>
      <c r="E154" s="366">
        <f>'Unit Data from Audit Worksheet'!F173</f>
        <v>0</v>
      </c>
      <c r="F154" s="359">
        <f>IF(L154&lt;0,"Error: Number is normally positive.",)</f>
        <v>0</v>
      </c>
      <c r="G154" s="361"/>
      <c r="H154" s="358">
        <f>'Unit Data from Audit Worksheet'!I173</f>
        <v>0</v>
      </c>
      <c r="I154" s="38"/>
      <c r="J154" s="357">
        <v>49</v>
      </c>
      <c r="K154" s="356" t="s">
        <v>228</v>
      </c>
      <c r="L154" s="610">
        <f t="shared" si="17"/>
        <v>0</v>
      </c>
      <c r="O154" s="618"/>
      <c r="P154" s="328"/>
      <c r="W154" s="3" t="b">
        <f t="shared" si="15"/>
        <v>1</v>
      </c>
      <c r="X154" s="607">
        <f t="shared" si="12"/>
        <v>0</v>
      </c>
      <c r="Y154" s="607">
        <f t="shared" si="13"/>
        <v>0</v>
      </c>
    </row>
    <row r="155" spans="1:25" ht="48" customHeight="1" x14ac:dyDescent="0.3">
      <c r="A155" s="346">
        <f>'Unit Data from Audit Worksheet'!A174</f>
        <v>85</v>
      </c>
      <c r="B155" s="360" t="str">
        <f>'Unit Data from Audit Worksheet'!C174</f>
        <v>Water Sewer Revenue, Expenses &amp; Changes in Fund Net Position</v>
      </c>
      <c r="C155" s="345" t="str">
        <f>'Unit Data from Audit Worksheet'!D174</f>
        <v>Total Operating expenses</v>
      </c>
      <c r="D155" s="144"/>
      <c r="E155" s="366">
        <f>'Unit Data from Audit Worksheet'!F174</f>
        <v>0</v>
      </c>
      <c r="F155" s="359"/>
      <c r="G155" s="361"/>
      <c r="H155" s="358">
        <f>'Unit Data from Audit Worksheet'!I174</f>
        <v>0</v>
      </c>
      <c r="I155" s="38"/>
      <c r="J155" s="357">
        <v>85</v>
      </c>
      <c r="K155" s="356" t="s">
        <v>229</v>
      </c>
      <c r="L155" s="610">
        <f t="shared" si="17"/>
        <v>0</v>
      </c>
      <c r="P155" s="328"/>
      <c r="W155" s="3" t="b">
        <f t="shared" si="15"/>
        <v>1</v>
      </c>
      <c r="X155" s="607">
        <f t="shared" si="12"/>
        <v>0</v>
      </c>
      <c r="Y155" s="607">
        <f t="shared" si="13"/>
        <v>0</v>
      </c>
    </row>
    <row r="156" spans="1:25" ht="48" customHeight="1" x14ac:dyDescent="0.3">
      <c r="A156" s="346">
        <f>'Unit Data from Audit Worksheet'!A175</f>
        <v>89</v>
      </c>
      <c r="B156" s="360" t="str">
        <f>'Unit Data from Audit Worksheet'!C175</f>
        <v>Water Sewer Revenue, Expenses &amp; Changes in Fund Net Position</v>
      </c>
      <c r="C156" s="345" t="str">
        <f>'Unit Data from Audit Worksheet'!D175</f>
        <v>Interest expense</v>
      </c>
      <c r="D156" s="144"/>
      <c r="E156" s="366">
        <f>'Unit Data from Audit Worksheet'!F175</f>
        <v>0</v>
      </c>
      <c r="F156" s="359"/>
      <c r="G156" s="361"/>
      <c r="H156" s="358">
        <f>'Unit Data from Audit Worksheet'!I175</f>
        <v>0</v>
      </c>
      <c r="I156" s="38"/>
      <c r="J156" s="357">
        <v>89</v>
      </c>
      <c r="K156" s="356" t="s">
        <v>230</v>
      </c>
      <c r="L156" s="610">
        <f t="shared" si="17"/>
        <v>0</v>
      </c>
      <c r="P156" s="328"/>
      <c r="W156" s="3" t="b">
        <f t="shared" si="15"/>
        <v>1</v>
      </c>
      <c r="X156" s="607">
        <f t="shared" si="12"/>
        <v>0</v>
      </c>
      <c r="Y156" s="607">
        <f t="shared" si="13"/>
        <v>0</v>
      </c>
    </row>
    <row r="157" spans="1:25" ht="48" customHeight="1" x14ac:dyDescent="0.3">
      <c r="A157" s="346">
        <f>'Unit Data from Audit Worksheet'!A176</f>
        <v>350</v>
      </c>
      <c r="B157" s="360" t="str">
        <f>'Unit Data from Audit Worksheet'!C176</f>
        <v>Water Sewer Revenue, Expenses &amp; Changes in Fund Net Position</v>
      </c>
      <c r="C157" s="345" t="str">
        <f>'Unit Data from Audit Worksheet'!D176</f>
        <v>Total all non-operating revenues  
Exclude Capital contributions.</v>
      </c>
      <c r="D157" s="144"/>
      <c r="E157" s="366">
        <f>'Unit Data from Audit Worksheet'!F176</f>
        <v>0</v>
      </c>
      <c r="F157" s="359"/>
      <c r="G157" s="361"/>
      <c r="H157" s="358">
        <f>'Unit Data from Audit Worksheet'!I176</f>
        <v>0</v>
      </c>
      <c r="I157" s="38"/>
      <c r="J157" s="357">
        <v>350</v>
      </c>
      <c r="K157" s="356" t="s">
        <v>231</v>
      </c>
      <c r="L157" s="610">
        <f t="shared" si="17"/>
        <v>0</v>
      </c>
      <c r="P157" s="328"/>
      <c r="W157" s="3" t="b">
        <f t="shared" si="15"/>
        <v>1</v>
      </c>
      <c r="X157" s="607">
        <f t="shared" si="12"/>
        <v>0</v>
      </c>
      <c r="Y157" s="607">
        <f t="shared" si="13"/>
        <v>0</v>
      </c>
    </row>
    <row r="158" spans="1:25" ht="48" customHeight="1" x14ac:dyDescent="0.3">
      <c r="A158" s="346">
        <f>'Unit Data from Audit Worksheet'!A177</f>
        <v>351</v>
      </c>
      <c r="B158" s="360" t="str">
        <f>'Unit Data from Audit Worksheet'!C177</f>
        <v>Water Sewer Revenue, Expenses &amp; Changes in Fund Net Position</v>
      </c>
      <c r="C158" s="345" t="str">
        <f>'Unit Data from Audit Worksheet'!D177</f>
        <v>Total all non-operating expenses.  
Include any negative special, extraordinary, or capital contribution.</v>
      </c>
      <c r="D158" s="144"/>
      <c r="E158" s="366">
        <f>'Unit Data from Audit Worksheet'!F177</f>
        <v>0</v>
      </c>
      <c r="F158" s="359"/>
      <c r="G158" s="361"/>
      <c r="H158" s="358">
        <f>'Unit Data from Audit Worksheet'!I177</f>
        <v>0</v>
      </c>
      <c r="I158" s="38"/>
      <c r="J158" s="357">
        <v>351</v>
      </c>
      <c r="K158" s="356" t="s">
        <v>232</v>
      </c>
      <c r="L158" s="610">
        <f t="shared" si="17"/>
        <v>0</v>
      </c>
      <c r="P158" s="328"/>
      <c r="W158" s="3" t="b">
        <f t="shared" si="15"/>
        <v>1</v>
      </c>
      <c r="X158" s="607">
        <f t="shared" si="12"/>
        <v>0</v>
      </c>
      <c r="Y158" s="607">
        <f t="shared" si="13"/>
        <v>0</v>
      </c>
    </row>
    <row r="159" spans="1:25" ht="57.6" x14ac:dyDescent="0.3">
      <c r="A159" s="346">
        <f>'Unit Data from Audit Worksheet'!A178</f>
        <v>191</v>
      </c>
      <c r="B159" s="360" t="str">
        <f>'Unit Data from Audit Worksheet'!C178</f>
        <v>Water Sewer Revenue, Expenses &amp; Changes in Fund Net Position</v>
      </c>
      <c r="C159" s="345" t="str">
        <f>'Unit Data from Audit Worksheet'!D178</f>
        <v>Capital contributions. Only include positive capital contributions.  Negative capital contributions should be included with 'Total all non-operating expenses.'</v>
      </c>
      <c r="D159" s="144"/>
      <c r="E159" s="366">
        <f>'Unit Data from Audit Worksheet'!F178</f>
        <v>0</v>
      </c>
      <c r="F159" s="359">
        <f>IF(L159&lt;0,"Error: Enter as a positive.",)</f>
        <v>0</v>
      </c>
      <c r="G159" s="361"/>
      <c r="H159" s="358">
        <f>'Unit Data from Audit Worksheet'!I178</f>
        <v>0</v>
      </c>
      <c r="I159" s="38"/>
      <c r="J159" s="357">
        <v>191</v>
      </c>
      <c r="K159" s="356" t="s">
        <v>233</v>
      </c>
      <c r="L159" s="610">
        <f t="shared" si="17"/>
        <v>0</v>
      </c>
      <c r="P159" s="328"/>
      <c r="W159" s="3" t="b">
        <f t="shared" si="15"/>
        <v>1</v>
      </c>
      <c r="X159" s="607">
        <f t="shared" si="12"/>
        <v>0</v>
      </c>
      <c r="Y159" s="607">
        <f t="shared" si="13"/>
        <v>0</v>
      </c>
    </row>
    <row r="160" spans="1:25" ht="47.25" customHeight="1" x14ac:dyDescent="0.3">
      <c r="A160" s="346">
        <f>'Unit Data from Audit Worksheet'!A179</f>
        <v>352</v>
      </c>
      <c r="B160" s="360" t="str">
        <f>'Unit Data from Audit Worksheet'!C179</f>
        <v>Water Sewer Revenue, Expenses &amp; Changes in Fund Net Position</v>
      </c>
      <c r="C160" s="345" t="str">
        <f>'Unit Data from Audit Worksheet'!D179</f>
        <v>Total Transfers in - all funds (operating and capital)</v>
      </c>
      <c r="D160" s="144"/>
      <c r="E160" s="366">
        <f>'Unit Data from Audit Worksheet'!F179</f>
        <v>0</v>
      </c>
      <c r="F160" s="359"/>
      <c r="G160" s="361"/>
      <c r="H160" s="358">
        <f>'Unit Data from Audit Worksheet'!I179</f>
        <v>0</v>
      </c>
      <c r="I160" s="38"/>
      <c r="J160" s="357">
        <v>352</v>
      </c>
      <c r="K160" s="356" t="s">
        <v>234</v>
      </c>
      <c r="L160" s="610">
        <f t="shared" si="17"/>
        <v>0</v>
      </c>
      <c r="P160" s="328"/>
      <c r="W160" s="3" t="b">
        <f t="shared" si="15"/>
        <v>1</v>
      </c>
      <c r="X160" s="607">
        <f t="shared" si="12"/>
        <v>0</v>
      </c>
      <c r="Y160" s="607">
        <f t="shared" si="13"/>
        <v>0</v>
      </c>
    </row>
    <row r="161" spans="1:25" ht="70.5" customHeight="1" x14ac:dyDescent="0.3">
      <c r="A161" s="626">
        <f>'Unit Data from Audit Worksheet'!A180</f>
        <v>986</v>
      </c>
      <c r="B161" s="364" t="str">
        <f>'Unit Data from Audit Worksheet'!C180</f>
        <v>Water Sewer Revenue, Expenses &amp; Changes in Fund Net Position</v>
      </c>
      <c r="C161" s="627" t="str">
        <f>'Unit Data from Audit Worksheet'!D180</f>
        <v>Of the transfers-in above in acct # 352, list amount of transfers-in that were used to support Water Sewer operations  (exclude capital transfers)</v>
      </c>
      <c r="D161" s="144"/>
      <c r="E161" s="366">
        <f>'Unit Data from Audit Worksheet'!F180</f>
        <v>0</v>
      </c>
      <c r="F161" s="359"/>
      <c r="G161" s="361"/>
      <c r="H161" s="358"/>
      <c r="I161" s="38"/>
      <c r="J161" s="375">
        <v>986</v>
      </c>
      <c r="K161" s="627" t="s">
        <v>1088</v>
      </c>
      <c r="L161" s="628">
        <f t="shared" si="17"/>
        <v>0</v>
      </c>
      <c r="P161" s="328"/>
      <c r="W161" s="3" t="b">
        <f t="shared" si="15"/>
        <v>1</v>
      </c>
      <c r="X161" s="607"/>
      <c r="Y161" s="607"/>
    </row>
    <row r="162" spans="1:25" ht="47.25" customHeight="1" x14ac:dyDescent="0.3">
      <c r="A162" s="346">
        <f>'Unit Data from Audit Worksheet'!A181</f>
        <v>353</v>
      </c>
      <c r="B162" s="360" t="str">
        <f>'Unit Data from Audit Worksheet'!C181</f>
        <v>Water Sewer Revenue, Expenses &amp; Changes in Fund Net Position</v>
      </c>
      <c r="C162" s="345" t="str">
        <f>'Unit Data from Audit Worksheet'!D181</f>
        <v>Total Transfers out</v>
      </c>
      <c r="D162" s="144"/>
      <c r="E162" s="366">
        <f>'Unit Data from Audit Worksheet'!F181</f>
        <v>0</v>
      </c>
      <c r="F162" s="359">
        <f>IF(L162&lt;0,"Error: Enter as a positive.",)</f>
        <v>0</v>
      </c>
      <c r="G162" s="361"/>
      <c r="H162" s="358">
        <f>'Unit Data from Audit Worksheet'!I181</f>
        <v>0</v>
      </c>
      <c r="I162" s="38"/>
      <c r="J162" s="40">
        <v>353</v>
      </c>
      <c r="K162" s="356" t="s">
        <v>235</v>
      </c>
      <c r="L162" s="610">
        <f t="shared" si="17"/>
        <v>0</v>
      </c>
      <c r="P162" s="332"/>
      <c r="W162" s="3" t="b">
        <f t="shared" si="15"/>
        <v>1</v>
      </c>
      <c r="X162" s="607">
        <f t="shared" si="12"/>
        <v>0</v>
      </c>
      <c r="Y162" s="607">
        <f t="shared" si="13"/>
        <v>0</v>
      </c>
    </row>
    <row r="163" spans="1:25" ht="72.75" customHeight="1" x14ac:dyDescent="0.3">
      <c r="A163" s="346">
        <f>'Unit Data from Audit Worksheet'!A182</f>
        <v>50</v>
      </c>
      <c r="B163" s="360" t="str">
        <f>'Unit Data from Audit Worksheet'!C182</f>
        <v>Water Sewer Revenue, Expenses &amp; Changes in Fund Net Position</v>
      </c>
      <c r="C163" s="345" t="str">
        <f>'Unit Data from Audit Worksheet'!D182</f>
        <v>Change in net position - Increase in net position is recorded as a positive and a (Decrease) in net position is recorded as a negative.</v>
      </c>
      <c r="D163" s="144"/>
      <c r="E163" s="149">
        <f>'Unit Data from Audit Worksheet'!F182</f>
        <v>0</v>
      </c>
      <c r="F163" s="359">
        <f>IF(L153-L155+L157-L158+L160+L159-L162-L163=0,,"Error:Total revenues less total expenses do not equal total change in net position. Acct # 84-85+350-351+191+352-353-50")</f>
        <v>0</v>
      </c>
      <c r="G163" s="91">
        <f>+L153-L155+L157-L158+L160+L159-L162-L163</f>
        <v>0</v>
      </c>
      <c r="H163" s="358">
        <f>'Unit Data from Audit Worksheet'!I182</f>
        <v>0</v>
      </c>
      <c r="I163" s="38"/>
      <c r="J163" s="357">
        <v>50</v>
      </c>
      <c r="K163" s="356" t="s">
        <v>100</v>
      </c>
      <c r="L163" s="610">
        <f t="shared" si="17"/>
        <v>0</v>
      </c>
      <c r="P163" s="328"/>
      <c r="Q163" s="600">
        <f>IF(G163&lt;&gt;0,1,0)</f>
        <v>0</v>
      </c>
      <c r="W163" s="3" t="b">
        <f t="shared" si="15"/>
        <v>1</v>
      </c>
      <c r="X163" s="607">
        <f t="shared" si="12"/>
        <v>0</v>
      </c>
      <c r="Y163" s="607">
        <f t="shared" si="13"/>
        <v>0</v>
      </c>
    </row>
    <row r="164" spans="1:25" ht="144" customHeight="1" x14ac:dyDescent="0.3">
      <c r="A164" s="346">
        <f>'Unit Data from Audit Worksheet'!A183</f>
        <v>377</v>
      </c>
      <c r="B164" s="360" t="str">
        <f>'Unit Data from Audit Worksheet'!C183</f>
        <v>Water Sewer Revenue, Expenses &amp; Changes in Fund Net Position</v>
      </c>
      <c r="C164" s="345" t="str">
        <f>'Unit Data from Audit Worksheet'!D183</f>
        <v>Increases or (decreases) to beginning water sewer net position due to rounding, prior period adjustments and restatements.  Increase amounts to beginning net position should be entered as a positive amount and (decreases) should be entered as a negative amount.</v>
      </c>
      <c r="D164" s="144"/>
      <c r="E164" s="149">
        <f>'Unit Data from Audit Worksheet'!F183</f>
        <v>0</v>
      </c>
      <c r="F164" s="87" t="e">
        <f>IF(L133-L163-L164=O133,,"Error:Beginning Balance does not agree with out records.Acct # 83-50-377 = PY83")</f>
        <v>#N/A</v>
      </c>
      <c r="G164" s="91" t="e">
        <f>+L133-L163-L164-O133</f>
        <v>#N/A</v>
      </c>
      <c r="H164" s="358">
        <f>'Unit Data from Audit Worksheet'!I183</f>
        <v>0</v>
      </c>
      <c r="I164" s="38"/>
      <c r="J164" s="357">
        <v>377</v>
      </c>
      <c r="K164" s="356" t="s">
        <v>109</v>
      </c>
      <c r="L164" s="610">
        <f t="shared" si="17"/>
        <v>0</v>
      </c>
      <c r="P164" s="328"/>
      <c r="Q164" s="600" t="e">
        <f>IF(G164&lt;&gt;0,1,0)</f>
        <v>#N/A</v>
      </c>
      <c r="W164" s="3" t="b">
        <f t="shared" si="15"/>
        <v>1</v>
      </c>
      <c r="X164" s="607">
        <f t="shared" si="12"/>
        <v>0</v>
      </c>
      <c r="Y164" s="607">
        <f t="shared" si="13"/>
        <v>0</v>
      </c>
    </row>
    <row r="165" spans="1:25" ht="63" customHeight="1" x14ac:dyDescent="0.3">
      <c r="A165" s="635">
        <f>'Unit Data from Audit Worksheet'!A184</f>
        <v>537</v>
      </c>
      <c r="B165" s="360" t="str">
        <f>'Unit Data from Audit Worksheet'!C184</f>
        <v>Water Sewer Revenue, Expenses &amp; Changes in Fund Net Position</v>
      </c>
      <c r="C165" s="345" t="str">
        <f>'Unit Data from Audit Worksheet'!D184</f>
        <v>Did unit raise Water Sewer rates during the audited fiscal period? - answer Yes or No</v>
      </c>
      <c r="D165" s="139"/>
      <c r="E165" s="366">
        <f>'Unit Data from Audit Worksheet'!F184</f>
        <v>0</v>
      </c>
      <c r="F165" s="359" t="s">
        <v>556</v>
      </c>
      <c r="G165" s="361"/>
      <c r="H165" s="358">
        <f>'Unit Data from Audit Worksheet'!I184</f>
        <v>0</v>
      </c>
      <c r="I165" s="38"/>
      <c r="J165" s="67">
        <v>537</v>
      </c>
      <c r="K165" s="65" t="s">
        <v>295</v>
      </c>
      <c r="L165" s="636">
        <f>IF(E165="Yes",1,IF(E165="No",2,0))</f>
        <v>0</v>
      </c>
      <c r="N165" s="61" t="s">
        <v>546</v>
      </c>
      <c r="P165" s="333"/>
      <c r="W165" s="3" t="b">
        <f t="shared" ref="W165:W196" si="19">EXACT(A165,J165)</f>
        <v>1</v>
      </c>
      <c r="X165" s="607">
        <f t="shared" si="12"/>
        <v>0</v>
      </c>
      <c r="Y165" s="607">
        <f t="shared" si="13"/>
        <v>0</v>
      </c>
    </row>
    <row r="166" spans="1:25" ht="63.75" customHeight="1" x14ac:dyDescent="0.3">
      <c r="A166" s="635">
        <f>'Unit Data from Audit Worksheet'!A185</f>
        <v>538</v>
      </c>
      <c r="B166" s="360" t="str">
        <f>'Unit Data from Audit Worksheet'!C185</f>
        <v>Water Sewer Revenue, Expenses &amp; Changes in Fund Net Position</v>
      </c>
      <c r="C166" s="345" t="str">
        <f>'Unit Data from Audit Worksheet'!D185</f>
        <v>Did unit raise Water Sewer rates during the budget year following the audited fiscal year? - answer Yes or No</v>
      </c>
      <c r="D166" s="139"/>
      <c r="E166" s="366">
        <f>'Unit Data from Audit Worksheet'!F185</f>
        <v>0</v>
      </c>
      <c r="F166" s="359" t="s">
        <v>556</v>
      </c>
      <c r="G166" s="361"/>
      <c r="H166" s="358">
        <f>'Unit Data from Audit Worksheet'!I185</f>
        <v>0</v>
      </c>
      <c r="I166" s="38"/>
      <c r="J166" s="67">
        <v>538</v>
      </c>
      <c r="K166" s="65" t="s">
        <v>294</v>
      </c>
      <c r="L166" s="636">
        <f>IF(E166="Yes",1,IF(E166="No",2,0))</f>
        <v>0</v>
      </c>
      <c r="N166" s="61" t="s">
        <v>546</v>
      </c>
      <c r="P166" s="333"/>
      <c r="W166" s="3" t="b">
        <f t="shared" si="19"/>
        <v>1</v>
      </c>
      <c r="X166" s="607">
        <f t="shared" si="12"/>
        <v>0</v>
      </c>
      <c r="Y166" s="607">
        <f t="shared" si="13"/>
        <v>0</v>
      </c>
    </row>
    <row r="167" spans="1:25" ht="47.25" customHeight="1" x14ac:dyDescent="0.3">
      <c r="A167" s="346">
        <f>'Unit Data from Audit Worksheet'!A187</f>
        <v>97</v>
      </c>
      <c r="B167" s="360" t="str">
        <f>'Unit Data from Audit Worksheet'!C187</f>
        <v>Electric Fund Revenue, Expenses &amp; Changes in Fund Net Position</v>
      </c>
      <c r="C167" s="345" t="str">
        <f>'Unit Data from Audit Worksheet'!D187</f>
        <v>Charges for services</v>
      </c>
      <c r="D167" s="365"/>
      <c r="E167" s="366">
        <f>'Unit Data from Audit Worksheet'!F187</f>
        <v>0</v>
      </c>
      <c r="F167" s="359">
        <f>IF(L167&lt;0,"Error: Enter as a positive.",)</f>
        <v>0</v>
      </c>
      <c r="G167" s="361"/>
      <c r="H167" s="358">
        <f>'Unit Data from Audit Worksheet'!I187</f>
        <v>0</v>
      </c>
      <c r="I167" s="38"/>
      <c r="J167" s="357">
        <v>97</v>
      </c>
      <c r="K167" s="356" t="s">
        <v>236</v>
      </c>
      <c r="L167" s="610">
        <f t="shared" ref="L167:L234" si="20">IF(D167="",E167,D167)</f>
        <v>0</v>
      </c>
      <c r="P167" s="328"/>
      <c r="W167" s="3" t="b">
        <f t="shared" si="19"/>
        <v>1</v>
      </c>
      <c r="X167" s="607">
        <f t="shared" si="12"/>
        <v>0</v>
      </c>
      <c r="Y167" s="607">
        <f t="shared" si="13"/>
        <v>0</v>
      </c>
    </row>
    <row r="168" spans="1:25" ht="45.75" customHeight="1" x14ac:dyDescent="0.3">
      <c r="A168" s="346">
        <f>'Unit Data from Audit Worksheet'!A188</f>
        <v>93</v>
      </c>
      <c r="B168" s="360" t="str">
        <f>'Unit Data from Audit Worksheet'!C188</f>
        <v>Electric Fund Revenue, Expenses &amp; Changes in Fund Net Position</v>
      </c>
      <c r="C168" s="345" t="str">
        <f>'Unit Data from Audit Worksheet'!D188</f>
        <v>Total Operating revenues</v>
      </c>
      <c r="D168" s="365"/>
      <c r="E168" s="366">
        <f>'Unit Data from Audit Worksheet'!F188</f>
        <v>0</v>
      </c>
      <c r="F168" s="359" t="str">
        <f>IF(L167&gt;L168,"Error: Charges for services exceeds total operating revenues Acct 97&gt;=93"," ")</f>
        <v xml:space="preserve"> </v>
      </c>
      <c r="G168" s="361" t="str">
        <f>IF(Q168=1," Included in error count"," ")</f>
        <v xml:space="preserve"> </v>
      </c>
      <c r="H168" s="358">
        <f>'Unit Data from Audit Worksheet'!I188</f>
        <v>0</v>
      </c>
      <c r="I168" s="38"/>
      <c r="J168" s="357">
        <v>93</v>
      </c>
      <c r="K168" s="356" t="s">
        <v>237</v>
      </c>
      <c r="L168" s="610">
        <f t="shared" si="20"/>
        <v>0</v>
      </c>
      <c r="P168" s="328"/>
      <c r="Q168" s="600">
        <f>IF(L167&gt;L168,1,0)</f>
        <v>0</v>
      </c>
      <c r="W168" s="3" t="b">
        <f t="shared" si="19"/>
        <v>1</v>
      </c>
      <c r="X168" s="607">
        <f t="shared" si="12"/>
        <v>0</v>
      </c>
      <c r="Y168" s="607">
        <f t="shared" si="13"/>
        <v>0</v>
      </c>
    </row>
    <row r="169" spans="1:25" ht="45.75" customHeight="1" x14ac:dyDescent="0.3">
      <c r="A169" s="346">
        <f>'Unit Data from Audit Worksheet'!A189</f>
        <v>99</v>
      </c>
      <c r="B169" s="360" t="str">
        <f>'Unit Data from Audit Worksheet'!C189</f>
        <v>Electric Fund Revenue, Expenses &amp; Changes in Fund Net Position</v>
      </c>
      <c r="C169" s="345" t="str">
        <f>'Unit Data from Audit Worksheet'!D189</f>
        <v>Electrical power purchases</v>
      </c>
      <c r="D169" s="365"/>
      <c r="E169" s="366">
        <f>'Unit Data from Audit Worksheet'!F189</f>
        <v>0</v>
      </c>
      <c r="F169" s="359">
        <f>IF(L169&lt;0,"Error: Enter as a positive.",)</f>
        <v>0</v>
      </c>
      <c r="G169" s="361"/>
      <c r="H169" s="358">
        <f>'Unit Data from Audit Worksheet'!I189</f>
        <v>0</v>
      </c>
      <c r="I169" s="38"/>
      <c r="J169" s="357">
        <v>99</v>
      </c>
      <c r="K169" s="356" t="s">
        <v>238</v>
      </c>
      <c r="L169" s="610">
        <f t="shared" si="20"/>
        <v>0</v>
      </c>
      <c r="P169" s="328"/>
      <c r="W169" s="3" t="b">
        <f t="shared" si="19"/>
        <v>1</v>
      </c>
      <c r="X169" s="607">
        <f t="shared" si="12"/>
        <v>0</v>
      </c>
      <c r="Y169" s="607">
        <f t="shared" si="13"/>
        <v>0</v>
      </c>
    </row>
    <row r="170" spans="1:25" ht="45.75" customHeight="1" x14ac:dyDescent="0.3">
      <c r="A170" s="346">
        <f>'Unit Data from Audit Worksheet'!A190</f>
        <v>52</v>
      </c>
      <c r="B170" s="360" t="str">
        <f>'Unit Data from Audit Worksheet'!C190</f>
        <v>Electric Fund Revenue, Expenses &amp; Changes in Fund Net Position</v>
      </c>
      <c r="C170" s="345" t="str">
        <f>'Unit Data from Audit Worksheet'!D190</f>
        <v>Depreciation and amortization expense</v>
      </c>
      <c r="D170" s="365"/>
      <c r="E170" s="366">
        <f>'Unit Data from Audit Worksheet'!F190</f>
        <v>0</v>
      </c>
      <c r="F170" s="359">
        <f>IF(L170&lt;0,"Error: Enter as a positive.",)</f>
        <v>0</v>
      </c>
      <c r="G170" s="361"/>
      <c r="H170" s="358">
        <f>'Unit Data from Audit Worksheet'!I190</f>
        <v>0</v>
      </c>
      <c r="I170" s="38"/>
      <c r="J170" s="357">
        <v>52</v>
      </c>
      <c r="K170" s="356" t="s">
        <v>239</v>
      </c>
      <c r="L170" s="610">
        <f t="shared" si="20"/>
        <v>0</v>
      </c>
      <c r="P170" s="328"/>
      <c r="W170" s="3" t="b">
        <f t="shared" si="19"/>
        <v>1</v>
      </c>
      <c r="X170" s="607">
        <f t="shared" si="12"/>
        <v>0</v>
      </c>
      <c r="Y170" s="607">
        <f t="shared" si="13"/>
        <v>0</v>
      </c>
    </row>
    <row r="171" spans="1:25" ht="45.75" customHeight="1" x14ac:dyDescent="0.3">
      <c r="A171" s="346">
        <f>'Unit Data from Audit Worksheet'!A191</f>
        <v>94</v>
      </c>
      <c r="B171" s="360" t="str">
        <f>'Unit Data from Audit Worksheet'!C191</f>
        <v>Electric Fund Revenue, Expenses &amp; Changes in Fund Net Position</v>
      </c>
      <c r="C171" s="345" t="str">
        <f>'Unit Data from Audit Worksheet'!D191</f>
        <v>Total Operating expenses</v>
      </c>
      <c r="D171" s="365"/>
      <c r="E171" s="366">
        <f>'Unit Data from Audit Worksheet'!F191</f>
        <v>0</v>
      </c>
      <c r="F171" s="359">
        <f>IF(L171&lt;0,"Error: Enter as a positive.",)</f>
        <v>0</v>
      </c>
      <c r="G171" s="361"/>
      <c r="H171" s="358">
        <f>'Unit Data from Audit Worksheet'!I191</f>
        <v>0</v>
      </c>
      <c r="I171" s="38"/>
      <c r="J171" s="357">
        <v>94</v>
      </c>
      <c r="K171" s="356" t="s">
        <v>240</v>
      </c>
      <c r="L171" s="610">
        <f t="shared" si="20"/>
        <v>0</v>
      </c>
      <c r="P171" s="328"/>
      <c r="W171" s="3" t="b">
        <f t="shared" si="19"/>
        <v>1</v>
      </c>
      <c r="X171" s="607">
        <f t="shared" si="12"/>
        <v>0</v>
      </c>
      <c r="Y171" s="607">
        <f t="shared" si="13"/>
        <v>0</v>
      </c>
    </row>
    <row r="172" spans="1:25" ht="46.5" customHeight="1" x14ac:dyDescent="0.3">
      <c r="A172" s="346">
        <f>'Unit Data from Audit Worksheet'!A192</f>
        <v>98</v>
      </c>
      <c r="B172" s="360" t="str">
        <f>'Unit Data from Audit Worksheet'!C192</f>
        <v>Electric Fund Revenue, Expenses &amp; Changes in Fund Net Position</v>
      </c>
      <c r="C172" s="345" t="str">
        <f>'Unit Data from Audit Worksheet'!D192</f>
        <v>Interest expense</v>
      </c>
      <c r="D172" s="365"/>
      <c r="E172" s="366">
        <f>'Unit Data from Audit Worksheet'!F192</f>
        <v>0</v>
      </c>
      <c r="F172" s="359">
        <f>IF(L172&lt;0,"Error: Enter as a positive.",)</f>
        <v>0</v>
      </c>
      <c r="G172" s="361"/>
      <c r="H172" s="358">
        <f>'Unit Data from Audit Worksheet'!I192</f>
        <v>0</v>
      </c>
      <c r="I172" s="38"/>
      <c r="J172" s="357">
        <v>98</v>
      </c>
      <c r="K172" s="356" t="s">
        <v>241</v>
      </c>
      <c r="L172" s="610">
        <f t="shared" si="20"/>
        <v>0</v>
      </c>
      <c r="P172" s="328"/>
      <c r="W172" s="3" t="b">
        <f t="shared" si="19"/>
        <v>1</v>
      </c>
      <c r="X172" s="607">
        <f t="shared" si="12"/>
        <v>0</v>
      </c>
      <c r="Y172" s="607">
        <f t="shared" si="13"/>
        <v>0</v>
      </c>
    </row>
    <row r="173" spans="1:25" ht="51" customHeight="1" x14ac:dyDescent="0.3">
      <c r="A173" s="346">
        <f>'Unit Data from Audit Worksheet'!A193</f>
        <v>363</v>
      </c>
      <c r="B173" s="360" t="str">
        <f>'Unit Data from Audit Worksheet'!C193</f>
        <v>Electric Fund Revenue, Expenses &amp; Changes in Fund Net Position</v>
      </c>
      <c r="C173" s="345" t="str">
        <f>'Unit Data from Audit Worksheet'!D193</f>
        <v>Total all the non-operating revenues  
Exclude Capital Contributions.</v>
      </c>
      <c r="D173" s="365"/>
      <c r="E173" s="366">
        <f>'Unit Data from Audit Worksheet'!F193</f>
        <v>0</v>
      </c>
      <c r="F173" s="359"/>
      <c r="G173" s="361"/>
      <c r="H173" s="358">
        <f>'Unit Data from Audit Worksheet'!I193</f>
        <v>0</v>
      </c>
      <c r="I173" s="38"/>
      <c r="J173" s="357">
        <v>363</v>
      </c>
      <c r="K173" s="356" t="s">
        <v>242</v>
      </c>
      <c r="L173" s="610">
        <f t="shared" si="20"/>
        <v>0</v>
      </c>
      <c r="P173" s="328"/>
      <c r="W173" s="3" t="b">
        <f t="shared" si="19"/>
        <v>1</v>
      </c>
      <c r="X173" s="607">
        <f t="shared" si="12"/>
        <v>0</v>
      </c>
      <c r="Y173" s="607">
        <f t="shared" si="13"/>
        <v>0</v>
      </c>
    </row>
    <row r="174" spans="1:25" ht="60" customHeight="1" x14ac:dyDescent="0.3">
      <c r="A174" s="346">
        <f>'Unit Data from Audit Worksheet'!A194</f>
        <v>364</v>
      </c>
      <c r="B174" s="360" t="str">
        <f>'Unit Data from Audit Worksheet'!C194</f>
        <v>Electric Fund Revenue, Expenses &amp; Changes in Fund Net Position</v>
      </c>
      <c r="C174" s="345" t="str">
        <f>'Unit Data from Audit Worksheet'!D194</f>
        <v>Total all non-operating expenses.  
Include negative special, extraordinary, or capital contribution.</v>
      </c>
      <c r="D174" s="365"/>
      <c r="E174" s="366">
        <f>'Unit Data from Audit Worksheet'!F194</f>
        <v>0</v>
      </c>
      <c r="F174" s="359">
        <f>IF(L174&lt;0,"Error: Enter as a positive.",)</f>
        <v>0</v>
      </c>
      <c r="G174" s="361"/>
      <c r="H174" s="358">
        <f>'Unit Data from Audit Worksheet'!I194</f>
        <v>0</v>
      </c>
      <c r="I174" s="38"/>
      <c r="J174" s="357">
        <v>364</v>
      </c>
      <c r="K174" s="356" t="s">
        <v>243</v>
      </c>
      <c r="L174" s="610">
        <f t="shared" si="20"/>
        <v>0</v>
      </c>
      <c r="P174" s="328"/>
      <c r="W174" s="3" t="b">
        <f t="shared" si="19"/>
        <v>1</v>
      </c>
      <c r="X174" s="607">
        <f t="shared" si="12"/>
        <v>0</v>
      </c>
      <c r="Y174" s="607">
        <f t="shared" si="13"/>
        <v>0</v>
      </c>
    </row>
    <row r="175" spans="1:25" ht="89.25" customHeight="1" x14ac:dyDescent="0.3">
      <c r="A175" s="346">
        <f>'Unit Data from Audit Worksheet'!A195</f>
        <v>192</v>
      </c>
      <c r="B175" s="360" t="str">
        <f>'Unit Data from Audit Worksheet'!C195</f>
        <v>Electric Fund Revenue, Expenses &amp; Changes in Fund Net Position</v>
      </c>
      <c r="C175" s="345" t="str">
        <f>'Unit Data from Audit Worksheet'!D195</f>
        <v>Capital Contributions.  
Include only positive capital Contributions.  Negative capital contributions should be included with 'Total all non-operating expenses.'</v>
      </c>
      <c r="D175" s="365"/>
      <c r="E175" s="366">
        <f>'Unit Data from Audit Worksheet'!F195</f>
        <v>0</v>
      </c>
      <c r="F175" s="359">
        <f>IF(L175&lt;0,"Error: Enter as a positive.",)</f>
        <v>0</v>
      </c>
      <c r="G175" s="361"/>
      <c r="H175" s="358">
        <f>'Unit Data from Audit Worksheet'!I195</f>
        <v>0</v>
      </c>
      <c r="I175" s="38"/>
      <c r="J175" s="357">
        <v>192</v>
      </c>
      <c r="K175" s="356" t="s">
        <v>244</v>
      </c>
      <c r="L175" s="610">
        <f t="shared" si="20"/>
        <v>0</v>
      </c>
      <c r="P175" s="328"/>
      <c r="W175" s="3" t="b">
        <f t="shared" si="19"/>
        <v>1</v>
      </c>
      <c r="X175" s="607">
        <f t="shared" si="12"/>
        <v>0</v>
      </c>
      <c r="Y175" s="607">
        <f t="shared" si="13"/>
        <v>0</v>
      </c>
    </row>
    <row r="176" spans="1:25" ht="42.75" customHeight="1" x14ac:dyDescent="0.3">
      <c r="A176" s="346">
        <f>'Unit Data from Audit Worksheet'!A196</f>
        <v>365</v>
      </c>
      <c r="B176" s="360" t="str">
        <f>'Unit Data from Audit Worksheet'!C196</f>
        <v>Electric Fund Revenue, Expenses &amp; Changes in Fund Net Position</v>
      </c>
      <c r="C176" s="345" t="str">
        <f>'Unit Data from Audit Worksheet'!D196</f>
        <v>Total Transfers In (From all Funds)</v>
      </c>
      <c r="D176" s="365"/>
      <c r="E176" s="366">
        <f>'Unit Data from Audit Worksheet'!F196</f>
        <v>0</v>
      </c>
      <c r="F176" s="359"/>
      <c r="G176" s="361"/>
      <c r="H176" s="358">
        <f>'Unit Data from Audit Worksheet'!I196</f>
        <v>0</v>
      </c>
      <c r="I176" s="38"/>
      <c r="J176" s="357">
        <v>365</v>
      </c>
      <c r="K176" s="356" t="s">
        <v>245</v>
      </c>
      <c r="L176" s="610">
        <f t="shared" si="20"/>
        <v>0</v>
      </c>
      <c r="P176" s="328"/>
      <c r="W176" s="3" t="b">
        <f t="shared" si="19"/>
        <v>1</v>
      </c>
      <c r="X176" s="607">
        <f t="shared" si="12"/>
        <v>0</v>
      </c>
      <c r="Y176" s="607">
        <f t="shared" si="13"/>
        <v>0</v>
      </c>
    </row>
    <row r="177" spans="1:25" ht="42.75" customHeight="1" x14ac:dyDescent="0.3">
      <c r="A177" s="346">
        <f>'Unit Data from Audit Worksheet'!A197</f>
        <v>366</v>
      </c>
      <c r="B177" s="360" t="str">
        <f>'Unit Data from Audit Worksheet'!C197</f>
        <v>Electric Fund Revenue, Expenses &amp; Changes in Fund Net Position</v>
      </c>
      <c r="C177" s="345" t="str">
        <f>'Unit Data from Audit Worksheet'!D197</f>
        <v>Total Transfers Out (To all funds)</v>
      </c>
      <c r="D177" s="365"/>
      <c r="E177" s="366">
        <f>'Unit Data from Audit Worksheet'!F197</f>
        <v>0</v>
      </c>
      <c r="F177" s="359">
        <f>IF(L177&lt;0,"Error: Enter as a positive.",)</f>
        <v>0</v>
      </c>
      <c r="G177" s="361"/>
      <c r="H177" s="358">
        <f>'Unit Data from Audit Worksheet'!I197</f>
        <v>0</v>
      </c>
      <c r="I177" s="38"/>
      <c r="J177" s="357">
        <v>366</v>
      </c>
      <c r="K177" s="356" t="s">
        <v>536</v>
      </c>
      <c r="L177" s="610">
        <f t="shared" si="20"/>
        <v>0</v>
      </c>
      <c r="P177" s="328"/>
      <c r="W177" s="3" t="b">
        <f t="shared" si="19"/>
        <v>1</v>
      </c>
      <c r="X177" s="607">
        <f t="shared" si="12"/>
        <v>0</v>
      </c>
      <c r="Y177" s="607">
        <f t="shared" si="13"/>
        <v>0</v>
      </c>
    </row>
    <row r="178" spans="1:25" s="18" customFormat="1" ht="76.5" customHeight="1" x14ac:dyDescent="0.3">
      <c r="A178" s="346">
        <f>'Unit Data from Audit Worksheet'!A198</f>
        <v>53</v>
      </c>
      <c r="B178" s="360" t="str">
        <f>'Unit Data from Audit Worksheet'!C198</f>
        <v>Electric Fund Revenue, Expenses &amp; Changes in Fund Net Position</v>
      </c>
      <c r="C178" s="345" t="str">
        <f>'Unit Data from Audit Worksheet'!D198</f>
        <v>Change in net position - Increase in net position is recorded as a positive and a (decrease) in net position is recorded as a negative.</v>
      </c>
      <c r="D178" s="365"/>
      <c r="E178" s="366">
        <f>'Unit Data from Audit Worksheet'!F198</f>
        <v>0</v>
      </c>
      <c r="F178" s="359">
        <f>IF(L168-L171+L173-L174+L175+L176-L177-L178=0,,"Error: Total revenues less total exp. does not equal change in net position Acct 93-94+363-364+192+365-366-53=0")</f>
        <v>0</v>
      </c>
      <c r="G178" s="91">
        <f>+L168-L171+L173-L174+L175+L176-L177-L178</f>
        <v>0</v>
      </c>
      <c r="H178" s="358">
        <f>'Unit Data from Audit Worksheet'!I198</f>
        <v>0</v>
      </c>
      <c r="I178" s="38"/>
      <c r="J178" s="357">
        <v>53</v>
      </c>
      <c r="K178" s="356" t="s">
        <v>101</v>
      </c>
      <c r="L178" s="610">
        <f t="shared" si="20"/>
        <v>0</v>
      </c>
      <c r="P178" s="328"/>
      <c r="Q178" s="600">
        <f>IF(G178&lt;&gt;0,1,0)</f>
        <v>0</v>
      </c>
      <c r="R178" s="3"/>
      <c r="W178" s="3" t="b">
        <f t="shared" si="19"/>
        <v>1</v>
      </c>
      <c r="X178" s="607">
        <f t="shared" si="12"/>
        <v>0</v>
      </c>
      <c r="Y178" s="607">
        <f t="shared" si="13"/>
        <v>0</v>
      </c>
    </row>
    <row r="179" spans="1:25" ht="140.25" customHeight="1" x14ac:dyDescent="0.3">
      <c r="A179" s="346">
        <f>'Unit Data from Audit Worksheet'!A199</f>
        <v>378</v>
      </c>
      <c r="B179" s="360" t="str">
        <f>'Unit Data from Audit Worksheet'!C199</f>
        <v>Electric Fund Revenue, Expenses &amp; Changes in Fund Net Position</v>
      </c>
      <c r="C179" s="345" t="str">
        <f>'Unit Data from Audit Worksheet'!D199</f>
        <v>Increases or (decreases) to beginning electric net position due to rounding, prior period adjustments and restatements.  Increase amounts to beginning net position should be entered as a positive amount and (decreases) should be entered as a negative amount.</v>
      </c>
      <c r="D179" s="365"/>
      <c r="E179" s="366">
        <f>+'Unit Data from Audit Worksheet'!F199</f>
        <v>0</v>
      </c>
      <c r="F179" s="359" t="e">
        <f>IF(L151-L178-L179=O151,,"Error: Beg. Bal does not agree with our records Acct 362-53-378= pr yr 362")</f>
        <v>#N/A</v>
      </c>
      <c r="G179" s="91" t="e">
        <f>L151-L178-L179-O151</f>
        <v>#N/A</v>
      </c>
      <c r="H179" s="358">
        <f>'Unit Data from Audit Worksheet'!I199</f>
        <v>0</v>
      </c>
      <c r="I179" s="38"/>
      <c r="J179" s="357">
        <v>378</v>
      </c>
      <c r="K179" s="356" t="s">
        <v>110</v>
      </c>
      <c r="L179" s="610">
        <f t="shared" si="20"/>
        <v>0</v>
      </c>
      <c r="P179" s="328"/>
      <c r="Q179" s="600" t="e">
        <f>IF(G179&lt;&gt;0,1,0)</f>
        <v>#N/A</v>
      </c>
      <c r="W179" s="3" t="b">
        <f t="shared" si="19"/>
        <v>1</v>
      </c>
      <c r="X179" s="607">
        <f t="shared" si="12"/>
        <v>0</v>
      </c>
      <c r="Y179" s="607">
        <f t="shared" si="13"/>
        <v>0</v>
      </c>
    </row>
    <row r="180" spans="1:25" ht="28.8" x14ac:dyDescent="0.3">
      <c r="A180" s="346">
        <f>'Unit Data from Audit Worksheet'!A204</f>
        <v>51</v>
      </c>
      <c r="B180" s="360" t="str">
        <f>'Unit Data from Audit Worksheet'!C204</f>
        <v>Water Sewer Cash Flow Statement</v>
      </c>
      <c r="C180" s="345" t="str">
        <f>'Unit Data from Audit Worksheet'!D204</f>
        <v>Total Cash flow from operating activities  - (Enter negative cash flows as negative)</v>
      </c>
      <c r="D180" s="365"/>
      <c r="E180" s="366">
        <f>'Unit Data from Audit Worksheet'!F204</f>
        <v>0</v>
      </c>
      <c r="F180" s="359"/>
      <c r="G180" s="361"/>
      <c r="H180" s="358">
        <f>'Unit Data from Audit Worksheet'!I204</f>
        <v>0</v>
      </c>
      <c r="I180" s="38"/>
      <c r="J180" s="357">
        <v>51</v>
      </c>
      <c r="K180" s="356" t="s">
        <v>246</v>
      </c>
      <c r="L180" s="610">
        <f t="shared" si="20"/>
        <v>0</v>
      </c>
      <c r="P180" s="328"/>
      <c r="W180" s="3" t="b">
        <f t="shared" si="19"/>
        <v>1</v>
      </c>
      <c r="X180" s="607">
        <f t="shared" si="12"/>
        <v>0</v>
      </c>
      <c r="Y180" s="607">
        <f t="shared" si="13"/>
        <v>0</v>
      </c>
    </row>
    <row r="181" spans="1:25" ht="64.5" customHeight="1" x14ac:dyDescent="0.3">
      <c r="A181" s="346">
        <f>'Unit Data from Audit Worksheet'!A205</f>
        <v>332</v>
      </c>
      <c r="B181" s="360" t="str">
        <f>'Unit Data from Audit Worksheet'!C205</f>
        <v>Water Sewer Cash Flow Statement</v>
      </c>
      <c r="C181" s="345" t="str">
        <f>'Unit Data from Audit Worksheet'!D205</f>
        <v>Total Capital outlay. 
Include acquisition and construction of capital assets.</v>
      </c>
      <c r="D181" s="365"/>
      <c r="E181" s="366">
        <f>'Unit Data from Audit Worksheet'!F205</f>
        <v>0</v>
      </c>
      <c r="F181" s="359">
        <f>IF(L181&lt;0,"Error: Enter as a positive.",)</f>
        <v>0</v>
      </c>
      <c r="G181" s="361"/>
      <c r="H181" s="358">
        <f>'Unit Data from Audit Worksheet'!I205</f>
        <v>0</v>
      </c>
      <c r="I181" s="38"/>
      <c r="J181" s="357">
        <v>332</v>
      </c>
      <c r="K181" s="356" t="s">
        <v>248</v>
      </c>
      <c r="L181" s="610">
        <f t="shared" si="20"/>
        <v>0</v>
      </c>
      <c r="O181" s="618"/>
      <c r="P181" s="328"/>
      <c r="W181" s="3" t="b">
        <f t="shared" si="19"/>
        <v>1</v>
      </c>
      <c r="X181" s="607">
        <f t="shared" si="12"/>
        <v>0</v>
      </c>
      <c r="Y181" s="607">
        <f t="shared" si="13"/>
        <v>0</v>
      </c>
    </row>
    <row r="182" spans="1:25" ht="58.5" customHeight="1" x14ac:dyDescent="0.3">
      <c r="A182" s="346">
        <f>'Unit Data from Audit Worksheet'!A206</f>
        <v>331</v>
      </c>
      <c r="B182" s="360" t="str">
        <f>'Unit Data from Audit Worksheet'!C206</f>
        <v>Water Sewer Cash Flow Statement</v>
      </c>
      <c r="C182" s="345" t="str">
        <f>'Unit Data from Audit Worksheet'!D206</f>
        <v>Principal paid on long-term debt.  Amount should be reduced by principal payments for debt refunding.</v>
      </c>
      <c r="D182" s="365"/>
      <c r="E182" s="366">
        <f>'Unit Data from Audit Worksheet'!F206</f>
        <v>0</v>
      </c>
      <c r="F182" s="359">
        <f>IF(L182&lt;0,"Error: Enter as a positive.",)</f>
        <v>0</v>
      </c>
      <c r="G182" s="361"/>
      <c r="H182" s="358">
        <f>'Unit Data from Audit Worksheet'!I206</f>
        <v>0</v>
      </c>
      <c r="I182" s="38"/>
      <c r="J182" s="357">
        <v>331</v>
      </c>
      <c r="K182" s="356" t="s">
        <v>247</v>
      </c>
      <c r="L182" s="610">
        <f t="shared" si="20"/>
        <v>0</v>
      </c>
      <c r="O182" s="618"/>
      <c r="P182" s="328"/>
      <c r="W182" s="3" t="b">
        <f t="shared" si="19"/>
        <v>1</v>
      </c>
      <c r="X182" s="607">
        <f t="shared" ref="X182:X276" si="21">E182-L182</f>
        <v>0</v>
      </c>
      <c r="Y182" s="607">
        <f t="shared" ref="Y182:Y276" si="22">D182-L182</f>
        <v>0</v>
      </c>
    </row>
    <row r="183" spans="1:25" ht="51.75" customHeight="1" x14ac:dyDescent="0.3">
      <c r="A183" s="346">
        <f>'Unit Data from Audit Worksheet'!A208</f>
        <v>55</v>
      </c>
      <c r="B183" s="360" t="str">
        <f>'Unit Data from Audit Worksheet'!C208</f>
        <v>Electric Fund Cash Flow Statement</v>
      </c>
      <c r="C183" s="345" t="str">
        <f>'Unit Data from Audit Worksheet'!D208</f>
        <v>Cash flow from operating activities - (enter negative cash flows as negative)</v>
      </c>
      <c r="D183" s="365"/>
      <c r="E183" s="366">
        <f>'Unit Data from Audit Worksheet'!F208</f>
        <v>0</v>
      </c>
      <c r="F183" s="359"/>
      <c r="G183" s="361"/>
      <c r="H183" s="358">
        <f>'Unit Data from Audit Worksheet'!I208</f>
        <v>0</v>
      </c>
      <c r="I183" s="38"/>
      <c r="J183" s="357">
        <v>55</v>
      </c>
      <c r="K183" s="356" t="s">
        <v>249</v>
      </c>
      <c r="L183" s="610">
        <f t="shared" si="20"/>
        <v>0</v>
      </c>
      <c r="P183" s="328"/>
      <c r="W183" s="3" t="b">
        <f t="shared" si="19"/>
        <v>1</v>
      </c>
      <c r="X183" s="607">
        <f t="shared" si="21"/>
        <v>0</v>
      </c>
      <c r="Y183" s="607">
        <f t="shared" si="22"/>
        <v>0</v>
      </c>
    </row>
    <row r="184" spans="1:25" ht="58.5" customHeight="1" x14ac:dyDescent="0.3">
      <c r="A184" s="346">
        <f>'Unit Data from Audit Worksheet'!A209</f>
        <v>101</v>
      </c>
      <c r="B184" s="360" t="str">
        <f>'Unit Data from Audit Worksheet'!C209</f>
        <v>Electric Fund Cash Flow Statement</v>
      </c>
      <c r="C184" s="345" t="str">
        <f>'Unit Data from Audit Worksheet'!D209</f>
        <v>Total Capital outlay.  
Include acquisition and construction of capital assets.</v>
      </c>
      <c r="D184" s="365"/>
      <c r="E184" s="366">
        <f>'Unit Data from Audit Worksheet'!F209</f>
        <v>0</v>
      </c>
      <c r="F184" s="359">
        <f>IF(L184&lt;0,"Error: Enter as a positive.",)</f>
        <v>0</v>
      </c>
      <c r="G184" s="361"/>
      <c r="H184" s="358">
        <f>'Unit Data from Audit Worksheet'!I209</f>
        <v>0</v>
      </c>
      <c r="I184" s="38"/>
      <c r="J184" s="357">
        <v>101</v>
      </c>
      <c r="K184" s="356" t="s">
        <v>250</v>
      </c>
      <c r="L184" s="610">
        <f t="shared" si="20"/>
        <v>0</v>
      </c>
      <c r="P184" s="328"/>
      <c r="W184" s="3" t="b">
        <f t="shared" si="19"/>
        <v>1</v>
      </c>
      <c r="X184" s="607">
        <f t="shared" si="21"/>
        <v>0</v>
      </c>
      <c r="Y184" s="607">
        <f t="shared" si="22"/>
        <v>0</v>
      </c>
    </row>
    <row r="185" spans="1:25" ht="60.75" customHeight="1" x14ac:dyDescent="0.3">
      <c r="A185" s="346">
        <f>'Unit Data from Audit Worksheet'!A210</f>
        <v>100</v>
      </c>
      <c r="B185" s="360" t="str">
        <f>'Unit Data from Audit Worksheet'!C210</f>
        <v>Electric Fund Cash Flow Statement</v>
      </c>
      <c r="C185" s="345" t="str">
        <f>'Unit Data from Audit Worksheet'!D210</f>
        <v>Principal paid on long-term debt.  Amount should be reduced by principal payments for debt refunding.</v>
      </c>
      <c r="D185" s="365"/>
      <c r="E185" s="366">
        <f>'Unit Data from Audit Worksheet'!F210</f>
        <v>0</v>
      </c>
      <c r="F185" s="359">
        <f>IF(L185&lt;0,"Error: Enter as a positive.",)</f>
        <v>0</v>
      </c>
      <c r="G185" s="361"/>
      <c r="H185" s="358">
        <f>'Unit Data from Audit Worksheet'!I210</f>
        <v>0</v>
      </c>
      <c r="I185" s="38"/>
      <c r="J185" s="357">
        <v>100</v>
      </c>
      <c r="K185" s="356" t="s">
        <v>251</v>
      </c>
      <c r="L185" s="610">
        <f t="shared" si="20"/>
        <v>0</v>
      </c>
      <c r="P185" s="328"/>
      <c r="W185" s="3" t="b">
        <f t="shared" si="19"/>
        <v>1</v>
      </c>
      <c r="X185" s="607">
        <f t="shared" si="21"/>
        <v>0</v>
      </c>
      <c r="Y185" s="607">
        <f t="shared" si="22"/>
        <v>0</v>
      </c>
    </row>
    <row r="186" spans="1:25" ht="71.25" customHeight="1" x14ac:dyDescent="0.3">
      <c r="A186" s="346">
        <f>'Unit Data from Audit Worksheet'!A212</f>
        <v>512</v>
      </c>
      <c r="B186" s="360" t="str">
        <f>'Unit Data from Audit Worksheet'!C212</f>
        <v>Fiduciary Statements</v>
      </c>
      <c r="C186" s="345" t="str">
        <f>'Unit Data from Audit Worksheet'!D212</f>
        <v>Cash and investments.  
Include:  unrestricted and restricted.  
                   cash and investments held 
                   by a third party</v>
      </c>
      <c r="D186" s="365"/>
      <c r="E186" s="366">
        <f>'Unit Data from Audit Worksheet'!F212</f>
        <v>0</v>
      </c>
      <c r="F186" s="359">
        <f>IF(L186&lt;0,"Error: Number is normally positive.",)</f>
        <v>0</v>
      </c>
      <c r="G186" s="361"/>
      <c r="H186" s="358">
        <f>'Unit Data from Audit Worksheet'!I212</f>
        <v>0</v>
      </c>
      <c r="I186" s="38"/>
      <c r="J186" s="357">
        <v>512</v>
      </c>
      <c r="K186" s="356" t="s">
        <v>252</v>
      </c>
      <c r="L186" s="610">
        <f t="shared" si="20"/>
        <v>0</v>
      </c>
      <c r="P186" s="328"/>
      <c r="W186" s="3" t="b">
        <f t="shared" si="19"/>
        <v>1</v>
      </c>
      <c r="X186" s="607">
        <f t="shared" si="21"/>
        <v>0</v>
      </c>
      <c r="Y186" s="607">
        <f t="shared" si="22"/>
        <v>0</v>
      </c>
    </row>
    <row r="187" spans="1:25" ht="62.25" customHeight="1" x14ac:dyDescent="0.3">
      <c r="A187" s="346">
        <f>'Unit Data from Audit Worksheet'!A214</f>
        <v>656</v>
      </c>
      <c r="B187" s="360">
        <f>'Unit Data from Audit Worksheet'!C214</f>
        <v>0</v>
      </c>
      <c r="C187" s="345" t="str">
        <f>'Unit Data from Audit Worksheet'!D214</f>
        <v>Do you use prepared food/occupancy tax revenue stream to support debt?  Select "1" for Yes and "2" for No</v>
      </c>
      <c r="D187" s="139"/>
      <c r="E187" s="366">
        <f>'Unit Data from Audit Worksheet'!F214</f>
        <v>0</v>
      </c>
      <c r="F187" s="359"/>
      <c r="G187" s="361"/>
      <c r="H187" s="358"/>
      <c r="I187" s="38"/>
      <c r="J187" s="357">
        <v>656</v>
      </c>
      <c r="K187" s="363" t="s">
        <v>789</v>
      </c>
      <c r="L187" s="636">
        <f>E187</f>
        <v>0</v>
      </c>
      <c r="M187" s="18"/>
      <c r="N187" s="18"/>
      <c r="O187" s="18"/>
      <c r="P187" s="328"/>
      <c r="W187" s="3" t="b">
        <f t="shared" si="19"/>
        <v>1</v>
      </c>
      <c r="X187" s="607">
        <f t="shared" si="21"/>
        <v>0</v>
      </c>
      <c r="Y187" s="607">
        <f t="shared" si="22"/>
        <v>0</v>
      </c>
    </row>
    <row r="188" spans="1:25" s="18" customFormat="1" ht="102.75" customHeight="1" x14ac:dyDescent="0.3">
      <c r="A188" s="346">
        <f>'Unit Data from Audit Worksheet'!A216</f>
        <v>535</v>
      </c>
      <c r="B188" s="360" t="str">
        <f>'Unit Data from Audit Worksheet'!C216</f>
        <v>Cash and Investment Note</v>
      </c>
      <c r="C188" s="345" t="str">
        <f>'Unit Data from Audit Worksheet'!D216</f>
        <v>Cash and Investment - Please list the book value of any unspent debt proceeds (bonds, installment, etc.) in any funds as of June 30.  This information may be on the face of your statements or in the notes</v>
      </c>
      <c r="D188" s="365"/>
      <c r="E188" s="366">
        <f>'Unit Data from Audit Worksheet'!F216</f>
        <v>0</v>
      </c>
      <c r="F188" s="87" t="str">
        <f>IF(L188&gt;1,,"Reminder: Please make sure you have entered all cash and investments from bond proceeds, if applicable")</f>
        <v>Reminder: Please make sure you have entered all cash and investments from bond proceeds, if applicable</v>
      </c>
      <c r="G188" s="361"/>
      <c r="H188" s="358">
        <f>'Unit Data from Audit Worksheet'!I216</f>
        <v>0</v>
      </c>
      <c r="I188" s="38"/>
      <c r="J188" s="357">
        <v>535</v>
      </c>
      <c r="K188" s="62" t="s">
        <v>253</v>
      </c>
      <c r="L188" s="610">
        <f t="shared" si="20"/>
        <v>0</v>
      </c>
      <c r="P188" s="328"/>
      <c r="Q188" s="600"/>
      <c r="R188" s="3"/>
      <c r="W188" s="3" t="b">
        <f t="shared" si="19"/>
        <v>1</v>
      </c>
      <c r="X188" s="607">
        <f t="shared" si="21"/>
        <v>0</v>
      </c>
      <c r="Y188" s="607">
        <f t="shared" si="22"/>
        <v>0</v>
      </c>
    </row>
    <row r="189" spans="1:25" ht="45.75" customHeight="1" x14ac:dyDescent="0.3">
      <c r="A189" s="346">
        <f>'Unit Data from Audit Worksheet'!A220</f>
        <v>334</v>
      </c>
      <c r="B189" s="360" t="str">
        <f>'Unit Data from Audit Worksheet'!C220</f>
        <v>Gov.-Capital Assets Schedule in the Notes</v>
      </c>
      <c r="C189" s="345" t="str">
        <f>'Unit Data from Audit Worksheet'!D220</f>
        <v>Gross value.  
Exclude non-depreciable.</v>
      </c>
      <c r="D189" s="365"/>
      <c r="E189" s="366">
        <f>'Unit Data from Audit Worksheet'!F220</f>
        <v>0</v>
      </c>
      <c r="F189" s="87"/>
      <c r="G189" s="361"/>
      <c r="H189" s="358">
        <f>'Unit Data from Audit Worksheet'!I220</f>
        <v>0</v>
      </c>
      <c r="I189" s="38"/>
      <c r="J189" s="357">
        <v>334</v>
      </c>
      <c r="K189" s="62" t="s">
        <v>276</v>
      </c>
      <c r="L189" s="610">
        <f t="shared" si="20"/>
        <v>0</v>
      </c>
      <c r="P189" s="328"/>
      <c r="W189" s="3" t="b">
        <f t="shared" si="19"/>
        <v>1</v>
      </c>
      <c r="X189" s="607">
        <f t="shared" si="21"/>
        <v>0</v>
      </c>
      <c r="Y189" s="607">
        <f t="shared" si="22"/>
        <v>0</v>
      </c>
    </row>
    <row r="190" spans="1:25" ht="57" customHeight="1" x14ac:dyDescent="0.3">
      <c r="A190" s="346">
        <f>'Unit Data from Audit Worksheet'!A221</f>
        <v>373</v>
      </c>
      <c r="B190" s="360" t="str">
        <f>'Unit Data from Audit Worksheet'!C221</f>
        <v>Gov.-Capital Assets Schedule in the Notes</v>
      </c>
      <c r="C190" s="345" t="str">
        <f>'Unit Data from Audit Worksheet'!D221</f>
        <v>Accumulated depreciation</v>
      </c>
      <c r="D190" s="365"/>
      <c r="E190" s="366">
        <f>'Unit Data from Audit Worksheet'!F221</f>
        <v>0</v>
      </c>
      <c r="F190" s="87"/>
      <c r="G190" s="361"/>
      <c r="H190" s="358">
        <f>'Unit Data from Audit Worksheet'!I221</f>
        <v>0</v>
      </c>
      <c r="I190" s="38"/>
      <c r="J190" s="357">
        <v>373</v>
      </c>
      <c r="K190" s="58" t="s">
        <v>549</v>
      </c>
      <c r="L190" s="610">
        <f t="shared" si="20"/>
        <v>0</v>
      </c>
      <c r="P190" s="328"/>
      <c r="W190" s="3" t="b">
        <f t="shared" si="19"/>
        <v>1</v>
      </c>
      <c r="X190" s="607">
        <f t="shared" si="21"/>
        <v>0</v>
      </c>
      <c r="Y190" s="607">
        <f t="shared" si="22"/>
        <v>0</v>
      </c>
    </row>
    <row r="191" spans="1:25" ht="102.75" customHeight="1" x14ac:dyDescent="0.3">
      <c r="A191" s="626">
        <f>'Unit Data from Audit Worksheet'!A222</f>
        <v>987</v>
      </c>
      <c r="B191" s="364">
        <f>'Unit Data from Audit Worksheet'!C222</f>
        <v>0</v>
      </c>
      <c r="C191" s="627" t="str">
        <f>'Unit Data from Audit Worksheet'!D222</f>
        <v xml:space="preserve">Estimated cost not yet budgeted of any mandate placed on unit by DEQ, a court order or some similar requirement (that has no realistic appeal path). </v>
      </c>
      <c r="D191" s="365"/>
      <c r="E191" s="366">
        <f>'Unit Data from Audit Worksheet'!F222</f>
        <v>0</v>
      </c>
      <c r="F191" s="87"/>
      <c r="G191" s="361"/>
      <c r="H191" s="358">
        <f>'Unit Data from Audit Worksheet'!I222</f>
        <v>0</v>
      </c>
      <c r="I191" s="38"/>
      <c r="J191" s="375">
        <v>987</v>
      </c>
      <c r="K191" s="637" t="s">
        <v>1332</v>
      </c>
      <c r="L191" s="628">
        <f t="shared" si="20"/>
        <v>0</v>
      </c>
      <c r="P191" s="328"/>
      <c r="W191" s="3" t="b">
        <f t="shared" si="19"/>
        <v>1</v>
      </c>
      <c r="X191" s="607"/>
      <c r="Y191" s="607"/>
    </row>
    <row r="192" spans="1:25" ht="69" customHeight="1" x14ac:dyDescent="0.3">
      <c r="A192" s="626">
        <f>'Unit Data from Audit Worksheet'!A223</f>
        <v>988</v>
      </c>
      <c r="B192" s="364">
        <f>'Unit Data from Audit Worksheet'!C223</f>
        <v>0</v>
      </c>
      <c r="C192" s="627" t="str">
        <f>'Unit Data from Audit Worksheet'!D223</f>
        <v>Do you operate a landfill that will be closing  or have a significant portion closing within the next 5 years?  Select "1" for Yes and "2" for No</v>
      </c>
      <c r="D192" s="365"/>
      <c r="E192" s="366">
        <f>'Unit Data from Audit Worksheet'!F223</f>
        <v>0</v>
      </c>
      <c r="F192" s="87"/>
      <c r="G192" s="361"/>
      <c r="H192" s="358">
        <f>'Unit Data from Audit Worksheet'!I223</f>
        <v>0</v>
      </c>
      <c r="I192" s="38"/>
      <c r="J192" s="375">
        <v>988</v>
      </c>
      <c r="K192" s="637" t="s">
        <v>1881</v>
      </c>
      <c r="L192" s="628">
        <f t="shared" si="20"/>
        <v>0</v>
      </c>
      <c r="P192" s="328"/>
      <c r="W192" s="3" t="b">
        <f t="shared" si="19"/>
        <v>1</v>
      </c>
      <c r="X192" s="607"/>
      <c r="Y192" s="607"/>
    </row>
    <row r="193" spans="1:25" ht="95.25" customHeight="1" x14ac:dyDescent="0.3">
      <c r="A193" s="626">
        <f>'Unit Data from Audit Worksheet'!A224</f>
        <v>989</v>
      </c>
      <c r="B193" s="364">
        <f>'Unit Data from Audit Worksheet'!C224</f>
        <v>0</v>
      </c>
      <c r="C193" s="627" t="str">
        <f>'Unit Data from Audit Worksheet'!D224</f>
        <v>If you answered "yes" to question #988 above, will you have the closure/postclosure cost fully funded by the date of closure?  Select "1" for Yes,  "2" for No, or "3" for N/A.</v>
      </c>
      <c r="D193" s="365"/>
      <c r="E193" s="366">
        <f>'Unit Data from Audit Worksheet'!F224</f>
        <v>0</v>
      </c>
      <c r="F193" s="87"/>
      <c r="G193" s="361"/>
      <c r="H193" s="358">
        <f>'Unit Data from Audit Worksheet'!I224</f>
        <v>0</v>
      </c>
      <c r="I193" s="38"/>
      <c r="J193" s="375">
        <v>989</v>
      </c>
      <c r="K193" s="637" t="s">
        <v>1605</v>
      </c>
      <c r="L193" s="628">
        <f t="shared" si="20"/>
        <v>0</v>
      </c>
      <c r="P193" s="328"/>
      <c r="W193" s="3" t="b">
        <f t="shared" si="19"/>
        <v>1</v>
      </c>
      <c r="X193" s="607"/>
      <c r="Y193" s="607"/>
    </row>
    <row r="194" spans="1:25" ht="57" customHeight="1" x14ac:dyDescent="0.3">
      <c r="A194" s="346">
        <f>'Unit Data from Audit Worksheet'!A228</f>
        <v>327</v>
      </c>
      <c r="B194" s="360" t="str">
        <f>'Unit Data from Audit Worksheet'!C228</f>
        <v>WS-Capital Assets Schedule in the Notes</v>
      </c>
      <c r="C194" s="345" t="str">
        <f>'Unit Data from Audit Worksheet'!D228</f>
        <v>Land and all other non depreciable capital assets 
Exclude construction in progress</v>
      </c>
      <c r="D194" s="365"/>
      <c r="E194" s="366">
        <f>'Unit Data from Audit Worksheet'!F228</f>
        <v>0</v>
      </c>
      <c r="F194" s="87"/>
      <c r="G194" s="361"/>
      <c r="H194" s="358">
        <f>'Unit Data from Audit Worksheet'!I228</f>
        <v>0</v>
      </c>
      <c r="I194" s="38"/>
      <c r="J194" s="357">
        <v>327</v>
      </c>
      <c r="K194" s="58" t="s">
        <v>550</v>
      </c>
      <c r="L194" s="610">
        <f t="shared" si="20"/>
        <v>0</v>
      </c>
      <c r="P194" s="328"/>
      <c r="W194" s="3" t="b">
        <f t="shared" si="19"/>
        <v>1</v>
      </c>
      <c r="X194" s="607">
        <f t="shared" si="21"/>
        <v>0</v>
      </c>
      <c r="Y194" s="607">
        <f t="shared" si="22"/>
        <v>0</v>
      </c>
    </row>
    <row r="195" spans="1:25" ht="57" customHeight="1" x14ac:dyDescent="0.3">
      <c r="A195" s="346">
        <f>'Unit Data from Audit Worksheet'!A229</f>
        <v>328</v>
      </c>
      <c r="B195" s="360" t="str">
        <f>'Unit Data from Audit Worksheet'!C229</f>
        <v>WS-Capital Assets Schedule in the Notes</v>
      </c>
      <c r="C195" s="345" t="str">
        <f>'Unit Data from Audit Worksheet'!D229</f>
        <v>Construction in progress</v>
      </c>
      <c r="D195" s="365"/>
      <c r="E195" s="366">
        <f>'Unit Data from Audit Worksheet'!F229</f>
        <v>0</v>
      </c>
      <c r="F195" s="87"/>
      <c r="G195" s="361"/>
      <c r="H195" s="358">
        <f>'Unit Data from Audit Worksheet'!I229</f>
        <v>0</v>
      </c>
      <c r="I195" s="38"/>
      <c r="J195" s="357">
        <v>328</v>
      </c>
      <c r="K195" s="58" t="s">
        <v>551</v>
      </c>
      <c r="L195" s="610">
        <f t="shared" si="20"/>
        <v>0</v>
      </c>
      <c r="P195" s="328"/>
      <c r="W195" s="3" t="b">
        <f t="shared" si="19"/>
        <v>1</v>
      </c>
      <c r="X195" s="607">
        <f t="shared" si="21"/>
        <v>0</v>
      </c>
      <c r="Y195" s="607">
        <f t="shared" si="22"/>
        <v>0</v>
      </c>
    </row>
    <row r="196" spans="1:25" ht="46.5" customHeight="1" x14ac:dyDescent="0.3">
      <c r="A196" s="346">
        <f>'Unit Data from Audit Worksheet'!A233</f>
        <v>515</v>
      </c>
      <c r="B196" s="360" t="str">
        <f>'Unit Data from Audit Worksheet'!C233</f>
        <v>WS Capital Assets Schedule-Gross Value</v>
      </c>
      <c r="C196" s="345" t="str">
        <f>'Unit Data from Audit Worksheet'!D233</f>
        <v>Buildings</v>
      </c>
      <c r="D196" s="365"/>
      <c r="E196" s="366">
        <f>'Unit Data from Audit Worksheet'!F233</f>
        <v>0</v>
      </c>
      <c r="F196" s="87"/>
      <c r="G196" s="361"/>
      <c r="H196" s="358">
        <f>'Unit Data from Audit Worksheet'!I233</f>
        <v>0</v>
      </c>
      <c r="I196" s="38"/>
      <c r="J196" s="357">
        <v>515</v>
      </c>
      <c r="K196" s="58" t="s">
        <v>277</v>
      </c>
      <c r="L196" s="610">
        <f t="shared" si="20"/>
        <v>0</v>
      </c>
      <c r="P196" s="328"/>
      <c r="W196" s="3" t="b">
        <f t="shared" si="19"/>
        <v>1</v>
      </c>
      <c r="X196" s="607">
        <f t="shared" si="21"/>
        <v>0</v>
      </c>
      <c r="Y196" s="607">
        <f t="shared" si="22"/>
        <v>0</v>
      </c>
    </row>
    <row r="197" spans="1:25" ht="46.5" customHeight="1" x14ac:dyDescent="0.3">
      <c r="A197" s="346">
        <f>'Unit Data from Audit Worksheet'!A234</f>
        <v>516</v>
      </c>
      <c r="B197" s="360" t="str">
        <f>'Unit Data from Audit Worksheet'!C234</f>
        <v>WS Capital Assets Schedule-Gross Value</v>
      </c>
      <c r="C197" s="345" t="str">
        <f>'Unit Data from Audit Worksheet'!D234</f>
        <v>Plant / distributions systems / water lines</v>
      </c>
      <c r="D197" s="365"/>
      <c r="E197" s="366">
        <f>'Unit Data from Audit Worksheet'!F234</f>
        <v>0</v>
      </c>
      <c r="F197" s="87"/>
      <c r="G197" s="361"/>
      <c r="H197" s="358">
        <f>'Unit Data from Audit Worksheet'!I234</f>
        <v>0</v>
      </c>
      <c r="I197" s="38"/>
      <c r="J197" s="357">
        <v>516</v>
      </c>
      <c r="K197" s="58" t="s">
        <v>278</v>
      </c>
      <c r="L197" s="610">
        <f t="shared" si="20"/>
        <v>0</v>
      </c>
      <c r="P197" s="328"/>
      <c r="W197" s="3" t="b">
        <f t="shared" ref="W197:W228" si="23">EXACT(A197,J197)</f>
        <v>1</v>
      </c>
      <c r="X197" s="607">
        <f t="shared" si="21"/>
        <v>0</v>
      </c>
      <c r="Y197" s="607">
        <f t="shared" si="22"/>
        <v>0</v>
      </c>
    </row>
    <row r="198" spans="1:25" ht="46.5" customHeight="1" x14ac:dyDescent="0.3">
      <c r="A198" s="346">
        <f>'Unit Data from Audit Worksheet'!A235</f>
        <v>517</v>
      </c>
      <c r="B198" s="360" t="str">
        <f>'Unit Data from Audit Worksheet'!C235</f>
        <v>WS Capital Assets Schedule-Gross Value</v>
      </c>
      <c r="C198" s="345" t="str">
        <f>'Unit Data from Audit Worksheet'!D235</f>
        <v>Infrastructure(other infrastructure)</v>
      </c>
      <c r="D198" s="365"/>
      <c r="E198" s="366">
        <f>'Unit Data from Audit Worksheet'!F235</f>
        <v>0</v>
      </c>
      <c r="F198" s="87"/>
      <c r="G198" s="361"/>
      <c r="H198" s="358">
        <f>'Unit Data from Audit Worksheet'!I235</f>
        <v>0</v>
      </c>
      <c r="I198" s="38"/>
      <c r="J198" s="357">
        <v>517</v>
      </c>
      <c r="K198" s="638" t="s">
        <v>279</v>
      </c>
      <c r="L198" s="610">
        <f t="shared" si="20"/>
        <v>0</v>
      </c>
      <c r="P198" s="328"/>
      <c r="W198" s="3" t="b">
        <f t="shared" si="23"/>
        <v>1</v>
      </c>
      <c r="X198" s="607">
        <f t="shared" si="21"/>
        <v>0</v>
      </c>
      <c r="Y198" s="607">
        <f t="shared" si="22"/>
        <v>0</v>
      </c>
    </row>
    <row r="199" spans="1:25" ht="46.5" customHeight="1" x14ac:dyDescent="0.3">
      <c r="A199" s="346">
        <f>'Unit Data from Audit Worksheet'!A236</f>
        <v>518</v>
      </c>
      <c r="B199" s="360" t="str">
        <f>'Unit Data from Audit Worksheet'!C236</f>
        <v>WS Capital Assets Schedule-Gross Value</v>
      </c>
      <c r="C199" s="345" t="str">
        <f>'Unit Data from Audit Worksheet'!D236</f>
        <v>All other depreciable capital assets</v>
      </c>
      <c r="D199" s="365"/>
      <c r="E199" s="366">
        <f>'Unit Data from Audit Worksheet'!F236</f>
        <v>0</v>
      </c>
      <c r="F199" s="87"/>
      <c r="G199" s="361"/>
      <c r="H199" s="358">
        <f>'Unit Data from Audit Worksheet'!I236</f>
        <v>0</v>
      </c>
      <c r="I199" s="38"/>
      <c r="J199" s="357">
        <v>518</v>
      </c>
      <c r="K199" s="638" t="s">
        <v>280</v>
      </c>
      <c r="L199" s="610">
        <f t="shared" si="20"/>
        <v>0</v>
      </c>
      <c r="P199" s="328"/>
      <c r="W199" s="3" t="b">
        <f t="shared" si="23"/>
        <v>1</v>
      </c>
      <c r="X199" s="607">
        <f t="shared" si="21"/>
        <v>0</v>
      </c>
      <c r="Y199" s="607">
        <f t="shared" si="22"/>
        <v>0</v>
      </c>
    </row>
    <row r="200" spans="1:25" ht="52.5" customHeight="1" x14ac:dyDescent="0.3">
      <c r="A200" s="346">
        <f>'Unit Data from Audit Worksheet'!A239</f>
        <v>519</v>
      </c>
      <c r="B200" s="360" t="str">
        <f>'Unit Data from Audit Worksheet'!C239</f>
        <v>WS Capital Assets Schedule-Annual Depreciation</v>
      </c>
      <c r="C200" s="345" t="str">
        <f>'Unit Data from Audit Worksheet'!D239</f>
        <v>Buildings annual depreciation</v>
      </c>
      <c r="D200" s="365"/>
      <c r="E200" s="366">
        <f>'Unit Data from Audit Worksheet'!F239</f>
        <v>0</v>
      </c>
      <c r="F200" s="87"/>
      <c r="G200" s="361"/>
      <c r="H200" s="358">
        <f>'Unit Data from Audit Worksheet'!I239</f>
        <v>0</v>
      </c>
      <c r="I200" s="38"/>
      <c r="J200" s="357">
        <v>519</v>
      </c>
      <c r="K200" s="638" t="s">
        <v>281</v>
      </c>
      <c r="L200" s="610">
        <f t="shared" si="20"/>
        <v>0</v>
      </c>
      <c r="P200" s="328"/>
      <c r="W200" s="3" t="b">
        <f t="shared" si="23"/>
        <v>1</v>
      </c>
      <c r="X200" s="607">
        <f t="shared" si="21"/>
        <v>0</v>
      </c>
      <c r="Y200" s="607">
        <f t="shared" si="22"/>
        <v>0</v>
      </c>
    </row>
    <row r="201" spans="1:25" ht="52.5" customHeight="1" x14ac:dyDescent="0.3">
      <c r="A201" s="346">
        <f>'Unit Data from Audit Worksheet'!A240</f>
        <v>520</v>
      </c>
      <c r="B201" s="360" t="str">
        <f>'Unit Data from Audit Worksheet'!C240</f>
        <v>WS Capital Assets Schedule-Annual Depreciation</v>
      </c>
      <c r="C201" s="345" t="str">
        <f>'Unit Data from Audit Worksheet'!D240</f>
        <v>Plant / distributions systems / water lines annual depreciation</v>
      </c>
      <c r="D201" s="365"/>
      <c r="E201" s="366">
        <f>'Unit Data from Audit Worksheet'!F240</f>
        <v>0</v>
      </c>
      <c r="F201" s="87"/>
      <c r="G201" s="361"/>
      <c r="H201" s="358">
        <f>'Unit Data from Audit Worksheet'!I240</f>
        <v>0</v>
      </c>
      <c r="I201" s="38"/>
      <c r="J201" s="357">
        <v>520</v>
      </c>
      <c r="K201" s="638" t="s">
        <v>282</v>
      </c>
      <c r="L201" s="610">
        <f t="shared" si="20"/>
        <v>0</v>
      </c>
      <c r="P201" s="328"/>
      <c r="W201" s="3" t="b">
        <f t="shared" si="23"/>
        <v>1</v>
      </c>
      <c r="X201" s="607">
        <f t="shared" si="21"/>
        <v>0</v>
      </c>
      <c r="Y201" s="607">
        <f t="shared" si="22"/>
        <v>0</v>
      </c>
    </row>
    <row r="202" spans="1:25" ht="52.5" customHeight="1" x14ac:dyDescent="0.3">
      <c r="A202" s="346">
        <f>'Unit Data from Audit Worksheet'!A241</f>
        <v>521</v>
      </c>
      <c r="B202" s="360" t="str">
        <f>'Unit Data from Audit Worksheet'!C241</f>
        <v>WS Capital Assets Schedule-Annual Depreciation</v>
      </c>
      <c r="C202" s="345" t="str">
        <f>'Unit Data from Audit Worksheet'!D241</f>
        <v>Infrastructure(other infrastructure) annual depreciation</v>
      </c>
      <c r="D202" s="365"/>
      <c r="E202" s="366">
        <f>'Unit Data from Audit Worksheet'!F241</f>
        <v>0</v>
      </c>
      <c r="F202" s="87"/>
      <c r="G202" s="361"/>
      <c r="H202" s="358">
        <f>'Unit Data from Audit Worksheet'!I241</f>
        <v>0</v>
      </c>
      <c r="I202" s="38"/>
      <c r="J202" s="357">
        <v>521</v>
      </c>
      <c r="K202" s="58" t="s">
        <v>283</v>
      </c>
      <c r="L202" s="610">
        <f t="shared" si="20"/>
        <v>0</v>
      </c>
      <c r="P202" s="328"/>
      <c r="W202" s="3" t="b">
        <f t="shared" si="23"/>
        <v>1</v>
      </c>
      <c r="X202" s="607">
        <f t="shared" si="21"/>
        <v>0</v>
      </c>
      <c r="Y202" s="607">
        <f t="shared" si="22"/>
        <v>0</v>
      </c>
    </row>
    <row r="203" spans="1:25" ht="42.75" customHeight="1" x14ac:dyDescent="0.3">
      <c r="A203" s="346">
        <f>'Unit Data from Audit Worksheet'!A242</f>
        <v>522</v>
      </c>
      <c r="B203" s="360" t="str">
        <f>'Unit Data from Audit Worksheet'!C242</f>
        <v>WS Capital Assets Schedule-Annual Depreciation</v>
      </c>
      <c r="C203" s="345" t="str">
        <f>'Unit Data from Audit Worksheet'!D242</f>
        <v>All other depreciable capital assets annual depreciation</v>
      </c>
      <c r="D203" s="365"/>
      <c r="E203" s="366">
        <f>'Unit Data from Audit Worksheet'!F242</f>
        <v>0</v>
      </c>
      <c r="F203" s="87"/>
      <c r="G203" s="361"/>
      <c r="H203" s="358">
        <f>'Unit Data from Audit Worksheet'!I242</f>
        <v>0</v>
      </c>
      <c r="I203" s="38"/>
      <c r="J203" s="357">
        <v>522</v>
      </c>
      <c r="K203" s="58" t="s">
        <v>284</v>
      </c>
      <c r="L203" s="610">
        <f t="shared" si="20"/>
        <v>0</v>
      </c>
      <c r="P203" s="328"/>
      <c r="W203" s="3" t="b">
        <f t="shared" si="23"/>
        <v>1</v>
      </c>
      <c r="X203" s="607">
        <f t="shared" si="21"/>
        <v>0</v>
      </c>
      <c r="Y203" s="607">
        <f t="shared" si="22"/>
        <v>0</v>
      </c>
    </row>
    <row r="204" spans="1:25" ht="42.75" customHeight="1" x14ac:dyDescent="0.3">
      <c r="A204" s="346">
        <f>'Unit Data from Audit Worksheet'!A245</f>
        <v>523</v>
      </c>
      <c r="B204" s="360" t="str">
        <f>'Unit Data from Audit Worksheet'!C245</f>
        <v>WS Capital Assets Schedule-Accumulated Depreciation</v>
      </c>
      <c r="C204" s="345" t="str">
        <f>'Unit Data from Audit Worksheet'!D245</f>
        <v>Building accumulated depreciation</v>
      </c>
      <c r="D204" s="365"/>
      <c r="E204" s="366">
        <f>'Unit Data from Audit Worksheet'!F245</f>
        <v>0</v>
      </c>
      <c r="F204" s="87"/>
      <c r="G204" s="361"/>
      <c r="H204" s="358">
        <f>'Unit Data from Audit Worksheet'!I245</f>
        <v>0</v>
      </c>
      <c r="I204" s="38"/>
      <c r="J204" s="357">
        <v>523</v>
      </c>
      <c r="K204" s="58" t="s">
        <v>285</v>
      </c>
      <c r="L204" s="610">
        <f t="shared" si="20"/>
        <v>0</v>
      </c>
      <c r="P204" s="328"/>
      <c r="W204" s="3" t="b">
        <f t="shared" si="23"/>
        <v>1</v>
      </c>
      <c r="X204" s="607">
        <f t="shared" si="21"/>
        <v>0</v>
      </c>
      <c r="Y204" s="607">
        <f t="shared" si="22"/>
        <v>0</v>
      </c>
    </row>
    <row r="205" spans="1:25" ht="51" customHeight="1" x14ac:dyDescent="0.3">
      <c r="A205" s="346">
        <f>'Unit Data from Audit Worksheet'!A246</f>
        <v>524</v>
      </c>
      <c r="B205" s="360" t="str">
        <f>'Unit Data from Audit Worksheet'!C246</f>
        <v>WS Capital Assets Schedule-Accumulated Depreciation</v>
      </c>
      <c r="C205" s="345" t="str">
        <f>'Unit Data from Audit Worksheet'!D246</f>
        <v>Plant / distributions systems / water lines accumulated depreciation</v>
      </c>
      <c r="D205" s="365"/>
      <c r="E205" s="366">
        <f>'Unit Data from Audit Worksheet'!F246</f>
        <v>0</v>
      </c>
      <c r="F205" s="87"/>
      <c r="G205" s="361"/>
      <c r="H205" s="358">
        <f>'Unit Data from Audit Worksheet'!I246</f>
        <v>0</v>
      </c>
      <c r="I205" s="38"/>
      <c r="J205" s="357">
        <v>524</v>
      </c>
      <c r="K205" s="58" t="s">
        <v>286</v>
      </c>
      <c r="L205" s="610">
        <f t="shared" si="20"/>
        <v>0</v>
      </c>
      <c r="P205" s="328"/>
      <c r="W205" s="3" t="b">
        <f t="shared" si="23"/>
        <v>1</v>
      </c>
      <c r="X205" s="607">
        <f t="shared" si="21"/>
        <v>0</v>
      </c>
      <c r="Y205" s="607">
        <f t="shared" si="22"/>
        <v>0</v>
      </c>
    </row>
    <row r="206" spans="1:25" ht="57.75" customHeight="1" x14ac:dyDescent="0.3">
      <c r="A206" s="346">
        <f>'Unit Data from Audit Worksheet'!A247</f>
        <v>525</v>
      </c>
      <c r="B206" s="360" t="str">
        <f>'Unit Data from Audit Worksheet'!C247</f>
        <v>WS Capital Assets Schedule-Accumulated Depreciation</v>
      </c>
      <c r="C206" s="345" t="str">
        <f>'Unit Data from Audit Worksheet'!D247</f>
        <v>Infrastructure(other infrastructure) accumulated depreciation</v>
      </c>
      <c r="D206" s="365"/>
      <c r="E206" s="366">
        <f>'Unit Data from Audit Worksheet'!F247</f>
        <v>0</v>
      </c>
      <c r="F206" s="87"/>
      <c r="G206" s="361"/>
      <c r="H206" s="358">
        <f>'Unit Data from Audit Worksheet'!I247</f>
        <v>0</v>
      </c>
      <c r="I206" s="38"/>
      <c r="J206" s="357">
        <v>525</v>
      </c>
      <c r="K206" s="58" t="s">
        <v>287</v>
      </c>
      <c r="L206" s="610">
        <f t="shared" si="20"/>
        <v>0</v>
      </c>
      <c r="P206" s="328"/>
      <c r="W206" s="3" t="b">
        <f t="shared" si="23"/>
        <v>1</v>
      </c>
      <c r="X206" s="607">
        <f t="shared" si="21"/>
        <v>0</v>
      </c>
      <c r="Y206" s="607">
        <f t="shared" si="22"/>
        <v>0</v>
      </c>
    </row>
    <row r="207" spans="1:25" ht="48" customHeight="1" x14ac:dyDescent="0.3">
      <c r="A207" s="346">
        <f>'Unit Data from Audit Worksheet'!A248</f>
        <v>526</v>
      </c>
      <c r="B207" s="360" t="str">
        <f>'Unit Data from Audit Worksheet'!C248</f>
        <v>WS Capital Assets Schedule-Accumulated Depreciation</v>
      </c>
      <c r="C207" s="345" t="str">
        <f>'Unit Data from Audit Worksheet'!D248</f>
        <v>All other depreciable capital assets accumulated depreciation</v>
      </c>
      <c r="D207" s="365"/>
      <c r="E207" s="366">
        <f>'Unit Data from Audit Worksheet'!F248</f>
        <v>0</v>
      </c>
      <c r="F207" s="87"/>
      <c r="G207" s="361"/>
      <c r="H207" s="358">
        <f>'Unit Data from Audit Worksheet'!I248</f>
        <v>0</v>
      </c>
      <c r="I207" s="38"/>
      <c r="J207" s="357">
        <v>526</v>
      </c>
      <c r="K207" s="58" t="s">
        <v>288</v>
      </c>
      <c r="L207" s="610">
        <f t="shared" si="20"/>
        <v>0</v>
      </c>
      <c r="P207" s="328"/>
      <c r="W207" s="3" t="b">
        <f t="shared" si="23"/>
        <v>1</v>
      </c>
      <c r="X207" s="607">
        <f t="shared" si="21"/>
        <v>0</v>
      </c>
      <c r="Y207" s="607">
        <f t="shared" si="22"/>
        <v>0</v>
      </c>
    </row>
    <row r="208" spans="1:25" ht="50.25" customHeight="1" x14ac:dyDescent="0.3">
      <c r="A208" s="346">
        <f>'Unit Data from Audit Worksheet'!A253</f>
        <v>527</v>
      </c>
      <c r="B208" s="360" t="str">
        <f>'Unit Data from Audit Worksheet'!C253</f>
        <v>Electric Assets</v>
      </c>
      <c r="C208" s="345" t="str">
        <f>'Unit Data from Audit Worksheet'!D253</f>
        <v>Total Assets Gross value not being depreciated for Electric Fund</v>
      </c>
      <c r="D208" s="365"/>
      <c r="E208" s="366">
        <f>'Unit Data from Audit Worksheet'!F253</f>
        <v>0</v>
      </c>
      <c r="F208" s="87"/>
      <c r="G208" s="361"/>
      <c r="H208" s="358">
        <f>'Unit Data from Audit Worksheet'!I253</f>
        <v>0</v>
      </c>
      <c r="I208" s="38"/>
      <c r="J208" s="357">
        <v>527</v>
      </c>
      <c r="K208" s="58" t="s">
        <v>289</v>
      </c>
      <c r="L208" s="610">
        <f t="shared" si="20"/>
        <v>0</v>
      </c>
      <c r="P208" s="328"/>
      <c r="W208" s="3" t="b">
        <f t="shared" si="23"/>
        <v>1</v>
      </c>
      <c r="X208" s="607">
        <f t="shared" si="21"/>
        <v>0</v>
      </c>
      <c r="Y208" s="607">
        <f t="shared" si="22"/>
        <v>0</v>
      </c>
    </row>
    <row r="209" spans="1:27" ht="54.75" customHeight="1" x14ac:dyDescent="0.3">
      <c r="A209" s="346">
        <f>'Unit Data from Audit Worksheet'!A254</f>
        <v>356</v>
      </c>
      <c r="B209" s="360" t="str">
        <f>'Unit Data from Audit Worksheet'!C254</f>
        <v>Electric Assets</v>
      </c>
      <c r="C209" s="345" t="str">
        <f>'Unit Data from Audit Worksheet'!D254</f>
        <v>Total Assets Gross value of assets being depreciated for Electric Fund</v>
      </c>
      <c r="D209" s="365"/>
      <c r="E209" s="366">
        <f>'Unit Data from Audit Worksheet'!F254</f>
        <v>0</v>
      </c>
      <c r="F209" s="87"/>
      <c r="G209" s="361"/>
      <c r="H209" s="358">
        <f>'Unit Data from Audit Worksheet'!I254</f>
        <v>0</v>
      </c>
      <c r="I209" s="38"/>
      <c r="J209" s="357">
        <v>356</v>
      </c>
      <c r="K209" s="58" t="s">
        <v>552</v>
      </c>
      <c r="L209" s="610">
        <f t="shared" si="20"/>
        <v>0</v>
      </c>
      <c r="P209" s="328"/>
      <c r="W209" s="3" t="b">
        <f t="shared" si="23"/>
        <v>1</v>
      </c>
      <c r="X209" s="607">
        <f t="shared" si="21"/>
        <v>0</v>
      </c>
      <c r="Y209" s="607">
        <f t="shared" si="22"/>
        <v>0</v>
      </c>
    </row>
    <row r="210" spans="1:27" ht="54.75" customHeight="1" x14ac:dyDescent="0.3">
      <c r="A210" s="346">
        <f>'Unit Data from Audit Worksheet'!A255</f>
        <v>357</v>
      </c>
      <c r="B210" s="360" t="str">
        <f>'Unit Data from Audit Worksheet'!C255</f>
        <v>Electric Accumulated Depreciation</v>
      </c>
      <c r="C210" s="345" t="str">
        <f>'Unit Data from Audit Worksheet'!D255</f>
        <v>Total accumulated depreciation for Electric Fund assets</v>
      </c>
      <c r="D210" s="365"/>
      <c r="E210" s="366">
        <f>'Unit Data from Audit Worksheet'!F255</f>
        <v>0</v>
      </c>
      <c r="F210" s="87"/>
      <c r="G210" s="361"/>
      <c r="H210" s="358">
        <f>'Unit Data from Audit Worksheet'!I255</f>
        <v>0</v>
      </c>
      <c r="I210" s="38"/>
      <c r="J210" s="357">
        <v>357</v>
      </c>
      <c r="K210" s="58" t="s">
        <v>553</v>
      </c>
      <c r="L210" s="610">
        <f t="shared" si="20"/>
        <v>0</v>
      </c>
      <c r="P210" s="328"/>
      <c r="W210" s="3" t="b">
        <f t="shared" si="23"/>
        <v>1</v>
      </c>
      <c r="X210" s="607">
        <f t="shared" si="21"/>
        <v>0</v>
      </c>
      <c r="Y210" s="607">
        <f t="shared" si="22"/>
        <v>0</v>
      </c>
    </row>
    <row r="211" spans="1:27" ht="191.25" customHeight="1" x14ac:dyDescent="0.3">
      <c r="A211" s="346">
        <f>'Unit Data from Audit Worksheet'!A257</f>
        <v>337</v>
      </c>
      <c r="B211" s="360" t="str">
        <f>'Unit Data from Audit Worksheet'!C257</f>
        <v>Long-Term Liability Note - Governmental Activities</v>
      </c>
      <c r="C211" s="360" t="str">
        <f>'Unit Data from Audit Worksheet'!D257</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211" s="365"/>
      <c r="E211" s="366">
        <f>'Unit Data from Audit Worksheet'!F257</f>
        <v>0</v>
      </c>
      <c r="F211" s="359">
        <f>IF(L211&lt;0,"Error: Enter as a positive.",)</f>
        <v>0</v>
      </c>
      <c r="G211" s="361"/>
      <c r="H211" s="358">
        <f>'Unit Data from Audit Worksheet'!I257</f>
        <v>0</v>
      </c>
      <c r="I211" s="38"/>
      <c r="J211" s="357">
        <v>337</v>
      </c>
      <c r="K211" s="356" t="s">
        <v>254</v>
      </c>
      <c r="L211" s="610">
        <f t="shared" si="20"/>
        <v>0</v>
      </c>
      <c r="P211" s="328"/>
      <c r="W211" s="3" t="b">
        <f t="shared" si="23"/>
        <v>1</v>
      </c>
      <c r="X211" s="607">
        <f t="shared" si="21"/>
        <v>0</v>
      </c>
      <c r="Y211" s="607">
        <f t="shared" si="22"/>
        <v>0</v>
      </c>
    </row>
    <row r="212" spans="1:27" ht="76.5" customHeight="1" x14ac:dyDescent="0.3">
      <c r="A212" s="346">
        <f>'Unit Data from Audit Worksheet'!A258</f>
        <v>343</v>
      </c>
      <c r="B212" s="360" t="str">
        <f>'Unit Data from Audit Worksheet'!C258</f>
        <v>Long-Term Liability Note - Governmental Activities</v>
      </c>
      <c r="C212" s="345" t="str">
        <f>'Unit Data from Audit Worksheet'!D258</f>
        <v>Decreases made (principal paid) on Long-Term Debt in current fiscal year.  Reduce for debt refunding.</v>
      </c>
      <c r="D212" s="365"/>
      <c r="E212" s="366">
        <f>'Unit Data from Audit Worksheet'!F258</f>
        <v>0</v>
      </c>
      <c r="F212" s="359">
        <f>IF(L212&lt;0,"Error: Enter as a positive.",)</f>
        <v>0</v>
      </c>
      <c r="G212" s="361"/>
      <c r="H212" s="358">
        <f>'Unit Data from Audit Worksheet'!I258</f>
        <v>0</v>
      </c>
      <c r="I212" s="38"/>
      <c r="J212" s="357">
        <v>343</v>
      </c>
      <c r="K212" s="356" t="s">
        <v>255</v>
      </c>
      <c r="L212" s="610">
        <f t="shared" si="20"/>
        <v>0</v>
      </c>
      <c r="P212" s="328"/>
      <c r="W212" s="3" t="b">
        <f t="shared" si="23"/>
        <v>1</v>
      </c>
      <c r="X212" s="607">
        <f t="shared" si="21"/>
        <v>0</v>
      </c>
      <c r="Y212" s="607">
        <f t="shared" si="22"/>
        <v>0</v>
      </c>
    </row>
    <row r="213" spans="1:27" ht="193.5" customHeight="1" x14ac:dyDescent="0.3">
      <c r="A213" s="346">
        <f>'Unit Data from Audit Worksheet'!A259</f>
        <v>82</v>
      </c>
      <c r="B213" s="360" t="str">
        <f>'Unit Data from Audit Worksheet'!C259</f>
        <v>Long-Term Liability Note - Water Sewer Activities</v>
      </c>
      <c r="C213" s="360" t="str">
        <f>'Unit Data from Audit Worksheet'!D259</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213" s="365"/>
      <c r="E213" s="366">
        <f>'Unit Data from Audit Worksheet'!F259</f>
        <v>0</v>
      </c>
      <c r="F213" s="359">
        <f>IF(L213&lt;0,"Error: Enter as a positive.",)</f>
        <v>0</v>
      </c>
      <c r="G213" s="361"/>
      <c r="H213" s="358">
        <f>'Unit Data from Audit Worksheet'!I259</f>
        <v>0</v>
      </c>
      <c r="I213" s="38"/>
      <c r="J213" s="357">
        <v>82</v>
      </c>
      <c r="K213" s="69" t="s">
        <v>554</v>
      </c>
      <c r="L213" s="610">
        <f t="shared" si="20"/>
        <v>0</v>
      </c>
      <c r="P213" s="328"/>
      <c r="W213" s="3" t="b">
        <f t="shared" si="23"/>
        <v>1</v>
      </c>
      <c r="X213" s="607">
        <f t="shared" si="21"/>
        <v>0</v>
      </c>
      <c r="Y213" s="607">
        <f t="shared" si="22"/>
        <v>0</v>
      </c>
    </row>
    <row r="214" spans="1:27" ht="206.25" customHeight="1" x14ac:dyDescent="0.3">
      <c r="A214" s="346">
        <f>'Unit Data from Audit Worksheet'!A260</f>
        <v>359</v>
      </c>
      <c r="B214" s="360" t="str">
        <f>'Unit Data from Audit Worksheet'!C260</f>
        <v>Long-Term Liability Note - Electric Activities</v>
      </c>
      <c r="C214" s="360" t="str">
        <f>'Unit Data from Audit Worksheet'!D260</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214" s="365"/>
      <c r="E214" s="366">
        <f>'Unit Data from Audit Worksheet'!F260</f>
        <v>0</v>
      </c>
      <c r="F214" s="359">
        <f>IF(L214&lt;0,"Error: Enter as a positive.",)</f>
        <v>0</v>
      </c>
      <c r="G214" s="361"/>
      <c r="H214" s="358">
        <f>'Unit Data from Audit Worksheet'!I260</f>
        <v>0</v>
      </c>
      <c r="I214" s="38"/>
      <c r="J214" s="357">
        <v>359</v>
      </c>
      <c r="K214" s="356" t="s">
        <v>256</v>
      </c>
      <c r="L214" s="610">
        <f t="shared" si="20"/>
        <v>0</v>
      </c>
      <c r="P214" s="328"/>
      <c r="W214" s="3" t="b">
        <f t="shared" si="23"/>
        <v>1</v>
      </c>
      <c r="X214" s="607">
        <f t="shared" si="21"/>
        <v>0</v>
      </c>
      <c r="Y214" s="607">
        <f t="shared" si="22"/>
        <v>0</v>
      </c>
    </row>
    <row r="215" spans="1:27" ht="76.5" customHeight="1" x14ac:dyDescent="0.3">
      <c r="A215" s="346">
        <f>'Unit Data from Audit Worksheet'!A262</f>
        <v>622</v>
      </c>
      <c r="B215" s="360" t="str">
        <f>'Unit Data from Audit Worksheet'!C262</f>
        <v>FS., Pension note or RSI</v>
      </c>
      <c r="C215" s="360" t="str">
        <f>'Unit Data from Audit Worksheet'!D262</f>
        <v xml:space="preserve">Unit's Share of Net Pension Liability ($s)
- unit of government is a participating employer in the State's TSERS (Teachers' and State Employees' Retirement System) or the LGERS (Local Governmental Employees' Retirement System).  </v>
      </c>
      <c r="D215" s="365"/>
      <c r="E215" s="366">
        <f>'Unit Data from Audit Worksheet'!F262</f>
        <v>0</v>
      </c>
      <c r="F215" s="359"/>
      <c r="G215" s="361"/>
      <c r="H215" s="358"/>
      <c r="I215" s="38"/>
      <c r="J215" s="357">
        <v>622</v>
      </c>
      <c r="K215" s="363" t="s">
        <v>695</v>
      </c>
      <c r="L215" s="610">
        <f t="shared" si="20"/>
        <v>0</v>
      </c>
      <c r="P215" s="328"/>
      <c r="W215" s="3" t="b">
        <f t="shared" si="23"/>
        <v>1</v>
      </c>
      <c r="X215" s="607">
        <f t="shared" si="21"/>
        <v>0</v>
      </c>
      <c r="Y215" s="607">
        <f t="shared" si="22"/>
        <v>0</v>
      </c>
    </row>
    <row r="216" spans="1:27" ht="138.75" customHeight="1" x14ac:dyDescent="0.3">
      <c r="A216" s="346">
        <f>'Unit Data from Audit Worksheet'!A263</f>
        <v>577</v>
      </c>
      <c r="B216" s="360" t="str">
        <f>'Unit Data from Audit Worksheet'!C263</f>
        <v>Pension Notes</v>
      </c>
      <c r="C216" s="360" t="str">
        <f>'Unit Data from Audit Worksheet'!D263</f>
        <v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v>
      </c>
      <c r="D216" s="365"/>
      <c r="E216" s="366" t="str">
        <f>IF('Unit Data from Audit Worksheet'!F263="Yes",1,IF('Unit Data from Audit Worksheet'!F263="No",2,IF('Unit Data from Audit Worksheet'!F263&lt;1,"",IF('Unit Data from Audit Worksheet'!F263=0&gt;2,""))))</f>
        <v/>
      </c>
      <c r="F216" s="359"/>
      <c r="G216" s="361"/>
      <c r="H216" s="358"/>
      <c r="I216" s="38"/>
      <c r="J216" s="357">
        <v>577</v>
      </c>
      <c r="K216" s="363" t="s">
        <v>611</v>
      </c>
      <c r="L216" s="610" t="str">
        <f t="shared" si="20"/>
        <v/>
      </c>
      <c r="P216" s="328"/>
      <c r="W216" s="3" t="b">
        <f t="shared" si="23"/>
        <v>1</v>
      </c>
      <c r="X216" s="607" t="e">
        <f t="shared" si="21"/>
        <v>#VALUE!</v>
      </c>
      <c r="Y216" s="607" t="e">
        <f t="shared" si="22"/>
        <v>#VALUE!</v>
      </c>
    </row>
    <row r="217" spans="1:27" ht="115.5" customHeight="1" x14ac:dyDescent="0.3">
      <c r="A217" s="639">
        <f>'Unit Data from Audit Worksheet'!A265</f>
        <v>598</v>
      </c>
      <c r="B217" s="360" t="str">
        <f>'Unit Data from Audit Worksheet'!C265</f>
        <v>LEO Note</v>
      </c>
      <c r="C217" s="345" t="str">
        <f>'Unit Data from Audit Worksheet'!D265</f>
        <v>Amount the unit paid out in benefits under LEO special separation allowance to retired law enforcement officers this fiscal year if you report under GASB 68 or GASB 73.</v>
      </c>
      <c r="D217" s="365"/>
      <c r="E217" s="366">
        <f>'Unit Data from Audit Worksheet'!F265</f>
        <v>0</v>
      </c>
      <c r="F217" s="359">
        <f>IF(L217&lt;0,"Error: Enter as a positive.",)</f>
        <v>0</v>
      </c>
      <c r="G217" s="361"/>
      <c r="H217" s="358">
        <f>'Unit Data from Audit Worksheet'!I265</f>
        <v>0</v>
      </c>
      <c r="I217" s="38"/>
      <c r="J217" s="357">
        <v>598</v>
      </c>
      <c r="K217" s="94" t="s">
        <v>660</v>
      </c>
      <c r="L217" s="610">
        <f t="shared" si="20"/>
        <v>0</v>
      </c>
      <c r="P217" s="328"/>
      <c r="W217" s="3" t="b">
        <f t="shared" si="23"/>
        <v>1</v>
      </c>
      <c r="X217" s="607">
        <f t="shared" si="21"/>
        <v>0</v>
      </c>
      <c r="Y217" s="607">
        <f t="shared" si="22"/>
        <v>0</v>
      </c>
    </row>
    <row r="218" spans="1:27" ht="84" customHeight="1" x14ac:dyDescent="0.3">
      <c r="A218" s="346">
        <f>'Unit Data from Audit Worksheet'!A266</f>
        <v>599</v>
      </c>
      <c r="B218" s="360" t="str">
        <f>'Unit Data from Audit Worksheet'!C266</f>
        <v>LEO Note</v>
      </c>
      <c r="C218" s="345" t="str">
        <f>'Unit Data from Audit Worksheet'!D266</f>
        <v>The total LEO pension liability if you report under GASB 68 or GASB 73.</v>
      </c>
      <c r="D218" s="365"/>
      <c r="E218" s="366">
        <f>'Unit Data from Audit Worksheet'!F266</f>
        <v>0</v>
      </c>
      <c r="F218" s="359">
        <f>IF(L218&lt;0,"Error: Enter as a positive.",)</f>
        <v>0</v>
      </c>
      <c r="G218" s="361"/>
      <c r="H218" s="358">
        <f>'Unit Data from Audit Worksheet'!I266</f>
        <v>0</v>
      </c>
      <c r="I218" s="38"/>
      <c r="J218" s="357">
        <v>599</v>
      </c>
      <c r="K218" s="93" t="s">
        <v>659</v>
      </c>
      <c r="L218" s="610">
        <f t="shared" si="20"/>
        <v>0</v>
      </c>
      <c r="M218" s="640"/>
      <c r="P218" s="328"/>
      <c r="W218" s="3" t="b">
        <f t="shared" si="23"/>
        <v>1</v>
      </c>
      <c r="X218" s="607">
        <f t="shared" si="21"/>
        <v>0</v>
      </c>
      <c r="Y218" s="607">
        <f t="shared" si="22"/>
        <v>0</v>
      </c>
    </row>
    <row r="219" spans="1:27" ht="102.75" customHeight="1" x14ac:dyDescent="0.3">
      <c r="A219" s="346">
        <f>'Unit Data from Audit Worksheet'!A267</f>
        <v>602</v>
      </c>
      <c r="B219" s="360" t="str">
        <f>'Unit Data from Audit Worksheet'!C267</f>
        <v>LEO Note</v>
      </c>
      <c r="C219" s="345" t="str">
        <f>'Unit Data from Audit Worksheet'!D267</f>
        <v>If you have LEO pension assets and are reporting under GASB 68 please enter "Plan Fiduciary Net Position" which can be found on your RSI schedules and the Notes.</v>
      </c>
      <c r="D219" s="365"/>
      <c r="E219" s="366">
        <f>'Unit Data from Audit Worksheet'!F267</f>
        <v>0</v>
      </c>
      <c r="F219" s="359">
        <f>IF(L219&lt;0,"Error: Enter as a positive.",)</f>
        <v>0</v>
      </c>
      <c r="G219" s="361"/>
      <c r="H219" s="358">
        <f>'Unit Data from Audit Worksheet'!I267</f>
        <v>0</v>
      </c>
      <c r="I219" s="38"/>
      <c r="J219" s="357">
        <v>602</v>
      </c>
      <c r="K219" s="26" t="s">
        <v>661</v>
      </c>
      <c r="L219" s="610">
        <f t="shared" si="20"/>
        <v>0</v>
      </c>
      <c r="M219" s="640"/>
      <c r="P219" s="328"/>
      <c r="W219" s="3" t="b">
        <f t="shared" si="23"/>
        <v>1</v>
      </c>
      <c r="X219" s="607">
        <f t="shared" si="21"/>
        <v>0</v>
      </c>
      <c r="Y219" s="607">
        <f t="shared" si="22"/>
        <v>0</v>
      </c>
    </row>
    <row r="220" spans="1:27" ht="123" customHeight="1" x14ac:dyDescent="0.3">
      <c r="A220" s="346">
        <f>'Unit Data from Audit Worksheet'!A268</f>
        <v>619</v>
      </c>
      <c r="B220" s="360" t="str">
        <f>'Unit Data from Audit Worksheet'!C268</f>
        <v>LEO
RSI</v>
      </c>
      <c r="C220" s="94" t="str">
        <f>'Unit Data from Audit Worksheet'!D268</f>
        <v>LEOSSA – What is the plan’s fiduciary net position as a percentage of the total pension liability?  Please enter as percentage value; for example, 83.5% should be entered as 83.5.  If assets have not been set aside in a trust, please enter 0.0</v>
      </c>
      <c r="D220" s="95"/>
      <c r="E220" s="150">
        <f>'Unit Data from Audit Worksheet'!F268</f>
        <v>0</v>
      </c>
      <c r="F220" s="359" t="str">
        <f>IF(H220=L220,"","Column L does not equal Column H")</f>
        <v/>
      </c>
      <c r="G220" s="361"/>
      <c r="H220" s="103">
        <f>ROUND(IFERROR((L219/L218)*100,0),1)</f>
        <v>0</v>
      </c>
      <c r="I220" s="38"/>
      <c r="J220" s="348">
        <v>619</v>
      </c>
      <c r="K220" s="102" t="s">
        <v>855</v>
      </c>
      <c r="L220" s="949">
        <f t="shared" si="20"/>
        <v>0</v>
      </c>
      <c r="M220" s="640"/>
      <c r="P220" s="641"/>
      <c r="Q220" s="642">
        <f>IF(H220=L220,0,1)</f>
        <v>0</v>
      </c>
      <c r="W220" s="3" t="b">
        <f t="shared" si="23"/>
        <v>1</v>
      </c>
      <c r="X220" s="607">
        <f t="shared" si="21"/>
        <v>0</v>
      </c>
      <c r="Y220" s="607">
        <f t="shared" si="22"/>
        <v>0</v>
      </c>
    </row>
    <row r="221" spans="1:27" ht="113.25" customHeight="1" x14ac:dyDescent="0.3">
      <c r="A221" s="346">
        <v>621</v>
      </c>
      <c r="B221" s="57" t="s">
        <v>687</v>
      </c>
      <c r="C221" s="643" t="str">
        <f>'Unit Data from Audit Worksheet'!D270</f>
        <v xml:space="preserve">Unit's share of Retirement Health Benefit Fund Net OPEB Liability ($s)
- unit of government is a participating employer in the State's RHBF </v>
      </c>
      <c r="D221" s="95"/>
      <c r="E221" s="366">
        <f>'Unit Data from Audit Worksheet'!F270</f>
        <v>0</v>
      </c>
      <c r="F221" s="359">
        <f>IF(L221&lt;0,"Error: Enter as a positive.",)</f>
        <v>0</v>
      </c>
      <c r="G221" s="128"/>
      <c r="H221" s="358"/>
      <c r="I221" s="38"/>
      <c r="J221" s="644">
        <v>621</v>
      </c>
      <c r="K221" s="129" t="s">
        <v>860</v>
      </c>
      <c r="L221" s="610">
        <f t="shared" si="20"/>
        <v>0</v>
      </c>
      <c r="M221" s="640"/>
      <c r="P221" s="644"/>
      <c r="Q221" s="308"/>
      <c r="W221" s="3" t="b">
        <f t="shared" si="23"/>
        <v>1</v>
      </c>
      <c r="X221" s="607">
        <f t="shared" si="21"/>
        <v>0</v>
      </c>
      <c r="Y221" s="607">
        <f t="shared" si="22"/>
        <v>0</v>
      </c>
    </row>
    <row r="222" spans="1:27" s="18" customFormat="1" ht="127.5" customHeight="1" x14ac:dyDescent="0.3">
      <c r="A222" s="639">
        <f>'Unit Data from Audit Worksheet'!A271</f>
        <v>547</v>
      </c>
      <c r="B222" s="360" t="str">
        <f>'Unit Data from Audit Worksheet'!C271</f>
        <v>OPEB Note</v>
      </c>
      <c r="C222" s="360" t="str">
        <f>'Unit Data from Audit Worksheet'!D271</f>
        <v>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v>
      </c>
      <c r="D222" s="365"/>
      <c r="E222" s="366">
        <f>'Unit Data from Audit Worksheet'!F271</f>
        <v>0</v>
      </c>
      <c r="F222" s="359" t="str">
        <f>IF(L225&lt;1,"Please answer this question","")</f>
        <v>Please answer this question</v>
      </c>
      <c r="G222" s="361"/>
      <c r="H222" s="358">
        <f>'Unit Data from Audit Worksheet'!I271</f>
        <v>0</v>
      </c>
      <c r="I222" s="38"/>
      <c r="J222" s="357">
        <v>547</v>
      </c>
      <c r="K222" s="645" t="s">
        <v>541</v>
      </c>
      <c r="L222" s="610">
        <f t="shared" si="20"/>
        <v>0</v>
      </c>
      <c r="M222" s="631"/>
      <c r="P222" s="328"/>
      <c r="Q222" s="600"/>
      <c r="R222" s="3"/>
      <c r="W222" s="3" t="b">
        <f t="shared" si="23"/>
        <v>1</v>
      </c>
      <c r="X222" s="607">
        <f t="shared" si="21"/>
        <v>0</v>
      </c>
      <c r="Y222" s="607">
        <f t="shared" si="22"/>
        <v>0</v>
      </c>
      <c r="AA222" s="3"/>
    </row>
    <row r="223" spans="1:27" s="18" customFormat="1" ht="99" customHeight="1" x14ac:dyDescent="0.3">
      <c r="A223" s="346">
        <f>'Unit Data from Audit Worksheet'!A272</f>
        <v>659</v>
      </c>
      <c r="B223" s="360" t="str">
        <f>'Unit Data from Audit Worksheet'!C272</f>
        <v>OPEB
 Note or RSI</v>
      </c>
      <c r="C223" s="345" t="str">
        <f>'Unit Data from Audit Worksheet'!D272</f>
        <v>Total OPEB benefits - total OPEB liability
If you do not provide benefit, please enter 0</v>
      </c>
      <c r="D223" s="365"/>
      <c r="E223" s="366">
        <f>'Unit Data from Audit Worksheet'!F272</f>
        <v>0</v>
      </c>
      <c r="F223" s="359">
        <f>IF(L223&lt;0,"Error: Enter as a positive.",)</f>
        <v>0</v>
      </c>
      <c r="G223" s="646" t="s">
        <v>1343</v>
      </c>
      <c r="H223" s="358">
        <f>'Unit Data from Audit Worksheet'!I272</f>
        <v>0</v>
      </c>
      <c r="I223" s="38"/>
      <c r="J223" s="348">
        <v>659</v>
      </c>
      <c r="K223" s="347" t="s">
        <v>784</v>
      </c>
      <c r="L223" s="624">
        <f t="shared" si="20"/>
        <v>0</v>
      </c>
      <c r="M223" s="631"/>
      <c r="P223" s="641"/>
      <c r="Q223" s="600"/>
      <c r="R223" s="3"/>
      <c r="W223" s="3" t="b">
        <f t="shared" si="23"/>
        <v>1</v>
      </c>
      <c r="X223" s="607">
        <f t="shared" si="21"/>
        <v>0</v>
      </c>
      <c r="Y223" s="607">
        <f t="shared" si="22"/>
        <v>0</v>
      </c>
      <c r="AA223" s="3"/>
    </row>
    <row r="224" spans="1:27" s="18" customFormat="1" ht="131.25" customHeight="1" x14ac:dyDescent="0.3">
      <c r="A224" s="346">
        <f>'Unit Data from Audit Worksheet'!A273</f>
        <v>660</v>
      </c>
      <c r="B224" s="360" t="str">
        <f>'Unit Data from Audit Worksheet'!C273</f>
        <v>OPEB
 Note or RSI</v>
      </c>
      <c r="C224" s="345" t="str">
        <f>'Unit Data from Audit Worksheet'!D273</f>
        <v>Total OPEB benefits- OPEB plan fiduciary net position
If no fiduciary net position, enter 0</v>
      </c>
      <c r="D224" s="365"/>
      <c r="E224" s="366">
        <f>'Unit Data from Audit Worksheet'!F273</f>
        <v>0</v>
      </c>
      <c r="F224" s="355">
        <f>IF(L224&lt;0,"Note: Number is normally positive.",)</f>
        <v>0</v>
      </c>
      <c r="G224" s="646" t="s">
        <v>1343</v>
      </c>
      <c r="H224" s="358">
        <f>'Unit Data from Audit Worksheet'!I273</f>
        <v>0</v>
      </c>
      <c r="I224" s="38"/>
      <c r="J224" s="348">
        <v>660</v>
      </c>
      <c r="K224" s="347" t="s">
        <v>785</v>
      </c>
      <c r="L224" s="624">
        <f t="shared" si="20"/>
        <v>0</v>
      </c>
      <c r="M224" s="631"/>
      <c r="P224" s="641"/>
      <c r="Q224" s="600"/>
      <c r="R224" s="3"/>
      <c r="W224" s="3" t="b">
        <f t="shared" si="23"/>
        <v>1</v>
      </c>
      <c r="X224" s="607">
        <f t="shared" si="21"/>
        <v>0</v>
      </c>
      <c r="Y224" s="607">
        <f t="shared" si="22"/>
        <v>0</v>
      </c>
      <c r="AA224" s="3"/>
    </row>
    <row r="225" spans="1:27" ht="134.25" customHeight="1" x14ac:dyDescent="0.3">
      <c r="A225" s="346">
        <f>'Unit Data from Audit Worksheet'!A274</f>
        <v>661</v>
      </c>
      <c r="B225" s="360" t="str">
        <f>'Unit Data from Audit Worksheet'!C274</f>
        <v>OPEB
RSI</v>
      </c>
      <c r="C225" s="345" t="str">
        <f>'Unit Data from Audit Worksheet'!D274</f>
        <v>Total OPEB benefits - What is the plan’s fiduciary net position as a percentage of the total OPEB liability?  Please enter as percentage value; for example, 83.5% should be entered as 83.5.  If assets have not been set aside in a trust, please enter 0.0</v>
      </c>
      <c r="D225" s="95"/>
      <c r="E225" s="344">
        <f>'Unit Data from Audit Worksheet'!F274</f>
        <v>0</v>
      </c>
      <c r="F225" s="359" t="str">
        <f>IF(H225=L225,"","Column L does not equal Column H")</f>
        <v/>
      </c>
      <c r="G225" s="646" t="s">
        <v>1343</v>
      </c>
      <c r="H225" s="175">
        <f>ROUND(IFERROR((L224/L223)*100,0),1)</f>
        <v>0</v>
      </c>
      <c r="I225" s="38"/>
      <c r="J225" s="348">
        <v>661</v>
      </c>
      <c r="K225" s="363" t="s">
        <v>788</v>
      </c>
      <c r="L225" s="647">
        <f>IF(D225="",E225,D225)</f>
        <v>0</v>
      </c>
      <c r="P225" s="641"/>
      <c r="Q225" s="642">
        <f>IF(H225=L225,0,1)</f>
        <v>0</v>
      </c>
      <c r="W225" s="3" t="b">
        <f t="shared" si="23"/>
        <v>1</v>
      </c>
      <c r="X225" s="607">
        <f t="shared" si="21"/>
        <v>0</v>
      </c>
      <c r="Y225" s="607">
        <f t="shared" si="22"/>
        <v>0</v>
      </c>
    </row>
    <row r="226" spans="1:27" ht="65.25" customHeight="1" x14ac:dyDescent="0.3">
      <c r="A226" s="346">
        <f>'Unit Data from Audit Worksheet'!A277</f>
        <v>371</v>
      </c>
      <c r="B226" s="360" t="str">
        <f>'Unit Data from Audit Worksheet'!C277</f>
        <v>Transfer Note</v>
      </c>
      <c r="C226" s="345" t="str">
        <f>'Unit Data from Audit Worksheet'!D277</f>
        <v>Amount of Transfers from the General Fund to the Debt Service Fund (Enter as positive)</v>
      </c>
      <c r="D226" s="365"/>
      <c r="E226" s="366">
        <f>'Unit Data from Audit Worksheet'!F277</f>
        <v>0</v>
      </c>
      <c r="F226" s="359">
        <f>IF(L226&lt;0,"Error: Enter as a positive.",)</f>
        <v>0</v>
      </c>
      <c r="G226" s="361"/>
      <c r="H226" s="358">
        <f>'Unit Data from Audit Worksheet'!I277</f>
        <v>0</v>
      </c>
      <c r="I226" s="38"/>
      <c r="J226" s="39">
        <v>371</v>
      </c>
      <c r="K226" s="356" t="s">
        <v>262</v>
      </c>
      <c r="L226" s="610">
        <f t="shared" si="20"/>
        <v>0</v>
      </c>
      <c r="P226" s="334"/>
      <c r="Q226" s="3"/>
      <c r="W226" s="3" t="b">
        <f t="shared" si="23"/>
        <v>1</v>
      </c>
      <c r="X226" s="607">
        <f t="shared" si="21"/>
        <v>0</v>
      </c>
      <c r="Y226" s="607">
        <f t="shared" si="22"/>
        <v>0</v>
      </c>
    </row>
    <row r="227" spans="1:27" ht="63" customHeight="1" x14ac:dyDescent="0.3">
      <c r="A227" s="346">
        <f>'Unit Data from Audit Worksheet'!A278</f>
        <v>513</v>
      </c>
      <c r="B227" s="360" t="str">
        <f>'Unit Data from Audit Worksheet'!C278</f>
        <v>Transfer Note</v>
      </c>
      <c r="C227" s="345" t="str">
        <f>'Unit Data from Audit Worksheet'!D278</f>
        <v>Amount of Transfers from the General Fund to the Electric Fund  (Enter as positive)</v>
      </c>
      <c r="D227" s="365"/>
      <c r="E227" s="366">
        <f>'Unit Data from Audit Worksheet'!F278</f>
        <v>0</v>
      </c>
      <c r="F227" s="359">
        <f>IF(L227&lt;0,"Error: Enter as a positive.",)</f>
        <v>0</v>
      </c>
      <c r="G227" s="361"/>
      <c r="H227" s="358">
        <f>'Unit Data from Audit Worksheet'!I278</f>
        <v>0</v>
      </c>
      <c r="I227" s="38"/>
      <c r="J227" s="357">
        <v>513</v>
      </c>
      <c r="K227" s="356" t="s">
        <v>263</v>
      </c>
      <c r="L227" s="610">
        <f t="shared" si="20"/>
        <v>0</v>
      </c>
      <c r="P227" s="328"/>
      <c r="W227" s="3" t="b">
        <f t="shared" si="23"/>
        <v>1</v>
      </c>
      <c r="X227" s="607">
        <f t="shared" si="21"/>
        <v>0</v>
      </c>
      <c r="Y227" s="607">
        <f t="shared" si="22"/>
        <v>0</v>
      </c>
    </row>
    <row r="228" spans="1:27" ht="89.25" customHeight="1" x14ac:dyDescent="0.3">
      <c r="A228" s="346">
        <f>'Unit Data from Audit Worksheet'!A279</f>
        <v>514</v>
      </c>
      <c r="B228" s="360" t="str">
        <f>'Unit Data from Audit Worksheet'!C279</f>
        <v>Transfer Note</v>
      </c>
      <c r="C228" s="345" t="str">
        <f>'Unit Data from Audit Worksheet'!D279</f>
        <v>Amount of Transfers from the Electric Fund to the General Fund  (Enter as positive)
Include:  Payment in Lieu of Taxes (PILOT)</v>
      </c>
      <c r="D228" s="365"/>
      <c r="E228" s="366">
        <f>'Unit Data from Audit Worksheet'!F279</f>
        <v>0</v>
      </c>
      <c r="F228" s="359">
        <f>IF(L228&lt;0,"Error: Enter as a positive.",)</f>
        <v>0</v>
      </c>
      <c r="G228" s="361"/>
      <c r="H228" s="358">
        <f>'Unit Data from Audit Worksheet'!I279</f>
        <v>0</v>
      </c>
      <c r="I228" s="38"/>
      <c r="J228" s="357">
        <v>514</v>
      </c>
      <c r="K228" s="356" t="s">
        <v>264</v>
      </c>
      <c r="L228" s="610">
        <f t="shared" si="20"/>
        <v>0</v>
      </c>
      <c r="P228" s="328"/>
      <c r="W228" s="3" t="b">
        <f t="shared" si="23"/>
        <v>1</v>
      </c>
      <c r="X228" s="607">
        <f t="shared" si="21"/>
        <v>0</v>
      </c>
      <c r="Y228" s="607">
        <f t="shared" si="22"/>
        <v>0</v>
      </c>
    </row>
    <row r="229" spans="1:27" ht="89.25" customHeight="1" x14ac:dyDescent="0.3">
      <c r="A229" s="626">
        <f>'Unit Data from Audit Worksheet'!A280</f>
        <v>990</v>
      </c>
      <c r="B229" s="364" t="str">
        <f>'Unit Data from Audit Worksheet'!C280</f>
        <v>Transfer Note</v>
      </c>
      <c r="C229" s="627" t="str">
        <f>'Unit Data from Audit Worksheet'!D280</f>
        <v>Amount of transfer out to the General Fund that is for Payment in Lieu of Taxes (PILOT)</v>
      </c>
      <c r="D229" s="365"/>
      <c r="E229" s="366">
        <f>'Unit Data from Audit Worksheet'!F280</f>
        <v>0</v>
      </c>
      <c r="F229" s="359"/>
      <c r="G229" s="361"/>
      <c r="H229" s="358">
        <f>'Unit Data from Audit Worksheet'!I280</f>
        <v>0</v>
      </c>
      <c r="I229" s="38"/>
      <c r="J229" s="375">
        <v>990</v>
      </c>
      <c r="K229" s="126" t="s">
        <v>1049</v>
      </c>
      <c r="L229" s="610">
        <f t="shared" si="20"/>
        <v>0</v>
      </c>
      <c r="P229" s="328"/>
      <c r="X229" s="607"/>
      <c r="Y229" s="607"/>
    </row>
    <row r="230" spans="1:27" ht="84.75" customHeight="1" x14ac:dyDescent="0.3">
      <c r="A230" s="648">
        <f>'Unit Data from Audit Worksheet'!A282</f>
        <v>6</v>
      </c>
      <c r="B230" s="53" t="str">
        <f>'Unit Data from Audit Worksheet'!C282</f>
        <v>Fund Balance Note</v>
      </c>
      <c r="C230" s="620" t="str">
        <f>'Unit Data from Audit Worksheet'!D282</f>
        <v>General Fund -  Total Encumbrances.  You will probably have to refer to the note disclosure where the amount of encumbrances is listed.</v>
      </c>
      <c r="D230" s="365"/>
      <c r="E230" s="154">
        <f>'Unit Data from Audit Worksheet'!F282</f>
        <v>0</v>
      </c>
      <c r="F230" s="37">
        <f>IF(L230&lt;0,"Error: Enter as a positive.",)</f>
        <v>0</v>
      </c>
      <c r="G230" s="73"/>
      <c r="H230" s="358">
        <f>'Unit Data from Audit Worksheet'!I282</f>
        <v>0</v>
      </c>
      <c r="I230" s="38"/>
      <c r="J230" s="41">
        <v>6</v>
      </c>
      <c r="K230" s="133" t="s">
        <v>265</v>
      </c>
      <c r="L230" s="610">
        <f t="shared" si="20"/>
        <v>0</v>
      </c>
      <c r="P230" s="328"/>
      <c r="W230" s="3" t="b">
        <f t="shared" ref="W230:W258" si="24">EXACT(A230,J230)</f>
        <v>1</v>
      </c>
      <c r="X230" s="607">
        <f t="shared" si="21"/>
        <v>0</v>
      </c>
      <c r="Y230" s="607">
        <f t="shared" si="22"/>
        <v>0</v>
      </c>
    </row>
    <row r="231" spans="1:27" ht="117.75" customHeight="1" x14ac:dyDescent="0.3">
      <c r="A231" s="346">
        <f>'Unit Data from Audit Worksheet'!A284</f>
        <v>541</v>
      </c>
      <c r="B231" s="360" t="str">
        <f>'Unit Data from Audit Worksheet'!C284</f>
        <v>Water Sewer - Budget Actual Statement</v>
      </c>
      <c r="C231" s="360" t="str">
        <f>'Unit Data from Audit Worksheet'!D284</f>
        <v>Amount of Water Sewer revenues and other financing sources over expenditures and other uses
Exclude:  All transfers and capital contributions
Exclude:  Capital Project funds
This schedule is usually found behind the notes and should be entered as a positive or negative as indicated on your audit report</v>
      </c>
      <c r="D231" s="365"/>
      <c r="E231" s="366">
        <f>'Unit Data from Audit Worksheet'!F284</f>
        <v>0</v>
      </c>
      <c r="F231" s="359"/>
      <c r="G231" s="361"/>
      <c r="H231" s="358">
        <f>'Unit Data from Audit Worksheet'!I284</f>
        <v>0</v>
      </c>
      <c r="I231" s="38"/>
      <c r="J231" s="357">
        <v>541</v>
      </c>
      <c r="K231" s="88" t="s">
        <v>555</v>
      </c>
      <c r="L231" s="610">
        <f t="shared" si="20"/>
        <v>0</v>
      </c>
      <c r="P231" s="328"/>
      <c r="W231" s="3" t="b">
        <f t="shared" si="24"/>
        <v>1</v>
      </c>
      <c r="X231" s="607">
        <f t="shared" si="21"/>
        <v>0</v>
      </c>
      <c r="Y231" s="607">
        <f t="shared" si="22"/>
        <v>0</v>
      </c>
    </row>
    <row r="232" spans="1:27" ht="94.5" customHeight="1" x14ac:dyDescent="0.3">
      <c r="A232" s="346">
        <f>'Unit Data from Audit Worksheet'!A286</f>
        <v>542</v>
      </c>
      <c r="B232" s="360" t="str">
        <f>'Unit Data from Audit Worksheet'!C286</f>
        <v>Water Sewer - Disclosed in the Notes or in the recently approved Budget for next year.</v>
      </c>
      <c r="C232" s="345" t="str">
        <f>'Unit Data from Audit Worksheet'!D286</f>
        <v>Amount of the Water Sewer Fund Balance appropriated in next year's budget?</v>
      </c>
      <c r="D232" s="365"/>
      <c r="E232" s="366">
        <f>'Unit Data from Audit Worksheet'!F286</f>
        <v>0</v>
      </c>
      <c r="F232" s="359"/>
      <c r="G232" s="361"/>
      <c r="H232" s="358">
        <f>'Unit Data from Audit Worksheet'!I286</f>
        <v>0</v>
      </c>
      <c r="I232" s="38"/>
      <c r="J232" s="357">
        <v>542</v>
      </c>
      <c r="K232" s="356" t="s">
        <v>266</v>
      </c>
      <c r="L232" s="610">
        <f t="shared" si="20"/>
        <v>0</v>
      </c>
      <c r="N232" s="61" t="s">
        <v>546</v>
      </c>
      <c r="P232" s="328"/>
      <c r="W232" s="3" t="b">
        <f t="shared" si="24"/>
        <v>1</v>
      </c>
      <c r="X232" s="607">
        <f t="shared" si="21"/>
        <v>0</v>
      </c>
      <c r="Y232" s="607">
        <f t="shared" si="22"/>
        <v>0</v>
      </c>
    </row>
    <row r="233" spans="1:27" ht="93.75" customHeight="1" x14ac:dyDescent="0.3">
      <c r="A233" s="346">
        <f>'Unit Data from Audit Worksheet'!A289</f>
        <v>528</v>
      </c>
      <c r="B233" s="360" t="str">
        <f>'Unit Data from Audit Worksheet'!C289</f>
        <v>Analysis of Current Tax Levy Schedule</v>
      </c>
      <c r="C233" s="345" t="str">
        <f>'Unit Data from Audit Worksheet'!D289</f>
        <v>Please enter the Net Current year's levy for property excluding registered motor vehicles-- (after adjusting for discoveries and abatements)
Exclude Supplemental Taxes</v>
      </c>
      <c r="D233" s="365"/>
      <c r="E233" s="366">
        <f>'Unit Data from Audit Worksheet'!F289</f>
        <v>0</v>
      </c>
      <c r="F233" s="82" t="str">
        <f>IF(L233=0,"Must be completed if unit levys taxes","")</f>
        <v>Must be completed if unit levys taxes</v>
      </c>
      <c r="G233" s="361"/>
      <c r="H233" s="358"/>
      <c r="I233" s="38"/>
      <c r="J233" s="357">
        <v>528</v>
      </c>
      <c r="K233" s="649" t="s">
        <v>271</v>
      </c>
      <c r="L233" s="610">
        <f t="shared" si="20"/>
        <v>0</v>
      </c>
      <c r="N233" s="83"/>
      <c r="P233" s="328"/>
      <c r="W233" s="3" t="b">
        <f t="shared" si="24"/>
        <v>1</v>
      </c>
      <c r="X233" s="607">
        <f t="shared" si="21"/>
        <v>0</v>
      </c>
      <c r="Y233" s="607">
        <f t="shared" si="22"/>
        <v>0</v>
      </c>
    </row>
    <row r="234" spans="1:27" s="18" customFormat="1" ht="79.5" customHeight="1" x14ac:dyDescent="0.3">
      <c r="A234" s="346">
        <f>'Unit Data from Audit Worksheet'!A290</f>
        <v>529</v>
      </c>
      <c r="B234" s="360" t="str">
        <f>'Unit Data from Audit Worksheet'!C290</f>
        <v>Analysis of Current Tax Levy Schedule</v>
      </c>
      <c r="C234" s="345" t="str">
        <f>'Unit Data from Audit Worksheet'!D290</f>
        <v>Please enter the Net Current year's levy -- Motor vehicles (only) (after adjusting for discoveries and abatements)
Exclude supplemental taxes</v>
      </c>
      <c r="D234" s="365"/>
      <c r="E234" s="366">
        <f>'Unit Data from Audit Worksheet'!F290</f>
        <v>0</v>
      </c>
      <c r="F234" s="82" t="str">
        <f>IF(L234=0,"Must be completed if unit levys taxes","")</f>
        <v>Must be completed if unit levys taxes</v>
      </c>
      <c r="G234" s="361"/>
      <c r="H234" s="358"/>
      <c r="I234" s="38"/>
      <c r="J234" s="357">
        <v>529</v>
      </c>
      <c r="K234" s="649" t="s">
        <v>272</v>
      </c>
      <c r="L234" s="610">
        <f t="shared" si="20"/>
        <v>0</v>
      </c>
      <c r="N234" s="83"/>
      <c r="P234" s="328"/>
      <c r="Q234" s="600"/>
      <c r="R234" s="3"/>
      <c r="W234" s="3" t="b">
        <f t="shared" si="24"/>
        <v>1</v>
      </c>
      <c r="X234" s="607">
        <f t="shared" si="21"/>
        <v>0</v>
      </c>
      <c r="Y234" s="607">
        <f t="shared" si="22"/>
        <v>0</v>
      </c>
      <c r="AA234" s="3"/>
    </row>
    <row r="235" spans="1:27" s="18" customFormat="1" ht="75" customHeight="1" x14ac:dyDescent="0.3">
      <c r="A235" s="346">
        <f>'Unit Data from Audit Worksheet'!A291</f>
        <v>530</v>
      </c>
      <c r="B235" s="360" t="str">
        <f>'Unit Data from Audit Worksheet'!C291</f>
        <v>Analysis of Current Tax Levy Schedule</v>
      </c>
      <c r="C235" s="345" t="str">
        <f>'Unit Data from Audit Worksheet'!D291</f>
        <v>Uncollected Taxes - Curr Year's Levy Exclude Motor Vehicles
Exclude supplemental taxes</v>
      </c>
      <c r="D235" s="365"/>
      <c r="E235" s="366">
        <f>'Unit Data from Audit Worksheet'!F291</f>
        <v>0</v>
      </c>
      <c r="F235" s="82" t="str">
        <f>IF(L235=0,"Must be completed if unit levys taxes","")</f>
        <v>Must be completed if unit levys taxes</v>
      </c>
      <c r="G235" s="361"/>
      <c r="H235" s="358"/>
      <c r="I235" s="38"/>
      <c r="J235" s="357">
        <v>530</v>
      </c>
      <c r="K235" s="649" t="s">
        <v>273</v>
      </c>
      <c r="L235" s="610">
        <f t="shared" ref="L235:L241" si="25">IF(D235="",E235,D235)</f>
        <v>0</v>
      </c>
      <c r="N235" s="83"/>
      <c r="P235" s="328"/>
      <c r="Q235" s="600"/>
      <c r="R235" s="3"/>
      <c r="W235" s="3" t="b">
        <f t="shared" si="24"/>
        <v>1</v>
      </c>
      <c r="X235" s="607">
        <f t="shared" si="21"/>
        <v>0</v>
      </c>
      <c r="Y235" s="607">
        <f t="shared" si="22"/>
        <v>0</v>
      </c>
      <c r="AA235" s="3"/>
    </row>
    <row r="236" spans="1:27" s="18" customFormat="1" ht="68.25" customHeight="1" x14ac:dyDescent="0.3">
      <c r="A236" s="346">
        <f>'Unit Data from Audit Worksheet'!A292</f>
        <v>531</v>
      </c>
      <c r="B236" s="360" t="str">
        <f>'Unit Data from Audit Worksheet'!C292</f>
        <v>Analysis of Current Tax Levy Schedule</v>
      </c>
      <c r="C236" s="345" t="str">
        <f>'Unit Data from Audit Worksheet'!D292</f>
        <v>Uncollected Taxes - Curr Year's Levy Motor Vehicles
Exclude supplemental taxes</v>
      </c>
      <c r="D236" s="365"/>
      <c r="E236" s="366">
        <f>'Unit Data from Audit Worksheet'!F292</f>
        <v>0</v>
      </c>
      <c r="F236" s="82" t="str">
        <f>IF(L236=0,"Must be completed if unit levys taxes","")</f>
        <v>Must be completed if unit levys taxes</v>
      </c>
      <c r="G236" s="361"/>
      <c r="H236" s="358"/>
      <c r="I236" s="38"/>
      <c r="J236" s="357">
        <v>531</v>
      </c>
      <c r="K236" s="649" t="s">
        <v>274</v>
      </c>
      <c r="L236" s="610">
        <f t="shared" si="25"/>
        <v>0</v>
      </c>
      <c r="N236" s="83" t="str">
        <f>IF(T240=0,"Must be completed if unit levys taxes, zero acceptable if Motor Vehicle collection rate is 100%","")</f>
        <v>Must be completed if unit levys taxes, zero acceptable if Motor Vehicle collection rate is 100%</v>
      </c>
      <c r="P236" s="328"/>
      <c r="Q236" s="600"/>
      <c r="R236" s="3"/>
      <c r="W236" s="3" t="b">
        <f t="shared" si="24"/>
        <v>1</v>
      </c>
      <c r="X236" s="607">
        <f t="shared" si="21"/>
        <v>0</v>
      </c>
      <c r="Y236" s="607">
        <f t="shared" si="22"/>
        <v>0</v>
      </c>
      <c r="AA236" s="3"/>
    </row>
    <row r="237" spans="1:27" ht="90.75" customHeight="1" x14ac:dyDescent="0.3">
      <c r="A237" s="346">
        <f>'Unit Data from Audit Worksheet'!A293</f>
        <v>61</v>
      </c>
      <c r="B237" s="360" t="str">
        <f>'Unit Data from Audit Worksheet'!C293</f>
        <v>Analysis of Current Tax Levy Schedule</v>
      </c>
      <c r="C237" s="345" t="str">
        <f>'Unit Data from Audit Worksheet'!D293</f>
        <v>Tax collection rate- Total Levy UNIT-WIDE
Exclude supplemental taxes
(Enter as a percentage with two decimal places)</v>
      </c>
      <c r="D237" s="89"/>
      <c r="E237" s="151">
        <f>'Unit Data from Audit Worksheet'!F293</f>
        <v>0</v>
      </c>
      <c r="F237" s="87" t="str">
        <f>IF(L237=H237,"","Column H calculates the percentage using accounts 528, 529, 530, 531, please enter the correct amounts from the audit schedule for these cells")</f>
        <v/>
      </c>
      <c r="G237" s="361" t="str">
        <f>IF(Q237=1," Included in error count"," ")</f>
        <v xml:space="preserve"> </v>
      </c>
      <c r="H237" s="361">
        <f>ROUND(IFERROR(((L233+L234)-(L235+L236))/(L233+L234)*100,0),2)</f>
        <v>0</v>
      </c>
      <c r="I237" s="38"/>
      <c r="J237" s="357">
        <v>61</v>
      </c>
      <c r="K237" s="58" t="s">
        <v>268</v>
      </c>
      <c r="L237" s="650">
        <f t="shared" si="25"/>
        <v>0</v>
      </c>
      <c r="N237" s="83"/>
      <c r="P237" s="328"/>
      <c r="Q237" s="600">
        <f>IF(L237-H237&lt;&gt;0,1,0)</f>
        <v>0</v>
      </c>
      <c r="W237" s="3" t="b">
        <f t="shared" si="24"/>
        <v>1</v>
      </c>
      <c r="X237" s="607">
        <f t="shared" si="21"/>
        <v>0</v>
      </c>
      <c r="Y237" s="607">
        <f t="shared" si="22"/>
        <v>0</v>
      </c>
    </row>
    <row r="238" spans="1:27" ht="89.25" customHeight="1" x14ac:dyDescent="0.3">
      <c r="A238" s="346">
        <f>'Unit Data from Audit Worksheet'!A294</f>
        <v>102</v>
      </c>
      <c r="B238" s="360" t="str">
        <f>'Unit Data from Audit Worksheet'!C294</f>
        <v>Analysis of Current Tax Levy Schedule</v>
      </c>
      <c r="C238" s="345" t="str">
        <f>'Unit Data from Audit Worksheet'!D294</f>
        <v>Tax collection rate - Excluding Registered motor vehicles
Exclude supplemental taxes
(Enter as a percentage with two decimal places)</v>
      </c>
      <c r="D238" s="89"/>
      <c r="E238" s="151">
        <f>'Unit Data from Audit Worksheet'!F294</f>
        <v>0</v>
      </c>
      <c r="F238" s="87" t="str">
        <f>IF(L238=H238,"","Column H calculates the percentage using accounts 528 and 530,  please enter the correct amounts from the audit schedule for these cells")</f>
        <v/>
      </c>
      <c r="G238" s="361" t="str">
        <f>IF(Q238=1," Included in error count"," ")</f>
        <v xml:space="preserve"> </v>
      </c>
      <c r="H238" s="361">
        <f>ROUND(IFERROR(((L233)-(L235))/(L233)*100,0),2)</f>
        <v>0</v>
      </c>
      <c r="I238" s="38"/>
      <c r="J238" s="357">
        <v>102</v>
      </c>
      <c r="K238" s="58" t="s">
        <v>269</v>
      </c>
      <c r="L238" s="650">
        <f t="shared" si="25"/>
        <v>0</v>
      </c>
      <c r="N238" s="83"/>
      <c r="P238" s="328"/>
      <c r="Q238" s="600">
        <f>IF(L238-H238&lt;&gt;0,1,0)</f>
        <v>0</v>
      </c>
      <c r="W238" s="3" t="b">
        <f t="shared" si="24"/>
        <v>1</v>
      </c>
      <c r="X238" s="607">
        <f t="shared" si="21"/>
        <v>0</v>
      </c>
      <c r="Y238" s="607">
        <f t="shared" si="22"/>
        <v>0</v>
      </c>
    </row>
    <row r="239" spans="1:27" ht="87.75" customHeight="1" x14ac:dyDescent="0.3">
      <c r="A239" s="346">
        <f>'Unit Data from Audit Worksheet'!A295</f>
        <v>103</v>
      </c>
      <c r="B239" s="360" t="str">
        <f>'Unit Data from Audit Worksheet'!C295</f>
        <v>Analysis of Current Tax Levy Schedule</v>
      </c>
      <c r="C239" s="345" t="str">
        <f>'Unit Data from Audit Worksheet'!D295</f>
        <v>Tax collection rate - Registered motor vehicles
Exclude supplemental taxes
(Enter as a percentage with two decimal places)</v>
      </c>
      <c r="D239" s="89"/>
      <c r="E239" s="151">
        <f>'Unit Data from Audit Worksheet'!F295</f>
        <v>0</v>
      </c>
      <c r="F239" s="87" t="str">
        <f>IF(L239=H239,"","Column H calculates the percentage using accounts 529 and 531, please enter the correct amounts from the audit schedule for these cells")</f>
        <v/>
      </c>
      <c r="G239" s="361" t="str">
        <f>IF(Q239=1," Included in error count"," ")</f>
        <v xml:space="preserve"> </v>
      </c>
      <c r="H239" s="361">
        <f>ROUND(IFERROR(((L234)-(L236))/(L234)*100,0),2)</f>
        <v>0</v>
      </c>
      <c r="I239" s="38"/>
      <c r="J239" s="357">
        <v>103</v>
      </c>
      <c r="K239" s="58" t="s">
        <v>270</v>
      </c>
      <c r="L239" s="650">
        <f t="shared" si="25"/>
        <v>0</v>
      </c>
      <c r="N239" s="83"/>
      <c r="P239" s="328"/>
      <c r="Q239" s="600">
        <f>IF(L239-H239&lt;&gt;0,1,0)</f>
        <v>0</v>
      </c>
      <c r="W239" s="3" t="b">
        <f t="shared" si="24"/>
        <v>1</v>
      </c>
      <c r="X239" s="607">
        <f t="shared" si="21"/>
        <v>0</v>
      </c>
      <c r="Y239" s="607">
        <f t="shared" si="22"/>
        <v>0</v>
      </c>
    </row>
    <row r="240" spans="1:27" ht="86.25" customHeight="1" x14ac:dyDescent="0.3">
      <c r="A240" s="346">
        <f>'Unit Data from Audit Worksheet'!A296</f>
        <v>544</v>
      </c>
      <c r="B240" s="360" t="str">
        <f>'Unit Data from Audit Worksheet'!C296</f>
        <v>Analysis of Current Tax Levy Schedule</v>
      </c>
      <c r="C240" s="345" t="str">
        <f>'Unit Data from Audit Worksheet'!D296</f>
        <v>Property Tax Increase for Year Audited- enter amount of  increase in cents per $100 - leave blank if no increase 
Exclude supplemental taxes</v>
      </c>
      <c r="D240" s="365"/>
      <c r="E240" s="148">
        <f>'Unit Data from Audit Worksheet'!F296</f>
        <v>0</v>
      </c>
      <c r="F240" s="104"/>
      <c r="G240" s="361"/>
      <c r="H240" s="358">
        <f>'Unit Data from Audit Worksheet'!I296</f>
        <v>0</v>
      </c>
      <c r="I240" s="38"/>
      <c r="J240" s="357">
        <v>544</v>
      </c>
      <c r="K240" s="58" t="s">
        <v>53</v>
      </c>
      <c r="L240" s="651">
        <f t="shared" si="25"/>
        <v>0</v>
      </c>
      <c r="N240" s="61" t="s">
        <v>546</v>
      </c>
      <c r="P240" s="328"/>
      <c r="W240" s="3" t="b">
        <f t="shared" si="24"/>
        <v>1</v>
      </c>
      <c r="X240" s="607">
        <f t="shared" si="21"/>
        <v>0</v>
      </c>
      <c r="Y240" s="607">
        <f t="shared" si="22"/>
        <v>0</v>
      </c>
    </row>
    <row r="241" spans="1:25" ht="93.75" customHeight="1" x14ac:dyDescent="0.3">
      <c r="A241" s="346">
        <f>'Unit Data from Audit Worksheet'!A297</f>
        <v>545</v>
      </c>
      <c r="B241" s="360" t="str">
        <f>'Unit Data from Audit Worksheet'!C297</f>
        <v>Analysis of Current Tax Levy Schedule</v>
      </c>
      <c r="C241" s="345" t="str">
        <f>'Unit Data from Audit Worksheet'!D297</f>
        <v>Property Tax Increase for budget year after fiscal year being reported - enter amount of increase in cents per $100- leave blank if no increase
Exclude supplemental taxes</v>
      </c>
      <c r="D241" s="365"/>
      <c r="E241" s="148">
        <f>'Unit Data from Audit Worksheet'!F297</f>
        <v>0</v>
      </c>
      <c r="F241" s="359"/>
      <c r="G241" s="361"/>
      <c r="H241" s="358">
        <f>'Unit Data from Audit Worksheet'!I297</f>
        <v>0</v>
      </c>
      <c r="I241" s="38"/>
      <c r="J241" s="105">
        <v>545</v>
      </c>
      <c r="K241" s="58" t="s">
        <v>54</v>
      </c>
      <c r="L241" s="651">
        <f t="shared" si="25"/>
        <v>0</v>
      </c>
      <c r="N241" s="61" t="s">
        <v>546</v>
      </c>
      <c r="O241" s="619"/>
      <c r="P241" s="329"/>
      <c r="W241" s="3" t="b">
        <f t="shared" si="24"/>
        <v>1</v>
      </c>
      <c r="X241" s="607">
        <f t="shared" si="21"/>
        <v>0</v>
      </c>
      <c r="Y241" s="607">
        <f t="shared" si="22"/>
        <v>0</v>
      </c>
    </row>
    <row r="242" spans="1:25" ht="72.75" customHeight="1" x14ac:dyDescent="0.3">
      <c r="A242" s="346">
        <f>'Unit Data from Audit Worksheet'!A298</f>
        <v>624</v>
      </c>
      <c r="B242" s="360"/>
      <c r="C242" s="345" t="str">
        <f>'Unit Data from Audit Worksheet'!D298</f>
        <v>Does the County collect real estate property taxes on your behalf? Select "1" for "yes and "2" for "No"</v>
      </c>
      <c r="D242" s="365"/>
      <c r="E242" s="156">
        <f>'Unit Data from Audit Worksheet'!F298</f>
        <v>0</v>
      </c>
      <c r="F242" s="359"/>
      <c r="G242" s="361"/>
      <c r="H242" s="358"/>
      <c r="I242" s="38"/>
      <c r="J242" s="105">
        <v>624</v>
      </c>
      <c r="K242" s="58" t="s">
        <v>694</v>
      </c>
      <c r="L242" s="610">
        <f t="shared" ref="L242:L258" si="26">IF(D242="",E242,D242)</f>
        <v>0</v>
      </c>
      <c r="P242" s="329"/>
      <c r="W242" s="3" t="b">
        <f t="shared" si="24"/>
        <v>1</v>
      </c>
      <c r="X242" s="607">
        <f t="shared" si="21"/>
        <v>0</v>
      </c>
      <c r="Y242" s="607">
        <f t="shared" si="22"/>
        <v>0</v>
      </c>
    </row>
    <row r="243" spans="1:25" ht="72.75" customHeight="1" x14ac:dyDescent="0.3">
      <c r="A243" s="346">
        <f>'Unit Data from Audit Worksheet'!A299</f>
        <v>648</v>
      </c>
      <c r="B243" s="360"/>
      <c r="C243" s="345" t="str">
        <f>'Unit Data from Audit Worksheet'!D299</f>
        <v>Please enter your tax rate for ad valorem in effect for fiscal year audited.  Example 60 cents per 100 would be entered as .60</v>
      </c>
      <c r="D243" s="365"/>
      <c r="E243" s="156">
        <f>'Unit Data from Audit Worksheet'!F299</f>
        <v>0</v>
      </c>
      <c r="F243" s="359"/>
      <c r="G243" s="361"/>
      <c r="H243" s="358"/>
      <c r="I243" s="38"/>
      <c r="J243" s="105">
        <v>648</v>
      </c>
      <c r="K243" s="652" t="s">
        <v>1142</v>
      </c>
      <c r="L243" s="653">
        <f t="shared" si="26"/>
        <v>0</v>
      </c>
      <c r="P243" s="329"/>
      <c r="W243" s="3" t="b">
        <f t="shared" si="24"/>
        <v>1</v>
      </c>
      <c r="X243" s="607"/>
      <c r="Y243" s="607"/>
    </row>
    <row r="244" spans="1:25" ht="161.25" customHeight="1" x14ac:dyDescent="0.3">
      <c r="A244" s="626">
        <f>'Unit Data from Audit Worksheet'!A300</f>
        <v>991</v>
      </c>
      <c r="B244" s="364"/>
      <c r="C244" s="627" t="str">
        <f>'Unit Data from Audit Worksheet'!D300</f>
        <v>The Counties listed in cell H256 are scheduled to revalue property listing by 1/1/2022 according to the Dept. of Revenue records.  Please indicate if you expect your revaluation to: 
Enter  "20" for increase, 
            "21" for decrease, 
            "22" for no change,
            "23" if this question is not applicable</v>
      </c>
      <c r="D244" s="365"/>
      <c r="E244" s="156">
        <f>'Unit Data from Audit Worksheet'!F300</f>
        <v>0</v>
      </c>
      <c r="F244" s="359"/>
      <c r="G244" s="361"/>
      <c r="H244" s="358" t="str">
        <f>'Unit Data from Audit Worksheet'!H300</f>
        <v>Avery, Bladen, Chowan, Craven, Duplin, Guilford, Harnett, Hoke, Jones, Mitchell, Onslow, Pasquotank, Watauga</v>
      </c>
      <c r="I244" s="38"/>
      <c r="J244" s="343">
        <v>991</v>
      </c>
      <c r="K244" s="637" t="s">
        <v>1874</v>
      </c>
      <c r="L244" s="610">
        <f t="shared" si="26"/>
        <v>0</v>
      </c>
      <c r="P244" s="329"/>
      <c r="W244" s="3" t="b">
        <f t="shared" si="24"/>
        <v>1</v>
      </c>
      <c r="X244" s="607"/>
      <c r="Y244" s="607"/>
    </row>
    <row r="245" spans="1:25" ht="87.75" customHeight="1" x14ac:dyDescent="0.3">
      <c r="A245" s="346">
        <f>'Unit Data from Audit Worksheet'!A302</f>
        <v>620</v>
      </c>
      <c r="B245" s="360"/>
      <c r="C245" s="345" t="str">
        <f>'Unit Data from Audit Worksheet'!D302</f>
        <v>Do you expect to issue debt requiring LGC approval within 12 months from the date that the audit is submitted - select "1" for yes and "2" for no</v>
      </c>
      <c r="D245" s="365"/>
      <c r="E245" s="156">
        <f>'Unit Data from Audit Worksheet'!F302</f>
        <v>0</v>
      </c>
      <c r="F245" s="359"/>
      <c r="G245" s="361"/>
      <c r="H245" s="358">
        <f>'Unit Data from Audit Worksheet'!I302</f>
        <v>0</v>
      </c>
      <c r="I245" s="38"/>
      <c r="J245" s="105">
        <v>620</v>
      </c>
      <c r="K245" s="58" t="s">
        <v>1128</v>
      </c>
      <c r="L245" s="610">
        <f t="shared" si="26"/>
        <v>0</v>
      </c>
      <c r="N245" s="138"/>
      <c r="P245" s="329"/>
      <c r="W245" s="3" t="b">
        <f t="shared" si="24"/>
        <v>1</v>
      </c>
      <c r="X245" s="607">
        <f t="shared" si="21"/>
        <v>0</v>
      </c>
      <c r="Y245" s="607">
        <f t="shared" si="22"/>
        <v>0</v>
      </c>
    </row>
    <row r="246" spans="1:25" ht="87.75" customHeight="1" x14ac:dyDescent="0.3">
      <c r="A246" s="626">
        <f>+'TD Info Completed by Auditor'!D41</f>
        <v>906</v>
      </c>
      <c r="B246" s="342" t="s">
        <v>1125</v>
      </c>
      <c r="C246" s="626" t="str">
        <f>+'TD Info Completed by Auditor'!E41</f>
        <v>Is the Independent Auditor's Report Opinion Unmodified?</v>
      </c>
      <c r="D246" s="365"/>
      <c r="E246" s="348">
        <f>IF(+'TD Info Completed by Auditor'!G41="Yes",1,IF(+'TD Info Completed by Auditor'!G41="No",2,IF(+'TD Info Completed by Auditor'!G41="N/A",3,0)))</f>
        <v>0</v>
      </c>
      <c r="F246" s="359"/>
      <c r="G246" s="361"/>
      <c r="H246" s="358"/>
      <c r="I246" s="38"/>
      <c r="J246" s="127">
        <v>906</v>
      </c>
      <c r="K246" s="637" t="s">
        <v>917</v>
      </c>
      <c r="L246" s="610">
        <f t="shared" si="26"/>
        <v>0</v>
      </c>
      <c r="N246" s="138" t="s">
        <v>1344</v>
      </c>
      <c r="P246" s="331"/>
      <c r="W246" s="3" t="b">
        <f t="shared" si="24"/>
        <v>1</v>
      </c>
      <c r="X246" s="607"/>
      <c r="Y246" s="607"/>
    </row>
    <row r="247" spans="1:25" ht="87.75" customHeight="1" x14ac:dyDescent="0.3">
      <c r="A247" s="626">
        <f>+'TD Info Completed by Auditor'!D43</f>
        <v>907</v>
      </c>
      <c r="B247" s="342" t="s">
        <v>1125</v>
      </c>
      <c r="C247" s="626" t="str">
        <f>+'TD Info Completed by Auditor'!E43</f>
        <v xml:space="preserve">Is there a finding for lack of segregation of duties at this unit? </v>
      </c>
      <c r="D247" s="365"/>
      <c r="E247" s="348">
        <f>IF(+'TD Info Completed by Auditor'!G43="Yes",1,IF(+'TD Info Completed by Auditor'!G43="No",2,IF(+'TD Info Completed by Auditor'!G43="N/A",3,0)))</f>
        <v>0</v>
      </c>
      <c r="F247" s="359"/>
      <c r="G247" s="361"/>
      <c r="H247" s="358"/>
      <c r="I247" s="38"/>
      <c r="J247" s="127">
        <v>907</v>
      </c>
      <c r="K247" s="637" t="s">
        <v>918</v>
      </c>
      <c r="L247" s="610">
        <f t="shared" si="26"/>
        <v>0</v>
      </c>
      <c r="N247" s="138" t="s">
        <v>1344</v>
      </c>
      <c r="P247" s="331"/>
      <c r="W247" s="3" t="b">
        <f t="shared" si="24"/>
        <v>1</v>
      </c>
      <c r="X247" s="607"/>
      <c r="Y247" s="607"/>
    </row>
    <row r="248" spans="1:25" ht="87.75" customHeight="1" x14ac:dyDescent="0.3">
      <c r="A248" s="626">
        <f>+'TD Info Completed by Auditor'!D45</f>
        <v>951</v>
      </c>
      <c r="B248" s="342" t="s">
        <v>1125</v>
      </c>
      <c r="C248" s="627" t="str">
        <f>+'TD Info Completed by Auditor'!E45</f>
        <v>Is there a finding for lack of technical skills, knowledge and experience (SKE) at this unit?</v>
      </c>
      <c r="D248" s="365"/>
      <c r="E248" s="348">
        <f>IF(+'TD Info Completed by Auditor'!G45="Yes",1,IF(+'TD Info Completed by Auditor'!G45="No",2,IF(+'TD Info Completed by Auditor'!G45="N/A",3,0)))</f>
        <v>0</v>
      </c>
      <c r="F248" s="359"/>
      <c r="G248" s="361"/>
      <c r="H248" s="358"/>
      <c r="I248" s="38"/>
      <c r="J248" s="127">
        <v>951</v>
      </c>
      <c r="K248" s="637" t="s">
        <v>919</v>
      </c>
      <c r="L248" s="610">
        <f t="shared" si="26"/>
        <v>0</v>
      </c>
      <c r="N248" s="138" t="s">
        <v>1344</v>
      </c>
      <c r="P248" s="331"/>
      <c r="W248" s="3" t="b">
        <f t="shared" si="24"/>
        <v>1</v>
      </c>
      <c r="X248" s="607"/>
      <c r="Y248" s="607"/>
    </row>
    <row r="249" spans="1:25" ht="87.75" customHeight="1" x14ac:dyDescent="0.3">
      <c r="A249" s="626">
        <f>+'TD Info Completed by Auditor'!D47</f>
        <v>953</v>
      </c>
      <c r="B249" s="342" t="s">
        <v>1125</v>
      </c>
      <c r="C249" s="627" t="str">
        <f>+'TD Info Completed by Auditor'!E47</f>
        <v xml:space="preserve">Is there is a going concern finding noted in the audit report? </v>
      </c>
      <c r="D249" s="365"/>
      <c r="E249" s="348">
        <f>IF(+'TD Info Completed by Auditor'!G47="Yes",1,IF(+'TD Info Completed by Auditor'!G47="No",2,IF(+'TD Info Completed by Auditor'!G47="N/A",3,0)))</f>
        <v>0</v>
      </c>
      <c r="F249" s="359"/>
      <c r="G249" s="361"/>
      <c r="H249" s="358"/>
      <c r="I249" s="38"/>
      <c r="J249" s="127">
        <v>953</v>
      </c>
      <c r="K249" s="637" t="s">
        <v>1601</v>
      </c>
      <c r="L249" s="610">
        <f t="shared" si="26"/>
        <v>0</v>
      </c>
      <c r="N249" s="138" t="s">
        <v>1344</v>
      </c>
      <c r="P249" s="331"/>
      <c r="W249" s="3" t="b">
        <f t="shared" si="24"/>
        <v>1</v>
      </c>
      <c r="X249" s="607"/>
      <c r="Y249" s="607"/>
    </row>
    <row r="250" spans="1:25" ht="87.75" customHeight="1" x14ac:dyDescent="0.3">
      <c r="A250" s="626">
        <f>+'TD Info Completed by Auditor'!D49</f>
        <v>955</v>
      </c>
      <c r="B250" s="342" t="s">
        <v>1125</v>
      </c>
      <c r="C250" s="627" t="str">
        <f>+'TD Info Completed by Auditor'!E49</f>
        <v>Number of significant deficiency findings (other than in Questions 15-18 )</v>
      </c>
      <c r="D250" s="365"/>
      <c r="E250" s="1156" t="str">
        <f>IF(ISBLANK('TD Info Completed by Auditor'!G49),"",'TD Info Completed by Auditor'!G49)</f>
        <v/>
      </c>
      <c r="F250" s="359"/>
      <c r="G250" s="361"/>
      <c r="H250" s="1155" t="s">
        <v>2075</v>
      </c>
      <c r="I250" s="38"/>
      <c r="J250" s="127">
        <v>955</v>
      </c>
      <c r="K250" s="637" t="s">
        <v>1129</v>
      </c>
      <c r="L250" s="610" t="str">
        <f t="shared" si="26"/>
        <v/>
      </c>
      <c r="N250" s="138" t="s">
        <v>1344</v>
      </c>
      <c r="P250" s="331"/>
      <c r="W250" s="3" t="b">
        <f t="shared" si="24"/>
        <v>1</v>
      </c>
      <c r="X250" s="607"/>
      <c r="Y250" s="607"/>
    </row>
    <row r="251" spans="1:25" ht="87.75" customHeight="1" x14ac:dyDescent="0.3">
      <c r="A251" s="626">
        <f>+'TD Info Completed by Auditor'!D51</f>
        <v>957</v>
      </c>
      <c r="B251" s="342" t="s">
        <v>1125</v>
      </c>
      <c r="C251" s="627" t="str">
        <f>+'TD Info Completed by Auditor'!E51</f>
        <v>Number of material weaknesses findings (other than in Questions 15-18)</v>
      </c>
      <c r="D251" s="365"/>
      <c r="E251" s="1156" t="str">
        <f>IF(ISBLANK('TD Info Completed by Auditor'!G51),"",'TD Info Completed by Auditor'!G51)</f>
        <v/>
      </c>
      <c r="F251" s="359"/>
      <c r="G251" s="361"/>
      <c r="H251" s="1155" t="s">
        <v>2076</v>
      </c>
      <c r="I251" s="38"/>
      <c r="J251" s="127">
        <v>957</v>
      </c>
      <c r="K251" s="637" t="s">
        <v>1130</v>
      </c>
      <c r="L251" s="610" t="str">
        <f t="shared" si="26"/>
        <v/>
      </c>
      <c r="N251" s="138" t="s">
        <v>1344</v>
      </c>
      <c r="P251" s="331"/>
      <c r="W251" s="3" t="b">
        <f t="shared" si="24"/>
        <v>1</v>
      </c>
      <c r="X251" s="607"/>
      <c r="Y251" s="607"/>
    </row>
    <row r="252" spans="1:25" ht="87.75" customHeight="1" x14ac:dyDescent="0.3">
      <c r="A252" s="626">
        <f>+'TD Info Completed by Auditor'!D53</f>
        <v>959</v>
      </c>
      <c r="B252" s="342" t="s">
        <v>1125</v>
      </c>
      <c r="C252" s="627" t="str">
        <f>+'TD Info Completed by Auditor'!E53</f>
        <v>Did the Unit have debt service payments deferred or restructured in this fiscal year? (does not include refinancings designed to take advantage of lower interest rates)  Select Yes, No, or NA</v>
      </c>
      <c r="D252" s="365"/>
      <c r="E252" s="348">
        <f>IF(+'TD Info Completed by Auditor'!G53="Yes",1,IF(+'TD Info Completed by Auditor'!G53="No",2,IF(+'TD Info Completed by Auditor'!G53="N/A",3,0)))</f>
        <v>0</v>
      </c>
      <c r="F252" s="359"/>
      <c r="G252" s="361"/>
      <c r="H252" s="358"/>
      <c r="I252" s="38"/>
      <c r="J252" s="127">
        <v>959</v>
      </c>
      <c r="K252" s="637" t="s">
        <v>1346</v>
      </c>
      <c r="L252" s="610">
        <f t="shared" si="26"/>
        <v>0</v>
      </c>
      <c r="N252" s="138" t="s">
        <v>1344</v>
      </c>
      <c r="P252" s="331"/>
      <c r="W252" s="3" t="b">
        <f t="shared" si="24"/>
        <v>1</v>
      </c>
      <c r="X252" s="607"/>
      <c r="Y252" s="607"/>
    </row>
    <row r="253" spans="1:25" ht="222" customHeight="1" x14ac:dyDescent="0.3">
      <c r="A253" s="626">
        <f>+'TD Info Completed by Auditor'!D57</f>
        <v>974</v>
      </c>
      <c r="B253" s="342" t="s">
        <v>1125</v>
      </c>
      <c r="C253" s="627" t="str">
        <f>+'TD Info Completed by Auditor'!E57</f>
        <v>Did the Unit have any of the following occur:
1.  Bond covenants were not met
2.  Debt service payments made late?  Deferred payments authorized by LGC or other state
     agencies should not be counted as late for purposes of this question.</v>
      </c>
      <c r="D253" s="365"/>
      <c r="E253" s="348">
        <f>IF(+'TD Info Completed by Auditor'!G57="Yes",1,IF(+'TD Info Completed by Auditor'!G57="No",2,IF(+'TD Info Completed by Auditor'!G57="N/A",3,0)))</f>
        <v>0</v>
      </c>
      <c r="F253" s="359"/>
      <c r="G253" s="361"/>
      <c r="H253" s="358"/>
      <c r="I253" s="38"/>
      <c r="J253" s="127">
        <v>974</v>
      </c>
      <c r="K253" s="637" t="s">
        <v>1602</v>
      </c>
      <c r="L253" s="610">
        <f t="shared" si="26"/>
        <v>0</v>
      </c>
      <c r="N253" s="138" t="s">
        <v>1344</v>
      </c>
      <c r="P253" s="331"/>
      <c r="W253" s="3" t="b">
        <f t="shared" si="24"/>
        <v>1</v>
      </c>
      <c r="X253" s="607"/>
      <c r="Y253" s="607"/>
    </row>
    <row r="254" spans="1:25" ht="177.75" customHeight="1" x14ac:dyDescent="0.3">
      <c r="A254" s="626">
        <f>+'TD Info Completed by Auditor'!D55</f>
        <v>973</v>
      </c>
      <c r="B254" s="342" t="s">
        <v>1125</v>
      </c>
      <c r="C254" s="341" t="str">
        <f>+'TD Info Completed by Auditor'!E55</f>
        <v>The above questions account for significant and material findings.  Were there any issues or other matters presented to the Governing Board regarding internal controls (additional issues or other matters that were not listed as a material weakness or significant deficiency), that the Governing Board was instructed to include in the unit's "Response to the Auditor's Findings, Recommendations, and Fiscal Matters" Please indicate the number of other issues presented to the board.</v>
      </c>
      <c r="D254" s="365"/>
      <c r="E254" s="348">
        <f>+'TD Info Completed by Auditor'!G55</f>
        <v>0</v>
      </c>
      <c r="F254" s="359"/>
      <c r="G254" s="361"/>
      <c r="H254" s="358"/>
      <c r="I254" s="38"/>
      <c r="J254" s="127">
        <v>973</v>
      </c>
      <c r="K254" s="637" t="s">
        <v>1298</v>
      </c>
      <c r="L254" s="610">
        <f t="shared" si="26"/>
        <v>0</v>
      </c>
      <c r="N254" s="138" t="s">
        <v>1344</v>
      </c>
      <c r="P254" s="331"/>
      <c r="W254" s="3" t="b">
        <f t="shared" si="24"/>
        <v>1</v>
      </c>
      <c r="X254" s="607"/>
      <c r="Y254" s="607"/>
    </row>
    <row r="255" spans="1:25" ht="87.75" customHeight="1" x14ac:dyDescent="0.3">
      <c r="A255" s="626">
        <f>+'TD Info Completed by Auditor'!D60</f>
        <v>965</v>
      </c>
      <c r="B255" s="342" t="s">
        <v>1125</v>
      </c>
      <c r="C255" s="627" t="str">
        <f>+'TD Info Completed by Auditor'!E60</f>
        <v xml:space="preserve">Is the Finance Officer bonded for at least $50,000? (GS 159-42(h) </v>
      </c>
      <c r="D255" s="365"/>
      <c r="E255" s="348">
        <f>IF(+'TD Info Completed by Auditor'!G60="Yes",1,IF(+'TD Info Completed by Auditor'!G60="No",2,IF(+'TD Info Completed by Auditor'!G60="N/A",3,0)))</f>
        <v>0</v>
      </c>
      <c r="F255" s="359"/>
      <c r="G255" s="361"/>
      <c r="H255" s="358"/>
      <c r="I255" s="38"/>
      <c r="J255" s="127">
        <v>965</v>
      </c>
      <c r="K255" s="637" t="s">
        <v>924</v>
      </c>
      <c r="L255" s="610">
        <f t="shared" si="26"/>
        <v>0</v>
      </c>
      <c r="N255" s="1127"/>
      <c r="P255" s="331"/>
      <c r="W255" s="3" t="b">
        <f t="shared" si="24"/>
        <v>1</v>
      </c>
      <c r="X255" s="607"/>
      <c r="Y255" s="607"/>
    </row>
    <row r="256" spans="1:25" ht="87.75" customHeight="1" x14ac:dyDescent="0.3">
      <c r="A256" s="626">
        <f>+'TD Info Completed by Auditor'!D68</f>
        <v>977</v>
      </c>
      <c r="B256" s="342" t="s">
        <v>1125</v>
      </c>
      <c r="C256" s="627" t="str">
        <f>+'TD Info Completed by Auditor'!E68</f>
        <v>Does the entity have an  effective pre-audit process to ensure that pervasive budgetary over- expenditures do not occur at the budget ordinance level? Select Yes or No</v>
      </c>
      <c r="D256" s="365"/>
      <c r="E256" s="348">
        <f>IF(+'TD Info Completed by Auditor'!G68="Yes",1,IF(+'TD Info Completed by Auditor'!G68="No",2,0))</f>
        <v>0</v>
      </c>
      <c r="F256" s="359"/>
      <c r="G256" s="361"/>
      <c r="H256" s="358"/>
      <c r="I256" s="38"/>
      <c r="J256" s="127">
        <v>977</v>
      </c>
      <c r="K256" s="637" t="s">
        <v>1604</v>
      </c>
      <c r="L256" s="610">
        <f t="shared" si="26"/>
        <v>0</v>
      </c>
      <c r="N256" s="138" t="s">
        <v>1344</v>
      </c>
      <c r="P256" s="331"/>
      <c r="W256" s="3" t="b">
        <f t="shared" si="24"/>
        <v>1</v>
      </c>
      <c r="X256" s="607"/>
      <c r="Y256" s="607"/>
    </row>
    <row r="257" spans="1:25" ht="87.75" customHeight="1" x14ac:dyDescent="0.3">
      <c r="A257" s="626">
        <f>+'TD Info Completed by Auditor'!D70</f>
        <v>978</v>
      </c>
      <c r="B257" s="342" t="s">
        <v>1125</v>
      </c>
      <c r="C257" s="627" t="str">
        <f>+'TD Info Completed by Auditor'!E70</f>
        <v>Did the audit disclose any statutory violations in the notes that were not covered by findings?  Select Yes or No</v>
      </c>
      <c r="D257" s="365"/>
      <c r="E257" s="348" t="str">
        <f>IF(+'TD Info Completed by Auditor'!G70="Yes",1,IF(+'TD Info Completed by Auditor'!G70="No",2,IF(+'TD Info Completed by Auditor'!G70="","0")))</f>
        <v>0</v>
      </c>
      <c r="F257" s="359"/>
      <c r="G257" s="361"/>
      <c r="H257" s="358"/>
      <c r="I257" s="38"/>
      <c r="J257" s="127">
        <v>978</v>
      </c>
      <c r="K257" s="637" t="s">
        <v>1603</v>
      </c>
      <c r="L257" s="610" t="str">
        <f t="shared" si="26"/>
        <v>0</v>
      </c>
      <c r="N257" s="138" t="s">
        <v>1344</v>
      </c>
      <c r="P257" s="331"/>
      <c r="W257" s="3" t="b">
        <f t="shared" si="24"/>
        <v>1</v>
      </c>
      <c r="X257" s="607"/>
      <c r="Y257" s="607"/>
    </row>
    <row r="258" spans="1:25" ht="87.75" customHeight="1" x14ac:dyDescent="0.3">
      <c r="A258" s="626">
        <f>+'TD Info Completed by Auditor'!D72</f>
        <v>979</v>
      </c>
      <c r="B258" s="342" t="s">
        <v>1125</v>
      </c>
      <c r="C258" s="627" t="str">
        <f>+'TD Info Completed by Auditor'!E72</f>
        <v>The Auditor will submit the Audit Report to the LGC within five months plus one day after the fiscal year end.  (for units with a June 30th fiscal year-end this would be December 1)   Select Yes or No</v>
      </c>
      <c r="D258" s="365"/>
      <c r="E258" s="348">
        <f>IF(+'TD Info Completed by Auditor'!G72="Yes",1,IF(+'TD Info Completed by Auditor'!G72="No",2,IF(+'TD Info Completed by Auditor'!G72="N/A",3,0)))</f>
        <v>0</v>
      </c>
      <c r="F258" s="359"/>
      <c r="G258" s="361"/>
      <c r="H258" s="358"/>
      <c r="I258" s="38"/>
      <c r="J258" s="127">
        <v>979</v>
      </c>
      <c r="K258" s="637" t="s">
        <v>1083</v>
      </c>
      <c r="L258" s="610">
        <f t="shared" si="26"/>
        <v>0</v>
      </c>
      <c r="N258" s="138" t="s">
        <v>1344</v>
      </c>
      <c r="P258" s="331"/>
      <c r="W258" s="3" t="b">
        <f t="shared" si="24"/>
        <v>1</v>
      </c>
      <c r="X258" s="607"/>
      <c r="Y258" s="607"/>
    </row>
    <row r="259" spans="1:25" ht="87.75" customHeight="1" x14ac:dyDescent="0.3">
      <c r="A259" s="626">
        <f>+'TD Info Completed by Auditor'!D76</f>
        <v>975</v>
      </c>
      <c r="B259" s="342" t="s">
        <v>1125</v>
      </c>
      <c r="C259" s="627" t="str">
        <f>+'TD Info Completed by Auditor'!E76</f>
        <v>The Performance Indicator Tab in this worksheet has at least one performance indicator of concern (indicated by a red shaded cell)</v>
      </c>
      <c r="D259" s="365"/>
      <c r="E259" s="348">
        <f>IF(+'TD Info Completed by Auditor'!G76="Yes",1,IF(+'TD Info Completed by Auditor'!G76="No",2,IF(+'TD Info Completed by Auditor'!G76="N/A",3,0)))</f>
        <v>0</v>
      </c>
      <c r="F259" s="359"/>
      <c r="G259" s="361"/>
      <c r="H259" s="358"/>
      <c r="I259" s="38"/>
      <c r="J259" s="127">
        <v>975</v>
      </c>
      <c r="K259" s="637" t="s">
        <v>1131</v>
      </c>
      <c r="L259" s="610">
        <f>IF(D259="",E259,D259)</f>
        <v>0</v>
      </c>
      <c r="N259" s="138" t="s">
        <v>1344</v>
      </c>
      <c r="P259" s="331"/>
      <c r="W259" s="3" t="b">
        <f>EXACT(A259,J259)</f>
        <v>1</v>
      </c>
      <c r="X259" s="607"/>
      <c r="Y259" s="607"/>
    </row>
    <row r="260" spans="1:25" ht="112.5" customHeight="1" x14ac:dyDescent="0.3">
      <c r="A260" s="626">
        <f>+'TD Info Completed by Auditor'!D78</f>
        <v>976</v>
      </c>
      <c r="B260" s="342" t="s">
        <v>1125</v>
      </c>
      <c r="C260" s="341" t="str">
        <f>+'TD Info Completed by Auditor'!E78</f>
        <v>If the answer to Question "975" above is “yes” did the auditor present or plan to present these issues to the governing body in an open meeting and inform the Local Gov. that they are required to submit a " Response to the Auditor's Findings, Recommendations, and Fiscal Matters" within 60 days, to the LGC.   Select Yes, No or N/A.</v>
      </c>
      <c r="D260" s="365"/>
      <c r="E260" s="348">
        <f>IF(+'TD Info Completed by Auditor'!G78="Yes",1,IF(+'TD Info Completed by Auditor'!G78="No",2,IF(+'TD Info Completed by Auditor'!G78="N/A",3,0)))</f>
        <v>0</v>
      </c>
      <c r="F260" s="359"/>
      <c r="G260" s="361"/>
      <c r="H260" s="358"/>
      <c r="I260" s="38"/>
      <c r="J260" s="127">
        <v>976</v>
      </c>
      <c r="K260" s="637" t="s">
        <v>1300</v>
      </c>
      <c r="L260" s="610">
        <f>IF(D260="",E260,D260)</f>
        <v>0</v>
      </c>
      <c r="N260" s="138" t="s">
        <v>1344</v>
      </c>
      <c r="P260" s="331"/>
      <c r="W260" s="3" t="b">
        <f>EXACT(A260,J260)</f>
        <v>1</v>
      </c>
      <c r="X260" s="607"/>
      <c r="Y260" s="607"/>
    </row>
    <row r="261" spans="1:25" ht="109.95" customHeight="1" x14ac:dyDescent="0.3">
      <c r="A261" s="654">
        <v>336</v>
      </c>
      <c r="B261" s="378"/>
      <c r="C261" s="655" t="s">
        <v>1409</v>
      </c>
      <c r="D261" s="656" t="s">
        <v>1311</v>
      </c>
      <c r="E261" s="657" t="s">
        <v>1312</v>
      </c>
      <c r="F261" s="379" t="s">
        <v>1310</v>
      </c>
      <c r="G261" s="361"/>
      <c r="H261" s="358"/>
      <c r="I261" s="38"/>
      <c r="J261" s="380">
        <v>336</v>
      </c>
      <c r="K261" s="658" t="s">
        <v>1315</v>
      </c>
      <c r="L261" s="659">
        <f>L10-L11-L12-L13-L14-L15-L16</f>
        <v>0</v>
      </c>
      <c r="M261" s="660"/>
      <c r="N261" s="394" t="s">
        <v>1313</v>
      </c>
      <c r="P261" s="331"/>
      <c r="X261" s="607"/>
      <c r="Y261" s="607"/>
    </row>
    <row r="262" spans="1:25" ht="129" customHeight="1" x14ac:dyDescent="0.3">
      <c r="A262" s="654">
        <v>44</v>
      </c>
      <c r="B262" s="378"/>
      <c r="C262" s="661" t="s">
        <v>1410</v>
      </c>
      <c r="D262" s="656" t="s">
        <v>1302</v>
      </c>
      <c r="E262" s="662" t="s">
        <v>1303</v>
      </c>
      <c r="F262" s="379" t="s">
        <v>1310</v>
      </c>
      <c r="G262" s="361"/>
      <c r="H262" s="358"/>
      <c r="I262" s="38"/>
      <c r="J262" s="380">
        <v>44</v>
      </c>
      <c r="K262" s="658" t="s">
        <v>1316</v>
      </c>
      <c r="L262" s="659">
        <f>L120-L121-L118</f>
        <v>0</v>
      </c>
      <c r="M262" s="660"/>
      <c r="N262" s="394" t="s">
        <v>1314</v>
      </c>
      <c r="P262" s="331"/>
      <c r="X262" s="607"/>
      <c r="Y262" s="607"/>
    </row>
    <row r="263" spans="1:25" ht="169.5" customHeight="1" x14ac:dyDescent="0.3">
      <c r="A263" s="654">
        <v>45</v>
      </c>
      <c r="B263" s="378"/>
      <c r="C263" s="663" t="s">
        <v>1411</v>
      </c>
      <c r="D263" s="656" t="s">
        <v>1304</v>
      </c>
      <c r="E263" s="657" t="s">
        <v>1305</v>
      </c>
      <c r="F263" s="379" t="s">
        <v>1310</v>
      </c>
      <c r="G263" s="361"/>
      <c r="H263" s="358"/>
      <c r="I263" s="38"/>
      <c r="J263" s="380">
        <v>45</v>
      </c>
      <c r="K263" s="658" t="s">
        <v>1317</v>
      </c>
      <c r="L263" s="659">
        <f>L124-L125-L126-L127-L128-L129-L123</f>
        <v>0</v>
      </c>
      <c r="M263" s="660"/>
      <c r="N263" s="394" t="s">
        <v>1335</v>
      </c>
      <c r="P263" s="331"/>
      <c r="X263" s="607"/>
      <c r="Y263" s="607"/>
    </row>
    <row r="264" spans="1:25" ht="87.75" customHeight="1" x14ac:dyDescent="0.3">
      <c r="A264" s="654">
        <v>47</v>
      </c>
      <c r="B264" s="378"/>
      <c r="C264" s="379" t="s">
        <v>1319</v>
      </c>
      <c r="D264" s="656" t="s">
        <v>1306</v>
      </c>
      <c r="E264" s="657" t="s">
        <v>1308</v>
      </c>
      <c r="F264" s="379" t="s">
        <v>1310</v>
      </c>
      <c r="G264" s="361"/>
      <c r="H264" s="358"/>
      <c r="I264" s="38"/>
      <c r="J264" s="380">
        <v>47</v>
      </c>
      <c r="K264" s="658" t="s">
        <v>1318</v>
      </c>
      <c r="L264" s="659">
        <f>L138-L139-L137</f>
        <v>0</v>
      </c>
      <c r="M264" s="660"/>
      <c r="N264" s="394" t="s">
        <v>1336</v>
      </c>
      <c r="P264" s="331"/>
      <c r="X264" s="607"/>
      <c r="Y264" s="607"/>
    </row>
    <row r="265" spans="1:25" ht="152.25" customHeight="1" x14ac:dyDescent="0.3">
      <c r="A265" s="654">
        <v>48</v>
      </c>
      <c r="B265" s="378"/>
      <c r="C265" s="379" t="s">
        <v>1320</v>
      </c>
      <c r="D265" s="656" t="s">
        <v>1307</v>
      </c>
      <c r="E265" s="657" t="s">
        <v>1309</v>
      </c>
      <c r="F265" s="379" t="s">
        <v>1310</v>
      </c>
      <c r="G265" s="361"/>
      <c r="H265" s="358"/>
      <c r="I265" s="38"/>
      <c r="J265" s="380">
        <v>48</v>
      </c>
      <c r="K265" s="658" t="s">
        <v>123</v>
      </c>
      <c r="L265" s="659">
        <f>L143-L144-L145-L146-L147-L148-L142</f>
        <v>0</v>
      </c>
      <c r="M265" s="660"/>
      <c r="N265" s="394" t="s">
        <v>1337</v>
      </c>
      <c r="P265" s="331"/>
      <c r="X265" s="607"/>
      <c r="Y265" s="607"/>
    </row>
    <row r="266" spans="1:25" ht="113.4" customHeight="1" x14ac:dyDescent="0.3">
      <c r="A266" s="664"/>
      <c r="B266" s="97"/>
      <c r="C266" s="665"/>
      <c r="D266" s="139"/>
      <c r="E266" s="147"/>
      <c r="F266" s="66"/>
      <c r="G266" s="141"/>
      <c r="H266" s="142"/>
      <c r="I266" s="38"/>
      <c r="J266" s="381">
        <v>998</v>
      </c>
      <c r="K266" s="382" t="s">
        <v>292</v>
      </c>
      <c r="L266" s="666" t="e">
        <f>HLOOKUP('Unit Data from Audit Worksheet'!$D$2,'2020 Data(H)'!A1:CZ406,247,FALSE)</f>
        <v>#N/A</v>
      </c>
      <c r="M266" s="660"/>
      <c r="N266" s="394" t="s">
        <v>1321</v>
      </c>
      <c r="P266" s="327"/>
      <c r="W266" s="3" t="b">
        <f>EXACT(A266,J266)</f>
        <v>0</v>
      </c>
      <c r="X266" s="607" t="e">
        <f t="shared" si="21"/>
        <v>#N/A</v>
      </c>
      <c r="Y266" s="607" t="e">
        <f t="shared" si="22"/>
        <v>#N/A</v>
      </c>
    </row>
    <row r="267" spans="1:25" ht="119.4" customHeight="1" x14ac:dyDescent="0.3">
      <c r="A267" s="664"/>
      <c r="B267" s="97"/>
      <c r="C267" s="665"/>
      <c r="D267" s="667"/>
      <c r="E267" s="668"/>
      <c r="F267" s="669"/>
      <c r="G267" s="670"/>
      <c r="H267" s="671"/>
      <c r="I267" s="38"/>
      <c r="J267" s="383">
        <v>992</v>
      </c>
      <c r="K267" s="384" t="s">
        <v>290</v>
      </c>
      <c r="L267" s="672" t="e">
        <f>HLOOKUP('Unit Data from Audit Worksheet'!$D$2,'2020 Data(H)'!A1:CZ406,244,FALSE)</f>
        <v>#N/A</v>
      </c>
      <c r="M267" s="660"/>
      <c r="N267" s="394" t="s">
        <v>1338</v>
      </c>
      <c r="P267" s="328"/>
      <c r="W267" s="3" t="b">
        <f>EXACT(A267,J267)</f>
        <v>0</v>
      </c>
      <c r="X267" s="673" t="e">
        <f t="shared" si="21"/>
        <v>#N/A</v>
      </c>
      <c r="Y267" s="607" t="e">
        <f t="shared" si="22"/>
        <v>#N/A</v>
      </c>
    </row>
    <row r="268" spans="1:25" ht="104.4" customHeight="1" x14ac:dyDescent="0.3">
      <c r="A268" s="664"/>
      <c r="B268" s="97"/>
      <c r="C268" s="665"/>
      <c r="D268" s="667"/>
      <c r="E268" s="668"/>
      <c r="F268" s="669"/>
      <c r="G268" s="670"/>
      <c r="H268" s="671"/>
      <c r="I268" s="38"/>
      <c r="J268" s="383">
        <v>996</v>
      </c>
      <c r="K268" s="384" t="s">
        <v>291</v>
      </c>
      <c r="L268" s="672" t="e">
        <f>HLOOKUP('Unit Data from Audit Worksheet'!$D$2,'2020 Data(H)'!A1:CZ406,245,FALSE)</f>
        <v>#N/A</v>
      </c>
      <c r="M268" s="660"/>
      <c r="N268" s="394" t="s">
        <v>1339</v>
      </c>
      <c r="P268" s="328"/>
      <c r="W268" s="3" t="b">
        <f>EXACT(A268,J268)</f>
        <v>0</v>
      </c>
      <c r="X268" s="673" t="e">
        <f t="shared" si="21"/>
        <v>#N/A</v>
      </c>
      <c r="Y268" s="607" t="e">
        <f t="shared" si="22"/>
        <v>#N/A</v>
      </c>
    </row>
    <row r="269" spans="1:25" ht="43.2" x14ac:dyDescent="0.3">
      <c r="A269" s="664"/>
      <c r="B269" s="97"/>
      <c r="C269" s="665"/>
      <c r="D269" s="667"/>
      <c r="E269" s="668"/>
      <c r="F269" s="669"/>
      <c r="G269" s="670"/>
      <c r="H269" s="674"/>
      <c r="I269" s="38"/>
      <c r="J269" s="172">
        <v>554</v>
      </c>
      <c r="K269" s="675" t="s">
        <v>577</v>
      </c>
      <c r="L269" s="636"/>
      <c r="N269" s="676"/>
      <c r="P269" s="329"/>
      <c r="X269" s="673"/>
      <c r="Y269" s="607"/>
    </row>
    <row r="270" spans="1:25" ht="43.2" x14ac:dyDescent="0.3">
      <c r="A270" s="664"/>
      <c r="B270" s="97"/>
      <c r="C270" s="665"/>
      <c r="D270" s="667"/>
      <c r="E270" s="668"/>
      <c r="F270" s="669"/>
      <c r="G270" s="670"/>
      <c r="H270" s="674"/>
      <c r="I270" s="38"/>
      <c r="J270" s="172">
        <v>555</v>
      </c>
      <c r="K270" s="675" t="s">
        <v>579</v>
      </c>
      <c r="L270" s="636"/>
      <c r="N270" s="676"/>
      <c r="P270" s="329"/>
      <c r="X270" s="673"/>
      <c r="Y270" s="607"/>
    </row>
    <row r="271" spans="1:25" ht="43.2" x14ac:dyDescent="0.3">
      <c r="A271" s="664"/>
      <c r="B271" s="97"/>
      <c r="C271" s="665"/>
      <c r="D271" s="667"/>
      <c r="E271" s="668"/>
      <c r="F271" s="669"/>
      <c r="G271" s="670"/>
      <c r="H271" s="674"/>
      <c r="I271" s="38"/>
      <c r="J271" s="172">
        <v>556</v>
      </c>
      <c r="K271" s="675" t="s">
        <v>581</v>
      </c>
      <c r="L271" s="636"/>
      <c r="N271" s="676"/>
      <c r="P271" s="329"/>
      <c r="X271" s="673"/>
      <c r="Y271" s="607"/>
    </row>
    <row r="272" spans="1:25" ht="43.2" x14ac:dyDescent="0.3">
      <c r="A272" s="664"/>
      <c r="B272" s="97"/>
      <c r="C272" s="665"/>
      <c r="D272" s="667"/>
      <c r="E272" s="668"/>
      <c r="F272" s="669"/>
      <c r="G272" s="670"/>
      <c r="H272" s="674"/>
      <c r="I272" s="38"/>
      <c r="J272" s="172">
        <v>557</v>
      </c>
      <c r="K272" s="675" t="s">
        <v>583</v>
      </c>
      <c r="L272" s="636"/>
      <c r="N272" s="676"/>
      <c r="P272" s="329"/>
      <c r="X272" s="673"/>
      <c r="Y272" s="607"/>
    </row>
    <row r="273" spans="1:25" ht="43.2" x14ac:dyDescent="0.3">
      <c r="A273" s="664"/>
      <c r="B273" s="97"/>
      <c r="C273" s="665"/>
      <c r="D273" s="667"/>
      <c r="E273" s="668"/>
      <c r="F273" s="669"/>
      <c r="G273" s="670"/>
      <c r="H273" s="674"/>
      <c r="I273" s="38"/>
      <c r="J273" s="172">
        <v>606</v>
      </c>
      <c r="K273" s="675" t="s">
        <v>856</v>
      </c>
      <c r="L273" s="636"/>
      <c r="N273" s="676"/>
      <c r="P273" s="329"/>
      <c r="X273" s="673"/>
      <c r="Y273" s="607"/>
    </row>
    <row r="274" spans="1:25" ht="39.75" customHeight="1" x14ac:dyDescent="0.3">
      <c r="A274" s="664"/>
      <c r="B274" s="97"/>
      <c r="C274" s="665"/>
      <c r="D274" s="667"/>
      <c r="E274" s="668"/>
      <c r="F274" s="669"/>
      <c r="G274" s="670"/>
      <c r="H274" s="674"/>
      <c r="I274" s="38"/>
      <c r="J274" s="335">
        <v>662</v>
      </c>
      <c r="K274" s="677" t="s">
        <v>857</v>
      </c>
      <c r="L274" s="678"/>
      <c r="N274" s="676"/>
      <c r="P274" s="335"/>
      <c r="X274" s="673"/>
      <c r="Y274" s="607"/>
    </row>
    <row r="275" spans="1:25" ht="39" customHeight="1" x14ac:dyDescent="0.3">
      <c r="A275" s="664"/>
      <c r="B275" s="97"/>
      <c r="C275" s="665"/>
      <c r="D275" s="667"/>
      <c r="E275" s="668"/>
      <c r="F275" s="669"/>
      <c r="G275" s="670"/>
      <c r="H275" s="674"/>
      <c r="I275" s="38"/>
      <c r="J275" s="335">
        <v>663</v>
      </c>
      <c r="K275" s="679" t="s">
        <v>858</v>
      </c>
      <c r="L275" s="678"/>
      <c r="N275" s="676"/>
      <c r="P275" s="335"/>
      <c r="X275" s="673"/>
      <c r="Y275" s="607"/>
    </row>
    <row r="276" spans="1:25" s="18" customFormat="1" ht="22.5" customHeight="1" x14ac:dyDescent="0.3">
      <c r="A276" s="664"/>
      <c r="B276" s="97"/>
      <c r="C276" s="665"/>
      <c r="D276" s="139"/>
      <c r="E276" s="140"/>
      <c r="F276" s="66"/>
      <c r="G276" s="141"/>
      <c r="H276" s="142"/>
      <c r="I276" s="38"/>
      <c r="J276" s="143"/>
      <c r="K276" s="680"/>
      <c r="L276" s="681"/>
      <c r="N276" s="392"/>
      <c r="P276" s="329"/>
      <c r="Q276" s="600"/>
      <c r="W276" s="18" t="b">
        <f t="shared" ref="W276:W284" si="27">EXACT(A276,J276)</f>
        <v>1</v>
      </c>
      <c r="X276" s="616">
        <f t="shared" si="21"/>
        <v>0</v>
      </c>
      <c r="Y276" s="616">
        <f t="shared" si="22"/>
        <v>0</v>
      </c>
    </row>
    <row r="277" spans="1:25" ht="99" customHeight="1" x14ac:dyDescent="0.3">
      <c r="A277" s="346">
        <f>'Unit Data from Audit Worksheet'!A304</f>
        <v>947</v>
      </c>
      <c r="B277" s="132"/>
      <c r="C277" s="345" t="str">
        <f>'Unit Data from Audit Worksheet'!D304</f>
        <v>First name of finance officer or interim finance officer (please enter “vacant” for first name if the position is currently vacant)</v>
      </c>
      <c r="D277" s="368"/>
      <c r="E277" s="187">
        <f>'Unit Data from Audit Worksheet'!F304</f>
        <v>0</v>
      </c>
      <c r="F277" s="359" t="str">
        <f>'Unit Data from Audit Worksheet'!G304</f>
        <v>Please do not leave blank</v>
      </c>
      <c r="G277" s="361"/>
      <c r="H277" s="358"/>
      <c r="I277" s="38"/>
      <c r="J277" s="176">
        <v>947</v>
      </c>
      <c r="K277" s="682" t="s">
        <v>773</v>
      </c>
      <c r="L277" s="683">
        <f t="shared" ref="L277:L290" si="28">IF(D277="",E277,D277)</f>
        <v>0</v>
      </c>
      <c r="N277" s="676"/>
      <c r="P277" s="335"/>
      <c r="Q277" s="642">
        <f t="shared" ref="Q277:Q284" si="29">IF(L277=0,1,0)</f>
        <v>1</v>
      </c>
      <c r="W277" s="3" t="b">
        <f t="shared" si="27"/>
        <v>1</v>
      </c>
      <c r="X277" s="607">
        <f t="shared" ref="X277:X291" si="30">E277-L277</f>
        <v>0</v>
      </c>
      <c r="Y277" s="607">
        <f t="shared" ref="Y277:Y291" si="31">D277-L277</f>
        <v>0</v>
      </c>
    </row>
    <row r="278" spans="1:25" ht="128.25" customHeight="1" x14ac:dyDescent="0.3">
      <c r="A278" s="346">
        <f>'Unit Data from Audit Worksheet'!A305</f>
        <v>948</v>
      </c>
      <c r="B278" s="132"/>
      <c r="C278" s="345" t="str">
        <f>'Unit Data from Audit Worksheet'!D305</f>
        <v>Last name of finance officer or interim finance officer (please enter “vacant” for last name if the position is currently vacant)</v>
      </c>
      <c r="D278" s="368"/>
      <c r="E278" s="684">
        <f>'Unit Data from Audit Worksheet'!F305</f>
        <v>0</v>
      </c>
      <c r="F278" s="359" t="str">
        <f>'Unit Data from Audit Worksheet'!G305</f>
        <v>Please do not leave blank</v>
      </c>
      <c r="G278" s="361"/>
      <c r="H278" s="358"/>
      <c r="I278" s="38"/>
      <c r="J278" s="176">
        <v>948</v>
      </c>
      <c r="K278" s="682" t="s">
        <v>774</v>
      </c>
      <c r="L278" s="683">
        <f t="shared" si="28"/>
        <v>0</v>
      </c>
      <c r="N278" s="676"/>
      <c r="P278" s="335"/>
      <c r="Q278" s="642">
        <f t="shared" si="29"/>
        <v>1</v>
      </c>
      <c r="W278" s="3" t="b">
        <f t="shared" si="27"/>
        <v>1</v>
      </c>
      <c r="X278" s="607">
        <f t="shared" si="30"/>
        <v>0</v>
      </c>
      <c r="Y278" s="607">
        <f t="shared" si="31"/>
        <v>0</v>
      </c>
    </row>
    <row r="279" spans="1:25" ht="61.5" customHeight="1" x14ac:dyDescent="0.3">
      <c r="A279" s="346">
        <f>'Unit Data from Audit Worksheet'!A306</f>
        <v>949</v>
      </c>
      <c r="B279" s="132"/>
      <c r="C279" s="345" t="str">
        <f>'Unit Data from Audit Worksheet'!D306</f>
        <v>Is the finance officer serving in a permanent role or an interim role? (select permanent/interim/vacant)</v>
      </c>
      <c r="D279" s="368"/>
      <c r="E279" s="187">
        <f>'Unit Data from Audit Worksheet'!F306</f>
        <v>0</v>
      </c>
      <c r="F279" s="359" t="str">
        <f>'Unit Data from Audit Worksheet'!G306</f>
        <v>Please do not leave blank</v>
      </c>
      <c r="G279" s="361"/>
      <c r="H279" s="358"/>
      <c r="I279" s="38"/>
      <c r="J279" s="176">
        <v>949</v>
      </c>
      <c r="K279" s="682" t="s">
        <v>802</v>
      </c>
      <c r="L279" s="683">
        <f t="shared" si="28"/>
        <v>0</v>
      </c>
      <c r="N279" s="676"/>
      <c r="P279" s="335"/>
      <c r="Q279" s="642">
        <f t="shared" si="29"/>
        <v>1</v>
      </c>
      <c r="W279" s="3" t="b">
        <f t="shared" si="27"/>
        <v>1</v>
      </c>
      <c r="X279" s="607">
        <f t="shared" si="30"/>
        <v>0</v>
      </c>
      <c r="Y279" s="607">
        <f t="shared" si="31"/>
        <v>0</v>
      </c>
    </row>
    <row r="280" spans="1:25" ht="93.75" customHeight="1" x14ac:dyDescent="0.3">
      <c r="A280" s="346">
        <f>'Unit Data from Audit Worksheet'!A307</f>
        <v>950</v>
      </c>
      <c r="B280" s="132"/>
      <c r="C280" s="345" t="str">
        <f>'Unit Data from Audit Worksheet'!D307</f>
        <v>Has the finance officer been formally appointed by the local government, public authority, or designated official?  (Y/N)</v>
      </c>
      <c r="D280" s="368"/>
      <c r="E280" s="187">
        <f>'Unit Data from Audit Worksheet'!F307</f>
        <v>0</v>
      </c>
      <c r="F280" s="359" t="str">
        <f>'Unit Data from Audit Worksheet'!G307</f>
        <v>Please do not leave blank</v>
      </c>
      <c r="G280" s="361"/>
      <c r="H280" s="358"/>
      <c r="I280" s="38"/>
      <c r="J280" s="176">
        <v>950</v>
      </c>
      <c r="K280" s="682" t="s">
        <v>803</v>
      </c>
      <c r="L280" s="683">
        <f t="shared" si="28"/>
        <v>0</v>
      </c>
      <c r="N280" s="676"/>
      <c r="P280" s="335"/>
      <c r="Q280" s="642">
        <f t="shared" si="29"/>
        <v>1</v>
      </c>
      <c r="W280" s="3" t="b">
        <f t="shared" si="27"/>
        <v>1</v>
      </c>
      <c r="X280" s="607">
        <f t="shared" si="30"/>
        <v>0</v>
      </c>
      <c r="Y280" s="607">
        <f t="shared" si="31"/>
        <v>0</v>
      </c>
    </row>
    <row r="281" spans="1:25" ht="153.75" customHeight="1" x14ac:dyDescent="0.3">
      <c r="A281" s="346">
        <f>'Unit Data from Audit Worksheet'!A308</f>
        <v>952</v>
      </c>
      <c r="B281" s="132"/>
      <c r="C281" s="345" t="str">
        <f>'Unit Data from Audit Worksheet'!D308</f>
        <v>Date on which the local government, public authority, or designated official appointed the finance officer? (If the date of appointment by the board is difficult to find you may enter January 1 and the year)      Date Format  MM/DD/YYYY</v>
      </c>
      <c r="D281" s="368"/>
      <c r="E281" s="136" t="str">
        <f>IF('Unit Data from Audit Worksheet'!F308&gt;0,'Unit Data from Audit Worksheet'!F308," ")</f>
        <v xml:space="preserve"> </v>
      </c>
      <c r="F281" s="359" t="str">
        <f>'Unit Data from Audit Worksheet'!G308</f>
        <v>Leave blank if data not available</v>
      </c>
      <c r="G281" s="361"/>
      <c r="H281" s="358"/>
      <c r="I281" s="38"/>
      <c r="J281" s="176">
        <v>952</v>
      </c>
      <c r="K281" s="682" t="s">
        <v>804</v>
      </c>
      <c r="L281" s="685" t="str">
        <f t="shared" si="28"/>
        <v xml:space="preserve"> </v>
      </c>
      <c r="N281" s="676"/>
      <c r="P281" s="335"/>
      <c r="Q281" s="642">
        <f t="shared" si="29"/>
        <v>0</v>
      </c>
      <c r="W281" s="3" t="b">
        <f t="shared" si="27"/>
        <v>1</v>
      </c>
      <c r="X281" s="607" t="e">
        <f t="shared" si="30"/>
        <v>#VALUE!</v>
      </c>
      <c r="Y281" s="607" t="e">
        <f t="shared" si="31"/>
        <v>#VALUE!</v>
      </c>
    </row>
    <row r="282" spans="1:25" ht="153.75" customHeight="1" x14ac:dyDescent="0.3">
      <c r="A282" s="346">
        <f>'Unit Data from Audit Worksheet'!A309</f>
        <v>954</v>
      </c>
      <c r="B282" s="132"/>
      <c r="C282" s="345" t="str">
        <f>'Unit Data from Audit Worksheet'!D309</f>
        <v>Has the finance officer or interim finance officer read, understand, and is in compliance with the requirements of N.C.G.S. 159, as applicable based on unit type and circumstances? (Y/N)</v>
      </c>
      <c r="D282" s="368"/>
      <c r="E282" s="187">
        <f>'Unit Data from Audit Worksheet'!F309</f>
        <v>0</v>
      </c>
      <c r="F282" s="359" t="str">
        <f>'Unit Data from Audit Worksheet'!G309</f>
        <v>Please do not leave blank</v>
      </c>
      <c r="G282" s="361"/>
      <c r="H282" s="358"/>
      <c r="I282" s="38"/>
      <c r="J282" s="176">
        <v>954</v>
      </c>
      <c r="K282" s="682" t="s">
        <v>805</v>
      </c>
      <c r="L282" s="683">
        <f t="shared" si="28"/>
        <v>0</v>
      </c>
      <c r="N282" s="676"/>
      <c r="P282" s="335"/>
      <c r="Q282" s="642">
        <f t="shared" si="29"/>
        <v>1</v>
      </c>
      <c r="W282" s="3" t="b">
        <f t="shared" si="27"/>
        <v>1</v>
      </c>
      <c r="X282" s="607">
        <f t="shared" si="30"/>
        <v>0</v>
      </c>
      <c r="Y282" s="607">
        <f t="shared" si="31"/>
        <v>0</v>
      </c>
    </row>
    <row r="283" spans="1:25" ht="153.75" customHeight="1" x14ac:dyDescent="0.3">
      <c r="A283" s="346">
        <f>'Unit Data from Audit Worksheet'!A310</f>
        <v>956</v>
      </c>
      <c r="B283" s="132"/>
      <c r="C283" s="345" t="str">
        <f>'Unit Data from Audit Worksheet'!D310</f>
        <v>Does the finance officer or interim finance officer maintain and update (or ensures the maintenance and update of)  financial records monthly, including reconciliation of bank accounts to the general ledger? (Y/N)</v>
      </c>
      <c r="D283" s="368"/>
      <c r="E283" s="187">
        <f>'Unit Data from Audit Worksheet'!F310</f>
        <v>0</v>
      </c>
      <c r="F283" s="359" t="str">
        <f>'Unit Data from Audit Worksheet'!G310</f>
        <v>Please do not leave blank</v>
      </c>
      <c r="G283" s="361"/>
      <c r="H283" s="358"/>
      <c r="I283" s="38"/>
      <c r="J283" s="176">
        <v>956</v>
      </c>
      <c r="K283" s="682" t="s">
        <v>806</v>
      </c>
      <c r="L283" s="683">
        <f t="shared" si="28"/>
        <v>0</v>
      </c>
      <c r="N283" s="676"/>
      <c r="P283" s="335"/>
      <c r="Q283" s="642">
        <f t="shared" si="29"/>
        <v>1</v>
      </c>
      <c r="W283" s="3" t="b">
        <f t="shared" si="27"/>
        <v>1</v>
      </c>
      <c r="X283" s="607">
        <f t="shared" si="30"/>
        <v>0</v>
      </c>
      <c r="Y283" s="607">
        <f t="shared" si="31"/>
        <v>0</v>
      </c>
    </row>
    <row r="284" spans="1:25" ht="201.6" x14ac:dyDescent="0.3">
      <c r="A284" s="346">
        <f>'Unit Data from Audit Worksheet'!A311</f>
        <v>958</v>
      </c>
      <c r="B284" s="132"/>
      <c r="C284" s="345" t="str">
        <f>'Unit Data from Audit Worksheet'!D311</f>
        <v>Has the finance officer or interim finance officer submitted (or ensured or confirmed submission of) all required and applicable reports including but not limited to  the FY2020 annual audit report (N.C.G.S. 159-34), the semi-annual report on cash and investments (LGC-203) due July 25, 2020 and January 25, 2020 (N.C.G.S. 159-33), and the annual financial information report (AFIR) due by counites and municipalities October 31, 2020 (N.C.G.S. 159-33.1), and any other reports due  during the fiscal year corresponding to the audit report being submitted? (Y/N)</v>
      </c>
      <c r="D284" s="368"/>
      <c r="E284" s="187">
        <f>'Unit Data from Audit Worksheet'!F311</f>
        <v>0</v>
      </c>
      <c r="F284" s="359" t="str">
        <f>'Unit Data from Audit Worksheet'!G311</f>
        <v>Please do not leave blank</v>
      </c>
      <c r="G284" s="361"/>
      <c r="H284" s="358"/>
      <c r="I284" s="38"/>
      <c r="J284" s="176">
        <v>958</v>
      </c>
      <c r="K284" s="682" t="s">
        <v>807</v>
      </c>
      <c r="L284" s="686">
        <f t="shared" si="28"/>
        <v>0</v>
      </c>
      <c r="N284" s="676"/>
      <c r="P284" s="335"/>
      <c r="Q284" s="642">
        <f t="shared" si="29"/>
        <v>1</v>
      </c>
      <c r="W284" s="3" t="b">
        <f t="shared" si="27"/>
        <v>1</v>
      </c>
      <c r="X284" s="607">
        <f t="shared" si="30"/>
        <v>0</v>
      </c>
      <c r="Y284" s="607">
        <f t="shared" si="31"/>
        <v>0</v>
      </c>
    </row>
    <row r="285" spans="1:25" ht="30.75" customHeight="1" x14ac:dyDescent="0.3">
      <c r="A285" s="687">
        <f>'Unit Data from Audit Worksheet'!A319</f>
        <v>960</v>
      </c>
      <c r="B285" s="183"/>
      <c r="C285" s="184" t="str">
        <f>'Unit Data from Audit Worksheet'!B319</f>
        <v>Name of Finance Officer</v>
      </c>
      <c r="D285" s="368"/>
      <c r="E285" s="688">
        <f>'Unit Data from Audit Worksheet'!D319</f>
        <v>0</v>
      </c>
      <c r="F285" s="689" t="str">
        <f>'Unit Data from Audit Worksheet'!F319</f>
        <v>Required</v>
      </c>
      <c r="G285" s="361"/>
      <c r="H285" s="358"/>
      <c r="I285" s="38"/>
      <c r="J285" s="186">
        <v>960</v>
      </c>
      <c r="K285" s="690" t="s">
        <v>798</v>
      </c>
      <c r="L285" s="691">
        <f t="shared" si="28"/>
        <v>0</v>
      </c>
      <c r="N285" s="634"/>
      <c r="P285" s="335"/>
      <c r="Q285" s="642">
        <f>IF(L285=0,1,0)</f>
        <v>1</v>
      </c>
      <c r="X285" s="607"/>
      <c r="Y285" s="607"/>
    </row>
    <row r="286" spans="1:25" ht="30.75" customHeight="1" x14ac:dyDescent="0.3">
      <c r="A286" s="687">
        <f>'Unit Data from Audit Worksheet'!A320</f>
        <v>962</v>
      </c>
      <c r="B286" s="183"/>
      <c r="C286" s="184" t="str">
        <f>'Unit Data from Audit Worksheet'!B320</f>
        <v>Title of Official</v>
      </c>
      <c r="D286" s="368"/>
      <c r="E286" s="688">
        <f>'Unit Data from Audit Worksheet'!D320</f>
        <v>0</v>
      </c>
      <c r="F286" s="689" t="str">
        <f>'Unit Data from Audit Worksheet'!F320</f>
        <v>Required</v>
      </c>
      <c r="G286" s="361"/>
      <c r="H286" s="358"/>
      <c r="I286" s="38"/>
      <c r="J286" s="186">
        <v>962</v>
      </c>
      <c r="K286" s="690" t="s">
        <v>759</v>
      </c>
      <c r="L286" s="691">
        <f t="shared" si="28"/>
        <v>0</v>
      </c>
      <c r="N286" s="634"/>
      <c r="P286" s="335"/>
      <c r="Q286" s="642">
        <f>IF(L286=0,1,0)</f>
        <v>1</v>
      </c>
      <c r="X286" s="607"/>
      <c r="Y286" s="607"/>
    </row>
    <row r="287" spans="1:25" ht="30.75" customHeight="1" x14ac:dyDescent="0.3">
      <c r="A287" s="687">
        <f>'Unit Data from Audit Worksheet'!A321</f>
        <v>964</v>
      </c>
      <c r="B287" s="183"/>
      <c r="C287" s="185" t="str">
        <f>'Unit Data from Audit Worksheet'!B321</f>
        <v>Date                        (Enter as "MM/DD/YYYY")</v>
      </c>
      <c r="D287" s="368"/>
      <c r="E287" s="692" t="str">
        <f>IF('Unit Data from Audit Worksheet'!D321&gt;0,'Unit Data from Audit Worksheet'!D321," ")</f>
        <v xml:space="preserve"> </v>
      </c>
      <c r="F287" s="689" t="str">
        <f>'Unit Data from Audit Worksheet'!F321</f>
        <v>Required</v>
      </c>
      <c r="G287" s="361"/>
      <c r="H287" s="358"/>
      <c r="I287" s="38"/>
      <c r="J287" s="186">
        <v>964</v>
      </c>
      <c r="K287" s="690" t="s">
        <v>868</v>
      </c>
      <c r="L287" s="693" t="str">
        <f t="shared" si="28"/>
        <v xml:space="preserve"> </v>
      </c>
      <c r="N287" s="634"/>
      <c r="P287" s="335"/>
      <c r="Q287" s="642">
        <f>IF(L287=0,1,0)</f>
        <v>0</v>
      </c>
      <c r="X287" s="607"/>
      <c r="Y287" s="607"/>
    </row>
    <row r="288" spans="1:25" ht="30.75" customHeight="1" x14ac:dyDescent="0.3">
      <c r="A288" s="687">
        <f>'Unit Data from Audit Worksheet'!A322</f>
        <v>966</v>
      </c>
      <c r="B288" s="183"/>
      <c r="C288" s="184" t="str">
        <f>'Unit Data from Audit Worksheet'!B322</f>
        <v>Telephone number</v>
      </c>
      <c r="D288" s="368"/>
      <c r="E288" s="688">
        <f>'Unit Data from Audit Worksheet'!D322</f>
        <v>0</v>
      </c>
      <c r="F288" s="689" t="str">
        <f>'Unit Data from Audit Worksheet'!F322</f>
        <v>Required</v>
      </c>
      <c r="G288" s="361"/>
      <c r="H288" s="358"/>
      <c r="I288" s="38"/>
      <c r="J288" s="186">
        <v>966</v>
      </c>
      <c r="K288" s="690" t="s">
        <v>761</v>
      </c>
      <c r="L288" s="691">
        <f t="shared" si="28"/>
        <v>0</v>
      </c>
      <c r="N288" s="634"/>
      <c r="P288" s="335"/>
      <c r="Q288" s="642">
        <f>IF(L288=0,1,0)</f>
        <v>1</v>
      </c>
      <c r="X288" s="607"/>
      <c r="Y288" s="607"/>
    </row>
    <row r="289" spans="1:25" ht="30.75" customHeight="1" x14ac:dyDescent="0.3">
      <c r="A289" s="687">
        <f>'Unit Data from Audit Worksheet'!A323</f>
        <v>968</v>
      </c>
      <c r="B289" s="183"/>
      <c r="C289" s="184" t="str">
        <f>'Unit Data from Audit Worksheet'!B323</f>
        <v>E-mail address</v>
      </c>
      <c r="D289" s="368"/>
      <c r="E289" s="688">
        <f>'Unit Data from Audit Worksheet'!D323</f>
        <v>0</v>
      </c>
      <c r="F289" s="689" t="str">
        <f>'Unit Data from Audit Worksheet'!F323</f>
        <v>Required</v>
      </c>
      <c r="G289" s="361"/>
      <c r="H289" s="358"/>
      <c r="I289" s="38"/>
      <c r="J289" s="186">
        <v>968</v>
      </c>
      <c r="K289" s="690" t="s">
        <v>762</v>
      </c>
      <c r="L289" s="691">
        <f t="shared" si="28"/>
        <v>0</v>
      </c>
      <c r="N289" s="634"/>
      <c r="P289" s="335"/>
      <c r="Q289" s="642">
        <f>IF(L289=0,1,0)</f>
        <v>1</v>
      </c>
      <c r="X289" s="607"/>
      <c r="Y289" s="607"/>
    </row>
    <row r="290" spans="1:25" ht="75.599999999999994" customHeight="1" x14ac:dyDescent="0.3">
      <c r="A290" s="694">
        <f>+'TD Info Completed by Auditor'!D74</f>
        <v>980</v>
      </c>
      <c r="B290" s="378" t="s">
        <v>1125</v>
      </c>
      <c r="C290" s="395" t="str">
        <f>+'TD Info Completed by Auditor'!E74</f>
        <v>Date the Auditor presented or plans to present the Audit to the Governing Board</v>
      </c>
      <c r="D290" s="368"/>
      <c r="E290" s="695" t="str">
        <f>IF('TD Info Completed by Auditor'!G74&gt;0,'TD Info Completed by Auditor'!G74," ")</f>
        <v xml:space="preserve"> </v>
      </c>
      <c r="F290" s="696" t="s">
        <v>1342</v>
      </c>
      <c r="G290" s="361"/>
      <c r="H290" s="358"/>
      <c r="I290" s="38"/>
      <c r="J290" s="396">
        <v>980</v>
      </c>
      <c r="K290" s="397" t="s">
        <v>1081</v>
      </c>
      <c r="L290" s="697" t="str">
        <f t="shared" si="28"/>
        <v xml:space="preserve"> </v>
      </c>
      <c r="N290" s="634"/>
      <c r="P290" s="335"/>
      <c r="Q290" s="642"/>
      <c r="X290" s="607"/>
      <c r="Y290" s="607"/>
    </row>
    <row r="291" spans="1:25" ht="83.4" customHeight="1" x14ac:dyDescent="0.3">
      <c r="A291" s="664"/>
      <c r="B291" s="97"/>
      <c r="C291" s="665"/>
      <c r="D291" s="667"/>
      <c r="E291" s="668"/>
      <c r="F291" s="669"/>
      <c r="G291" s="670"/>
      <c r="H291" s="671"/>
      <c r="I291" s="38"/>
      <c r="J291" s="176">
        <v>999</v>
      </c>
      <c r="K291" s="682" t="s">
        <v>293</v>
      </c>
      <c r="L291" s="698" t="e">
        <f>'Unit Data from Audit Worksheet'!D3</f>
        <v>#N/A</v>
      </c>
      <c r="M291" s="660"/>
      <c r="N291" s="699" t="s">
        <v>1341</v>
      </c>
      <c r="O291" s="699" t="s">
        <v>1340</v>
      </c>
      <c r="P291" s="335"/>
      <c r="W291" s="3" t="b">
        <f>EXACT(A291,J291)</f>
        <v>0</v>
      </c>
      <c r="X291" s="607" t="e">
        <f t="shared" si="30"/>
        <v>#N/A</v>
      </c>
      <c r="Y291" s="607" t="e">
        <f t="shared" si="31"/>
        <v>#N/A</v>
      </c>
    </row>
    <row r="292" spans="1:25" x14ac:dyDescent="0.3">
      <c r="A292" s="308"/>
      <c r="B292" s="308"/>
      <c r="C292" s="308"/>
      <c r="D292" s="308"/>
      <c r="E292" s="308"/>
      <c r="F292" s="308"/>
      <c r="G292" s="308"/>
      <c r="H292" s="308"/>
      <c r="I292" s="308"/>
      <c r="J292" s="3"/>
      <c r="K292" s="3"/>
      <c r="L292" s="3"/>
      <c r="N292" s="4"/>
      <c r="P292" s="336"/>
    </row>
    <row r="293" spans="1:25" x14ac:dyDescent="0.3">
      <c r="D293" s="701"/>
      <c r="E293" s="702"/>
      <c r="F293" s="702"/>
      <c r="G293" s="703"/>
      <c r="H293" s="702"/>
      <c r="I293" s="704"/>
      <c r="K293" s="10"/>
      <c r="L293" s="705"/>
      <c r="N293" s="4"/>
      <c r="P293" s="336"/>
    </row>
    <row r="294" spans="1:25" ht="18" x14ac:dyDescent="0.35">
      <c r="A294" s="165" t="s">
        <v>693</v>
      </c>
      <c r="B294" s="166"/>
      <c r="C294" s="167"/>
      <c r="D294" s="168"/>
      <c r="E294" s="169"/>
      <c r="F294" s="702"/>
      <c r="G294" s="703"/>
      <c r="H294" s="702"/>
      <c r="I294" s="704"/>
      <c r="L294" s="705"/>
      <c r="N294" s="4"/>
      <c r="P294" s="336"/>
    </row>
    <row r="295" spans="1:25" ht="117" customHeight="1" x14ac:dyDescent="0.7">
      <c r="A295" s="346">
        <f>'Unit Data from Audit Worksheet'!A88</f>
        <v>590</v>
      </c>
      <c r="B295" s="346" t="str">
        <f>'Unit Data from Audit Worksheet'!B88</f>
        <v>Fiscal Review</v>
      </c>
      <c r="C295" s="81" t="str">
        <f>'Unit Data from Audit Worksheet'!D88</f>
        <v>If you appropriated General Fund Balance in your 2021 budget and your "change in fund balance": (account # 9 above) is negative, please select from the drop down box in column F either "operations" or "capital", whichever best describes what the fund balance was used for.  If you select "Capital" please briefly describe in column G to the right the capital items.</v>
      </c>
      <c r="D295" s="80"/>
      <c r="E295" s="104">
        <f>'Unit Data from Audit Worksheet'!F88</f>
        <v>0</v>
      </c>
      <c r="F295" s="80">
        <f>'Unit Data from Audit Worksheet'!G88</f>
        <v>0</v>
      </c>
      <c r="G295" s="703"/>
      <c r="H295" s="702"/>
      <c r="I295" s="704"/>
      <c r="J295" s="158" t="e">
        <f>SUM(Q5:Q295)</f>
        <v>#N/A</v>
      </c>
      <c r="K295" s="157" t="s">
        <v>795</v>
      </c>
      <c r="L295" s="705" t="e">
        <f>SUM(G5:G245)</f>
        <v>#N/A</v>
      </c>
      <c r="N295" s="4"/>
      <c r="P295" s="336"/>
    </row>
    <row r="296" spans="1:25" ht="14.25" customHeight="1" x14ac:dyDescent="0.3">
      <c r="A296" s="308"/>
      <c r="B296" s="308"/>
      <c r="C296" s="308"/>
      <c r="D296" s="308"/>
      <c r="E296" s="308"/>
      <c r="F296" s="702"/>
      <c r="G296" s="703"/>
      <c r="H296" s="702"/>
      <c r="I296" s="704"/>
      <c r="K296" s="10"/>
      <c r="L296" s="706"/>
      <c r="P296" s="336"/>
      <c r="Q296" s="85"/>
    </row>
    <row r="297" spans="1:25" x14ac:dyDescent="0.3">
      <c r="A297" s="308"/>
      <c r="B297" s="308"/>
      <c r="C297" s="308"/>
      <c r="D297" s="308"/>
      <c r="E297" s="308"/>
      <c r="F297" s="702"/>
      <c r="G297" s="703"/>
      <c r="H297" s="702"/>
      <c r="I297" s="704"/>
      <c r="K297" s="10"/>
      <c r="L297" s="706"/>
      <c r="P297" s="336"/>
    </row>
    <row r="298" spans="1:25" ht="18.75" customHeight="1" x14ac:dyDescent="0.3">
      <c r="A298" s="308"/>
      <c r="B298" s="308"/>
      <c r="C298" s="308"/>
      <c r="D298" s="308"/>
      <c r="E298" s="308"/>
      <c r="F298" s="702"/>
      <c r="G298" s="703"/>
      <c r="H298" s="702"/>
      <c r="I298" s="704"/>
      <c r="J298" s="5">
        <f>SUM(J5:J245)</f>
        <v>98821</v>
      </c>
      <c r="K298" s="10"/>
      <c r="L298" s="706"/>
      <c r="P298" s="336"/>
    </row>
    <row r="299" spans="1:25" ht="30.75" customHeight="1" x14ac:dyDescent="0.3">
      <c r="A299" s="308"/>
      <c r="B299" s="308"/>
      <c r="C299" s="308"/>
      <c r="D299" s="308"/>
      <c r="E299" s="308"/>
      <c r="F299" s="702"/>
      <c r="G299" s="703"/>
      <c r="H299" s="702"/>
      <c r="I299" s="704"/>
      <c r="J299" s="5">
        <f>SUM(J261:J265)+SUM(J277:J290)</f>
        <v>13934</v>
      </c>
      <c r="K299" s="10"/>
      <c r="L299" s="706"/>
      <c r="P299" s="336"/>
    </row>
    <row r="300" spans="1:25" ht="30.75" customHeight="1" x14ac:dyDescent="0.3">
      <c r="A300" s="308"/>
      <c r="B300" s="308"/>
      <c r="C300" s="308"/>
      <c r="D300" s="308"/>
      <c r="E300" s="308"/>
      <c r="F300" s="702"/>
      <c r="G300" s="703"/>
      <c r="H300" s="702"/>
      <c r="I300" s="704"/>
      <c r="J300" s="5">
        <f>+J298+J299</f>
        <v>112755</v>
      </c>
      <c r="K300" s="10"/>
      <c r="L300" s="706"/>
      <c r="P300" s="336"/>
    </row>
    <row r="301" spans="1:25" ht="30.75" customHeight="1" x14ac:dyDescent="0.3">
      <c r="A301" s="308"/>
      <c r="B301" s="308"/>
      <c r="C301" s="308"/>
      <c r="D301" s="308"/>
      <c r="E301" s="308"/>
      <c r="F301" s="702"/>
      <c r="G301" s="703"/>
      <c r="H301" s="702"/>
      <c r="I301" s="704"/>
      <c r="J301" s="5">
        <f>+'Unit Data from Audit Worksheet'!A327</f>
        <v>21322</v>
      </c>
      <c r="K301" s="10"/>
      <c r="L301" s="706"/>
      <c r="P301" s="336"/>
    </row>
    <row r="302" spans="1:25" ht="30.75" customHeight="1" x14ac:dyDescent="0.3">
      <c r="A302" s="308"/>
      <c r="B302" s="308"/>
      <c r="C302" s="308"/>
      <c r="D302" s="308"/>
      <c r="E302" s="308"/>
      <c r="F302" s="702"/>
      <c r="G302" s="703"/>
      <c r="H302" s="702"/>
      <c r="I302" s="704"/>
      <c r="J302" s="5">
        <f>+J300-J301</f>
        <v>91433</v>
      </c>
      <c r="K302" s="10"/>
      <c r="L302" s="706"/>
      <c r="P302" s="336"/>
    </row>
    <row r="303" spans="1:25" ht="30.75" customHeight="1" x14ac:dyDescent="0.3">
      <c r="A303" s="308"/>
      <c r="B303" s="308"/>
      <c r="C303" s="308"/>
      <c r="D303" s="308"/>
      <c r="E303" s="308"/>
      <c r="F303" s="702"/>
      <c r="G303" s="703"/>
      <c r="H303" s="702"/>
      <c r="I303" s="704"/>
      <c r="K303" s="10"/>
      <c r="L303" s="706"/>
      <c r="P303" s="336"/>
    </row>
    <row r="304" spans="1:25" x14ac:dyDescent="0.3">
      <c r="A304" s="308"/>
      <c r="B304" s="308"/>
      <c r="C304" s="308"/>
      <c r="D304" s="308"/>
      <c r="E304" s="308"/>
      <c r="I304" s="704"/>
      <c r="K304" s="10"/>
      <c r="L304" s="706"/>
      <c r="P304" s="336"/>
    </row>
    <row r="305" spans="1:16" x14ac:dyDescent="0.3">
      <c r="A305" s="308"/>
      <c r="B305" s="308"/>
      <c r="C305" s="308"/>
      <c r="D305" s="308"/>
      <c r="E305" s="308"/>
      <c r="I305" s="704"/>
      <c r="L305" s="706"/>
      <c r="P305" s="336"/>
    </row>
    <row r="306" spans="1:16" x14ac:dyDescent="0.3">
      <c r="A306" s="5"/>
      <c r="B306" s="707"/>
      <c r="C306" s="26"/>
      <c r="D306" s="79"/>
      <c r="I306" s="704"/>
      <c r="L306" s="706"/>
      <c r="P306" s="336"/>
    </row>
    <row r="307" spans="1:16" x14ac:dyDescent="0.3">
      <c r="A307" s="5"/>
      <c r="B307" s="707"/>
      <c r="C307" s="26"/>
      <c r="D307" s="79"/>
      <c r="L307" s="706"/>
      <c r="P307" s="336"/>
    </row>
    <row r="308" spans="1:16" x14ac:dyDescent="0.3">
      <c r="D308" s="79"/>
      <c r="P308" s="336"/>
    </row>
    <row r="309" spans="1:16" x14ac:dyDescent="0.3">
      <c r="D309" s="79"/>
      <c r="P309" s="336"/>
    </row>
    <row r="310" spans="1:16" x14ac:dyDescent="0.3">
      <c r="D310" s="79"/>
      <c r="P310" s="336"/>
    </row>
    <row r="311" spans="1:16" x14ac:dyDescent="0.3">
      <c r="D311" s="79"/>
      <c r="P311" s="336"/>
    </row>
    <row r="312" spans="1:16" x14ac:dyDescent="0.3">
      <c r="A312" s="5"/>
      <c r="B312" s="707"/>
      <c r="C312" s="26"/>
      <c r="D312" s="79"/>
      <c r="P312" s="336"/>
    </row>
    <row r="313" spans="1:16" x14ac:dyDescent="0.3">
      <c r="A313" s="5"/>
      <c r="B313" s="707"/>
      <c r="C313" s="26"/>
      <c r="D313" s="79"/>
      <c r="P313" s="336"/>
    </row>
    <row r="314" spans="1:16" x14ac:dyDescent="0.3">
      <c r="D314" s="79"/>
      <c r="P314" s="336"/>
    </row>
    <row r="315" spans="1:16" x14ac:dyDescent="0.3">
      <c r="D315" s="79"/>
      <c r="P315" s="336"/>
    </row>
    <row r="316" spans="1:16" x14ac:dyDescent="0.3">
      <c r="D316" s="79"/>
      <c r="P316" s="336"/>
    </row>
    <row r="317" spans="1:16" x14ac:dyDescent="0.3">
      <c r="D317" s="79"/>
      <c r="P317" s="336"/>
    </row>
    <row r="318" spans="1:16" x14ac:dyDescent="0.3">
      <c r="A318" s="5"/>
      <c r="B318" s="707"/>
      <c r="C318" s="26"/>
      <c r="D318" s="79"/>
      <c r="P318" s="336"/>
    </row>
    <row r="319" spans="1:16" x14ac:dyDescent="0.3">
      <c r="A319" s="5"/>
      <c r="B319" s="707"/>
      <c r="C319" s="26"/>
      <c r="D319" s="79"/>
      <c r="P319" s="336"/>
    </row>
    <row r="320" spans="1:16" x14ac:dyDescent="0.3">
      <c r="D320" s="79"/>
      <c r="P320" s="336"/>
    </row>
    <row r="321" spans="1:16" x14ac:dyDescent="0.3">
      <c r="D321" s="79"/>
      <c r="P321" s="336"/>
    </row>
    <row r="322" spans="1:16" x14ac:dyDescent="0.3">
      <c r="D322" s="79"/>
      <c r="P322" s="336"/>
    </row>
    <row r="323" spans="1:16" x14ac:dyDescent="0.3">
      <c r="D323" s="79"/>
      <c r="P323" s="336"/>
    </row>
    <row r="324" spans="1:16" x14ac:dyDescent="0.3">
      <c r="A324" s="5"/>
      <c r="B324" s="707"/>
      <c r="C324" s="26"/>
      <c r="D324" s="79"/>
      <c r="P324" s="336"/>
    </row>
    <row r="325" spans="1:16" x14ac:dyDescent="0.3">
      <c r="A325" s="5"/>
      <c r="B325" s="707"/>
      <c r="C325" s="26"/>
      <c r="D325" s="79"/>
      <c r="P325" s="336"/>
    </row>
    <row r="326" spans="1:16" x14ac:dyDescent="0.3">
      <c r="A326" s="5"/>
      <c r="B326" s="707"/>
      <c r="C326" s="26"/>
      <c r="D326" s="79"/>
      <c r="P326" s="336"/>
    </row>
    <row r="327" spans="1:16" x14ac:dyDescent="0.3">
      <c r="A327" s="5"/>
      <c r="B327" s="707"/>
      <c r="C327" s="26"/>
      <c r="D327" s="79"/>
      <c r="P327" s="336"/>
    </row>
    <row r="328" spans="1:16" x14ac:dyDescent="0.3">
      <c r="D328" s="79"/>
      <c r="P328" s="336"/>
    </row>
    <row r="329" spans="1:16" x14ac:dyDescent="0.3">
      <c r="D329" s="79"/>
      <c r="P329" s="336"/>
    </row>
    <row r="330" spans="1:16" x14ac:dyDescent="0.3">
      <c r="D330" s="79"/>
      <c r="P330" s="336"/>
    </row>
    <row r="331" spans="1:16" x14ac:dyDescent="0.3">
      <c r="A331" s="5"/>
      <c r="B331" s="707"/>
      <c r="C331" s="26"/>
      <c r="D331" s="79"/>
      <c r="P331" s="336"/>
    </row>
    <row r="332" spans="1:16" x14ac:dyDescent="0.3">
      <c r="A332" s="5"/>
      <c r="B332" s="707"/>
      <c r="C332" s="26"/>
      <c r="D332" s="79"/>
      <c r="P332" s="336"/>
    </row>
    <row r="333" spans="1:16" x14ac:dyDescent="0.3">
      <c r="A333" s="5"/>
      <c r="B333" s="707"/>
      <c r="C333" s="26"/>
      <c r="D333" s="79"/>
      <c r="P333" s="336"/>
    </row>
    <row r="334" spans="1:16" x14ac:dyDescent="0.3">
      <c r="A334" s="5"/>
      <c r="B334" s="707"/>
      <c r="C334" s="26"/>
      <c r="D334" s="79"/>
      <c r="P334" s="336"/>
    </row>
    <row r="335" spans="1:16" x14ac:dyDescent="0.3">
      <c r="A335" s="5"/>
      <c r="B335" s="707"/>
      <c r="C335" s="26"/>
      <c r="D335" s="79"/>
      <c r="P335" s="336"/>
    </row>
    <row r="336" spans="1:16" x14ac:dyDescent="0.3">
      <c r="A336" s="5"/>
      <c r="B336" s="707"/>
      <c r="C336" s="26"/>
      <c r="D336" s="79"/>
      <c r="P336" s="336"/>
    </row>
    <row r="337" spans="1:16" x14ac:dyDescent="0.3">
      <c r="A337" s="5"/>
      <c r="B337" s="707"/>
      <c r="C337" s="26"/>
      <c r="D337" s="79"/>
      <c r="P337" s="336"/>
    </row>
    <row r="338" spans="1:16" x14ac:dyDescent="0.3">
      <c r="A338" s="5"/>
      <c r="B338" s="707"/>
      <c r="C338" s="26"/>
      <c r="D338" s="79"/>
      <c r="P338" s="336"/>
    </row>
    <row r="339" spans="1:16" x14ac:dyDescent="0.3">
      <c r="A339" s="5"/>
      <c r="B339" s="707"/>
      <c r="C339" s="26"/>
      <c r="D339" s="79"/>
      <c r="P339" s="336"/>
    </row>
    <row r="340" spans="1:16" x14ac:dyDescent="0.3">
      <c r="A340" s="5"/>
      <c r="B340" s="707"/>
      <c r="C340" s="26"/>
      <c r="D340" s="79"/>
      <c r="P340" s="336"/>
    </row>
    <row r="341" spans="1:16" x14ac:dyDescent="0.3">
      <c r="A341" s="5"/>
      <c r="B341" s="707"/>
      <c r="C341" s="26"/>
      <c r="D341" s="79"/>
      <c r="P341" s="336"/>
    </row>
    <row r="342" spans="1:16" x14ac:dyDescent="0.3">
      <c r="A342" s="5"/>
      <c r="B342" s="707"/>
      <c r="C342" s="26"/>
      <c r="D342" s="79"/>
      <c r="P342" s="336"/>
    </row>
    <row r="343" spans="1:16" x14ac:dyDescent="0.3">
      <c r="A343" s="5"/>
      <c r="B343" s="707"/>
      <c r="C343" s="26"/>
      <c r="D343" s="79"/>
      <c r="P343" s="336"/>
    </row>
    <row r="344" spans="1:16" x14ac:dyDescent="0.3">
      <c r="A344" s="5"/>
      <c r="B344" s="707"/>
      <c r="C344" s="26"/>
      <c r="D344" s="79"/>
      <c r="P344" s="336"/>
    </row>
    <row r="345" spans="1:16" x14ac:dyDescent="0.3">
      <c r="A345" s="5"/>
      <c r="B345" s="707"/>
      <c r="C345" s="26"/>
      <c r="D345" s="79"/>
      <c r="P345" s="336"/>
    </row>
    <row r="346" spans="1:16" x14ac:dyDescent="0.3">
      <c r="A346" s="5"/>
      <c r="B346" s="707"/>
      <c r="C346" s="26"/>
      <c r="D346" s="79"/>
      <c r="P346" s="336"/>
    </row>
    <row r="347" spans="1:16" x14ac:dyDescent="0.3">
      <c r="A347" s="5"/>
      <c r="B347" s="707"/>
      <c r="C347" s="26"/>
      <c r="D347" s="79"/>
      <c r="P347" s="336"/>
    </row>
    <row r="348" spans="1:16" x14ac:dyDescent="0.3">
      <c r="A348" s="5"/>
      <c r="B348" s="707"/>
      <c r="C348" s="26"/>
      <c r="D348" s="79"/>
      <c r="P348" s="336"/>
    </row>
    <row r="349" spans="1:16" x14ac:dyDescent="0.3">
      <c r="A349" s="5"/>
      <c r="B349" s="707"/>
      <c r="C349" s="26"/>
      <c r="D349" s="79"/>
      <c r="P349" s="336"/>
    </row>
    <row r="350" spans="1:16" x14ac:dyDescent="0.3">
      <c r="A350" s="5"/>
      <c r="B350" s="707"/>
      <c r="C350" s="26"/>
      <c r="D350" s="79"/>
      <c r="P350" s="336"/>
    </row>
    <row r="351" spans="1:16" x14ac:dyDescent="0.3">
      <c r="A351" s="5"/>
      <c r="B351" s="707"/>
      <c r="C351" s="26"/>
      <c r="D351" s="79"/>
      <c r="P351" s="336"/>
    </row>
    <row r="352" spans="1:16" x14ac:dyDescent="0.3">
      <c r="A352" s="5"/>
      <c r="B352" s="707"/>
      <c r="C352" s="26"/>
      <c r="D352" s="79"/>
      <c r="P352" s="336"/>
    </row>
    <row r="353" spans="1:16" x14ac:dyDescent="0.3">
      <c r="A353" s="5"/>
      <c r="B353" s="707"/>
      <c r="C353" s="26"/>
      <c r="D353" s="79"/>
      <c r="P353" s="336"/>
    </row>
    <row r="354" spans="1:16" x14ac:dyDescent="0.3">
      <c r="A354" s="5"/>
      <c r="B354" s="707"/>
      <c r="C354" s="26"/>
      <c r="D354" s="79"/>
      <c r="P354" s="336"/>
    </row>
    <row r="355" spans="1:16" x14ac:dyDescent="0.3">
      <c r="A355" s="5"/>
      <c r="B355" s="707"/>
      <c r="C355" s="26"/>
      <c r="D355" s="79"/>
      <c r="P355" s="336"/>
    </row>
    <row r="356" spans="1:16" x14ac:dyDescent="0.3">
      <c r="A356" s="5"/>
      <c r="B356" s="707"/>
      <c r="C356" s="26"/>
      <c r="D356" s="79"/>
      <c r="P356" s="336"/>
    </row>
    <row r="357" spans="1:16" x14ac:dyDescent="0.3">
      <c r="A357" s="5"/>
      <c r="B357" s="707"/>
      <c r="C357" s="26"/>
      <c r="D357" s="79"/>
      <c r="P357" s="336"/>
    </row>
    <row r="358" spans="1:16" x14ac:dyDescent="0.3">
      <c r="A358" s="5"/>
      <c r="B358" s="707"/>
      <c r="C358" s="26"/>
      <c r="D358" s="79"/>
      <c r="P358" s="336"/>
    </row>
    <row r="359" spans="1:16" x14ac:dyDescent="0.3">
      <c r="A359" s="5"/>
      <c r="B359" s="707"/>
      <c r="C359" s="26"/>
      <c r="D359" s="79"/>
      <c r="P359" s="336"/>
    </row>
    <row r="360" spans="1:16" x14ac:dyDescent="0.3">
      <c r="A360" s="5"/>
      <c r="B360" s="707"/>
      <c r="C360" s="26"/>
      <c r="D360" s="79"/>
      <c r="P360" s="336"/>
    </row>
    <row r="361" spans="1:16" x14ac:dyDescent="0.3">
      <c r="A361" s="5"/>
      <c r="B361" s="707"/>
      <c r="C361" s="26"/>
      <c r="D361" s="79"/>
      <c r="P361" s="336"/>
    </row>
    <row r="362" spans="1:16" x14ac:dyDescent="0.3">
      <c r="A362" s="5"/>
      <c r="B362" s="707"/>
      <c r="C362" s="26"/>
      <c r="D362" s="79"/>
      <c r="P362" s="336"/>
    </row>
    <row r="363" spans="1:16" x14ac:dyDescent="0.3">
      <c r="A363" s="5"/>
      <c r="B363" s="707"/>
      <c r="C363" s="26"/>
      <c r="D363" s="79"/>
      <c r="P363" s="336"/>
    </row>
    <row r="364" spans="1:16" x14ac:dyDescent="0.3">
      <c r="A364" s="5"/>
      <c r="B364" s="707"/>
      <c r="C364" s="26"/>
      <c r="D364" s="79"/>
      <c r="P364" s="336"/>
    </row>
    <row r="365" spans="1:16" x14ac:dyDescent="0.3">
      <c r="A365" s="5"/>
      <c r="B365" s="707"/>
      <c r="C365" s="26"/>
      <c r="D365" s="79"/>
      <c r="P365" s="336"/>
    </row>
    <row r="366" spans="1:16" x14ac:dyDescent="0.3">
      <c r="A366" s="5"/>
      <c r="B366" s="707"/>
      <c r="C366" s="26"/>
      <c r="D366" s="79"/>
      <c r="P366" s="336"/>
    </row>
    <row r="367" spans="1:16" x14ac:dyDescent="0.3">
      <c r="A367" s="5"/>
      <c r="B367" s="707"/>
      <c r="C367" s="26"/>
      <c r="D367" s="79"/>
      <c r="P367" s="336"/>
    </row>
    <row r="368" spans="1:16" x14ac:dyDescent="0.3">
      <c r="A368" s="5"/>
      <c r="B368" s="707"/>
      <c r="C368" s="26"/>
      <c r="D368" s="79"/>
      <c r="P368" s="336"/>
    </row>
    <row r="369" spans="1:16" x14ac:dyDescent="0.3">
      <c r="A369" s="5"/>
      <c r="B369" s="707"/>
      <c r="C369" s="26"/>
      <c r="D369" s="79"/>
      <c r="P369" s="336"/>
    </row>
    <row r="370" spans="1:16" x14ac:dyDescent="0.3">
      <c r="A370" s="5"/>
      <c r="B370" s="707"/>
      <c r="C370" s="26"/>
      <c r="D370" s="79"/>
      <c r="P370" s="336"/>
    </row>
    <row r="371" spans="1:16" x14ac:dyDescent="0.3">
      <c r="A371" s="5"/>
      <c r="B371" s="707"/>
      <c r="C371" s="26"/>
      <c r="D371" s="79"/>
      <c r="P371" s="336"/>
    </row>
    <row r="372" spans="1:16" x14ac:dyDescent="0.3">
      <c r="A372" s="5"/>
      <c r="B372" s="707"/>
      <c r="C372" s="26"/>
      <c r="D372" s="79"/>
      <c r="P372" s="336"/>
    </row>
    <row r="373" spans="1:16" x14ac:dyDescent="0.3">
      <c r="A373" s="5"/>
      <c r="B373" s="707"/>
      <c r="C373" s="26"/>
      <c r="D373" s="79"/>
      <c r="P373" s="336"/>
    </row>
    <row r="374" spans="1:16" x14ac:dyDescent="0.3">
      <c r="A374" s="5"/>
      <c r="B374" s="707"/>
      <c r="C374" s="26"/>
      <c r="D374" s="79"/>
      <c r="P374" s="336"/>
    </row>
    <row r="375" spans="1:16" x14ac:dyDescent="0.3">
      <c r="A375" s="5"/>
      <c r="B375" s="707"/>
      <c r="C375" s="26"/>
      <c r="D375" s="79"/>
      <c r="P375" s="336"/>
    </row>
    <row r="376" spans="1:16" x14ac:dyDescent="0.3">
      <c r="A376" s="5"/>
      <c r="B376" s="707"/>
      <c r="C376" s="26"/>
      <c r="D376" s="79"/>
      <c r="P376" s="336"/>
    </row>
    <row r="377" spans="1:16" x14ac:dyDescent="0.3">
      <c r="A377" s="5"/>
      <c r="B377" s="707"/>
      <c r="C377" s="26"/>
      <c r="D377" s="79"/>
      <c r="P377" s="336"/>
    </row>
    <row r="378" spans="1:16" x14ac:dyDescent="0.3">
      <c r="A378" s="5"/>
      <c r="B378" s="707"/>
      <c r="C378" s="26"/>
      <c r="D378" s="79"/>
      <c r="P378" s="336"/>
    </row>
    <row r="379" spans="1:16" x14ac:dyDescent="0.3">
      <c r="A379" s="5"/>
      <c r="B379" s="707"/>
      <c r="C379" s="26"/>
      <c r="D379" s="79"/>
      <c r="P379" s="336"/>
    </row>
    <row r="380" spans="1:16" x14ac:dyDescent="0.3">
      <c r="A380" s="5"/>
      <c r="B380" s="707"/>
      <c r="C380" s="26"/>
      <c r="D380" s="79"/>
      <c r="P380" s="336"/>
    </row>
    <row r="381" spans="1:16" x14ac:dyDescent="0.3">
      <c r="A381" s="5"/>
      <c r="B381" s="707"/>
      <c r="C381" s="26"/>
      <c r="D381" s="79"/>
      <c r="P381" s="336"/>
    </row>
    <row r="382" spans="1:16" x14ac:dyDescent="0.3">
      <c r="A382" s="5"/>
      <c r="B382" s="707"/>
      <c r="C382" s="26"/>
      <c r="D382" s="79"/>
      <c r="P382" s="336"/>
    </row>
    <row r="383" spans="1:16" x14ac:dyDescent="0.3">
      <c r="A383" s="5"/>
      <c r="B383" s="707"/>
      <c r="C383" s="26"/>
      <c r="D383" s="79"/>
      <c r="P383" s="336"/>
    </row>
    <row r="384" spans="1:16" x14ac:dyDescent="0.3">
      <c r="A384" s="5"/>
      <c r="B384" s="707"/>
      <c r="C384" s="26"/>
      <c r="D384" s="79"/>
      <c r="P384" s="336"/>
    </row>
    <row r="385" spans="1:16" x14ac:dyDescent="0.3">
      <c r="A385" s="5"/>
      <c r="B385" s="707"/>
      <c r="C385" s="26"/>
      <c r="D385" s="79"/>
      <c r="P385" s="336"/>
    </row>
    <row r="386" spans="1:16" x14ac:dyDescent="0.3">
      <c r="A386" s="5"/>
      <c r="B386" s="707"/>
      <c r="C386" s="26"/>
      <c r="D386" s="79"/>
      <c r="P386" s="336"/>
    </row>
    <row r="387" spans="1:16" x14ac:dyDescent="0.3">
      <c r="A387" s="5"/>
      <c r="B387" s="707"/>
      <c r="C387" s="26"/>
      <c r="D387" s="79"/>
      <c r="P387" s="336"/>
    </row>
    <row r="388" spans="1:16" x14ac:dyDescent="0.3">
      <c r="A388" s="5"/>
      <c r="B388" s="707"/>
      <c r="C388" s="26"/>
      <c r="D388" s="79"/>
      <c r="P388" s="336"/>
    </row>
    <row r="389" spans="1:16" x14ac:dyDescent="0.3">
      <c r="A389" s="5"/>
      <c r="B389" s="707"/>
      <c r="C389" s="26"/>
      <c r="D389" s="79"/>
      <c r="P389" s="336"/>
    </row>
    <row r="390" spans="1:16" x14ac:dyDescent="0.3">
      <c r="A390" s="5"/>
      <c r="B390" s="707"/>
      <c r="C390" s="26"/>
      <c r="D390" s="79"/>
      <c r="P390" s="336"/>
    </row>
    <row r="391" spans="1:16" x14ac:dyDescent="0.3">
      <c r="A391" s="5"/>
      <c r="B391" s="707"/>
      <c r="C391" s="26"/>
      <c r="D391" s="79"/>
      <c r="P391" s="336"/>
    </row>
    <row r="392" spans="1:16" x14ac:dyDescent="0.3">
      <c r="A392" s="5"/>
      <c r="B392" s="707"/>
      <c r="C392" s="26"/>
      <c r="D392" s="79"/>
      <c r="P392" s="336"/>
    </row>
    <row r="393" spans="1:16" x14ac:dyDescent="0.3">
      <c r="A393" s="5"/>
      <c r="B393" s="707"/>
      <c r="C393" s="26"/>
      <c r="D393" s="79"/>
      <c r="P393" s="336"/>
    </row>
    <row r="394" spans="1:16" x14ac:dyDescent="0.3">
      <c r="A394" s="5"/>
      <c r="B394" s="707"/>
      <c r="C394" s="26"/>
      <c r="D394" s="79"/>
      <c r="P394" s="336"/>
    </row>
    <row r="395" spans="1:16" x14ac:dyDescent="0.3">
      <c r="A395" s="5"/>
      <c r="B395" s="707"/>
      <c r="C395" s="26"/>
      <c r="D395" s="79"/>
      <c r="P395" s="336"/>
    </row>
    <row r="396" spans="1:16" x14ac:dyDescent="0.3">
      <c r="A396" s="5"/>
      <c r="B396" s="707"/>
      <c r="C396" s="26"/>
      <c r="D396" s="79"/>
      <c r="P396" s="336"/>
    </row>
    <row r="397" spans="1:16" x14ac:dyDescent="0.3">
      <c r="A397" s="5"/>
      <c r="B397" s="707"/>
      <c r="C397" s="26"/>
      <c r="D397" s="79"/>
      <c r="P397" s="336"/>
    </row>
    <row r="398" spans="1:16" x14ac:dyDescent="0.3">
      <c r="A398" s="5"/>
      <c r="B398" s="707"/>
      <c r="C398" s="26"/>
      <c r="D398" s="79"/>
      <c r="P398" s="336"/>
    </row>
    <row r="399" spans="1:16" x14ac:dyDescent="0.3">
      <c r="A399" s="5"/>
      <c r="B399" s="707"/>
      <c r="C399" s="26"/>
      <c r="D399" s="79"/>
      <c r="P399" s="336"/>
    </row>
    <row r="400" spans="1:16" x14ac:dyDescent="0.3">
      <c r="A400" s="5"/>
      <c r="B400" s="707"/>
      <c r="C400" s="26"/>
      <c r="D400" s="79"/>
      <c r="P400" s="336"/>
    </row>
    <row r="401" spans="1:16" x14ac:dyDescent="0.3">
      <c r="A401" s="5"/>
      <c r="B401" s="707"/>
      <c r="C401" s="26"/>
      <c r="D401" s="79"/>
      <c r="P401" s="336"/>
    </row>
    <row r="402" spans="1:16" x14ac:dyDescent="0.3">
      <c r="A402" s="5"/>
      <c r="B402" s="707"/>
      <c r="C402" s="26"/>
      <c r="D402" s="79"/>
      <c r="P402" s="336"/>
    </row>
    <row r="403" spans="1:16" x14ac:dyDescent="0.3">
      <c r="A403" s="5"/>
      <c r="B403" s="707"/>
      <c r="C403" s="26"/>
      <c r="D403" s="79"/>
      <c r="P403" s="336"/>
    </row>
    <row r="404" spans="1:16" x14ac:dyDescent="0.3">
      <c r="A404" s="5"/>
      <c r="B404" s="707"/>
      <c r="C404" s="26"/>
      <c r="D404" s="79"/>
      <c r="P404" s="336"/>
    </row>
    <row r="405" spans="1:16" x14ac:dyDescent="0.3">
      <c r="A405" s="5"/>
      <c r="B405" s="707"/>
      <c r="C405" s="26"/>
      <c r="D405" s="79"/>
      <c r="P405" s="336"/>
    </row>
    <row r="406" spans="1:16" x14ac:dyDescent="0.3">
      <c r="A406" s="5"/>
      <c r="B406" s="707"/>
      <c r="C406" s="26"/>
      <c r="D406" s="79"/>
      <c r="P406" s="336"/>
    </row>
    <row r="407" spans="1:16" x14ac:dyDescent="0.3">
      <c r="A407" s="5"/>
      <c r="B407" s="707"/>
      <c r="C407" s="26"/>
      <c r="D407" s="79"/>
      <c r="P407" s="336"/>
    </row>
    <row r="408" spans="1:16" x14ac:dyDescent="0.3">
      <c r="A408" s="5"/>
      <c r="B408" s="707"/>
      <c r="C408" s="26"/>
      <c r="D408" s="79"/>
      <c r="P408" s="336"/>
    </row>
    <row r="409" spans="1:16" x14ac:dyDescent="0.3">
      <c r="A409" s="5"/>
      <c r="B409" s="707"/>
      <c r="C409" s="26"/>
      <c r="D409" s="79"/>
      <c r="P409" s="336"/>
    </row>
    <row r="410" spans="1:16" x14ac:dyDescent="0.3">
      <c r="A410" s="5"/>
      <c r="B410" s="707"/>
      <c r="C410" s="26"/>
      <c r="D410" s="79"/>
      <c r="P410" s="336"/>
    </row>
    <row r="411" spans="1:16" x14ac:dyDescent="0.3">
      <c r="A411" s="5"/>
      <c r="B411" s="707"/>
      <c r="C411" s="26"/>
      <c r="D411" s="79"/>
      <c r="P411" s="336"/>
    </row>
    <row r="412" spans="1:16" x14ac:dyDescent="0.3">
      <c r="A412" s="5"/>
      <c r="B412" s="707"/>
      <c r="C412" s="26"/>
      <c r="D412" s="79"/>
      <c r="P412" s="336"/>
    </row>
    <row r="413" spans="1:16" x14ac:dyDescent="0.3">
      <c r="A413" s="5"/>
      <c r="B413" s="707"/>
      <c r="C413" s="26"/>
      <c r="D413" s="79"/>
      <c r="P413" s="336"/>
    </row>
    <row r="414" spans="1:16" x14ac:dyDescent="0.3">
      <c r="A414" s="5"/>
      <c r="B414" s="707"/>
      <c r="C414" s="26"/>
      <c r="D414" s="79"/>
      <c r="P414" s="336"/>
    </row>
    <row r="415" spans="1:16" x14ac:dyDescent="0.3">
      <c r="A415" s="5"/>
      <c r="B415" s="707"/>
      <c r="C415" s="26"/>
      <c r="D415" s="79"/>
      <c r="P415" s="336"/>
    </row>
    <row r="416" spans="1:16" x14ac:dyDescent="0.3">
      <c r="A416" s="5"/>
      <c r="B416" s="707"/>
      <c r="C416" s="26"/>
      <c r="D416" s="79"/>
      <c r="P416" s="336"/>
    </row>
    <row r="417" spans="1:16" x14ac:dyDescent="0.3">
      <c r="A417" s="5"/>
      <c r="B417" s="707"/>
      <c r="C417" s="26"/>
      <c r="D417" s="79"/>
      <c r="P417" s="336"/>
    </row>
    <row r="418" spans="1:16" x14ac:dyDescent="0.3">
      <c r="A418" s="5"/>
      <c r="B418" s="707"/>
      <c r="C418" s="26"/>
      <c r="D418" s="79"/>
      <c r="P418" s="336"/>
    </row>
    <row r="419" spans="1:16" x14ac:dyDescent="0.3">
      <c r="A419" s="5"/>
      <c r="B419" s="707"/>
      <c r="C419" s="26"/>
      <c r="D419" s="79"/>
      <c r="P419" s="336"/>
    </row>
    <row r="420" spans="1:16" x14ac:dyDescent="0.3">
      <c r="A420" s="5"/>
      <c r="B420" s="707"/>
      <c r="C420" s="26"/>
      <c r="D420" s="79"/>
      <c r="P420" s="336"/>
    </row>
    <row r="421" spans="1:16" x14ac:dyDescent="0.3">
      <c r="A421" s="5"/>
      <c r="B421" s="707"/>
      <c r="C421" s="26"/>
      <c r="D421" s="79"/>
      <c r="P421" s="336"/>
    </row>
    <row r="422" spans="1:16" x14ac:dyDescent="0.3">
      <c r="A422" s="5"/>
      <c r="B422" s="707"/>
      <c r="C422" s="26"/>
      <c r="D422" s="79"/>
      <c r="P422" s="336"/>
    </row>
    <row r="423" spans="1:16" x14ac:dyDescent="0.3">
      <c r="A423" s="5"/>
      <c r="B423" s="707"/>
      <c r="C423" s="26"/>
      <c r="D423" s="79"/>
      <c r="P423" s="336"/>
    </row>
    <row r="424" spans="1:16" x14ac:dyDescent="0.3">
      <c r="A424" s="5"/>
      <c r="B424" s="707"/>
      <c r="C424" s="26"/>
      <c r="D424" s="79"/>
      <c r="P424" s="336"/>
    </row>
    <row r="425" spans="1:16" x14ac:dyDescent="0.3">
      <c r="A425" s="5"/>
      <c r="B425" s="707"/>
      <c r="C425" s="26"/>
      <c r="D425" s="79"/>
      <c r="P425" s="336"/>
    </row>
    <row r="426" spans="1:16" x14ac:dyDescent="0.3">
      <c r="A426" s="5"/>
      <c r="B426" s="707"/>
      <c r="C426" s="26"/>
      <c r="D426" s="79"/>
      <c r="P426" s="336"/>
    </row>
    <row r="427" spans="1:16" x14ac:dyDescent="0.3">
      <c r="A427" s="5"/>
      <c r="B427" s="707"/>
      <c r="C427" s="26"/>
      <c r="D427" s="79"/>
      <c r="P427" s="336"/>
    </row>
    <row r="428" spans="1:16" x14ac:dyDescent="0.3">
      <c r="A428" s="5"/>
      <c r="B428" s="707"/>
      <c r="C428" s="26"/>
      <c r="D428" s="79"/>
      <c r="P428" s="336"/>
    </row>
    <row r="429" spans="1:16" x14ac:dyDescent="0.3">
      <c r="A429" s="5"/>
      <c r="B429" s="707"/>
      <c r="C429" s="26"/>
      <c r="D429" s="79"/>
    </row>
    <row r="430" spans="1:16" x14ac:dyDescent="0.3">
      <c r="A430" s="5"/>
      <c r="B430" s="707"/>
      <c r="C430" s="26"/>
      <c r="D430" s="79"/>
      <c r="P430" s="336"/>
    </row>
    <row r="431" spans="1:16" x14ac:dyDescent="0.3">
      <c r="A431" s="5"/>
      <c r="B431" s="707"/>
      <c r="C431" s="26"/>
      <c r="D431" s="79"/>
    </row>
    <row r="432" spans="1:16" x14ac:dyDescent="0.3">
      <c r="A432" s="5"/>
      <c r="B432" s="707"/>
      <c r="C432" s="26"/>
      <c r="D432" s="79"/>
    </row>
    <row r="433" spans="1:4" x14ac:dyDescent="0.3">
      <c r="A433" s="5"/>
      <c r="B433" s="707"/>
      <c r="C433" s="26"/>
      <c r="D433" s="79"/>
    </row>
    <row r="434" spans="1:4" x14ac:dyDescent="0.3">
      <c r="A434" s="5"/>
      <c r="B434" s="707"/>
      <c r="C434" s="26"/>
      <c r="D434" s="79"/>
    </row>
    <row r="435" spans="1:4" x14ac:dyDescent="0.3">
      <c r="A435" s="5"/>
      <c r="B435" s="707"/>
      <c r="C435" s="26"/>
      <c r="D435" s="79"/>
    </row>
    <row r="436" spans="1:4" x14ac:dyDescent="0.3">
      <c r="A436" s="5"/>
      <c r="B436" s="707"/>
      <c r="C436" s="26"/>
      <c r="D436" s="79"/>
    </row>
    <row r="437" spans="1:4" x14ac:dyDescent="0.3">
      <c r="A437" s="5"/>
      <c r="B437" s="707"/>
      <c r="C437" s="26"/>
      <c r="D437" s="79"/>
    </row>
    <row r="438" spans="1:4" x14ac:dyDescent="0.3">
      <c r="A438" s="5"/>
      <c r="B438" s="707"/>
      <c r="C438" s="26"/>
      <c r="D438" s="79"/>
    </row>
    <row r="439" spans="1:4" x14ac:dyDescent="0.3">
      <c r="A439" s="5"/>
      <c r="B439" s="707"/>
      <c r="C439" s="26"/>
      <c r="D439" s="79"/>
    </row>
    <row r="440" spans="1:4" x14ac:dyDescent="0.3">
      <c r="A440" s="5"/>
      <c r="B440" s="707"/>
      <c r="C440" s="26"/>
      <c r="D440" s="79"/>
    </row>
    <row r="441" spans="1:4" x14ac:dyDescent="0.3">
      <c r="A441" s="5"/>
      <c r="B441" s="707"/>
      <c r="C441" s="26"/>
      <c r="D441" s="79"/>
    </row>
    <row r="442" spans="1:4" x14ac:dyDescent="0.3">
      <c r="A442" s="5"/>
      <c r="B442" s="707"/>
      <c r="C442" s="26"/>
      <c r="D442" s="79"/>
    </row>
    <row r="443" spans="1:4" x14ac:dyDescent="0.3">
      <c r="D443" s="79"/>
    </row>
    <row r="444" spans="1:4" x14ac:dyDescent="0.3">
      <c r="D444" s="79"/>
    </row>
    <row r="445" spans="1:4" x14ac:dyDescent="0.3">
      <c r="D445" s="79"/>
    </row>
    <row r="446" spans="1:4" x14ac:dyDescent="0.3">
      <c r="D446" s="79"/>
    </row>
    <row r="447" spans="1:4" x14ac:dyDescent="0.3">
      <c r="D447" s="79"/>
    </row>
    <row r="448" spans="1:4" x14ac:dyDescent="0.3">
      <c r="D448" s="79"/>
    </row>
    <row r="449" spans="4:4" x14ac:dyDescent="0.3">
      <c r="D449" s="79"/>
    </row>
    <row r="450" spans="4:4" x14ac:dyDescent="0.3">
      <c r="D450" s="79"/>
    </row>
    <row r="451" spans="4:4" x14ac:dyDescent="0.3">
      <c r="D451" s="79"/>
    </row>
    <row r="452" spans="4:4" x14ac:dyDescent="0.3">
      <c r="D452" s="79"/>
    </row>
    <row r="453" spans="4:4" x14ac:dyDescent="0.3">
      <c r="D453" s="79"/>
    </row>
    <row r="454" spans="4:4" x14ac:dyDescent="0.3">
      <c r="D454" s="79"/>
    </row>
    <row r="455" spans="4:4" x14ac:dyDescent="0.3">
      <c r="D455" s="79"/>
    </row>
    <row r="456" spans="4:4" x14ac:dyDescent="0.3">
      <c r="D456" s="79"/>
    </row>
    <row r="457" spans="4:4" x14ac:dyDescent="0.3">
      <c r="D457" s="79"/>
    </row>
    <row r="458" spans="4:4" x14ac:dyDescent="0.3">
      <c r="D458" s="79"/>
    </row>
    <row r="459" spans="4:4" x14ac:dyDescent="0.3">
      <c r="D459" s="79"/>
    </row>
    <row r="460" spans="4:4" x14ac:dyDescent="0.3">
      <c r="D460" s="79"/>
    </row>
    <row r="461" spans="4:4" x14ac:dyDescent="0.3">
      <c r="D461" s="79"/>
    </row>
    <row r="462" spans="4:4" x14ac:dyDescent="0.3">
      <c r="D462" s="79"/>
    </row>
    <row r="463" spans="4:4" x14ac:dyDescent="0.3">
      <c r="D463" s="79"/>
    </row>
    <row r="464" spans="4:4" x14ac:dyDescent="0.3">
      <c r="D464" s="79"/>
    </row>
    <row r="465" spans="4:4" x14ac:dyDescent="0.3">
      <c r="D465" s="79"/>
    </row>
    <row r="466" spans="4:4" x14ac:dyDescent="0.3">
      <c r="D466" s="79"/>
    </row>
    <row r="467" spans="4:4" x14ac:dyDescent="0.3">
      <c r="D467" s="79"/>
    </row>
    <row r="468" spans="4:4" x14ac:dyDescent="0.3">
      <c r="D468" s="79"/>
    </row>
    <row r="469" spans="4:4" x14ac:dyDescent="0.3">
      <c r="D469" s="79"/>
    </row>
    <row r="470" spans="4:4" x14ac:dyDescent="0.3">
      <c r="D470" s="79"/>
    </row>
    <row r="471" spans="4:4" x14ac:dyDescent="0.3">
      <c r="D471" s="79"/>
    </row>
    <row r="472" spans="4:4" x14ac:dyDescent="0.3">
      <c r="D472" s="79"/>
    </row>
    <row r="473" spans="4:4" x14ac:dyDescent="0.3">
      <c r="D473" s="79"/>
    </row>
    <row r="474" spans="4:4" x14ac:dyDescent="0.3">
      <c r="D474" s="79"/>
    </row>
    <row r="475" spans="4:4" x14ac:dyDescent="0.3">
      <c r="D475" s="79"/>
    </row>
    <row r="476" spans="4:4" x14ac:dyDescent="0.3">
      <c r="D476" s="79"/>
    </row>
    <row r="477" spans="4:4" x14ac:dyDescent="0.3">
      <c r="D477" s="79"/>
    </row>
    <row r="478" spans="4:4" x14ac:dyDescent="0.3">
      <c r="D478" s="79"/>
    </row>
    <row r="479" spans="4:4" x14ac:dyDescent="0.3">
      <c r="D479" s="79"/>
    </row>
    <row r="480" spans="4:4" x14ac:dyDescent="0.3">
      <c r="D480" s="79"/>
    </row>
    <row r="481" spans="4:4" x14ac:dyDescent="0.3">
      <c r="D481" s="79"/>
    </row>
    <row r="482" spans="4:4" x14ac:dyDescent="0.3">
      <c r="D482" s="79"/>
    </row>
    <row r="483" spans="4:4" x14ac:dyDescent="0.3">
      <c r="D483" s="79"/>
    </row>
    <row r="484" spans="4:4" x14ac:dyDescent="0.3">
      <c r="D484" s="79"/>
    </row>
    <row r="485" spans="4:4" x14ac:dyDescent="0.3">
      <c r="D485" s="79"/>
    </row>
    <row r="486" spans="4:4" x14ac:dyDescent="0.3">
      <c r="D486" s="79"/>
    </row>
    <row r="487" spans="4:4" x14ac:dyDescent="0.3">
      <c r="D487" s="79"/>
    </row>
    <row r="488" spans="4:4" x14ac:dyDescent="0.3">
      <c r="D488" s="79"/>
    </row>
    <row r="489" spans="4:4" x14ac:dyDescent="0.3">
      <c r="D489" s="79"/>
    </row>
    <row r="490" spans="4:4" x14ac:dyDescent="0.3">
      <c r="D490" s="79"/>
    </row>
    <row r="491" spans="4:4" x14ac:dyDescent="0.3">
      <c r="D491" s="79"/>
    </row>
    <row r="492" spans="4:4" x14ac:dyDescent="0.3">
      <c r="D492" s="79"/>
    </row>
    <row r="493" spans="4:4" x14ac:dyDescent="0.3">
      <c r="D493" s="79"/>
    </row>
    <row r="494" spans="4:4" x14ac:dyDescent="0.3">
      <c r="D494" s="79"/>
    </row>
    <row r="495" spans="4:4" x14ac:dyDescent="0.3">
      <c r="D495" s="79"/>
    </row>
    <row r="496" spans="4:4" x14ac:dyDescent="0.3">
      <c r="D496" s="79"/>
    </row>
    <row r="497" spans="4:4" x14ac:dyDescent="0.3">
      <c r="D497" s="79"/>
    </row>
    <row r="498" spans="4:4" x14ac:dyDescent="0.3">
      <c r="D498" s="79"/>
    </row>
    <row r="499" spans="4:4" x14ac:dyDescent="0.3">
      <c r="D499" s="79"/>
    </row>
    <row r="500" spans="4:4" x14ac:dyDescent="0.3">
      <c r="D500" s="79"/>
    </row>
    <row r="501" spans="4:4" x14ac:dyDescent="0.3">
      <c r="D501" s="79"/>
    </row>
    <row r="502" spans="4:4" x14ac:dyDescent="0.3">
      <c r="D502" s="79"/>
    </row>
    <row r="503" spans="4:4" x14ac:dyDescent="0.3">
      <c r="D503" s="79"/>
    </row>
    <row r="504" spans="4:4" x14ac:dyDescent="0.3">
      <c r="D504" s="79"/>
    </row>
    <row r="505" spans="4:4" x14ac:dyDescent="0.3">
      <c r="D505" s="79"/>
    </row>
    <row r="506" spans="4:4" x14ac:dyDescent="0.3">
      <c r="D506" s="79"/>
    </row>
    <row r="507" spans="4:4" x14ac:dyDescent="0.3">
      <c r="D507" s="79"/>
    </row>
    <row r="508" spans="4:4" x14ac:dyDescent="0.3">
      <c r="D508" s="79"/>
    </row>
    <row r="509" spans="4:4" x14ac:dyDescent="0.3">
      <c r="D509" s="79"/>
    </row>
    <row r="510" spans="4:4" x14ac:dyDescent="0.3">
      <c r="D510" s="79"/>
    </row>
    <row r="511" spans="4:4" x14ac:dyDescent="0.3">
      <c r="D511" s="79"/>
    </row>
    <row r="512" spans="4:4" x14ac:dyDescent="0.3">
      <c r="D512" s="79"/>
    </row>
    <row r="513" spans="4:4" x14ac:dyDescent="0.3">
      <c r="D513" s="79"/>
    </row>
    <row r="514" spans="4:4" x14ac:dyDescent="0.3">
      <c r="D514" s="79"/>
    </row>
    <row r="515" spans="4:4" x14ac:dyDescent="0.3">
      <c r="D515" s="79"/>
    </row>
    <row r="516" spans="4:4" x14ac:dyDescent="0.3">
      <c r="D516" s="79"/>
    </row>
    <row r="517" spans="4:4" x14ac:dyDescent="0.3">
      <c r="D517" s="79"/>
    </row>
    <row r="518" spans="4:4" x14ac:dyDescent="0.3">
      <c r="D518" s="79"/>
    </row>
    <row r="519" spans="4:4" x14ac:dyDescent="0.3">
      <c r="D519" s="79"/>
    </row>
    <row r="520" spans="4:4" x14ac:dyDescent="0.3">
      <c r="D520" s="79"/>
    </row>
    <row r="521" spans="4:4" x14ac:dyDescent="0.3">
      <c r="D521" s="79"/>
    </row>
    <row r="522" spans="4:4" x14ac:dyDescent="0.3">
      <c r="D522" s="79"/>
    </row>
    <row r="523" spans="4:4" x14ac:dyDescent="0.3">
      <c r="D523" s="79"/>
    </row>
    <row r="524" spans="4:4" x14ac:dyDescent="0.3">
      <c r="D524" s="79"/>
    </row>
    <row r="525" spans="4:4" x14ac:dyDescent="0.3">
      <c r="D525" s="79"/>
    </row>
    <row r="526" spans="4:4" x14ac:dyDescent="0.3">
      <c r="D526" s="79"/>
    </row>
    <row r="527" spans="4:4" x14ac:dyDescent="0.3">
      <c r="D527" s="79"/>
    </row>
    <row r="528" spans="4:4" x14ac:dyDescent="0.3">
      <c r="D528" s="79"/>
    </row>
    <row r="529" spans="4:4" x14ac:dyDescent="0.3">
      <c r="D529" s="79"/>
    </row>
    <row r="530" spans="4:4" x14ac:dyDescent="0.3">
      <c r="D530" s="79"/>
    </row>
    <row r="531" spans="4:4" x14ac:dyDescent="0.3">
      <c r="D531" s="79"/>
    </row>
    <row r="532" spans="4:4" x14ac:dyDescent="0.3">
      <c r="D532" s="79"/>
    </row>
    <row r="533" spans="4:4" x14ac:dyDescent="0.3">
      <c r="D533" s="79"/>
    </row>
    <row r="534" spans="4:4" x14ac:dyDescent="0.3">
      <c r="D534" s="79"/>
    </row>
    <row r="535" spans="4:4" x14ac:dyDescent="0.3">
      <c r="D535" s="79"/>
    </row>
    <row r="536" spans="4:4" x14ac:dyDescent="0.3">
      <c r="D536" s="79"/>
    </row>
    <row r="537" spans="4:4" x14ac:dyDescent="0.3">
      <c r="D537" s="79"/>
    </row>
    <row r="538" spans="4:4" x14ac:dyDescent="0.3">
      <c r="D538" s="79"/>
    </row>
    <row r="539" spans="4:4" x14ac:dyDescent="0.3">
      <c r="D539" s="79"/>
    </row>
    <row r="540" spans="4:4" x14ac:dyDescent="0.3">
      <c r="D540" s="79"/>
    </row>
    <row r="541" spans="4:4" x14ac:dyDescent="0.3">
      <c r="D541" s="79"/>
    </row>
    <row r="542" spans="4:4" x14ac:dyDescent="0.3">
      <c r="D542" s="79"/>
    </row>
    <row r="543" spans="4:4" x14ac:dyDescent="0.3">
      <c r="D543" s="79"/>
    </row>
    <row r="544" spans="4:4" x14ac:dyDescent="0.3">
      <c r="D544" s="79"/>
    </row>
    <row r="545" spans="4:4" x14ac:dyDescent="0.3">
      <c r="D545" s="79"/>
    </row>
    <row r="546" spans="4:4" x14ac:dyDescent="0.3">
      <c r="D546" s="79"/>
    </row>
    <row r="547" spans="4:4" x14ac:dyDescent="0.3">
      <c r="D547" s="79"/>
    </row>
    <row r="548" spans="4:4" x14ac:dyDescent="0.3">
      <c r="D548" s="79"/>
    </row>
    <row r="549" spans="4:4" x14ac:dyDescent="0.3">
      <c r="D549" s="79"/>
    </row>
    <row r="550" spans="4:4" x14ac:dyDescent="0.3">
      <c r="D550" s="79"/>
    </row>
    <row r="551" spans="4:4" x14ac:dyDescent="0.3">
      <c r="D551" s="79"/>
    </row>
    <row r="552" spans="4:4" x14ac:dyDescent="0.3">
      <c r="D552" s="79"/>
    </row>
    <row r="553" spans="4:4" x14ac:dyDescent="0.3">
      <c r="D553" s="79"/>
    </row>
    <row r="554" spans="4:4" x14ac:dyDescent="0.3">
      <c r="D554" s="79"/>
    </row>
    <row r="555" spans="4:4" x14ac:dyDescent="0.3">
      <c r="D555" s="79"/>
    </row>
    <row r="556" spans="4:4" x14ac:dyDescent="0.3">
      <c r="D556" s="79"/>
    </row>
    <row r="557" spans="4:4" x14ac:dyDescent="0.3">
      <c r="D557" s="79"/>
    </row>
    <row r="558" spans="4:4" x14ac:dyDescent="0.3">
      <c r="D558" s="79"/>
    </row>
    <row r="559" spans="4:4" x14ac:dyDescent="0.3">
      <c r="D559" s="79"/>
    </row>
    <row r="560" spans="4:4" x14ac:dyDescent="0.3">
      <c r="D560" s="79"/>
    </row>
    <row r="561" spans="4:4" x14ac:dyDescent="0.3">
      <c r="D561" s="79"/>
    </row>
    <row r="562" spans="4:4" x14ac:dyDescent="0.3">
      <c r="D562" s="79"/>
    </row>
    <row r="563" spans="4:4" x14ac:dyDescent="0.3">
      <c r="D563" s="79"/>
    </row>
    <row r="564" spans="4:4" x14ac:dyDescent="0.3">
      <c r="D564" s="79"/>
    </row>
    <row r="565" spans="4:4" x14ac:dyDescent="0.3">
      <c r="D565" s="79"/>
    </row>
    <row r="566" spans="4:4" x14ac:dyDescent="0.3">
      <c r="D566" s="79"/>
    </row>
    <row r="567" spans="4:4" x14ac:dyDescent="0.3">
      <c r="D567" s="79"/>
    </row>
    <row r="568" spans="4:4" x14ac:dyDescent="0.3">
      <c r="D568" s="79"/>
    </row>
    <row r="569" spans="4:4" x14ac:dyDescent="0.3">
      <c r="D569" s="79"/>
    </row>
    <row r="570" spans="4:4" x14ac:dyDescent="0.3">
      <c r="D570" s="79"/>
    </row>
    <row r="571" spans="4:4" x14ac:dyDescent="0.3">
      <c r="D571" s="79"/>
    </row>
    <row r="572" spans="4:4" x14ac:dyDescent="0.3">
      <c r="D572" s="79"/>
    </row>
    <row r="573" spans="4:4" x14ac:dyDescent="0.3">
      <c r="D573" s="79"/>
    </row>
    <row r="574" spans="4:4" x14ac:dyDescent="0.3">
      <c r="D574" s="79"/>
    </row>
    <row r="575" spans="4:4" x14ac:dyDescent="0.3">
      <c r="D575" s="79"/>
    </row>
    <row r="576" spans="4:4" x14ac:dyDescent="0.3">
      <c r="D576" s="79"/>
    </row>
    <row r="577" spans="4:4" x14ac:dyDescent="0.3">
      <c r="D577" s="79"/>
    </row>
    <row r="578" spans="4:4" x14ac:dyDescent="0.3">
      <c r="D578" s="79"/>
    </row>
    <row r="579" spans="4:4" x14ac:dyDescent="0.3">
      <c r="D579" s="79"/>
    </row>
    <row r="580" spans="4:4" x14ac:dyDescent="0.3">
      <c r="D580" s="79"/>
    </row>
    <row r="581" spans="4:4" x14ac:dyDescent="0.3">
      <c r="D581" s="79"/>
    </row>
    <row r="582" spans="4:4" x14ac:dyDescent="0.3">
      <c r="D582" s="79"/>
    </row>
    <row r="583" spans="4:4" x14ac:dyDescent="0.3">
      <c r="D583" s="79"/>
    </row>
    <row r="584" spans="4:4" x14ac:dyDescent="0.3">
      <c r="D584" s="79"/>
    </row>
    <row r="585" spans="4:4" x14ac:dyDescent="0.3">
      <c r="D585" s="79"/>
    </row>
    <row r="586" spans="4:4" x14ac:dyDescent="0.3">
      <c r="D586" s="79"/>
    </row>
    <row r="587" spans="4:4" x14ac:dyDescent="0.3">
      <c r="D587" s="79"/>
    </row>
    <row r="588" spans="4:4" x14ac:dyDescent="0.3">
      <c r="D588" s="79"/>
    </row>
    <row r="589" spans="4:4" x14ac:dyDescent="0.3">
      <c r="D589" s="79"/>
    </row>
    <row r="590" spans="4:4" x14ac:dyDescent="0.3">
      <c r="D590" s="79"/>
    </row>
    <row r="591" spans="4:4" x14ac:dyDescent="0.3">
      <c r="D591" s="79"/>
    </row>
    <row r="592" spans="4:4" x14ac:dyDescent="0.3">
      <c r="D592" s="79"/>
    </row>
    <row r="593" spans="4:4" x14ac:dyDescent="0.3">
      <c r="D593" s="79"/>
    </row>
    <row r="594" spans="4:4" x14ac:dyDescent="0.3">
      <c r="D594" s="79"/>
    </row>
    <row r="595" spans="4:4" x14ac:dyDescent="0.3">
      <c r="D595" s="79"/>
    </row>
    <row r="596" spans="4:4" x14ac:dyDescent="0.3">
      <c r="D596" s="79"/>
    </row>
    <row r="597" spans="4:4" x14ac:dyDescent="0.3">
      <c r="D597" s="79"/>
    </row>
    <row r="598" spans="4:4" x14ac:dyDescent="0.3">
      <c r="D598" s="79"/>
    </row>
    <row r="599" spans="4:4" x14ac:dyDescent="0.3">
      <c r="D599" s="79"/>
    </row>
    <row r="600" spans="4:4" x14ac:dyDescent="0.3">
      <c r="D600" s="79"/>
    </row>
    <row r="601" spans="4:4" x14ac:dyDescent="0.3">
      <c r="D601" s="79"/>
    </row>
    <row r="602" spans="4:4" x14ac:dyDescent="0.3">
      <c r="D602" s="79"/>
    </row>
    <row r="603" spans="4:4" x14ac:dyDescent="0.3">
      <c r="D603" s="79"/>
    </row>
    <row r="604" spans="4:4" x14ac:dyDescent="0.3">
      <c r="D604" s="79"/>
    </row>
    <row r="605" spans="4:4" x14ac:dyDescent="0.3">
      <c r="D605" s="79"/>
    </row>
    <row r="606" spans="4:4" x14ac:dyDescent="0.3">
      <c r="D606" s="79"/>
    </row>
    <row r="607" spans="4:4" x14ac:dyDescent="0.3">
      <c r="D607" s="79"/>
    </row>
    <row r="608" spans="4:4" x14ac:dyDescent="0.3">
      <c r="D608" s="79"/>
    </row>
    <row r="609" spans="4:4" x14ac:dyDescent="0.3">
      <c r="D609" s="79"/>
    </row>
    <row r="610" spans="4:4" x14ac:dyDescent="0.3">
      <c r="D610" s="79"/>
    </row>
    <row r="611" spans="4:4" x14ac:dyDescent="0.3">
      <c r="D611" s="79"/>
    </row>
    <row r="612" spans="4:4" x14ac:dyDescent="0.3">
      <c r="D612" s="79"/>
    </row>
    <row r="613" spans="4:4" x14ac:dyDescent="0.3">
      <c r="D613" s="79"/>
    </row>
    <row r="614" spans="4:4" x14ac:dyDescent="0.3">
      <c r="D614" s="79"/>
    </row>
    <row r="615" spans="4:4" x14ac:dyDescent="0.3">
      <c r="D615" s="79"/>
    </row>
    <row r="616" spans="4:4" x14ac:dyDescent="0.3">
      <c r="D616" s="79"/>
    </row>
    <row r="617" spans="4:4" x14ac:dyDescent="0.3">
      <c r="D617" s="79"/>
    </row>
    <row r="618" spans="4:4" x14ac:dyDescent="0.3">
      <c r="D618" s="79"/>
    </row>
    <row r="619" spans="4:4" x14ac:dyDescent="0.3">
      <c r="D619" s="79"/>
    </row>
    <row r="620" spans="4:4" x14ac:dyDescent="0.3">
      <c r="D620" s="79"/>
    </row>
    <row r="621" spans="4:4" x14ac:dyDescent="0.3">
      <c r="D621" s="79"/>
    </row>
    <row r="622" spans="4:4" x14ac:dyDescent="0.3">
      <c r="D622" s="79"/>
    </row>
    <row r="623" spans="4:4" x14ac:dyDescent="0.3">
      <c r="D623" s="79"/>
    </row>
    <row r="624" spans="4:4" x14ac:dyDescent="0.3">
      <c r="D624" s="79"/>
    </row>
    <row r="625" spans="4:4" x14ac:dyDescent="0.3">
      <c r="D625" s="79"/>
    </row>
    <row r="626" spans="4:4" x14ac:dyDescent="0.3">
      <c r="D626" s="79"/>
    </row>
    <row r="627" spans="4:4" x14ac:dyDescent="0.3">
      <c r="D627" s="79"/>
    </row>
    <row r="628" spans="4:4" x14ac:dyDescent="0.3">
      <c r="D628" s="79"/>
    </row>
    <row r="629" spans="4:4" x14ac:dyDescent="0.3">
      <c r="D629" s="79"/>
    </row>
    <row r="630" spans="4:4" x14ac:dyDescent="0.3">
      <c r="D630" s="79"/>
    </row>
    <row r="631" spans="4:4" x14ac:dyDescent="0.3">
      <c r="D631" s="79"/>
    </row>
    <row r="632" spans="4:4" x14ac:dyDescent="0.3">
      <c r="D632" s="79"/>
    </row>
    <row r="633" spans="4:4" x14ac:dyDescent="0.3">
      <c r="D633" s="79"/>
    </row>
    <row r="634" spans="4:4" x14ac:dyDescent="0.3">
      <c r="D634" s="79"/>
    </row>
    <row r="635" spans="4:4" x14ac:dyDescent="0.3">
      <c r="D635" s="79"/>
    </row>
    <row r="636" spans="4:4" x14ac:dyDescent="0.3">
      <c r="D636" s="79"/>
    </row>
    <row r="637" spans="4:4" x14ac:dyDescent="0.3">
      <c r="D637" s="79"/>
    </row>
    <row r="638" spans="4:4" x14ac:dyDescent="0.3">
      <c r="D638" s="79"/>
    </row>
    <row r="639" spans="4:4" x14ac:dyDescent="0.3">
      <c r="D639" s="79"/>
    </row>
    <row r="640" spans="4:4" x14ac:dyDescent="0.3">
      <c r="D640" s="79"/>
    </row>
    <row r="641" spans="4:4" x14ac:dyDescent="0.3">
      <c r="D641" s="79"/>
    </row>
    <row r="642" spans="4:4" x14ac:dyDescent="0.3">
      <c r="D642" s="79"/>
    </row>
    <row r="643" spans="4:4" x14ac:dyDescent="0.3">
      <c r="D643" s="79"/>
    </row>
    <row r="644" spans="4:4" x14ac:dyDescent="0.3">
      <c r="D644" s="79"/>
    </row>
    <row r="645" spans="4:4" x14ac:dyDescent="0.3">
      <c r="D645" s="79"/>
    </row>
    <row r="646" spans="4:4" x14ac:dyDescent="0.3">
      <c r="D646" s="79"/>
    </row>
    <row r="647" spans="4:4" x14ac:dyDescent="0.3">
      <c r="D647" s="79"/>
    </row>
    <row r="648" spans="4:4" x14ac:dyDescent="0.3">
      <c r="D648" s="79"/>
    </row>
    <row r="649" spans="4:4" x14ac:dyDescent="0.3">
      <c r="D649" s="79"/>
    </row>
    <row r="650" spans="4:4" x14ac:dyDescent="0.3">
      <c r="D650" s="79"/>
    </row>
    <row r="651" spans="4:4" x14ac:dyDescent="0.3">
      <c r="D651" s="79"/>
    </row>
    <row r="652" spans="4:4" x14ac:dyDescent="0.3">
      <c r="D652" s="79"/>
    </row>
    <row r="653" spans="4:4" x14ac:dyDescent="0.3">
      <c r="D653" s="79"/>
    </row>
    <row r="654" spans="4:4" x14ac:dyDescent="0.3">
      <c r="D654" s="79"/>
    </row>
    <row r="655" spans="4:4" x14ac:dyDescent="0.3">
      <c r="D655" s="79"/>
    </row>
    <row r="656" spans="4:4" x14ac:dyDescent="0.3">
      <c r="D656" s="79"/>
    </row>
    <row r="657" spans="4:4" x14ac:dyDescent="0.3">
      <c r="D657" s="79"/>
    </row>
    <row r="658" spans="4:4" x14ac:dyDescent="0.3">
      <c r="D658" s="79"/>
    </row>
    <row r="659" spans="4:4" x14ac:dyDescent="0.3">
      <c r="D659" s="79"/>
    </row>
    <row r="660" spans="4:4" x14ac:dyDescent="0.3">
      <c r="D660" s="79"/>
    </row>
    <row r="661" spans="4:4" x14ac:dyDescent="0.3">
      <c r="D661" s="79"/>
    </row>
    <row r="662" spans="4:4" x14ac:dyDescent="0.3">
      <c r="D662" s="79"/>
    </row>
    <row r="663" spans="4:4" x14ac:dyDescent="0.3">
      <c r="D663" s="79"/>
    </row>
    <row r="664" spans="4:4" x14ac:dyDescent="0.3">
      <c r="D664" s="79"/>
    </row>
    <row r="665" spans="4:4" x14ac:dyDescent="0.3">
      <c r="D665" s="79"/>
    </row>
    <row r="666" spans="4:4" x14ac:dyDescent="0.3">
      <c r="D666" s="79"/>
    </row>
    <row r="667" spans="4:4" x14ac:dyDescent="0.3">
      <c r="D667" s="79"/>
    </row>
    <row r="668" spans="4:4" x14ac:dyDescent="0.3">
      <c r="D668" s="79"/>
    </row>
    <row r="669" spans="4:4" x14ac:dyDescent="0.3">
      <c r="D669" s="79"/>
    </row>
    <row r="670" spans="4:4" x14ac:dyDescent="0.3">
      <c r="D670" s="79"/>
    </row>
    <row r="671" spans="4:4" x14ac:dyDescent="0.3">
      <c r="D671" s="79"/>
    </row>
    <row r="672" spans="4:4" x14ac:dyDescent="0.3">
      <c r="D672" s="79"/>
    </row>
    <row r="673" spans="4:4" x14ac:dyDescent="0.3">
      <c r="D673" s="79"/>
    </row>
    <row r="674" spans="4:4" x14ac:dyDescent="0.3">
      <c r="D674" s="79"/>
    </row>
    <row r="675" spans="4:4" x14ac:dyDescent="0.3">
      <c r="D675" s="79"/>
    </row>
    <row r="676" spans="4:4" x14ac:dyDescent="0.3">
      <c r="D676" s="79"/>
    </row>
    <row r="677" spans="4:4" x14ac:dyDescent="0.3">
      <c r="D677" s="79"/>
    </row>
    <row r="678" spans="4:4" x14ac:dyDescent="0.3">
      <c r="D678" s="79"/>
    </row>
    <row r="679" spans="4:4" x14ac:dyDescent="0.3">
      <c r="D679" s="79"/>
    </row>
    <row r="680" spans="4:4" x14ac:dyDescent="0.3">
      <c r="D680" s="79"/>
    </row>
    <row r="681" spans="4:4" x14ac:dyDescent="0.3">
      <c r="D681" s="79"/>
    </row>
    <row r="682" spans="4:4" x14ac:dyDescent="0.3">
      <c r="D682" s="79"/>
    </row>
    <row r="683" spans="4:4" x14ac:dyDescent="0.3">
      <c r="D683" s="79"/>
    </row>
    <row r="684" spans="4:4" x14ac:dyDescent="0.3">
      <c r="D684" s="79"/>
    </row>
    <row r="685" spans="4:4" x14ac:dyDescent="0.3">
      <c r="D685" s="79"/>
    </row>
    <row r="686" spans="4:4" x14ac:dyDescent="0.3">
      <c r="D686" s="79"/>
    </row>
    <row r="687" spans="4:4" x14ac:dyDescent="0.3">
      <c r="D687" s="79"/>
    </row>
    <row r="688" spans="4:4" x14ac:dyDescent="0.3">
      <c r="D688" s="79"/>
    </row>
    <row r="689" spans="4:4" x14ac:dyDescent="0.3">
      <c r="D689" s="79"/>
    </row>
    <row r="690" spans="4:4" x14ac:dyDescent="0.3">
      <c r="D690" s="79"/>
    </row>
    <row r="691" spans="4:4" x14ac:dyDescent="0.3">
      <c r="D691" s="79"/>
    </row>
    <row r="692" spans="4:4" x14ac:dyDescent="0.3">
      <c r="D692" s="79"/>
    </row>
    <row r="693" spans="4:4" x14ac:dyDescent="0.3">
      <c r="D693" s="79"/>
    </row>
    <row r="694" spans="4:4" x14ac:dyDescent="0.3">
      <c r="D694" s="79"/>
    </row>
    <row r="695" spans="4:4" x14ac:dyDescent="0.3">
      <c r="D695" s="79"/>
    </row>
    <row r="696" spans="4:4" x14ac:dyDescent="0.3">
      <c r="D696" s="79"/>
    </row>
    <row r="697" spans="4:4" x14ac:dyDescent="0.3">
      <c r="D697" s="79"/>
    </row>
    <row r="698" spans="4:4" x14ac:dyDescent="0.3">
      <c r="D698" s="79"/>
    </row>
    <row r="699" spans="4:4" x14ac:dyDescent="0.3">
      <c r="D699" s="79"/>
    </row>
    <row r="700" spans="4:4" x14ac:dyDescent="0.3">
      <c r="D700" s="79"/>
    </row>
    <row r="701" spans="4:4" x14ac:dyDescent="0.3">
      <c r="D701" s="79"/>
    </row>
    <row r="702" spans="4:4" x14ac:dyDescent="0.3">
      <c r="D702" s="79"/>
    </row>
    <row r="703" spans="4:4" x14ac:dyDescent="0.3">
      <c r="D703" s="79"/>
    </row>
    <row r="704" spans="4:4" x14ac:dyDescent="0.3">
      <c r="D704" s="79"/>
    </row>
    <row r="705" spans="4:4" x14ac:dyDescent="0.3">
      <c r="D705" s="79"/>
    </row>
    <row r="706" spans="4:4" x14ac:dyDescent="0.3">
      <c r="D706" s="79"/>
    </row>
    <row r="707" spans="4:4" x14ac:dyDescent="0.3">
      <c r="D707" s="79"/>
    </row>
    <row r="708" spans="4:4" x14ac:dyDescent="0.3">
      <c r="D708" s="79"/>
    </row>
    <row r="709" spans="4:4" x14ac:dyDescent="0.3">
      <c r="D709" s="79"/>
    </row>
    <row r="710" spans="4:4" x14ac:dyDescent="0.3">
      <c r="D710" s="79"/>
    </row>
    <row r="711" spans="4:4" x14ac:dyDescent="0.3">
      <c r="D711" s="79"/>
    </row>
    <row r="712" spans="4:4" x14ac:dyDescent="0.3">
      <c r="D712" s="79"/>
    </row>
    <row r="713" spans="4:4" x14ac:dyDescent="0.3">
      <c r="D713" s="79"/>
    </row>
    <row r="714" spans="4:4" x14ac:dyDescent="0.3">
      <c r="D714" s="79"/>
    </row>
    <row r="715" spans="4:4" x14ac:dyDescent="0.3">
      <c r="D715" s="79"/>
    </row>
    <row r="716" spans="4:4" x14ac:dyDescent="0.3">
      <c r="D716" s="79"/>
    </row>
    <row r="717" spans="4:4" x14ac:dyDescent="0.3">
      <c r="D717" s="79"/>
    </row>
    <row r="718" spans="4:4" x14ac:dyDescent="0.3">
      <c r="D718" s="79"/>
    </row>
    <row r="719" spans="4:4" x14ac:dyDescent="0.3">
      <c r="D719" s="79"/>
    </row>
    <row r="720" spans="4:4" x14ac:dyDescent="0.3">
      <c r="D720" s="79"/>
    </row>
    <row r="721" spans="4:4" x14ac:dyDescent="0.3">
      <c r="D721" s="79"/>
    </row>
    <row r="722" spans="4:4" x14ac:dyDescent="0.3">
      <c r="D722" s="79"/>
    </row>
    <row r="723" spans="4:4" x14ac:dyDescent="0.3">
      <c r="D723" s="79"/>
    </row>
    <row r="724" spans="4:4" x14ac:dyDescent="0.3">
      <c r="D724" s="79"/>
    </row>
    <row r="725" spans="4:4" x14ac:dyDescent="0.3">
      <c r="D725" s="79"/>
    </row>
    <row r="726" spans="4:4" x14ac:dyDescent="0.3">
      <c r="D726" s="79"/>
    </row>
    <row r="727" spans="4:4" x14ac:dyDescent="0.3">
      <c r="D727" s="79"/>
    </row>
    <row r="728" spans="4:4" x14ac:dyDescent="0.3">
      <c r="D728" s="79"/>
    </row>
    <row r="729" spans="4:4" x14ac:dyDescent="0.3">
      <c r="D729" s="79"/>
    </row>
    <row r="730" spans="4:4" x14ac:dyDescent="0.3">
      <c r="D730" s="79"/>
    </row>
    <row r="731" spans="4:4" x14ac:dyDescent="0.3">
      <c r="D731" s="79"/>
    </row>
    <row r="732" spans="4:4" x14ac:dyDescent="0.3">
      <c r="D732" s="79"/>
    </row>
    <row r="733" spans="4:4" x14ac:dyDescent="0.3">
      <c r="D733" s="79"/>
    </row>
    <row r="734" spans="4:4" x14ac:dyDescent="0.3">
      <c r="D734" s="79"/>
    </row>
    <row r="735" spans="4:4" x14ac:dyDescent="0.3">
      <c r="D735" s="79"/>
    </row>
    <row r="736" spans="4:4" x14ac:dyDescent="0.3">
      <c r="D736" s="79"/>
    </row>
    <row r="737" spans="4:4" x14ac:dyDescent="0.3">
      <c r="D737" s="79"/>
    </row>
    <row r="738" spans="4:4" x14ac:dyDescent="0.3">
      <c r="D738" s="79"/>
    </row>
    <row r="739" spans="4:4" x14ac:dyDescent="0.3">
      <c r="D739" s="79"/>
    </row>
    <row r="740" spans="4:4" x14ac:dyDescent="0.3">
      <c r="D740" s="79"/>
    </row>
    <row r="741" spans="4:4" x14ac:dyDescent="0.3">
      <c r="D741" s="79"/>
    </row>
    <row r="742" spans="4:4" x14ac:dyDescent="0.3">
      <c r="D742" s="79"/>
    </row>
    <row r="743" spans="4:4" x14ac:dyDescent="0.3">
      <c r="D743" s="79"/>
    </row>
    <row r="744" spans="4:4" x14ac:dyDescent="0.3">
      <c r="D744" s="79"/>
    </row>
  </sheetData>
  <sheetProtection formatCells="0" formatColumns="0" formatRows="0"/>
  <conditionalFormatting sqref="G33">
    <cfRule type="cellIs" dxfId="63" priority="93" stopIfTrue="1" operator="notEqual">
      <formula>0</formula>
    </cfRule>
  </conditionalFormatting>
  <conditionalFormatting sqref="G34">
    <cfRule type="cellIs" dxfId="62" priority="92" stopIfTrue="1" operator="notEqual">
      <formula>0</formula>
    </cfRule>
  </conditionalFormatting>
  <conditionalFormatting sqref="G65">
    <cfRule type="cellIs" dxfId="61" priority="91" stopIfTrue="1" operator="notEqual">
      <formula>0</formula>
    </cfRule>
  </conditionalFormatting>
  <conditionalFormatting sqref="G79">
    <cfRule type="cellIs" dxfId="60" priority="90" stopIfTrue="1" operator="notEqual">
      <formula>0</formula>
    </cfRule>
  </conditionalFormatting>
  <conditionalFormatting sqref="G80:G90">
    <cfRule type="cellIs" dxfId="59" priority="89" stopIfTrue="1" operator="notEqual">
      <formula>0</formula>
    </cfRule>
  </conditionalFormatting>
  <conditionalFormatting sqref="G133">
    <cfRule type="cellIs" dxfId="58" priority="88" stopIfTrue="1" operator="notEqual">
      <formula>0</formula>
    </cfRule>
  </conditionalFormatting>
  <conditionalFormatting sqref="G151">
    <cfRule type="cellIs" dxfId="57" priority="87" stopIfTrue="1" operator="notEqual">
      <formula>0</formula>
    </cfRule>
  </conditionalFormatting>
  <conditionalFormatting sqref="G163">
    <cfRule type="cellIs" dxfId="56" priority="86" stopIfTrue="1" operator="notEqual">
      <formula>0</formula>
    </cfRule>
  </conditionalFormatting>
  <conditionalFormatting sqref="G164">
    <cfRule type="cellIs" dxfId="55" priority="85" stopIfTrue="1" operator="notEqual">
      <formula>0</formula>
    </cfRule>
  </conditionalFormatting>
  <conditionalFormatting sqref="G178">
    <cfRule type="cellIs" dxfId="54" priority="84" stopIfTrue="1" operator="notEqual">
      <formula>0</formula>
    </cfRule>
  </conditionalFormatting>
  <conditionalFormatting sqref="G179">
    <cfRule type="cellIs" dxfId="53" priority="83" stopIfTrue="1" operator="notEqual">
      <formula>0</formula>
    </cfRule>
  </conditionalFormatting>
  <conditionalFormatting sqref="H237:H239">
    <cfRule type="cellIs" priority="79" stopIfTrue="1" operator="equal">
      <formula>";;;"</formula>
    </cfRule>
  </conditionalFormatting>
  <conditionalFormatting sqref="H237">
    <cfRule type="cellIs" dxfId="52" priority="78" stopIfTrue="1" operator="equal">
      <formula>0</formula>
    </cfRule>
  </conditionalFormatting>
  <conditionalFormatting sqref="H238">
    <cfRule type="cellIs" dxfId="51" priority="77" stopIfTrue="1" operator="equal">
      <formula>0</formula>
    </cfRule>
  </conditionalFormatting>
  <conditionalFormatting sqref="H239">
    <cfRule type="cellIs" dxfId="50" priority="76" stopIfTrue="1" operator="equal">
      <formula>0</formula>
    </cfRule>
  </conditionalFormatting>
  <conditionalFormatting sqref="H239">
    <cfRule type="cellIs" dxfId="49" priority="75" stopIfTrue="1" operator="equal">
      <formula>0</formula>
    </cfRule>
  </conditionalFormatting>
  <conditionalFormatting sqref="H237">
    <cfRule type="cellIs" dxfId="48" priority="74" stopIfTrue="1" operator="equal">
      <formula>0</formula>
    </cfRule>
  </conditionalFormatting>
  <conditionalFormatting sqref="G21">
    <cfRule type="cellIs" dxfId="47" priority="73" stopIfTrue="1" operator="notEqual">
      <formula>0</formula>
    </cfRule>
  </conditionalFormatting>
  <conditionalFormatting sqref="G7">
    <cfRule type="containsText" dxfId="46" priority="71" stopIfTrue="1" operator="containsText" text="Included in error count">
      <formula>NOT(ISERROR(SEARCH("Included in error count",G7)))</formula>
    </cfRule>
    <cfRule type="cellIs" dxfId="45" priority="72" stopIfTrue="1" operator="equal">
      <formula>1</formula>
    </cfRule>
  </conditionalFormatting>
  <conditionalFormatting sqref="G55">
    <cfRule type="containsText" dxfId="44" priority="69" stopIfTrue="1" operator="containsText" text="Included in error count">
      <formula>NOT(ISERROR(SEARCH("Included in error count",G55)))</formula>
    </cfRule>
    <cfRule type="cellIs" dxfId="43" priority="70" stopIfTrue="1" operator="equal">
      <formula>1</formula>
    </cfRule>
  </conditionalFormatting>
  <conditionalFormatting sqref="G120:G121">
    <cfRule type="containsText" dxfId="42" priority="67" stopIfTrue="1" operator="containsText" text="Included in error count">
      <formula>NOT(ISERROR(SEARCH("Included in error count",G120)))</formula>
    </cfRule>
    <cfRule type="cellIs" dxfId="41" priority="68" stopIfTrue="1" operator="equal">
      <formula>1</formula>
    </cfRule>
  </conditionalFormatting>
  <conditionalFormatting sqref="G122">
    <cfRule type="containsText" dxfId="40" priority="65" stopIfTrue="1" operator="containsText" text="Included in error count">
      <formula>NOT(ISERROR(SEARCH("Included in error count",G122)))</formula>
    </cfRule>
    <cfRule type="cellIs" dxfId="39" priority="66" stopIfTrue="1" operator="equal">
      <formula>1</formula>
    </cfRule>
  </conditionalFormatting>
  <conditionalFormatting sqref="G131">
    <cfRule type="containsText" dxfId="38" priority="61" stopIfTrue="1" operator="containsText" text="Included in error count">
      <formula>NOT(ISERROR(SEARCH("Included in error count",G131)))</formula>
    </cfRule>
    <cfRule type="cellIs" dxfId="37" priority="62" stopIfTrue="1" operator="equal">
      <formula>1</formula>
    </cfRule>
  </conditionalFormatting>
  <conditionalFormatting sqref="G153">
    <cfRule type="containsText" dxfId="36" priority="57" stopIfTrue="1" operator="containsText" text="Included in error count">
      <formula>NOT(ISERROR(SEARCH("Included in error count",G153)))</formula>
    </cfRule>
    <cfRule type="cellIs" dxfId="35" priority="58" stopIfTrue="1" operator="equal">
      <formula>1</formula>
    </cfRule>
  </conditionalFormatting>
  <conditionalFormatting sqref="G237">
    <cfRule type="containsText" dxfId="34" priority="46" stopIfTrue="1" operator="containsText" text="Included in error count">
      <formula>NOT(ISERROR(SEARCH("Included in error count",G237)))</formula>
    </cfRule>
    <cfRule type="cellIs" dxfId="33" priority="47" stopIfTrue="1" operator="equal">
      <formula>1</formula>
    </cfRule>
  </conditionalFormatting>
  <conditionalFormatting sqref="G238">
    <cfRule type="containsText" dxfId="32" priority="44" stopIfTrue="1" operator="containsText" text="Included in error count">
      <formula>NOT(ISERROR(SEARCH("Included in error count",G238)))</formula>
    </cfRule>
    <cfRule type="cellIs" dxfId="31" priority="45" stopIfTrue="1" operator="equal">
      <formula>1</formula>
    </cfRule>
  </conditionalFormatting>
  <conditionalFormatting sqref="G239">
    <cfRule type="containsText" dxfId="30" priority="42" stopIfTrue="1" operator="containsText" text="Included in error count">
      <formula>NOT(ISERROR(SEARCH("Included in error count",G239)))</formula>
    </cfRule>
    <cfRule type="cellIs" dxfId="29" priority="43" stopIfTrue="1" operator="equal">
      <formula>1</formula>
    </cfRule>
  </conditionalFormatting>
  <conditionalFormatting sqref="G168">
    <cfRule type="containsText" dxfId="28" priority="40" stopIfTrue="1" operator="containsText" text="Included in error count">
      <formula>NOT(ISERROR(SEARCH("Included in error count",G168)))</formula>
    </cfRule>
    <cfRule type="cellIs" dxfId="27" priority="41" stopIfTrue="1" operator="equal">
      <formula>1</formula>
    </cfRule>
  </conditionalFormatting>
  <pageMargins left="0.7" right="0.7" top="0.75" bottom="0.75" header="0.3" footer="0.3"/>
  <pageSetup scale="46" fitToHeight="0" orientation="landscape" r:id="rId1"/>
  <ignoredErrors>
    <ignoredError sqref="F7"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78EA5-77E1-4814-8728-4098B30437CB}">
  <sheetPr>
    <tabColor theme="3" tint="0.79998168889431442"/>
    <pageSetUpPr fitToPage="1"/>
  </sheetPr>
  <dimension ref="A1:CC10"/>
  <sheetViews>
    <sheetView showGridLines="0" zoomScale="70" zoomScaleNormal="70" workbookViewId="0">
      <selection activeCell="A8" sqref="A8:C8"/>
    </sheetView>
  </sheetViews>
  <sheetFormatPr defaultColWidth="9.109375" defaultRowHeight="14.4" x14ac:dyDescent="0.3"/>
  <cols>
    <col min="1" max="1" width="44.5546875" style="1008" customWidth="1"/>
    <col min="2" max="2" width="17.109375" style="1008" customWidth="1"/>
    <col min="3" max="3" width="19" style="1008" customWidth="1"/>
    <col min="4" max="4" width="19.109375" style="1008" customWidth="1"/>
    <col min="5" max="5" width="15.109375" style="1008" customWidth="1"/>
    <col min="6" max="6" width="12.88671875" style="1008" customWidth="1"/>
    <col min="7" max="7" width="43.88671875" style="1033" hidden="1" customWidth="1"/>
    <col min="8" max="8" width="77.5546875" style="1008" customWidth="1"/>
    <col min="9" max="9" width="91" style="1009" customWidth="1"/>
    <col min="10" max="10" width="46.109375" style="1009" customWidth="1"/>
    <col min="11" max="11" width="9.109375" style="1009" hidden="1" customWidth="1"/>
    <col min="12" max="12" width="36.88671875" style="274" hidden="1" customWidth="1"/>
    <col min="13" max="14" width="15.6640625" style="274" hidden="1" customWidth="1"/>
    <col min="15" max="15" width="56.33203125" style="274" customWidth="1"/>
    <col min="16" max="16" width="11.109375" style="1007" customWidth="1"/>
    <col min="17" max="18" width="9.109375" style="1008" customWidth="1"/>
    <col min="19" max="16384" width="9.109375" style="1008"/>
  </cols>
  <sheetData>
    <row r="1" spans="1:81" ht="40.5" customHeight="1" thickBot="1" x14ac:dyDescent="0.35">
      <c r="A1" s="1240" t="s">
        <v>1680</v>
      </c>
      <c r="B1" s="1241"/>
      <c r="C1" s="1241"/>
      <c r="D1" s="1241"/>
      <c r="E1" s="1241"/>
      <c r="F1" s="1241"/>
      <c r="G1" s="1241"/>
      <c r="H1" s="1242"/>
      <c r="I1" s="1238" t="s">
        <v>1690</v>
      </c>
      <c r="J1" s="1239"/>
      <c r="K1" s="1027"/>
    </row>
    <row r="2" spans="1:81" ht="88.5" customHeight="1" thickBot="1" x14ac:dyDescent="0.35">
      <c r="A2" s="1243" t="s">
        <v>1681</v>
      </c>
      <c r="B2" s="1244"/>
      <c r="C2" s="1244"/>
      <c r="D2" s="1244"/>
      <c r="E2" s="1244"/>
      <c r="F2" s="1244"/>
      <c r="G2" s="1244"/>
      <c r="H2" s="1245"/>
      <c r="I2" s="1231" t="s">
        <v>1689</v>
      </c>
      <c r="J2" s="1235" t="s">
        <v>1408</v>
      </c>
      <c r="K2" s="1037"/>
    </row>
    <row r="3" spans="1:81" ht="15" customHeight="1" x14ac:dyDescent="0.3">
      <c r="A3" s="1128" t="s">
        <v>1057</v>
      </c>
      <c r="B3" s="1023"/>
      <c r="C3" s="1023"/>
      <c r="D3" s="1023"/>
      <c r="E3" s="1129"/>
      <c r="F3" s="1129"/>
      <c r="G3" s="1246"/>
      <c r="H3" s="1247"/>
      <c r="I3" s="1232"/>
      <c r="J3" s="1236"/>
      <c r="K3" s="1037"/>
    </row>
    <row r="4" spans="1:81" ht="21.75" customHeight="1" x14ac:dyDescent="0.3">
      <c r="A4" s="1010" t="s">
        <v>1148</v>
      </c>
      <c r="B4" s="1248" t="str">
        <f>'Unit Data from Audit Worksheet'!D2</f>
        <v>Select Unit Name from Drop Down List</v>
      </c>
      <c r="C4" s="1248"/>
      <c r="D4" s="1248"/>
      <c r="E4" s="1249" t="s">
        <v>1682</v>
      </c>
      <c r="F4" s="1250"/>
      <c r="G4" s="1011"/>
      <c r="H4" s="1251" t="s">
        <v>1060</v>
      </c>
      <c r="I4" s="1233"/>
      <c r="J4" s="1236"/>
      <c r="K4" s="1038"/>
      <c r="L4" s="1012"/>
    </row>
    <row r="5" spans="1:81" ht="21.75" customHeight="1" thickBot="1" x14ac:dyDescent="0.35">
      <c r="A5" s="1013" t="s">
        <v>1059</v>
      </c>
      <c r="B5" s="1253" t="e">
        <f>'Unit Data from Audit Worksheet'!D3</f>
        <v>#N/A</v>
      </c>
      <c r="C5" s="1253"/>
      <c r="D5" s="1253"/>
      <c r="E5" s="1249"/>
      <c r="F5" s="1250"/>
      <c r="G5" s="1014"/>
      <c r="H5" s="1252"/>
      <c r="I5" s="1234"/>
      <c r="J5" s="1237"/>
      <c r="K5" s="1006"/>
      <c r="L5" s="170" t="s">
        <v>1106</v>
      </c>
    </row>
    <row r="6" spans="1:81" s="274" customFormat="1" ht="18.600000000000001" thickBot="1" x14ac:dyDescent="0.35">
      <c r="A6" s="1019"/>
      <c r="B6" s="1020"/>
      <c r="C6" s="1020"/>
      <c r="D6" s="1020"/>
      <c r="E6" s="1021"/>
      <c r="F6" s="1020"/>
      <c r="G6" s="1022"/>
      <c r="H6" s="1020"/>
      <c r="I6" s="1041"/>
      <c r="J6" s="1034"/>
      <c r="K6" s="1009"/>
      <c r="N6" s="1015"/>
      <c r="P6" s="1007"/>
      <c r="Q6" s="1008"/>
      <c r="R6" s="1008"/>
      <c r="S6" s="1008"/>
      <c r="T6" s="1008"/>
      <c r="U6" s="1008"/>
      <c r="V6" s="1008"/>
      <c r="W6" s="1008"/>
      <c r="X6" s="1008"/>
      <c r="Y6" s="1008"/>
      <c r="Z6" s="1008"/>
      <c r="AA6" s="1008"/>
      <c r="AB6" s="1008"/>
      <c r="AC6" s="1008"/>
      <c r="AD6" s="1008"/>
      <c r="AE6" s="1008"/>
      <c r="AF6" s="1008"/>
      <c r="AG6" s="1008"/>
      <c r="AH6" s="1008"/>
      <c r="AI6" s="1008"/>
      <c r="AJ6" s="1008"/>
      <c r="AK6" s="1008"/>
      <c r="AL6" s="1008"/>
      <c r="AM6" s="1008"/>
      <c r="AN6" s="1008"/>
      <c r="AO6" s="1008"/>
      <c r="AP6" s="1008"/>
      <c r="AQ6" s="1008"/>
      <c r="AR6" s="1008"/>
      <c r="AS6" s="1008"/>
      <c r="AT6" s="1008"/>
      <c r="AU6" s="1008"/>
      <c r="AV6" s="1008"/>
      <c r="AW6" s="1008"/>
      <c r="AX6" s="1008"/>
      <c r="AY6" s="1008"/>
      <c r="AZ6" s="1008"/>
      <c r="BA6" s="1008"/>
      <c r="BB6" s="1008"/>
      <c r="BC6" s="1008"/>
      <c r="BD6" s="1008"/>
      <c r="BE6" s="1008"/>
      <c r="BF6" s="1008"/>
      <c r="BG6" s="1008"/>
      <c r="BH6" s="1008"/>
      <c r="BI6" s="1008"/>
      <c r="BJ6" s="1008"/>
      <c r="BK6" s="1008"/>
      <c r="BL6" s="1008"/>
      <c r="BM6" s="1008"/>
      <c r="BN6" s="1008"/>
      <c r="BO6" s="1008"/>
      <c r="BP6" s="1008"/>
      <c r="BQ6" s="1008"/>
      <c r="BR6" s="1008"/>
      <c r="BS6" s="1008"/>
      <c r="BT6" s="1008"/>
      <c r="BU6" s="1008"/>
      <c r="BV6" s="1008"/>
      <c r="BW6" s="1008"/>
      <c r="BX6" s="1008"/>
      <c r="BY6" s="1008"/>
      <c r="BZ6" s="1008"/>
      <c r="CA6" s="1008"/>
      <c r="CB6" s="1008"/>
      <c r="CC6" s="1008"/>
    </row>
    <row r="7" spans="1:81" s="274" customFormat="1" ht="18.600000000000001" thickBot="1" x14ac:dyDescent="0.35">
      <c r="A7" s="1227" t="s">
        <v>1684</v>
      </c>
      <c r="B7" s="1228"/>
      <c r="C7" s="1229"/>
      <c r="D7" s="288" t="s">
        <v>1683</v>
      </c>
      <c r="E7" s="289" t="s">
        <v>1685</v>
      </c>
      <c r="F7" s="1023"/>
      <c r="G7" s="1024"/>
      <c r="H7" s="1025"/>
      <c r="I7" s="1043"/>
      <c r="J7" s="1025"/>
      <c r="K7" s="1006"/>
      <c r="P7" s="1007"/>
      <c r="Q7" s="1008"/>
      <c r="R7" s="1008"/>
      <c r="S7" s="1008"/>
      <c r="T7" s="1008"/>
      <c r="U7" s="1008"/>
      <c r="V7" s="1008"/>
      <c r="W7" s="1008"/>
      <c r="X7" s="1008"/>
      <c r="Y7" s="1008"/>
      <c r="Z7" s="1008"/>
      <c r="AA7" s="1008"/>
      <c r="AB7" s="1008"/>
      <c r="AC7" s="1008"/>
      <c r="AD7" s="1008"/>
      <c r="AE7" s="1008"/>
      <c r="AF7" s="1008"/>
      <c r="AG7" s="1008"/>
      <c r="AH7" s="1008"/>
      <c r="AI7" s="1008"/>
      <c r="AJ7" s="1008"/>
      <c r="AK7" s="1008"/>
      <c r="AL7" s="1008"/>
      <c r="AM7" s="1008"/>
      <c r="AN7" s="1008"/>
      <c r="AO7" s="1008"/>
      <c r="AP7" s="1008"/>
      <c r="AQ7" s="1008"/>
      <c r="AR7" s="1008"/>
      <c r="AS7" s="1008"/>
      <c r="AT7" s="1008"/>
      <c r="AU7" s="1008"/>
      <c r="AV7" s="1008"/>
      <c r="AW7" s="1008"/>
      <c r="AX7" s="1008"/>
      <c r="AY7" s="1008"/>
      <c r="AZ7" s="1008"/>
      <c r="BA7" s="1008"/>
      <c r="BB7" s="1008"/>
      <c r="BC7" s="1008"/>
      <c r="BD7" s="1008"/>
      <c r="BE7" s="1008"/>
      <c r="BF7" s="1008"/>
      <c r="BG7" s="1008"/>
      <c r="BH7" s="1008"/>
      <c r="BI7" s="1008"/>
      <c r="BJ7" s="1008"/>
      <c r="BK7" s="1008"/>
      <c r="BL7" s="1008"/>
      <c r="BM7" s="1008"/>
      <c r="BN7" s="1008"/>
      <c r="BO7" s="1008"/>
      <c r="BP7" s="1008"/>
      <c r="BQ7" s="1008"/>
      <c r="BR7" s="1008"/>
      <c r="BS7" s="1008"/>
      <c r="BT7" s="1008"/>
      <c r="BU7" s="1008"/>
      <c r="BV7" s="1008"/>
      <c r="BW7" s="1008"/>
      <c r="BX7" s="1008"/>
      <c r="BY7" s="1008"/>
      <c r="BZ7" s="1008"/>
      <c r="CA7" s="1008"/>
      <c r="CB7" s="1008"/>
      <c r="CC7" s="1008"/>
    </row>
    <row r="8" spans="1:81" s="274" customFormat="1" ht="92.25" customHeight="1" thickBot="1" x14ac:dyDescent="0.35">
      <c r="A8" s="1230" t="s">
        <v>1686</v>
      </c>
      <c r="B8" s="1230"/>
      <c r="C8" s="1230"/>
      <c r="D8" s="1026" t="b">
        <f>IF(Import!L258=1,"Yes",IF(Import!L258=2,"No"))</f>
        <v>0</v>
      </c>
      <c r="E8" s="1017" t="s">
        <v>1065</v>
      </c>
      <c r="F8" s="1026" t="b">
        <f>D8</f>
        <v>0</v>
      </c>
      <c r="G8" s="1018"/>
      <c r="H8" s="1039" t="s">
        <v>1687</v>
      </c>
      <c r="I8" s="1040" t="s">
        <v>1085</v>
      </c>
      <c r="J8" s="1042"/>
      <c r="K8" s="1006"/>
      <c r="P8" s="1007"/>
      <c r="Q8" s="1008"/>
      <c r="R8" s="1008"/>
      <c r="S8" s="1008"/>
      <c r="T8" s="1008"/>
      <c r="U8" s="1008"/>
      <c r="V8" s="1008"/>
      <c r="W8" s="1008"/>
      <c r="X8" s="1008"/>
      <c r="Y8" s="1008"/>
      <c r="Z8" s="1008"/>
      <c r="AA8" s="1008"/>
      <c r="AB8" s="1008"/>
      <c r="AC8" s="1008"/>
      <c r="AD8" s="1008"/>
      <c r="AE8" s="1008"/>
      <c r="AF8" s="1008"/>
      <c r="AG8" s="1008"/>
      <c r="AH8" s="1008"/>
      <c r="AI8" s="1008"/>
      <c r="AJ8" s="1008"/>
      <c r="AK8" s="1008"/>
      <c r="AL8" s="1008"/>
      <c r="AM8" s="1008"/>
      <c r="AN8" s="1008"/>
      <c r="AO8" s="1008"/>
      <c r="AP8" s="1008"/>
      <c r="AQ8" s="1008"/>
      <c r="AR8" s="1008"/>
      <c r="AS8" s="1008"/>
      <c r="AT8" s="1008"/>
      <c r="AU8" s="1008"/>
      <c r="AV8" s="1008"/>
      <c r="AW8" s="1008"/>
      <c r="AX8" s="1008"/>
      <c r="AY8" s="1008"/>
      <c r="AZ8" s="1008"/>
      <c r="BA8" s="1008"/>
      <c r="BB8" s="1008"/>
      <c r="BC8" s="1008"/>
      <c r="BD8" s="1008"/>
      <c r="BE8" s="1008"/>
      <c r="BF8" s="1008"/>
      <c r="BG8" s="1008"/>
      <c r="BH8" s="1008"/>
      <c r="BI8" s="1008"/>
      <c r="BJ8" s="1008"/>
      <c r="BK8" s="1008"/>
      <c r="BL8" s="1008"/>
      <c r="BM8" s="1008"/>
      <c r="BN8" s="1008"/>
      <c r="BO8" s="1008"/>
      <c r="BP8" s="1008"/>
      <c r="BQ8" s="1008"/>
      <c r="BR8" s="1008"/>
      <c r="BS8" s="1008"/>
      <c r="BT8" s="1008"/>
      <c r="BU8" s="1008"/>
      <c r="BV8" s="1008"/>
      <c r="BW8" s="1008"/>
      <c r="BX8" s="1008"/>
      <c r="BY8" s="1008"/>
      <c r="BZ8" s="1008"/>
      <c r="CA8" s="1008"/>
      <c r="CB8" s="1008"/>
      <c r="CC8" s="1008"/>
    </row>
    <row r="9" spans="1:81" s="274" customFormat="1" ht="68.25" customHeight="1" thickBot="1" x14ac:dyDescent="0.35">
      <c r="A9" s="1224" t="s">
        <v>1064</v>
      </c>
      <c r="B9" s="1225"/>
      <c r="C9" s="1226"/>
      <c r="D9" s="1029" t="e">
        <f>+M9+N9+L9+Import!L250+Import!L251+Import!L254</f>
        <v>#VALUE!</v>
      </c>
      <c r="E9" s="1028"/>
      <c r="F9" s="1030"/>
      <c r="G9" s="1018"/>
      <c r="H9" s="1036" t="s">
        <v>1688</v>
      </c>
      <c r="I9" s="1040" t="s">
        <v>1087</v>
      </c>
      <c r="J9" s="1042"/>
      <c r="K9" s="1006"/>
      <c r="L9" s="1016">
        <f>IF(Import!L247=1,1,0)</f>
        <v>0</v>
      </c>
      <c r="M9" s="1016">
        <f>IF(Import!L248=1,1,0)</f>
        <v>0</v>
      </c>
      <c r="N9" s="1016">
        <f>IF(Import!L249=1,1,0)</f>
        <v>0</v>
      </c>
      <c r="P9" s="1007"/>
      <c r="Q9" s="1008"/>
      <c r="R9" s="1008"/>
      <c r="S9" s="1008"/>
      <c r="T9" s="1008"/>
      <c r="U9" s="1008"/>
      <c r="V9" s="1008"/>
      <c r="W9" s="1008"/>
      <c r="X9" s="1008"/>
      <c r="Y9" s="1008"/>
      <c r="Z9" s="1008"/>
      <c r="AA9" s="1008"/>
      <c r="AB9" s="1008"/>
      <c r="AC9" s="1008"/>
      <c r="AD9" s="1008"/>
      <c r="AE9" s="1008"/>
      <c r="AF9" s="1008"/>
      <c r="AG9" s="1008"/>
      <c r="AH9" s="1008"/>
      <c r="AI9" s="1008"/>
      <c r="AJ9" s="1008"/>
      <c r="AK9" s="1008"/>
      <c r="AL9" s="1008"/>
      <c r="AM9" s="1008"/>
      <c r="AN9" s="1008"/>
      <c r="AO9" s="1008"/>
      <c r="AP9" s="1008"/>
      <c r="AQ9" s="1008"/>
      <c r="AR9" s="1008"/>
      <c r="AS9" s="1008"/>
      <c r="AT9" s="1008"/>
      <c r="AU9" s="1008"/>
      <c r="AV9" s="1008"/>
      <c r="AW9" s="1008"/>
      <c r="AX9" s="1008"/>
      <c r="AY9" s="1008"/>
      <c r="AZ9" s="1008"/>
      <c r="BA9" s="1008"/>
      <c r="BB9" s="1008"/>
      <c r="BC9" s="1008"/>
      <c r="BD9" s="1008"/>
      <c r="BE9" s="1008"/>
      <c r="BF9" s="1008"/>
      <c r="BG9" s="1008"/>
      <c r="BH9" s="1008"/>
      <c r="BI9" s="1008"/>
      <c r="BJ9" s="1008"/>
      <c r="BK9" s="1008"/>
      <c r="BL9" s="1008"/>
      <c r="BM9" s="1008"/>
      <c r="BN9" s="1008"/>
      <c r="BO9" s="1008"/>
      <c r="BP9" s="1008"/>
      <c r="BQ9" s="1008"/>
      <c r="BR9" s="1008"/>
      <c r="BS9" s="1008"/>
      <c r="BT9" s="1008"/>
      <c r="BU9" s="1008"/>
      <c r="BV9" s="1008"/>
      <c r="BW9" s="1008"/>
      <c r="BX9" s="1008"/>
      <c r="BY9" s="1008"/>
      <c r="BZ9" s="1008"/>
      <c r="CA9" s="1008"/>
      <c r="CB9" s="1008"/>
      <c r="CC9" s="1008"/>
    </row>
    <row r="10" spans="1:81" s="1009" customFormat="1" x14ac:dyDescent="0.3">
      <c r="A10" s="1031"/>
      <c r="B10" s="1031"/>
      <c r="C10" s="1031"/>
      <c r="D10" s="1031"/>
      <c r="E10" s="1031"/>
      <c r="F10" s="1031"/>
      <c r="G10" s="1032"/>
      <c r="H10" s="1031"/>
      <c r="I10" s="1035"/>
      <c r="J10" s="1035"/>
      <c r="L10" s="274"/>
      <c r="M10" s="274"/>
      <c r="N10" s="274"/>
      <c r="O10" s="274"/>
      <c r="P10" s="1007"/>
      <c r="Q10" s="1008"/>
      <c r="R10" s="1008"/>
      <c r="S10" s="1008"/>
      <c r="T10" s="1008"/>
      <c r="U10" s="1008"/>
      <c r="V10" s="1008"/>
      <c r="W10" s="1008"/>
      <c r="X10" s="1008"/>
      <c r="Y10" s="1008"/>
      <c r="Z10" s="1008"/>
      <c r="AA10" s="1008"/>
      <c r="AB10" s="1008"/>
      <c r="AC10" s="1008"/>
      <c r="AD10" s="1008"/>
      <c r="AE10" s="1008"/>
      <c r="AF10" s="1008"/>
      <c r="AG10" s="1008"/>
      <c r="AH10" s="1008"/>
      <c r="AI10" s="1008"/>
      <c r="AJ10" s="1008"/>
      <c r="AK10" s="1008"/>
      <c r="AL10" s="1008"/>
      <c r="AM10" s="1008"/>
      <c r="AN10" s="1008"/>
      <c r="AO10" s="1008"/>
      <c r="AP10" s="1008"/>
      <c r="AQ10" s="1008"/>
      <c r="AR10" s="1008"/>
      <c r="AS10" s="1008"/>
      <c r="AT10" s="1008"/>
      <c r="AU10" s="1008"/>
      <c r="AV10" s="1008"/>
      <c r="AW10" s="1008"/>
      <c r="AX10" s="1008"/>
      <c r="AY10" s="1008"/>
      <c r="AZ10" s="1008"/>
      <c r="BA10" s="1008"/>
      <c r="BB10" s="1008"/>
      <c r="BC10" s="1008"/>
      <c r="BD10" s="1008"/>
      <c r="BE10" s="1008"/>
      <c r="BF10" s="1008"/>
      <c r="BG10" s="1008"/>
      <c r="BH10" s="1008"/>
      <c r="BI10" s="1008"/>
      <c r="BJ10" s="1008"/>
      <c r="BK10" s="1008"/>
      <c r="BL10" s="1008"/>
      <c r="BM10" s="1008"/>
      <c r="BN10" s="1008"/>
      <c r="BO10" s="1008"/>
      <c r="BP10" s="1008"/>
      <c r="BQ10" s="1008"/>
      <c r="BR10" s="1008"/>
      <c r="BS10" s="1008"/>
      <c r="BT10" s="1008"/>
      <c r="BU10" s="1008"/>
      <c r="BV10" s="1008"/>
      <c r="BW10" s="1008"/>
      <c r="BX10" s="1008"/>
      <c r="BY10" s="1008"/>
      <c r="BZ10" s="1008"/>
      <c r="CA10" s="1008"/>
      <c r="CB10" s="1008"/>
      <c r="CC10" s="1008"/>
    </row>
  </sheetData>
  <mergeCells count="13">
    <mergeCell ref="I1:J1"/>
    <mergeCell ref="A1:H1"/>
    <mergeCell ref="A2:H2"/>
    <mergeCell ref="G3:H3"/>
    <mergeCell ref="B4:D4"/>
    <mergeCell ref="E4:F5"/>
    <mergeCell ref="H4:H5"/>
    <mergeCell ref="B5:D5"/>
    <mergeCell ref="A9:C9"/>
    <mergeCell ref="A7:C7"/>
    <mergeCell ref="A8:C8"/>
    <mergeCell ref="I2:I5"/>
    <mergeCell ref="J2:J5"/>
  </mergeCells>
  <conditionalFormatting sqref="F8">
    <cfRule type="cellIs" dxfId="26" priority="21" operator="equal">
      <formula>"No"</formula>
    </cfRule>
  </conditionalFormatting>
  <conditionalFormatting sqref="F9">
    <cfRule type="expression" dxfId="25" priority="9">
      <formula>$D$9&gt;0</formula>
    </cfRule>
  </conditionalFormatting>
  <pageMargins left="0.25" right="0.25" top="0.05" bottom="0.05" header="0.3" footer="0.3"/>
  <pageSetup scale="65"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ED8F8-0789-47C5-8DBB-AB7B88D9B55C}">
  <sheetPr codeName="Sheet6">
    <tabColor theme="3" tint="0.79998168889431442"/>
    <pageSetUpPr fitToPage="1"/>
  </sheetPr>
  <dimension ref="A1:BZ49"/>
  <sheetViews>
    <sheetView showGridLines="0" zoomScale="80" zoomScaleNormal="80" workbookViewId="0">
      <pane ySplit="4" topLeftCell="A21" activePane="bottomLeft" state="frozen"/>
      <selection pane="bottomLeft" activeCell="G26" sqref="G26"/>
    </sheetView>
  </sheetViews>
  <sheetFormatPr defaultColWidth="9.109375" defaultRowHeight="14.4" x14ac:dyDescent="0.3"/>
  <cols>
    <col min="1" max="1" width="44.5546875" style="504" customWidth="1"/>
    <col min="2" max="2" width="17.33203125" style="504" customWidth="1"/>
    <col min="3" max="3" width="17.88671875" style="504" customWidth="1"/>
    <col min="4" max="4" width="20.88671875" style="504" customWidth="1"/>
    <col min="5" max="5" width="16.109375" style="504" customWidth="1"/>
    <col min="6" max="6" width="14.88671875" style="504" customWidth="1"/>
    <col min="7" max="7" width="46.109375" style="511" customWidth="1"/>
    <col min="8" max="8" width="77.5546875" style="504" customWidth="1"/>
    <col min="9" max="9" width="34" style="504" customWidth="1"/>
    <col min="10" max="10" width="9.109375" style="504" customWidth="1"/>
    <col min="11" max="11" width="36.88671875" style="504" customWidth="1"/>
    <col min="12" max="12" width="15" style="504" customWidth="1"/>
    <col min="13" max="13" width="11.88671875" style="504" customWidth="1"/>
    <col min="14" max="24" width="9.109375" style="504" customWidth="1"/>
    <col min="25" max="25" width="9.109375" style="308" customWidth="1"/>
    <col min="26" max="26" width="36.88671875" style="584" hidden="1" customWidth="1"/>
    <col min="27" max="16384" width="9.109375" style="504"/>
  </cols>
  <sheetData>
    <row r="1" spans="1:78" x14ac:dyDescent="0.3">
      <c r="A1" s="505" t="s">
        <v>1057</v>
      </c>
      <c r="B1" s="506"/>
      <c r="C1" s="506"/>
      <c r="D1" s="506"/>
      <c r="E1" s="507" t="s">
        <v>1058</v>
      </c>
      <c r="F1" s="507">
        <v>2021</v>
      </c>
      <c r="G1" s="1259"/>
      <c r="H1" s="1260"/>
      <c r="I1" s="508"/>
      <c r="Z1" s="577" t="s">
        <v>1355</v>
      </c>
    </row>
    <row r="2" spans="1:78" ht="98.25" customHeight="1" x14ac:dyDescent="0.3">
      <c r="A2" s="509" t="s">
        <v>1148</v>
      </c>
      <c r="B2" s="1261" t="str">
        <f>'Unit Data from Audit Worksheet'!D2</f>
        <v>Select Unit Name from Drop Down List</v>
      </c>
      <c r="C2" s="1261"/>
      <c r="D2" s="1261"/>
      <c r="E2" s="1265" t="s">
        <v>1609</v>
      </c>
      <c r="F2" s="1265"/>
      <c r="G2" s="1265"/>
      <c r="H2" s="1262" t="s">
        <v>1370</v>
      </c>
      <c r="I2" s="510"/>
      <c r="J2" s="511"/>
      <c r="K2" s="512"/>
      <c r="Z2" s="162"/>
    </row>
    <row r="3" spans="1:78" ht="38.25" customHeight="1" x14ac:dyDescent="0.3">
      <c r="A3" s="513" t="s">
        <v>1059</v>
      </c>
      <c r="B3" s="1264" t="e">
        <f>'Unit Data from Audit Worksheet'!D3</f>
        <v>#N/A</v>
      </c>
      <c r="C3" s="1264"/>
      <c r="D3" s="1264"/>
      <c r="E3" s="1266"/>
      <c r="F3" s="1266"/>
      <c r="G3" s="1266"/>
      <c r="H3" s="1263"/>
      <c r="I3" s="508"/>
      <c r="K3" s="514" t="s">
        <v>1106</v>
      </c>
      <c r="Z3" s="162"/>
    </row>
    <row r="4" spans="1:78" ht="106.5" customHeight="1" x14ac:dyDescent="0.3">
      <c r="A4" s="593"/>
      <c r="B4" s="594">
        <v>2019</v>
      </c>
      <c r="C4" s="594">
        <v>2020</v>
      </c>
      <c r="D4" s="594">
        <v>2021</v>
      </c>
      <c r="E4" s="595" t="s">
        <v>1368</v>
      </c>
      <c r="F4" s="594" t="s">
        <v>1068</v>
      </c>
      <c r="G4" s="596"/>
      <c r="H4" s="594" t="s">
        <v>1060</v>
      </c>
      <c r="I4" s="595" t="s">
        <v>1408</v>
      </c>
      <c r="J4" s="515"/>
      <c r="Z4" s="162"/>
    </row>
    <row r="5" spans="1:78" x14ac:dyDescent="0.3">
      <c r="A5" s="589" t="s">
        <v>703</v>
      </c>
      <c r="B5" s="590"/>
      <c r="C5" s="590"/>
      <c r="D5" s="590"/>
      <c r="E5" s="591"/>
      <c r="F5" s="588"/>
      <c r="G5" s="591"/>
      <c r="H5" s="590"/>
      <c r="I5" s="592"/>
      <c r="J5" s="515"/>
      <c r="K5" s="517">
        <f>+(Import!$L$72+Import!$L$77+Import!$L$74-Import!$L$75-Import!$L$76)</f>
        <v>0</v>
      </c>
      <c r="L5" s="504" t="s">
        <v>1157</v>
      </c>
      <c r="Z5" s="579"/>
    </row>
    <row r="6" spans="1:78" ht="143.25" customHeight="1" x14ac:dyDescent="0.3">
      <c r="A6" s="409" t="s">
        <v>876</v>
      </c>
      <c r="B6" s="405" t="e">
        <f>HLOOKUP($B$3,'2019 Data(H)'!$E$2:$CZ$299,291,FALSE)</f>
        <v>#N/A</v>
      </c>
      <c r="C6" s="405" t="e">
        <f>HLOOKUP($B$2,'2020 Data(H)'!$E$1:$CZ$432,339,FALSE)</f>
        <v>#N/A</v>
      </c>
      <c r="D6" s="405" t="str">
        <f>IFERROR((Import!$L$52+Import!$L$53-Import!$L$57-Import!$L$58-Import!$L$230-Import!$L$62+Import!$L$89)/(Import!$L$72+Import!$L$77+Import!$L$74-Import!$L$75-Import!$L$76),"")</f>
        <v/>
      </c>
      <c r="E6" s="562" t="b">
        <f>IF(K5&gt;10000000,"25% -- Average of similar units is 46%",IF(K5&gt;999999,"34% -- Average of similar units is 63%",IF(K5&gt;99999,"71% -- Average of similar units is 132%",IF(K5&gt;1,"100 %-- Average of similar units is 260%"))))</f>
        <v>0</v>
      </c>
      <c r="F6" s="966"/>
      <c r="G6" s="986" t="s">
        <v>1570</v>
      </c>
      <c r="H6" s="955" t="s">
        <v>1610</v>
      </c>
      <c r="I6" s="561"/>
      <c r="J6" s="515"/>
      <c r="K6" s="518" t="b">
        <f>IF($K$5&gt;10000000,"25%",IF($K$5&gt;999999,"34%",IF($K$5&gt;99999,"71%",IF($K$5&gt;1,"100%"))))</f>
        <v>0</v>
      </c>
      <c r="L6" s="519" t="e">
        <f>+D6-K6</f>
        <v>#VALUE!</v>
      </c>
      <c r="Z6" s="162" t="s">
        <v>1356</v>
      </c>
    </row>
    <row r="7" spans="1:78" ht="22.5" customHeight="1" x14ac:dyDescent="0.3">
      <c r="A7" s="409"/>
      <c r="B7" s="407"/>
      <c r="C7" s="407"/>
      <c r="D7" s="407"/>
      <c r="E7" s="562"/>
      <c r="F7" s="408"/>
      <c r="G7" s="560"/>
      <c r="H7" s="557"/>
      <c r="I7" s="998"/>
      <c r="J7" s="515"/>
      <c r="K7" s="563"/>
      <c r="L7" s="519"/>
      <c r="Z7" s="162"/>
    </row>
    <row r="8" spans="1:78" ht="137.25" customHeight="1" x14ac:dyDescent="0.3">
      <c r="A8" s="964" t="s">
        <v>1620</v>
      </c>
      <c r="B8" s="965" t="e">
        <f>HLOOKUP($B$3,'2019 Data(H)'!$E$2:$CZ$299,291,FALSE)</f>
        <v>#N/A</v>
      </c>
      <c r="C8" s="965" t="e">
        <f>HLOOKUP($B$2,'2020 Data(H)'!$E$1:$CZ$432,339,FALSE)</f>
        <v>#N/A</v>
      </c>
      <c r="D8" s="965" t="str">
        <f>IFERROR((Import!$L$52+Import!$L$53-Import!$L$57-Import!$L$58-Import!$L$230-Import!$L$62+Import!$L$89)/(Import!$L$72+Import!$L$77+Import!$L$74-Import!$L$75-Import!$L$76),"")</f>
        <v/>
      </c>
      <c r="E8" s="992" t="str">
        <f>IF($K$5&gt;99999999,"16%--Median of simiar units is 32%","20%--Median of similar units is 39%")</f>
        <v>20%--Median of similar units is 39%</v>
      </c>
      <c r="F8" s="966"/>
      <c r="G8" s="987" t="s">
        <v>1069</v>
      </c>
      <c r="H8" s="988" t="s">
        <v>1323</v>
      </c>
      <c r="I8" s="967"/>
      <c r="J8" s="515"/>
      <c r="K8" s="580">
        <f>IF($K$5&gt;99999999,16%,20%)</f>
        <v>0.2</v>
      </c>
      <c r="L8" s="519" t="e">
        <f>+D8-K8</f>
        <v>#VALUE!</v>
      </c>
      <c r="Z8" s="162" t="s">
        <v>1571</v>
      </c>
    </row>
    <row r="9" spans="1:78" ht="120" customHeight="1" x14ac:dyDescent="0.3">
      <c r="A9" s="963" t="s">
        <v>1622</v>
      </c>
      <c r="B9" s="965" t="e">
        <f>HLOOKUP($B$3,'2019 Data(H)'!$E$2:$CZ$299,291,FALSE)</f>
        <v>#N/A</v>
      </c>
      <c r="C9" s="965" t="e">
        <f>HLOOKUP($B$2,'2020 Data(H)'!$E$1:$CZ$432,339,FALSE)</f>
        <v>#N/A</v>
      </c>
      <c r="D9" s="965" t="str">
        <f>IFERROR((Import!$L$52+Import!$L$53-Import!$L$57-Import!$L$58-Import!$L$230-Import!$L$62+Import!$L$89)/(Import!$L$72+Import!$L$77+Import!$L$74-Import!$L$75-Import!$L$76),"")</f>
        <v/>
      </c>
      <c r="E9" s="992">
        <v>0.08</v>
      </c>
      <c r="F9" s="966" t="str">
        <f>+K9</f>
        <v/>
      </c>
      <c r="G9" s="987" t="s">
        <v>1069</v>
      </c>
      <c r="H9" s="988" t="s">
        <v>1617</v>
      </c>
      <c r="I9" s="543"/>
      <c r="J9" s="515"/>
      <c r="K9" s="965" t="str">
        <f>+IF(D9&gt;7.9999%,D9,"Less than 8%")</f>
        <v/>
      </c>
      <c r="L9" s="519"/>
      <c r="Z9" s="162"/>
    </row>
    <row r="10" spans="1:78" ht="152.25" customHeight="1" thickBot="1" x14ac:dyDescent="0.35">
      <c r="A10" s="963" t="s">
        <v>1096</v>
      </c>
      <c r="B10" s="593"/>
      <c r="C10" s="593"/>
      <c r="D10" s="968">
        <f>+Import!L65</f>
        <v>0</v>
      </c>
      <c r="E10" s="969"/>
      <c r="F10" s="968">
        <f>+D10</f>
        <v>0</v>
      </c>
      <c r="G10" s="568" t="s">
        <v>1097</v>
      </c>
      <c r="H10" s="568" t="s">
        <v>1327</v>
      </c>
      <c r="I10" s="541"/>
      <c r="J10" s="515"/>
      <c r="Z10" s="162" t="s">
        <v>1572</v>
      </c>
    </row>
    <row r="11" spans="1:78" ht="78" customHeight="1" x14ac:dyDescent="0.3">
      <c r="A11" s="578" t="s">
        <v>705</v>
      </c>
      <c r="B11" s="301">
        <f>+B4</f>
        <v>2019</v>
      </c>
      <c r="C11" s="301">
        <f>+C4</f>
        <v>2020</v>
      </c>
      <c r="D11" s="301">
        <f>+D4</f>
        <v>2021</v>
      </c>
      <c r="E11" s="523"/>
      <c r="F11" s="524"/>
      <c r="G11" s="1267" t="s">
        <v>1369</v>
      </c>
      <c r="H11" s="1268"/>
      <c r="I11" s="559"/>
      <c r="J11" s="515"/>
      <c r="K11" s="525" t="e">
        <f>HLOOKUP($B$3,'2019 Data(H)'!$E$2:$CZ$305,244,FALSE)</f>
        <v>#N/A</v>
      </c>
      <c r="L11" s="525" t="e">
        <f>HLOOKUP(B3,'2020 Data(H)'!E2:CZ350,244,FALSE)</f>
        <v>#N/A</v>
      </c>
      <c r="M11" s="525" t="e">
        <f>Import!L268</f>
        <v>#N/A</v>
      </c>
      <c r="N11" s="526"/>
      <c r="O11" s="526"/>
      <c r="P11" s="526"/>
      <c r="Q11" s="526"/>
      <c r="R11" s="526"/>
      <c r="S11" s="526"/>
      <c r="T11" s="526"/>
      <c r="U11" s="526"/>
      <c r="V11" s="526"/>
      <c r="W11" s="526"/>
      <c r="X11" s="526"/>
      <c r="Z11" s="162"/>
      <c r="AA11" s="526"/>
      <c r="AB11" s="526"/>
      <c r="AC11" s="526"/>
      <c r="AD11" s="526"/>
      <c r="AE11" s="526"/>
      <c r="AF11" s="526"/>
      <c r="AG11" s="526"/>
      <c r="AH11" s="526"/>
      <c r="AI11" s="526"/>
      <c r="AJ11" s="526"/>
      <c r="AK11" s="526"/>
      <c r="AL11" s="526"/>
      <c r="AM11" s="526"/>
      <c r="AN11" s="526"/>
      <c r="AO11" s="526"/>
      <c r="AP11" s="526"/>
      <c r="AQ11" s="526"/>
      <c r="AR11" s="526"/>
      <c r="AS11" s="526"/>
      <c r="AT11" s="526"/>
      <c r="AU11" s="526"/>
      <c r="AV11" s="526"/>
      <c r="AW11" s="526"/>
      <c r="AX11" s="526"/>
      <c r="AY11" s="526"/>
      <c r="AZ11" s="526"/>
      <c r="BA11" s="526"/>
      <c r="BB11" s="526"/>
      <c r="BC11" s="526"/>
      <c r="BD11" s="526"/>
      <c r="BE11" s="526"/>
      <c r="BF11" s="526"/>
      <c r="BG11" s="526"/>
      <c r="BH11" s="526"/>
      <c r="BI11" s="526"/>
      <c r="BJ11" s="526"/>
      <c r="BK11" s="526"/>
      <c r="BL11" s="526"/>
      <c r="BM11" s="526"/>
      <c r="BN11" s="526"/>
      <c r="BO11" s="526"/>
      <c r="BP11" s="526"/>
      <c r="BQ11" s="526"/>
      <c r="BR11" s="526"/>
      <c r="BS11" s="526"/>
      <c r="BT11" s="526"/>
      <c r="BU11" s="526"/>
      <c r="BV11" s="526"/>
      <c r="BW11" s="526"/>
      <c r="BX11" s="526"/>
      <c r="BY11" s="526"/>
      <c r="BZ11" s="526"/>
    </row>
    <row r="12" spans="1:78" ht="119.4" customHeight="1" x14ac:dyDescent="0.3">
      <c r="A12" s="413" t="s">
        <v>702</v>
      </c>
      <c r="B12" s="566" t="e">
        <f>IF(K11=0,"Not Applicable",(K12))</f>
        <v>#N/A</v>
      </c>
      <c r="C12" s="566" t="e">
        <f>IF(L11=0,"Not Applicable",(L12))</f>
        <v>#N/A</v>
      </c>
      <c r="D12" s="566" t="e">
        <f>IF(M11=0,"Not Applicable",M12)</f>
        <v>#N/A</v>
      </c>
      <c r="E12" s="567" t="s">
        <v>1061</v>
      </c>
      <c r="F12" s="958" t="str">
        <f>M12</f>
        <v/>
      </c>
      <c r="G12" s="567" t="s">
        <v>1070</v>
      </c>
      <c r="H12" s="568" t="s">
        <v>1099</v>
      </c>
      <c r="I12" s="561"/>
      <c r="J12" s="515"/>
      <c r="K12" s="525" t="e">
        <f>HLOOKUP($B$3,'2019 Data(H)'!$E$2:$CZ$305,299,FALSE)</f>
        <v>#N/A</v>
      </c>
      <c r="L12" s="525" t="e">
        <f>HLOOKUP(B2,'2020 Data(H)'!E1:CB432,347,FALSE)</f>
        <v>#N/A</v>
      </c>
      <c r="M12" s="527" t="str">
        <f>IFERROR((Import!$L$120-Import!$L$121-Import!$L$118-Import!$L$119)/(Import!$L$124-Import!$L$125-Import!$L$126-Import!$L$127-Import!$L$128-Import!$L$129-Import!$L$123),"")</f>
        <v/>
      </c>
      <c r="Z12" s="162" t="s">
        <v>1357</v>
      </c>
    </row>
    <row r="13" spans="1:78" ht="69.599999999999994" customHeight="1" x14ac:dyDescent="0.3">
      <c r="A13" s="413" t="s">
        <v>1111</v>
      </c>
      <c r="B13" s="569" t="e">
        <f>IF(K11=0,"Not Applicable",K13)</f>
        <v>#N/A</v>
      </c>
      <c r="C13" s="411" t="e">
        <f>IF(L11=0,"Not Applicable",L13)</f>
        <v>#N/A</v>
      </c>
      <c r="D13" s="570" t="e">
        <f>IF(M11=0,"Not Applicable",M13)</f>
        <v>#N/A</v>
      </c>
      <c r="E13" s="567" t="s">
        <v>1373</v>
      </c>
      <c r="F13" s="959" t="e">
        <f>D13</f>
        <v>#N/A</v>
      </c>
      <c r="G13" s="567" t="s">
        <v>1112</v>
      </c>
      <c r="H13" s="568" t="s">
        <v>1100</v>
      </c>
      <c r="I13" s="561"/>
      <c r="J13" s="515"/>
      <c r="K13" s="272" t="e">
        <f>HLOOKUP(B3,'2019 Data(H)'!E2:CB305,300,FALSE)</f>
        <v>#N/A</v>
      </c>
      <c r="L13" s="272" t="e">
        <f>HLOOKUP(B2,'2020 Data(H)'!F1:CZ432,348,FALSE)</f>
        <v>#N/A</v>
      </c>
      <c r="M13" s="951">
        <f>+Import!$L$153-Import!$L$155+Import!$L$154-Import!$L$182</f>
        <v>0</v>
      </c>
      <c r="Z13" s="162" t="s">
        <v>1357</v>
      </c>
    </row>
    <row r="14" spans="1:78" ht="109.95" customHeight="1" x14ac:dyDescent="0.3">
      <c r="A14" s="413" t="s">
        <v>1136</v>
      </c>
      <c r="B14" s="412" t="e">
        <f>IF(K11=0,"Not Applicable",K14)</f>
        <v>#N/A</v>
      </c>
      <c r="C14" s="412" t="e">
        <f>IF(L11=0,"Not Applicable",L14)</f>
        <v>#N/A</v>
      </c>
      <c r="D14" s="412" t="e">
        <f>IF(M11=0,"Not Applicable",M14)</f>
        <v>#N/A</v>
      </c>
      <c r="E14" s="567" t="s">
        <v>1606</v>
      </c>
      <c r="F14" s="406" t="e">
        <f>D14</f>
        <v>#N/A</v>
      </c>
      <c r="G14" s="567" t="s">
        <v>1113</v>
      </c>
      <c r="H14" s="568" t="s">
        <v>1324</v>
      </c>
      <c r="I14" s="561"/>
      <c r="J14" s="515"/>
      <c r="K14" s="273" t="e">
        <f>HLOOKUP(B3,'2019 Data(H)'!E2:CZ305,301,FALSE)</f>
        <v>#N/A</v>
      </c>
      <c r="L14" s="273" t="e">
        <f>HLOOKUP(B2,'2020 Data(H)'!F1:CZ432,349,FALSE)</f>
        <v>#N/A</v>
      </c>
      <c r="M14" s="273" t="str">
        <f>IFERROR(Import!L116/(Import!L155+Import!L158-Import!L154+Import!L182),"")</f>
        <v/>
      </c>
      <c r="Z14" s="162" t="s">
        <v>1357</v>
      </c>
    </row>
    <row r="15" spans="1:78" ht="99.75" customHeight="1" thickBot="1" x14ac:dyDescent="0.35">
      <c r="A15" s="1257" t="s">
        <v>1607</v>
      </c>
      <c r="B15" s="1258"/>
      <c r="C15" s="1258"/>
      <c r="D15" s="952" t="str">
        <f>IF(K15&lt;0,"Yes","No")</f>
        <v>No</v>
      </c>
      <c r="E15" s="997"/>
      <c r="F15" s="953" t="str">
        <f>D15</f>
        <v>No</v>
      </c>
      <c r="G15" s="564" t="s">
        <v>1608</v>
      </c>
      <c r="H15" s="571" t="s">
        <v>1105</v>
      </c>
      <c r="I15" s="565"/>
      <c r="J15" s="515"/>
      <c r="K15" s="300">
        <f>((Import!L158+Import!L155)*0.03)-Import!L161</f>
        <v>0</v>
      </c>
      <c r="Z15" s="162" t="s">
        <v>1357</v>
      </c>
    </row>
    <row r="16" spans="1:78" ht="37.5" customHeight="1" thickBot="1" x14ac:dyDescent="0.35">
      <c r="A16" s="293"/>
      <c r="B16" s="520"/>
      <c r="C16" s="520"/>
      <c r="D16" s="520"/>
      <c r="E16" s="521"/>
      <c r="F16" s="520"/>
      <c r="G16" s="522"/>
      <c r="H16" s="520"/>
      <c r="I16" s="520"/>
      <c r="Z16" s="581"/>
    </row>
    <row r="17" spans="1:26" ht="116.25" customHeight="1" thickBot="1" x14ac:dyDescent="0.35">
      <c r="A17" s="516" t="s">
        <v>704</v>
      </c>
      <c r="B17" s="302">
        <f>+B4</f>
        <v>2019</v>
      </c>
      <c r="C17" s="302">
        <f>+C4</f>
        <v>2020</v>
      </c>
      <c r="D17" s="302">
        <f>+D4</f>
        <v>2021</v>
      </c>
      <c r="E17" s="528"/>
      <c r="F17" s="529"/>
      <c r="G17" s="587" t="s">
        <v>1135</v>
      </c>
      <c r="H17" s="956" t="s">
        <v>1098</v>
      </c>
      <c r="I17" s="530"/>
      <c r="J17" s="515"/>
      <c r="K17" s="525" t="e">
        <f>HLOOKUP(B3,'2019 Data(H)'!E2:CZ310,243,FALSE)</f>
        <v>#N/A</v>
      </c>
      <c r="L17" s="275" t="e">
        <f>HLOOKUP(B3,'2020 Data(H)'!E2:CZ350,243,FALSE)</f>
        <v>#N/A</v>
      </c>
      <c r="M17" s="531" t="e">
        <f>+Import!L267</f>
        <v>#N/A</v>
      </c>
      <c r="Z17" s="579"/>
    </row>
    <row r="18" spans="1:26" ht="78" customHeight="1" x14ac:dyDescent="0.3">
      <c r="A18" s="303" t="s">
        <v>702</v>
      </c>
      <c r="B18" s="532" t="e">
        <f>IF(K17=0,"Not Applicable",K18)</f>
        <v>#N/A</v>
      </c>
      <c r="C18" s="532" t="e">
        <f>IF(L17=0,"Not Applicable",L18)</f>
        <v>#N/A</v>
      </c>
      <c r="D18" s="532" t="e">
        <f>IF(M17=0,"Not Applicable",M18)</f>
        <v>#N/A</v>
      </c>
      <c r="E18" s="567" t="s">
        <v>1061</v>
      </c>
      <c r="F18" s="960" t="str">
        <f>+M18</f>
        <v/>
      </c>
      <c r="G18" s="971" t="s">
        <v>1120</v>
      </c>
      <c r="H18" s="983" t="s">
        <v>1099</v>
      </c>
      <c r="I18" s="561"/>
      <c r="J18" s="515"/>
      <c r="K18" s="275" t="e">
        <f>HLOOKUP(B3,'2019 Data(H)'!E2:CZ310,302,FALSE)</f>
        <v>#N/A</v>
      </c>
      <c r="L18" s="525" t="e">
        <f>HLOOKUP(B2,'2020 Data(H)'!F1:CZ432,350,FALSE)</f>
        <v>#N/A</v>
      </c>
      <c r="M18" s="525" t="str">
        <f>IFERROR((Import!L138-Import!L139-Import!L137-Import!L136)/(Import!L143-Import!L144-Import!L145-Import!L146-Import!L147-Import!L148-Import!L142),"")</f>
        <v/>
      </c>
      <c r="Z18" s="582" t="s">
        <v>1358</v>
      </c>
    </row>
    <row r="19" spans="1:26" ht="60.75" customHeight="1" x14ac:dyDescent="0.3">
      <c r="A19" s="290" t="s">
        <v>1111</v>
      </c>
      <c r="B19" s="389" t="e">
        <f>IF(K17=0,"Not Applicable",K19)</f>
        <v>#N/A</v>
      </c>
      <c r="C19" s="389" t="e">
        <f>IF(L17=0,"Not Applicable",L19)</f>
        <v>#N/A</v>
      </c>
      <c r="D19" s="389" t="e">
        <f>IF(M17=0,"Not Applicable",M19)</f>
        <v>#N/A</v>
      </c>
      <c r="E19" s="567" t="s">
        <v>1373</v>
      </c>
      <c r="F19" s="961" t="e">
        <f>D19</f>
        <v>#N/A</v>
      </c>
      <c r="G19" s="971" t="s">
        <v>1114</v>
      </c>
      <c r="H19" s="983" t="s">
        <v>1100</v>
      </c>
      <c r="I19" s="561"/>
      <c r="J19" s="515"/>
      <c r="K19" s="272" t="e">
        <f>HLOOKUP(B3,'2019 Data(H)'!E2:CZ310,303,FALSE)</f>
        <v>#N/A</v>
      </c>
      <c r="L19" s="272" t="e">
        <f>HLOOKUP(B2,'2020 Data(H)'!F1:CZ432,351,FALSE)</f>
        <v>#N/A</v>
      </c>
      <c r="M19" s="272">
        <f>+Import!L168-Import!L171+Import!L170-Import!L185</f>
        <v>0</v>
      </c>
      <c r="Z19" s="582" t="s">
        <v>1358</v>
      </c>
    </row>
    <row r="20" spans="1:26" ht="88.5" customHeight="1" thickBot="1" x14ac:dyDescent="0.35">
      <c r="A20" s="304" t="s">
        <v>1136</v>
      </c>
      <c r="B20" s="390" t="e">
        <f>IF(K17=0,"Not Applicable",K20)</f>
        <v>#N/A</v>
      </c>
      <c r="C20" s="390" t="e">
        <f>IF(L17=0,"Not Applicable",L20)</f>
        <v>#N/A</v>
      </c>
      <c r="D20" s="390" t="e">
        <f>IF(M17=0,"Not Applicable",M20)</f>
        <v>#N/A</v>
      </c>
      <c r="E20" s="996" t="s">
        <v>1606</v>
      </c>
      <c r="F20" s="962" t="str">
        <f>+M20</f>
        <v/>
      </c>
      <c r="G20" s="985" t="s">
        <v>1124</v>
      </c>
      <c r="H20" s="984" t="s">
        <v>1324</v>
      </c>
      <c r="I20" s="565"/>
      <c r="J20" s="515"/>
      <c r="K20" s="273" t="e">
        <f>HLOOKUP(B3,'2019 Data(H)'!E2:CZ310,304,FALSE)</f>
        <v>#N/A</v>
      </c>
      <c r="L20" s="273" t="e">
        <f>HLOOKUP(B2,'2020 Data(H)'!F1:CZ432,352,FALSE)</f>
        <v>#N/A</v>
      </c>
      <c r="M20" s="273" t="str">
        <f>IFERROR(Import!L134/(Import!L174+Import!L171-Import!L170+Import!L185),"")</f>
        <v/>
      </c>
      <c r="Z20" s="582" t="s">
        <v>1358</v>
      </c>
    </row>
    <row r="21" spans="1:26" ht="15.75" customHeight="1" x14ac:dyDescent="0.3">
      <c r="A21" s="414"/>
      <c r="B21" s="415"/>
      <c r="C21" s="415"/>
      <c r="D21" s="415"/>
      <c r="E21" s="572"/>
      <c r="F21" s="573"/>
      <c r="G21" s="574"/>
      <c r="H21" s="574"/>
      <c r="I21" s="990"/>
      <c r="J21" s="515"/>
      <c r="K21" s="273"/>
      <c r="L21" s="273"/>
      <c r="M21" s="273"/>
      <c r="Z21" s="582"/>
    </row>
    <row r="22" spans="1:26" ht="50.25" customHeight="1" x14ac:dyDescent="0.3">
      <c r="A22" s="991" t="s">
        <v>1371</v>
      </c>
      <c r="B22" s="415"/>
      <c r="C22" s="415"/>
      <c r="D22" s="415"/>
      <c r="E22" s="572"/>
      <c r="F22" s="573"/>
      <c r="G22" s="574"/>
      <c r="H22" s="574"/>
      <c r="I22" s="990"/>
      <c r="J22" s="515"/>
      <c r="K22" s="273"/>
      <c r="L22" s="273"/>
      <c r="M22" s="273"/>
      <c r="Z22" s="582"/>
    </row>
    <row r="23" spans="1:26" ht="88.5" customHeight="1" x14ac:dyDescent="0.3">
      <c r="A23" s="410" t="s">
        <v>702</v>
      </c>
      <c r="B23" s="416"/>
      <c r="C23" s="416"/>
      <c r="D23" s="1000" t="str">
        <f>+M23</f>
        <v/>
      </c>
      <c r="E23" s="567" t="s">
        <v>1061</v>
      </c>
      <c r="F23" s="999" t="str">
        <f>+M23</f>
        <v/>
      </c>
      <c r="G23" s="568" t="s">
        <v>1618</v>
      </c>
      <c r="H23" s="568" t="s">
        <v>1099</v>
      </c>
      <c r="I23" s="543"/>
      <c r="J23" s="515"/>
      <c r="K23" s="273">
        <v>1000</v>
      </c>
      <c r="L23" s="273"/>
      <c r="M23" s="989" t="str">
        <f>IFERROR((+Import!L94-Import!L93)/Import!L95,"")</f>
        <v/>
      </c>
      <c r="Z23" s="582" t="s">
        <v>1372</v>
      </c>
    </row>
    <row r="24" spans="1:26" x14ac:dyDescent="0.3">
      <c r="A24" s="291"/>
      <c r="B24" s="535"/>
      <c r="C24" s="535"/>
      <c r="D24" s="535"/>
      <c r="E24" s="536"/>
      <c r="F24" s="535"/>
      <c r="G24" s="537"/>
      <c r="H24" s="535"/>
      <c r="I24" s="535"/>
      <c r="M24" s="279"/>
      <c r="Z24" s="583"/>
    </row>
    <row r="25" spans="1:26" x14ac:dyDescent="0.3">
      <c r="A25" s="538" t="s">
        <v>1062</v>
      </c>
      <c r="B25" s="292"/>
      <c r="C25" s="292"/>
      <c r="D25" s="292">
        <f>+D4</f>
        <v>2021</v>
      </c>
      <c r="E25" s="289" t="s">
        <v>1619</v>
      </c>
      <c r="F25" s="520"/>
      <c r="G25" s="289"/>
      <c r="H25" s="288" t="s">
        <v>1060</v>
      </c>
      <c r="I25" s="506"/>
    </row>
    <row r="26" spans="1:26" ht="148.5" customHeight="1" x14ac:dyDescent="0.3">
      <c r="A26" s="1254" t="s">
        <v>1132</v>
      </c>
      <c r="B26" s="1255"/>
      <c r="C26" s="1256"/>
      <c r="D26" s="540" t="b">
        <f>IF(Import!L258=1,"Yes",IF(Import!L258=2,"No"))</f>
        <v>0</v>
      </c>
      <c r="E26" s="977" t="s">
        <v>1065</v>
      </c>
      <c r="F26" s="540" t="b">
        <f>D26</f>
        <v>0</v>
      </c>
      <c r="G26" s="542" t="s">
        <v>1085</v>
      </c>
      <c r="H26" s="585" t="s">
        <v>1101</v>
      </c>
      <c r="I26" s="543"/>
      <c r="J26" s="515"/>
      <c r="Z26" s="582" t="s">
        <v>1359</v>
      </c>
    </row>
    <row r="27" spans="1:26" ht="18" customHeight="1" x14ac:dyDescent="0.3">
      <c r="A27" s="293"/>
      <c r="B27" s="520"/>
      <c r="C27" s="520"/>
      <c r="D27" s="288">
        <f>+D4</f>
        <v>2021</v>
      </c>
      <c r="E27" s="993"/>
      <c r="F27" s="520"/>
      <c r="G27" s="972"/>
      <c r="H27" s="520"/>
      <c r="I27" s="520"/>
      <c r="Z27" s="581"/>
    </row>
    <row r="28" spans="1:26" ht="121.2" customHeight="1" x14ac:dyDescent="0.3">
      <c r="A28" s="1254" t="s">
        <v>1276</v>
      </c>
      <c r="B28" s="1255"/>
      <c r="C28" s="1256"/>
      <c r="D28" s="295" t="e">
        <f>(+Import!L67-Import!L68)/Import!L68</f>
        <v>#DIV/0!</v>
      </c>
      <c r="E28" s="977" t="s">
        <v>1066</v>
      </c>
      <c r="F28" s="296" t="e">
        <f>+D28</f>
        <v>#DIV/0!</v>
      </c>
      <c r="G28" s="971" t="s">
        <v>1090</v>
      </c>
      <c r="H28" s="542" t="s">
        <v>1325</v>
      </c>
      <c r="I28" s="543"/>
      <c r="J28" s="515"/>
      <c r="Z28" s="162" t="s">
        <v>1360</v>
      </c>
    </row>
    <row r="29" spans="1:26" ht="18" customHeight="1" x14ac:dyDescent="0.3">
      <c r="A29" s="293"/>
      <c r="B29" s="520"/>
      <c r="C29" s="520"/>
      <c r="D29" s="288">
        <f>+D4</f>
        <v>2021</v>
      </c>
      <c r="E29" s="993"/>
      <c r="F29" s="520"/>
      <c r="G29" s="522"/>
      <c r="H29" s="520"/>
      <c r="I29" s="520"/>
      <c r="J29" s="544"/>
      <c r="Z29" s="581"/>
    </row>
    <row r="30" spans="1:26" ht="91.5" customHeight="1" x14ac:dyDescent="0.3">
      <c r="A30" s="1254" t="s">
        <v>1611</v>
      </c>
      <c r="B30" s="1255"/>
      <c r="C30" s="1256"/>
      <c r="D30" s="540" t="b">
        <f>IF(Import!L244=20,"Increase",IF(Import!L244=21,"Decrease",IF(Import!L244=22,"No Change",IF(Import!L244=23,"N/A"))))</f>
        <v>0</v>
      </c>
      <c r="E30" s="977" t="s">
        <v>1067</v>
      </c>
      <c r="F30" s="540" t="b">
        <f>D30</f>
        <v>0</v>
      </c>
      <c r="G30" s="542" t="s">
        <v>1091</v>
      </c>
      <c r="H30" s="982" t="s">
        <v>1612</v>
      </c>
      <c r="I30" s="398"/>
      <c r="J30" s="282"/>
      <c r="K30" s="515"/>
      <c r="Z30" s="162" t="s">
        <v>1360</v>
      </c>
    </row>
    <row r="31" spans="1:26" ht="18" customHeight="1" x14ac:dyDescent="0.3">
      <c r="A31" s="293"/>
      <c r="B31" s="520"/>
      <c r="C31" s="520"/>
      <c r="D31" s="288">
        <f>+D4</f>
        <v>2021</v>
      </c>
      <c r="E31" s="521"/>
      <c r="F31" s="520"/>
      <c r="G31" s="972"/>
      <c r="H31" s="973"/>
      <c r="I31" s="520"/>
      <c r="J31" s="545"/>
      <c r="Z31" s="581"/>
    </row>
    <row r="32" spans="1:26" ht="103.5" customHeight="1" x14ac:dyDescent="0.3">
      <c r="A32" s="1254" t="s">
        <v>1331</v>
      </c>
      <c r="B32" s="1275"/>
      <c r="C32" s="546"/>
      <c r="D32" s="297" t="str">
        <f>IF(Import!L256=1,"Yes",IF(Import!L256=2,"No",IF(Import!L256=0,"Question required to be answered")))</f>
        <v>Question required to be answered</v>
      </c>
      <c r="E32" s="539" t="s">
        <v>1095</v>
      </c>
      <c r="F32" s="533" t="str">
        <f>+D32</f>
        <v>Question required to be answered</v>
      </c>
      <c r="G32" s="971" t="s">
        <v>1086</v>
      </c>
      <c r="H32" s="542" t="s">
        <v>1326</v>
      </c>
      <c r="I32" s="543"/>
      <c r="J32" s="515"/>
      <c r="Z32" s="162" t="s">
        <v>1361</v>
      </c>
    </row>
    <row r="33" spans="1:26" ht="18" customHeight="1" x14ac:dyDescent="0.3">
      <c r="A33" s="293"/>
      <c r="B33" s="520"/>
      <c r="C33" s="520"/>
      <c r="D33" s="288">
        <f>+D4</f>
        <v>2021</v>
      </c>
      <c r="E33" s="521"/>
      <c r="F33" s="547"/>
      <c r="G33" s="972"/>
      <c r="H33" s="973"/>
      <c r="I33" s="520"/>
      <c r="Z33" s="581"/>
    </row>
    <row r="34" spans="1:26" ht="89.25" customHeight="1" x14ac:dyDescent="0.3">
      <c r="A34" s="1276" t="s">
        <v>1277</v>
      </c>
      <c r="B34" s="1277"/>
      <c r="C34" s="548"/>
      <c r="D34" s="298" t="str">
        <f>IF(Import!L191&gt;(Import!L155+Import!L158)*0.03,"Yes","No")</f>
        <v>No</v>
      </c>
      <c r="E34" s="994"/>
      <c r="F34" s="386" t="str">
        <f>+D34</f>
        <v>No</v>
      </c>
      <c r="G34" s="971" t="s">
        <v>1092</v>
      </c>
      <c r="H34" s="542" t="s">
        <v>1102</v>
      </c>
      <c r="I34" s="543"/>
      <c r="J34" s="515"/>
      <c r="M34" s="504" t="s">
        <v>1063</v>
      </c>
      <c r="Z34" s="162" t="s">
        <v>1361</v>
      </c>
    </row>
    <row r="35" spans="1:26" ht="18" customHeight="1" x14ac:dyDescent="0.3">
      <c r="A35" s="293"/>
      <c r="B35" s="520"/>
      <c r="C35" s="520"/>
      <c r="D35" s="288">
        <f>+D4</f>
        <v>2021</v>
      </c>
      <c r="E35" s="521"/>
      <c r="F35" s="520"/>
      <c r="G35" s="522"/>
      <c r="H35" s="520"/>
      <c r="I35" s="520"/>
      <c r="Z35" s="581"/>
    </row>
    <row r="36" spans="1:26" ht="165" customHeight="1" x14ac:dyDescent="0.3">
      <c r="A36" s="1272" t="s">
        <v>1613</v>
      </c>
      <c r="B36" s="1273"/>
      <c r="C36" s="1274"/>
      <c r="D36" s="976" t="str">
        <f>IFERROR(VLOOKUP(B3,UAL!A3:D141,4,FALSE),"Unit is not on the Unit Assistance List at this time")</f>
        <v>Unit is not on the Unit Assistance List at this time</v>
      </c>
      <c r="E36" s="977" t="s">
        <v>1614</v>
      </c>
      <c r="F36" s="978" t="str">
        <f>D36</f>
        <v>Unit is not on the Unit Assistance List at this time</v>
      </c>
      <c r="G36" s="549"/>
      <c r="H36" s="550" t="s">
        <v>1366</v>
      </c>
      <c r="I36" s="543"/>
      <c r="J36" s="515"/>
      <c r="K36" s="551" t="e">
        <f>VLOOKUP(B3,UAL!A3:D141,4,FALSE)</f>
        <v>#N/A</v>
      </c>
      <c r="Z36" s="162" t="s">
        <v>1362</v>
      </c>
    </row>
    <row r="37" spans="1:26" ht="18" customHeight="1" x14ac:dyDescent="0.3">
      <c r="A37" s="293"/>
      <c r="B37" s="520"/>
      <c r="C37" s="520"/>
      <c r="D37" s="288">
        <f>+D4</f>
        <v>2021</v>
      </c>
      <c r="E37" s="521"/>
      <c r="F37" s="520"/>
      <c r="G37" s="522"/>
      <c r="H37" s="520"/>
      <c r="I37" s="520"/>
      <c r="Z37" s="581"/>
    </row>
    <row r="38" spans="1:26" ht="43.2" x14ac:dyDescent="0.3">
      <c r="A38" s="1279" t="s">
        <v>1333</v>
      </c>
      <c r="B38" s="1280"/>
      <c r="C38" s="974"/>
      <c r="D38" s="299" t="str">
        <f>IF(Import!L257=1,"Yes",IF(Import!L257=2,"No",IF(Import!L257="0","This questions must be answered")))</f>
        <v>This questions must be answered</v>
      </c>
      <c r="E38" s="539"/>
      <c r="F38" s="575" t="str">
        <f>+D38</f>
        <v>This questions must be answered</v>
      </c>
      <c r="G38" s="971" t="s">
        <v>1093</v>
      </c>
      <c r="H38" s="542" t="s">
        <v>1137</v>
      </c>
      <c r="I38" s="543"/>
      <c r="J38" s="515"/>
      <c r="Z38" s="162" t="s">
        <v>1361</v>
      </c>
    </row>
    <row r="39" spans="1:26" ht="18" customHeight="1" x14ac:dyDescent="0.3">
      <c r="A39" s="975"/>
      <c r="B39" s="973"/>
      <c r="C39" s="973"/>
      <c r="D39" s="288">
        <f>+D4</f>
        <v>2021</v>
      </c>
      <c r="E39" s="521"/>
      <c r="F39" s="547"/>
      <c r="G39" s="972"/>
      <c r="H39" s="973"/>
      <c r="I39" s="520"/>
      <c r="Z39" s="581"/>
    </row>
    <row r="40" spans="1:26" ht="57.75" customHeight="1" x14ac:dyDescent="0.3">
      <c r="A40" s="1272" t="s">
        <v>1350</v>
      </c>
      <c r="B40" s="1278"/>
      <c r="C40" s="974"/>
      <c r="D40" s="299" t="str">
        <f>IF(Import!L253=1,"Yes",IF(Import!L253=2,"No",IF(Import!L253=3,"N/A",IF(Import!L253=0,"This questions must be answered"))))</f>
        <v>This questions must be answered</v>
      </c>
      <c r="E40" s="539"/>
      <c r="F40" s="540" t="str">
        <f>D40</f>
        <v>This questions must be answered</v>
      </c>
      <c r="G40" s="971" t="s">
        <v>1351</v>
      </c>
      <c r="H40" s="542" t="s">
        <v>1367</v>
      </c>
      <c r="I40" s="543"/>
      <c r="J40" s="515"/>
      <c r="Z40" s="586" t="s">
        <v>1363</v>
      </c>
    </row>
    <row r="41" spans="1:26" ht="18" customHeight="1" x14ac:dyDescent="0.3">
      <c r="A41" s="975"/>
      <c r="B41" s="973"/>
      <c r="C41" s="973"/>
      <c r="D41" s="288">
        <f>+D4</f>
        <v>2021</v>
      </c>
      <c r="E41" s="521"/>
      <c r="F41" s="520"/>
      <c r="G41" s="972"/>
      <c r="H41" s="973"/>
      <c r="I41" s="520"/>
      <c r="Z41" s="581"/>
    </row>
    <row r="42" spans="1:26" ht="67.5" customHeight="1" x14ac:dyDescent="0.3">
      <c r="A42" s="1272" t="s">
        <v>1615</v>
      </c>
      <c r="B42" s="1273"/>
      <c r="C42" s="1274"/>
      <c r="D42" s="552" t="b">
        <f>IF(Import!L193=1,"Yes",IF(Import!L193=2,"No",IF(Import!L193=3,"N/A")))</f>
        <v>0</v>
      </c>
      <c r="E42" s="539"/>
      <c r="F42" s="540" t="b">
        <f>+D42</f>
        <v>0</v>
      </c>
      <c r="G42" s="971" t="s">
        <v>1134</v>
      </c>
      <c r="H42" s="542" t="s">
        <v>1103</v>
      </c>
      <c r="I42" s="543"/>
      <c r="J42" s="515"/>
      <c r="Z42" s="162" t="s">
        <v>1360</v>
      </c>
    </row>
    <row r="43" spans="1:26" ht="18" customHeight="1" x14ac:dyDescent="0.3">
      <c r="A43" s="293"/>
      <c r="B43" s="520"/>
      <c r="C43" s="520"/>
      <c r="D43" s="288">
        <f>+D4</f>
        <v>2021</v>
      </c>
      <c r="E43" s="521"/>
      <c r="F43" s="520"/>
      <c r="G43" s="522"/>
      <c r="H43" s="520"/>
      <c r="I43" s="520"/>
      <c r="Z43" s="581"/>
    </row>
    <row r="44" spans="1:26" ht="68.25" customHeight="1" x14ac:dyDescent="0.3">
      <c r="A44" s="294" t="s">
        <v>1064</v>
      </c>
      <c r="B44" s="553"/>
      <c r="C44" s="546"/>
      <c r="D44" s="404" t="e">
        <f>+K44+L44+M44+Import!L250+Import!L251+Import!L254</f>
        <v>#VALUE!</v>
      </c>
      <c r="E44" s="539"/>
      <c r="F44" s="391"/>
      <c r="G44" s="534" t="s">
        <v>1087</v>
      </c>
      <c r="H44" s="542" t="s">
        <v>1104</v>
      </c>
      <c r="I44" s="543"/>
      <c r="J44" s="515"/>
      <c r="K44" s="525">
        <f>IF(Import!L247=1,1,0)</f>
        <v>0</v>
      </c>
      <c r="L44" s="525">
        <f>IF(Import!L248=1,1,0)</f>
        <v>0</v>
      </c>
      <c r="M44" s="525">
        <f>IF(Import!L249=1,1,0)</f>
        <v>0</v>
      </c>
      <c r="Z44" s="162"/>
    </row>
    <row r="45" spans="1:26" ht="18" customHeight="1" x14ac:dyDescent="0.3">
      <c r="A45" s="293"/>
      <c r="B45" s="520"/>
      <c r="C45" s="520"/>
      <c r="D45" s="288">
        <f>+D4</f>
        <v>2021</v>
      </c>
      <c r="E45" s="521"/>
      <c r="F45" s="520"/>
      <c r="G45" s="522"/>
      <c r="H45" s="520"/>
      <c r="I45" s="520"/>
      <c r="Z45" s="581"/>
    </row>
    <row r="46" spans="1:26" ht="184.95" customHeight="1" x14ac:dyDescent="0.3">
      <c r="A46" s="1272" t="s">
        <v>1094</v>
      </c>
      <c r="B46" s="1273"/>
      <c r="C46" s="1274"/>
      <c r="D46" s="979" t="e">
        <f>IF('Electric trans'!F29="No, unit exceeds limit by:","Yes","No")</f>
        <v>#N/A</v>
      </c>
      <c r="E46" s="977"/>
      <c r="F46" s="980" t="e">
        <f>+D46</f>
        <v>#N/A</v>
      </c>
      <c r="G46" s="971" t="s">
        <v>1145</v>
      </c>
      <c r="H46" s="542" t="s">
        <v>1328</v>
      </c>
      <c r="I46" s="543"/>
      <c r="J46" s="515"/>
      <c r="Z46" s="162" t="s">
        <v>1364</v>
      </c>
    </row>
    <row r="47" spans="1:26" ht="18" customHeight="1" x14ac:dyDescent="0.3">
      <c r="A47" s="506"/>
      <c r="B47" s="506"/>
      <c r="C47" s="506"/>
      <c r="D47" s="554"/>
      <c r="E47" s="555"/>
      <c r="F47" s="554"/>
      <c r="G47" s="556"/>
      <c r="H47" s="506"/>
      <c r="I47" s="520"/>
      <c r="Z47" s="577"/>
    </row>
    <row r="48" spans="1:26" ht="116.25" customHeight="1" x14ac:dyDescent="0.3">
      <c r="A48" s="1269" t="s">
        <v>1144</v>
      </c>
      <c r="B48" s="1270"/>
      <c r="C48" s="1271"/>
      <c r="D48" s="981">
        <f>+Import!L254</f>
        <v>0</v>
      </c>
      <c r="E48" s="567" t="s">
        <v>1352</v>
      </c>
      <c r="F48" s="995">
        <f>+D48</f>
        <v>0</v>
      </c>
      <c r="G48" s="557"/>
      <c r="H48" s="399"/>
      <c r="I48" s="576"/>
      <c r="J48" s="515"/>
      <c r="Z48" s="162" t="s">
        <v>1365</v>
      </c>
    </row>
    <row r="49" spans="1:26" x14ac:dyDescent="0.3">
      <c r="A49" s="545"/>
      <c r="B49" s="545"/>
      <c r="C49" s="545"/>
      <c r="G49" s="558"/>
      <c r="H49" s="545"/>
      <c r="I49" s="545"/>
      <c r="Z49" s="583"/>
    </row>
  </sheetData>
  <sheetProtection algorithmName="SHA-512" hashValue="D8MXCsv5f+9ahQOtPrzJ0i9NQMictBNfgJqcuWnSGn2IHK0hyNx21ESBWEMvfkwqcxebGJhjthVrA2Vj1p3BIg==" saltValue="pU5ENedn0ELZofHTxLGZ4g==" spinCount="100000" sheet="1" objects="1" scenarios="1"/>
  <mergeCells count="18">
    <mergeCell ref="A48:C48"/>
    <mergeCell ref="A28:C28"/>
    <mergeCell ref="A30:C30"/>
    <mergeCell ref="A36:C36"/>
    <mergeCell ref="A46:C46"/>
    <mergeCell ref="A32:B32"/>
    <mergeCell ref="A34:B34"/>
    <mergeCell ref="A40:B40"/>
    <mergeCell ref="A38:B38"/>
    <mergeCell ref="A42:C42"/>
    <mergeCell ref="A26:C26"/>
    <mergeCell ref="A15:C15"/>
    <mergeCell ref="G1:H1"/>
    <mergeCell ref="B2:D2"/>
    <mergeCell ref="H2:H3"/>
    <mergeCell ref="B3:D3"/>
    <mergeCell ref="E2:G3"/>
    <mergeCell ref="G11:H11"/>
  </mergeCells>
  <conditionalFormatting sqref="F12">
    <cfRule type="cellIs" dxfId="24" priority="50" operator="lessThan">
      <formula>1</formula>
    </cfRule>
  </conditionalFormatting>
  <conditionalFormatting sqref="F13">
    <cfRule type="cellIs" dxfId="23" priority="49" operator="lessThan">
      <formula>0</formula>
    </cfRule>
  </conditionalFormatting>
  <conditionalFormatting sqref="F14">
    <cfRule type="cellIs" dxfId="22" priority="48" operator="lessThan">
      <formula>0.16</formula>
    </cfRule>
  </conditionalFormatting>
  <conditionalFormatting sqref="F18">
    <cfRule type="cellIs" dxfId="21" priority="43" operator="lessThan">
      <formula>1</formula>
    </cfRule>
  </conditionalFormatting>
  <conditionalFormatting sqref="F19">
    <cfRule type="cellIs" dxfId="20" priority="42" operator="lessThan">
      <formula>0</formula>
    </cfRule>
  </conditionalFormatting>
  <conditionalFormatting sqref="F20">
    <cfRule type="cellIs" dxfId="19" priority="41" operator="lessThan">
      <formula>0.16</formula>
    </cfRule>
  </conditionalFormatting>
  <conditionalFormatting sqref="F26">
    <cfRule type="cellIs" dxfId="18" priority="40" operator="equal">
      <formula>"No"</formula>
    </cfRule>
  </conditionalFormatting>
  <conditionalFormatting sqref="F28">
    <cfRule type="cellIs" dxfId="17" priority="38" operator="lessThan">
      <formula>-0.03</formula>
    </cfRule>
  </conditionalFormatting>
  <conditionalFormatting sqref="F34">
    <cfRule type="cellIs" dxfId="16" priority="18" operator="equal">
      <formula>"Yes"</formula>
    </cfRule>
  </conditionalFormatting>
  <conditionalFormatting sqref="F36">
    <cfRule type="cellIs" dxfId="15" priority="36" operator="equal">
      <formula>"Yes"</formula>
    </cfRule>
  </conditionalFormatting>
  <conditionalFormatting sqref="F38">
    <cfRule type="cellIs" dxfId="14" priority="34" operator="equal">
      <formula>"Yes"</formula>
    </cfRule>
  </conditionalFormatting>
  <conditionalFormatting sqref="F40">
    <cfRule type="cellIs" dxfId="13" priority="33" operator="equal">
      <formula>"Yes"</formula>
    </cfRule>
  </conditionalFormatting>
  <conditionalFormatting sqref="F32">
    <cfRule type="cellIs" dxfId="12" priority="32" operator="equal">
      <formula>"No"</formula>
    </cfRule>
  </conditionalFormatting>
  <conditionalFormatting sqref="F10">
    <cfRule type="cellIs" dxfId="11" priority="30" operator="lessThan">
      <formula>0</formula>
    </cfRule>
  </conditionalFormatting>
  <conditionalFormatting sqref="F47">
    <cfRule type="cellIs" dxfId="10" priority="25" operator="equal">
      <formula>"Yes"</formula>
    </cfRule>
  </conditionalFormatting>
  <conditionalFormatting sqref="F46">
    <cfRule type="cellIs" dxfId="9" priority="24" operator="equal">
      <formula>"Yes"</formula>
    </cfRule>
  </conditionalFormatting>
  <conditionalFormatting sqref="F42">
    <cfRule type="cellIs" dxfId="8" priority="17" operator="equal">
      <formula>"No"</formula>
    </cfRule>
  </conditionalFormatting>
  <conditionalFormatting sqref="F30">
    <cfRule type="cellIs" dxfId="7" priority="16" operator="equal">
      <formula>"Decrease"</formula>
    </cfRule>
  </conditionalFormatting>
  <conditionalFormatting sqref="F48">
    <cfRule type="cellIs" dxfId="6" priority="13" operator="greaterThan">
      <formula>0</formula>
    </cfRule>
  </conditionalFormatting>
  <conditionalFormatting sqref="F44">
    <cfRule type="expression" dxfId="5" priority="12">
      <formula>$D$44&gt;0</formula>
    </cfRule>
  </conditionalFormatting>
  <conditionalFormatting sqref="F15">
    <cfRule type="cellIs" dxfId="4" priority="8" operator="equal">
      <formula>"Yes"</formula>
    </cfRule>
  </conditionalFormatting>
  <conditionalFormatting sqref="F9">
    <cfRule type="cellIs" dxfId="3" priority="6" operator="equal">
      <formula>"Less than 8%"</formula>
    </cfRule>
  </conditionalFormatting>
  <conditionalFormatting sqref="F23">
    <cfRule type="cellIs" dxfId="2" priority="5" operator="lessThan">
      <formula>1</formula>
    </cfRule>
  </conditionalFormatting>
  <conditionalFormatting sqref="F8">
    <cfRule type="cellIs" dxfId="1" priority="3" operator="lessThan">
      <formula>$L$8&lt;0%</formula>
    </cfRule>
  </conditionalFormatting>
  <conditionalFormatting sqref="F6">
    <cfRule type="cellIs" dxfId="0" priority="1" operator="lessThan">
      <formula>$L$8&lt;0%</formula>
    </cfRule>
  </conditionalFormatting>
  <pageMargins left="0.25" right="0.25" top="0.75" bottom="0.75" header="0.3" footer="0.3"/>
  <pageSetup scale="47"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tabColor theme="3" tint="0.79998168889431442"/>
  </sheetPr>
  <dimension ref="A2:H41"/>
  <sheetViews>
    <sheetView showGridLines="0" workbookViewId="0">
      <selection activeCell="F8" sqref="F8"/>
    </sheetView>
  </sheetViews>
  <sheetFormatPr defaultColWidth="9.109375" defaultRowHeight="14.4" x14ac:dyDescent="0.3"/>
  <cols>
    <col min="1" max="1" width="9.109375" style="308"/>
    <col min="2" max="2" width="10.44140625" style="308" bestFit="1" customWidth="1"/>
    <col min="3" max="3" width="29.88671875" style="308" customWidth="1"/>
    <col min="4" max="4" width="40.5546875" style="308" customWidth="1"/>
    <col min="5" max="5" width="3.6640625" style="308" customWidth="1"/>
    <col min="6" max="6" width="13.44140625" style="308" customWidth="1"/>
    <col min="7" max="7" width="3.5546875" style="308" customWidth="1"/>
    <col min="8" max="8" width="14.109375" style="308" customWidth="1"/>
    <col min="9" max="16384" width="9.109375" style="308"/>
  </cols>
  <sheetData>
    <row r="2" spans="1:8" ht="54.75" customHeight="1" x14ac:dyDescent="0.3">
      <c r="A2" s="1284" t="s">
        <v>112</v>
      </c>
      <c r="B2" s="1284"/>
      <c r="C2" s="1284"/>
      <c r="D2" s="1284"/>
      <c r="E2" s="1284"/>
      <c r="F2" s="465"/>
      <c r="G2" s="465"/>
      <c r="H2" s="466"/>
    </row>
    <row r="4" spans="1:8" ht="15.6" x14ac:dyDescent="0.3">
      <c r="A4" s="466"/>
      <c r="B4" s="467" t="str">
        <f>'Unit Data from Audit Worksheet'!D2</f>
        <v>Select Unit Name from Drop Down List</v>
      </c>
      <c r="C4" s="468"/>
      <c r="D4" s="19"/>
      <c r="E4" s="20"/>
      <c r="F4" s="469">
        <f>'Unit Data from Audit Worksheet'!F5</f>
        <v>2021</v>
      </c>
      <c r="G4" s="466"/>
      <c r="H4" s="469">
        <f>'Unit Data from Audit Worksheet'!F5</f>
        <v>2021</v>
      </c>
    </row>
    <row r="5" spans="1:8" ht="41.4" x14ac:dyDescent="0.4">
      <c r="A5" s="470"/>
      <c r="B5" s="471" t="s">
        <v>72</v>
      </c>
      <c r="C5" s="470"/>
      <c r="D5" s="470"/>
      <c r="E5" s="470"/>
      <c r="F5" s="469" t="s">
        <v>73</v>
      </c>
      <c r="G5" s="470"/>
      <c r="H5" s="472" t="s">
        <v>74</v>
      </c>
    </row>
    <row r="6" spans="1:8" x14ac:dyDescent="0.3">
      <c r="A6" s="466"/>
      <c r="B6" s="473" t="s">
        <v>75</v>
      </c>
      <c r="C6" s="466"/>
      <c r="D6" s="474"/>
      <c r="E6" s="474"/>
      <c r="F6" s="474"/>
      <c r="G6" s="474"/>
      <c r="H6" s="474"/>
    </row>
    <row r="7" spans="1:8" x14ac:dyDescent="0.3">
      <c r="A7" s="466"/>
      <c r="B7" s="474" t="s">
        <v>76</v>
      </c>
      <c r="C7" s="466"/>
      <c r="D7" s="474"/>
      <c r="E7" s="474" t="s">
        <v>31</v>
      </c>
      <c r="F7" s="475">
        <f>Import!L52</f>
        <v>0</v>
      </c>
      <c r="G7" s="476"/>
      <c r="H7" s="475">
        <f>F7</f>
        <v>0</v>
      </c>
    </row>
    <row r="8" spans="1:8" ht="44.25" customHeight="1" x14ac:dyDescent="0.3">
      <c r="A8" s="466"/>
      <c r="B8" s="1281" t="s">
        <v>77</v>
      </c>
      <c r="C8" s="1281"/>
      <c r="D8" s="1281"/>
      <c r="E8" s="474" t="s">
        <v>31</v>
      </c>
      <c r="F8" s="477">
        <f>Import!L53</f>
        <v>0</v>
      </c>
      <c r="G8" s="478"/>
      <c r="H8" s="478"/>
    </row>
    <row r="9" spans="1:8" x14ac:dyDescent="0.3">
      <c r="A9" s="466"/>
      <c r="B9" s="466"/>
      <c r="C9" s="474" t="s">
        <v>181</v>
      </c>
      <c r="D9" s="466"/>
      <c r="E9" s="474" t="s">
        <v>31</v>
      </c>
      <c r="F9" s="479">
        <f>Import!L57</f>
        <v>0</v>
      </c>
      <c r="G9" s="478"/>
      <c r="H9" s="464">
        <f>F9</f>
        <v>0</v>
      </c>
    </row>
    <row r="10" spans="1:8" x14ac:dyDescent="0.3">
      <c r="A10" s="466"/>
      <c r="B10" s="466"/>
      <c r="C10" s="474" t="s">
        <v>78</v>
      </c>
      <c r="D10" s="466"/>
      <c r="E10" s="474" t="s">
        <v>31</v>
      </c>
      <c r="F10" s="464">
        <f>Import!L230</f>
        <v>0</v>
      </c>
      <c r="G10" s="478"/>
      <c r="H10" s="464">
        <f>F10</f>
        <v>0</v>
      </c>
    </row>
    <row r="11" spans="1:8" x14ac:dyDescent="0.3">
      <c r="A11" s="466"/>
      <c r="B11" s="466"/>
      <c r="C11" s="474" t="s">
        <v>79</v>
      </c>
      <c r="D11" s="466"/>
      <c r="E11" s="474" t="s">
        <v>31</v>
      </c>
      <c r="F11" s="480">
        <f>Import!L58</f>
        <v>0</v>
      </c>
      <c r="G11" s="481"/>
      <c r="H11" s="480">
        <f>F11</f>
        <v>0</v>
      </c>
    </row>
    <row r="12" spans="1:8" x14ac:dyDescent="0.3">
      <c r="A12" s="466"/>
      <c r="B12" s="21" t="s">
        <v>80</v>
      </c>
      <c r="C12" s="482" t="s">
        <v>81</v>
      </c>
      <c r="D12" s="483"/>
      <c r="E12" s="484" t="s">
        <v>31</v>
      </c>
      <c r="F12" s="485">
        <f>F7+F8-SUM(F9:F11)</f>
        <v>0</v>
      </c>
      <c r="G12" s="486"/>
      <c r="H12" s="485">
        <f>H7+H8-SUM(H9:H11)</f>
        <v>0</v>
      </c>
    </row>
    <row r="13" spans="1:8" x14ac:dyDescent="0.3">
      <c r="A13" s="466"/>
      <c r="B13" s="466"/>
      <c r="C13" s="474"/>
      <c r="D13" s="474"/>
      <c r="E13" s="474" t="s">
        <v>31</v>
      </c>
      <c r="F13" s="474"/>
      <c r="G13" s="474"/>
      <c r="H13" s="474"/>
    </row>
    <row r="14" spans="1:8" x14ac:dyDescent="0.3">
      <c r="A14" s="466"/>
      <c r="B14" s="474" t="s">
        <v>82</v>
      </c>
      <c r="C14" s="466"/>
      <c r="D14" s="474"/>
      <c r="E14" s="474" t="s">
        <v>31</v>
      </c>
      <c r="F14" s="487">
        <f>Import!L65</f>
        <v>0</v>
      </c>
      <c r="G14" s="474"/>
      <c r="H14" s="474"/>
    </row>
    <row r="15" spans="1:8" x14ac:dyDescent="0.3">
      <c r="A15" s="466"/>
      <c r="B15" s="474" t="s">
        <v>83</v>
      </c>
      <c r="C15" s="466"/>
      <c r="D15" s="474"/>
      <c r="E15" s="474" t="s">
        <v>31</v>
      </c>
      <c r="F15" s="488">
        <f>F14-F12</f>
        <v>0</v>
      </c>
      <c r="G15" s="474"/>
      <c r="H15" s="474"/>
    </row>
    <row r="16" spans="1:8" x14ac:dyDescent="0.3">
      <c r="A16" s="466"/>
      <c r="B16" s="489" t="s">
        <v>84</v>
      </c>
      <c r="C16" s="466"/>
      <c r="D16" s="474"/>
      <c r="E16" s="474"/>
      <c r="F16" s="474"/>
      <c r="G16" s="474"/>
      <c r="H16" s="474"/>
    </row>
    <row r="17" spans="2:8" x14ac:dyDescent="0.3">
      <c r="B17" s="490" t="s">
        <v>85</v>
      </c>
      <c r="C17" s="474" t="s">
        <v>86</v>
      </c>
      <c r="D17" s="466"/>
      <c r="E17" s="474" t="s">
        <v>31</v>
      </c>
      <c r="F17" s="491">
        <f>Import!L61</f>
        <v>0</v>
      </c>
      <c r="G17" s="474"/>
      <c r="H17" s="474"/>
    </row>
    <row r="18" spans="2:8" ht="15" thickBot="1" x14ac:dyDescent="0.35">
      <c r="B18" s="21" t="s">
        <v>80</v>
      </c>
      <c r="C18" s="482" t="s">
        <v>87</v>
      </c>
      <c r="D18" s="483"/>
      <c r="E18" s="484" t="s">
        <v>31</v>
      </c>
      <c r="F18" s="492">
        <f>(F15-SUM(F17:F17))</f>
        <v>0</v>
      </c>
      <c r="G18" s="474"/>
      <c r="H18" s="474"/>
    </row>
    <row r="19" spans="2:8" ht="15" thickTop="1" x14ac:dyDescent="0.3">
      <c r="B19" s="466"/>
      <c r="C19" s="474"/>
      <c r="D19" s="474"/>
      <c r="E19" s="474"/>
      <c r="F19" s="474"/>
      <c r="G19" s="474"/>
      <c r="H19" s="474"/>
    </row>
    <row r="20" spans="2:8" ht="15" thickBot="1" x14ac:dyDescent="0.35">
      <c r="B20" s="474" t="s">
        <v>88</v>
      </c>
      <c r="C20" s="466"/>
      <c r="D20" s="474"/>
      <c r="E20" s="474" t="s">
        <v>31</v>
      </c>
      <c r="F20" s="493">
        <f>Import!L60</f>
        <v>0</v>
      </c>
      <c r="G20" s="474"/>
      <c r="H20" s="474"/>
    </row>
    <row r="21" spans="2:8" ht="15.6" thickTop="1" thickBot="1" x14ac:dyDescent="0.35">
      <c r="B21" s="466"/>
      <c r="C21" s="494" t="str">
        <f>IF(F18&gt;F20, "Restricted-Stabilization by State Statute understated by ",IF(F20&gt;F18, "Restricted-Stabilization by State Statute overstated by ","Restricted-Stabilization by State Statutue Reportedly Correctly. "))</f>
        <v xml:space="preserve">Restricted-Stabilization by State Statutue Reportedly Correctly. </v>
      </c>
      <c r="D21" s="466"/>
      <c r="E21" s="474" t="s">
        <v>31</v>
      </c>
      <c r="F21" s="495">
        <f>ABS(F18-F20)</f>
        <v>0</v>
      </c>
      <c r="G21" s="474"/>
      <c r="H21" s="474"/>
    </row>
    <row r="22" spans="2:8" ht="50.25" customHeight="1" thickTop="1" x14ac:dyDescent="0.3">
      <c r="B22" s="466"/>
      <c r="C22" s="1282" t="str">
        <f>IF(F18&gt;F20,"Since Restricted-Stabilization by State Statute was understated, verfiy that the unit did not appropriate fund balance in excess of legal amount available in row 12 above.","")</f>
        <v/>
      </c>
      <c r="D22" s="1282"/>
      <c r="E22" s="1282"/>
      <c r="F22" s="1282"/>
      <c r="G22" s="474"/>
      <c r="H22" s="474"/>
    </row>
    <row r="23" spans="2:8" x14ac:dyDescent="0.3">
      <c r="B23" s="466"/>
      <c r="C23" s="1283" t="s">
        <v>89</v>
      </c>
      <c r="D23" s="474"/>
      <c r="E23" s="474"/>
      <c r="F23" s="474"/>
      <c r="G23" s="474"/>
      <c r="H23" s="496" t="s">
        <v>90</v>
      </c>
    </row>
    <row r="24" spans="2:8" x14ac:dyDescent="0.3">
      <c r="B24" s="466"/>
      <c r="C24" s="1283"/>
      <c r="D24" s="474"/>
      <c r="E24" s="474"/>
      <c r="F24" s="469" t="s">
        <v>91</v>
      </c>
      <c r="G24" s="474"/>
      <c r="H24" s="469" t="s">
        <v>99</v>
      </c>
    </row>
    <row r="25" spans="2:8" x14ac:dyDescent="0.3">
      <c r="B25" s="466"/>
      <c r="C25" s="473" t="s">
        <v>92</v>
      </c>
      <c r="D25" s="474"/>
      <c r="E25" s="474"/>
      <c r="F25" s="474"/>
      <c r="G25" s="474"/>
      <c r="H25" s="474"/>
    </row>
    <row r="26" spans="2:8" ht="25.2" customHeight="1" x14ac:dyDescent="0.3">
      <c r="B26" s="466"/>
      <c r="C26" s="474" t="s">
        <v>93</v>
      </c>
      <c r="D26" s="474"/>
      <c r="E26" s="474" t="s">
        <v>31</v>
      </c>
      <c r="F26" s="475">
        <f>Import!L72</f>
        <v>0</v>
      </c>
      <c r="G26" s="476"/>
      <c r="H26" s="497">
        <f>F26</f>
        <v>0</v>
      </c>
    </row>
    <row r="27" spans="2:8" x14ac:dyDescent="0.3">
      <c r="B27" s="466"/>
      <c r="C27" s="490" t="s">
        <v>94</v>
      </c>
      <c r="D27" s="474"/>
      <c r="E27" s="474"/>
      <c r="F27" s="474"/>
      <c r="G27" s="474"/>
      <c r="H27" s="474"/>
    </row>
    <row r="28" spans="2:8" x14ac:dyDescent="0.3">
      <c r="B28" s="466"/>
      <c r="C28" s="474" t="s">
        <v>95</v>
      </c>
      <c r="D28" s="466"/>
      <c r="E28" s="474" t="s">
        <v>31</v>
      </c>
      <c r="F28" s="498">
        <f>Import!L74</f>
        <v>0</v>
      </c>
      <c r="G28" s="478"/>
      <c r="H28" s="499">
        <f>F28</f>
        <v>0</v>
      </c>
    </row>
    <row r="29" spans="2:8" x14ac:dyDescent="0.3">
      <c r="B29" s="466"/>
      <c r="C29" s="474" t="s">
        <v>96</v>
      </c>
      <c r="D29" s="466"/>
      <c r="E29" s="474" t="s">
        <v>31</v>
      </c>
      <c r="F29" s="500">
        <f>Import!L75+Import!L76</f>
        <v>0</v>
      </c>
      <c r="G29" s="478"/>
      <c r="H29" s="501">
        <f>F29</f>
        <v>0</v>
      </c>
    </row>
    <row r="30" spans="2:8" ht="15" thickBot="1" x14ac:dyDescent="0.35">
      <c r="B30" s="466"/>
      <c r="C30" s="474" t="s">
        <v>97</v>
      </c>
      <c r="D30" s="474"/>
      <c r="E30" s="474" t="s">
        <v>31</v>
      </c>
      <c r="F30" s="502">
        <f>SUM(F26:F28)-F29</f>
        <v>0</v>
      </c>
      <c r="G30" s="476"/>
      <c r="H30" s="502">
        <f>SUM(H26:H28)-H29</f>
        <v>0</v>
      </c>
    </row>
    <row r="31" spans="2:8" ht="15" thickTop="1" x14ac:dyDescent="0.3">
      <c r="B31" s="466"/>
      <c r="C31" s="474"/>
      <c r="D31" s="474"/>
      <c r="E31" s="474"/>
      <c r="F31" s="474"/>
      <c r="G31" s="474"/>
      <c r="H31" s="474"/>
    </row>
    <row r="32" spans="2:8" ht="15" thickBot="1" x14ac:dyDescent="0.35">
      <c r="B32" s="21" t="s">
        <v>80</v>
      </c>
      <c r="C32" s="494" t="s">
        <v>98</v>
      </c>
      <c r="D32" s="21"/>
      <c r="E32" s="494" t="s">
        <v>31</v>
      </c>
      <c r="F32" s="503" t="e">
        <f>F12/F30</f>
        <v>#DIV/0!</v>
      </c>
      <c r="G32" s="474"/>
      <c r="H32" s="503" t="e">
        <f>H12/H30</f>
        <v>#DIV/0!</v>
      </c>
    </row>
    <row r="33" spans="1:8" ht="15" thickTop="1" x14ac:dyDescent="0.3">
      <c r="C33" s="474"/>
      <c r="D33" s="474"/>
      <c r="E33" s="474"/>
      <c r="F33" s="474"/>
      <c r="G33" s="474"/>
      <c r="H33" s="474"/>
    </row>
    <row r="34" spans="1:8" ht="15.6" x14ac:dyDescent="0.3">
      <c r="A34" s="23"/>
      <c r="C34" s="22"/>
    </row>
    <row r="36" spans="1:8" x14ac:dyDescent="0.3">
      <c r="F36" s="309"/>
    </row>
    <row r="37" spans="1:8" x14ac:dyDescent="0.3">
      <c r="F37" s="130"/>
    </row>
    <row r="38" spans="1:8" x14ac:dyDescent="0.3">
      <c r="F38" s="130"/>
    </row>
    <row r="39" spans="1:8" x14ac:dyDescent="0.3">
      <c r="F39" s="130"/>
    </row>
    <row r="40" spans="1:8" x14ac:dyDescent="0.3">
      <c r="F40" s="130"/>
    </row>
    <row r="41" spans="1:8" x14ac:dyDescent="0.3">
      <c r="F41" s="130"/>
    </row>
  </sheetData>
  <sheetProtection algorithmName="SHA-512" hashValue="uhfBl+lZAygvVgXMHQ2BmtW2G+cSdFryzwsr8mDm0R9N2tN20xM8R0A2xrbk2WbBBHPu0aJ8CDqkxYYTc95/AA==" saltValue="4BX0DA0NDQFR1osMfFRNtQ==" spinCount="100000" sheet="1" formatCells="0" formatColumns="0" formatRows="0"/>
  <mergeCells count="4">
    <mergeCell ref="B8:D8"/>
    <mergeCell ref="C22:F22"/>
    <mergeCell ref="C23:C24"/>
    <mergeCell ref="A2:E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4CC87-E13B-4F65-8BC5-C28CE910D5ED}">
  <sheetPr codeName="Sheet9"/>
  <dimension ref="A3:M27"/>
  <sheetViews>
    <sheetView workbookViewId="0">
      <pane xSplit="2" ySplit="4" topLeftCell="C5" activePane="bottomRight" state="frozen"/>
      <selection pane="topRight" activeCell="B1" sqref="B1"/>
      <selection pane="bottomLeft" activeCell="A5" sqref="A5"/>
      <selection pane="bottomRight" activeCell="B4" sqref="B4"/>
    </sheetView>
  </sheetViews>
  <sheetFormatPr defaultColWidth="9.109375" defaultRowHeight="14.4" x14ac:dyDescent="0.3"/>
  <cols>
    <col min="1" max="3" width="22.6640625" style="308" customWidth="1"/>
    <col min="4" max="4" width="18.6640625" style="727" customWidth="1"/>
    <col min="5" max="10" width="18.6640625" style="308" customWidth="1"/>
    <col min="11" max="16384" width="9.109375" style="308"/>
  </cols>
  <sheetData>
    <row r="3" spans="1:13" x14ac:dyDescent="0.3">
      <c r="D3" s="731">
        <v>2019</v>
      </c>
      <c r="E3" s="731">
        <v>2018</v>
      </c>
      <c r="F3" s="731">
        <v>2017</v>
      </c>
      <c r="G3" s="731">
        <v>2016</v>
      </c>
      <c r="H3" s="731">
        <v>2015</v>
      </c>
      <c r="I3" s="731">
        <v>2014</v>
      </c>
      <c r="J3" s="731">
        <v>2013</v>
      </c>
      <c r="K3" s="727"/>
      <c r="L3" s="727"/>
      <c r="M3" s="727"/>
    </row>
    <row r="4" spans="1:13" x14ac:dyDescent="0.3">
      <c r="A4" s="311" t="s">
        <v>755</v>
      </c>
      <c r="B4" s="311"/>
      <c r="C4" s="311" t="s">
        <v>756</v>
      </c>
      <c r="D4" s="730" t="s">
        <v>701</v>
      </c>
      <c r="E4" s="730" t="s">
        <v>701</v>
      </c>
      <c r="F4" s="730" t="s">
        <v>701</v>
      </c>
      <c r="G4" s="730" t="s">
        <v>701</v>
      </c>
      <c r="H4" s="730" t="s">
        <v>701</v>
      </c>
      <c r="I4" s="730" t="s">
        <v>701</v>
      </c>
      <c r="J4" s="730" t="s">
        <v>701</v>
      </c>
      <c r="K4" s="743"/>
    </row>
    <row r="5" spans="1:13" x14ac:dyDescent="0.3">
      <c r="A5" s="311">
        <v>5119</v>
      </c>
      <c r="B5" s="311" t="s">
        <v>732</v>
      </c>
      <c r="C5" s="311">
        <v>647</v>
      </c>
      <c r="D5" s="727">
        <v>20578691</v>
      </c>
      <c r="E5" s="727">
        <v>3249248</v>
      </c>
      <c r="F5" s="727">
        <v>2957570</v>
      </c>
      <c r="G5" s="727">
        <v>5709008</v>
      </c>
      <c r="H5" s="727">
        <v>5114434</v>
      </c>
      <c r="I5" s="727">
        <v>4562229</v>
      </c>
      <c r="J5" s="727">
        <v>4029652</v>
      </c>
    </row>
    <row r="6" spans="1:13" x14ac:dyDescent="0.3">
      <c r="A6" s="311">
        <v>5120</v>
      </c>
      <c r="B6" s="311" t="s">
        <v>733</v>
      </c>
      <c r="C6" s="311">
        <v>647</v>
      </c>
      <c r="D6" s="727">
        <v>0</v>
      </c>
      <c r="E6" s="727">
        <v>0</v>
      </c>
      <c r="F6" s="727">
        <v>0</v>
      </c>
      <c r="G6" s="727">
        <v>0</v>
      </c>
      <c r="H6" s="727">
        <v>0</v>
      </c>
      <c r="I6" s="727">
        <v>0</v>
      </c>
      <c r="J6" s="727">
        <v>0</v>
      </c>
    </row>
    <row r="7" spans="1:13" x14ac:dyDescent="0.3">
      <c r="A7" s="311">
        <v>5131</v>
      </c>
      <c r="B7" s="311" t="s">
        <v>734</v>
      </c>
      <c r="C7" s="311">
        <v>647</v>
      </c>
      <c r="D7" s="727">
        <v>37089245</v>
      </c>
      <c r="E7" s="727">
        <v>20299814</v>
      </c>
      <c r="F7" s="727">
        <v>8051571</v>
      </c>
      <c r="G7" s="727">
        <v>7371500</v>
      </c>
      <c r="H7" s="727">
        <v>5966665</v>
      </c>
      <c r="I7" s="727">
        <v>8207298</v>
      </c>
      <c r="J7" s="727">
        <v>7347048</v>
      </c>
    </row>
    <row r="8" spans="1:13" x14ac:dyDescent="0.3">
      <c r="A8" s="311">
        <v>5135</v>
      </c>
      <c r="B8" s="311" t="s">
        <v>735</v>
      </c>
      <c r="C8" s="311">
        <v>647</v>
      </c>
      <c r="D8" s="727">
        <v>0</v>
      </c>
      <c r="E8" s="727">
        <v>0</v>
      </c>
      <c r="F8" s="727">
        <v>4056482</v>
      </c>
      <c r="G8" s="727">
        <v>3922669</v>
      </c>
      <c r="H8" s="727">
        <v>3148233</v>
      </c>
      <c r="I8" s="727">
        <v>2755127</v>
      </c>
      <c r="J8" s="727">
        <v>2755127</v>
      </c>
    </row>
    <row r="9" spans="1:13" x14ac:dyDescent="0.3">
      <c r="A9" s="311">
        <v>5144</v>
      </c>
      <c r="B9" s="311" t="s">
        <v>736</v>
      </c>
      <c r="C9" s="311">
        <v>647</v>
      </c>
      <c r="D9" s="727">
        <v>7441890</v>
      </c>
      <c r="E9" s="727">
        <v>7441890</v>
      </c>
      <c r="F9" s="727">
        <v>4932241</v>
      </c>
      <c r="G9" s="727">
        <v>590997</v>
      </c>
      <c r="H9" s="727">
        <v>0</v>
      </c>
      <c r="I9" s="727">
        <v>3000000</v>
      </c>
      <c r="J9" s="727">
        <v>2390166</v>
      </c>
    </row>
    <row r="10" spans="1:13" x14ac:dyDescent="0.3">
      <c r="A10" s="311">
        <v>5155</v>
      </c>
      <c r="B10" s="311" t="s">
        <v>737</v>
      </c>
      <c r="C10" s="311">
        <v>647</v>
      </c>
      <c r="D10" s="727">
        <v>1008755</v>
      </c>
      <c r="E10" s="727">
        <v>781534</v>
      </c>
      <c r="F10" s="727">
        <v>663572</v>
      </c>
      <c r="G10" s="727">
        <v>6557774</v>
      </c>
      <c r="H10" s="727">
        <v>611355</v>
      </c>
      <c r="I10" s="727">
        <v>784361</v>
      </c>
      <c r="J10" s="727">
        <v>1022379</v>
      </c>
    </row>
    <row r="11" spans="1:13" x14ac:dyDescent="0.3">
      <c r="A11" s="311">
        <v>5158</v>
      </c>
      <c r="B11" s="311" t="s">
        <v>738</v>
      </c>
      <c r="C11" s="311">
        <v>647</v>
      </c>
      <c r="D11" s="727">
        <v>9</v>
      </c>
      <c r="E11" s="727">
        <v>9</v>
      </c>
      <c r="F11" s="727">
        <v>9</v>
      </c>
      <c r="G11" s="727">
        <v>9</v>
      </c>
      <c r="H11" s="727">
        <v>9</v>
      </c>
      <c r="I11" s="727">
        <v>9</v>
      </c>
      <c r="J11" s="727">
        <v>9</v>
      </c>
    </row>
    <row r="12" spans="1:13" x14ac:dyDescent="0.3">
      <c r="A12" s="311">
        <v>5159</v>
      </c>
      <c r="B12" s="311" t="s">
        <v>739</v>
      </c>
      <c r="C12" s="311">
        <v>647</v>
      </c>
      <c r="D12" s="727">
        <v>225639888</v>
      </c>
      <c r="E12" s="727">
        <v>219009306</v>
      </c>
      <c r="F12" s="727">
        <v>181812071</v>
      </c>
      <c r="G12" s="727">
        <v>193933610</v>
      </c>
      <c r="H12" s="727">
        <v>181583886</v>
      </c>
      <c r="I12" s="727">
        <v>0</v>
      </c>
      <c r="J12" s="727">
        <v>0</v>
      </c>
    </row>
    <row r="13" spans="1:13" x14ac:dyDescent="0.3">
      <c r="A13" s="311">
        <v>5164</v>
      </c>
      <c r="B13" s="311" t="s">
        <v>740</v>
      </c>
      <c r="C13" s="311">
        <v>647</v>
      </c>
      <c r="D13" s="727">
        <v>7132135</v>
      </c>
      <c r="E13" s="727">
        <v>5438631</v>
      </c>
      <c r="F13" s="727">
        <v>2427428</v>
      </c>
      <c r="G13" s="727">
        <v>157674</v>
      </c>
      <c r="H13" s="727">
        <v>0</v>
      </c>
      <c r="I13" s="727">
        <v>0</v>
      </c>
      <c r="J13" s="727">
        <v>0</v>
      </c>
    </row>
    <row r="14" spans="1:13" x14ac:dyDescent="0.3">
      <c r="A14" s="311">
        <v>5173</v>
      </c>
      <c r="B14" s="311" t="s">
        <v>741</v>
      </c>
      <c r="C14" s="311">
        <v>647</v>
      </c>
      <c r="D14" s="727">
        <v>422216</v>
      </c>
      <c r="E14" s="727">
        <v>2615544</v>
      </c>
      <c r="F14" s="727">
        <v>880554</v>
      </c>
      <c r="G14" s="727">
        <v>154942</v>
      </c>
      <c r="H14" s="727">
        <v>107456</v>
      </c>
      <c r="I14" s="727">
        <v>46240</v>
      </c>
      <c r="J14" s="727">
        <v>23390</v>
      </c>
    </row>
    <row r="15" spans="1:13" x14ac:dyDescent="0.3">
      <c r="A15" s="311">
        <v>5178</v>
      </c>
      <c r="B15" s="311" t="s">
        <v>742</v>
      </c>
      <c r="C15" s="311">
        <v>647</v>
      </c>
      <c r="D15" s="727">
        <v>75835</v>
      </c>
      <c r="E15" s="727">
        <v>66039</v>
      </c>
      <c r="F15" s="727">
        <v>57100</v>
      </c>
      <c r="G15" s="727">
        <v>52316</v>
      </c>
      <c r="H15" s="727">
        <v>23715</v>
      </c>
      <c r="I15" s="727">
        <v>899285</v>
      </c>
      <c r="J15" s="727">
        <v>1169608</v>
      </c>
    </row>
    <row r="16" spans="1:13" x14ac:dyDescent="0.3">
      <c r="A16" s="311">
        <v>5180</v>
      </c>
      <c r="B16" s="311" t="s">
        <v>743</v>
      </c>
      <c r="C16" s="311">
        <v>647</v>
      </c>
      <c r="D16" s="727">
        <v>4586780</v>
      </c>
      <c r="E16" s="727">
        <v>5165281</v>
      </c>
      <c r="F16" s="727">
        <v>4432068</v>
      </c>
      <c r="G16" s="727">
        <v>3558985</v>
      </c>
      <c r="H16" s="727">
        <v>2657915</v>
      </c>
      <c r="I16" s="727">
        <v>2071596</v>
      </c>
      <c r="J16" s="727">
        <v>1986034</v>
      </c>
    </row>
    <row r="17" spans="1:10" x14ac:dyDescent="0.3">
      <c r="A17" s="311">
        <v>5191</v>
      </c>
      <c r="B17" s="311" t="s">
        <v>744</v>
      </c>
      <c r="C17" s="311">
        <v>647</v>
      </c>
      <c r="D17" s="727">
        <v>111303046</v>
      </c>
      <c r="E17" s="727">
        <v>108974619</v>
      </c>
      <c r="F17" s="727">
        <v>120290900</v>
      </c>
      <c r="G17" s="727">
        <v>127448981</v>
      </c>
      <c r="H17" s="727">
        <v>153873846</v>
      </c>
      <c r="I17" s="727">
        <v>135252125</v>
      </c>
      <c r="J17" s="727">
        <v>169055200</v>
      </c>
    </row>
    <row r="18" spans="1:10" x14ac:dyDescent="0.3">
      <c r="A18" s="311">
        <v>50074</v>
      </c>
      <c r="B18" s="311" t="s">
        <v>745</v>
      </c>
      <c r="C18" s="311">
        <v>647</v>
      </c>
      <c r="D18" s="727">
        <v>7494829</v>
      </c>
      <c r="E18" s="727">
        <v>7189658</v>
      </c>
      <c r="F18" s="727">
        <v>7048523</v>
      </c>
      <c r="G18" s="727">
        <v>6615510</v>
      </c>
      <c r="H18" s="727">
        <v>5452410</v>
      </c>
      <c r="I18" s="727">
        <v>4803926</v>
      </c>
      <c r="J18" s="727">
        <v>5340180</v>
      </c>
    </row>
    <row r="19" spans="1:10" x14ac:dyDescent="0.3">
      <c r="A19" s="311">
        <v>50075</v>
      </c>
      <c r="B19" s="311" t="s">
        <v>746</v>
      </c>
      <c r="C19" s="311">
        <v>647</v>
      </c>
      <c r="D19" s="727">
        <v>266214000</v>
      </c>
      <c r="E19" s="727">
        <v>265541000</v>
      </c>
      <c r="F19" s="727">
        <v>274532000</v>
      </c>
      <c r="G19" s="727">
        <v>286138000</v>
      </c>
      <c r="H19" s="727">
        <v>295124000</v>
      </c>
      <c r="I19" s="727">
        <v>264645000</v>
      </c>
      <c r="J19" s="727">
        <v>231434000</v>
      </c>
    </row>
    <row r="20" spans="1:10" x14ac:dyDescent="0.3">
      <c r="A20" s="311">
        <v>50110</v>
      </c>
      <c r="B20" s="311" t="s">
        <v>747</v>
      </c>
      <c r="C20" s="311">
        <v>647</v>
      </c>
      <c r="D20" s="727">
        <v>46833536</v>
      </c>
      <c r="E20" s="727">
        <v>45660075</v>
      </c>
      <c r="F20" s="727">
        <v>8463820</v>
      </c>
      <c r="G20" s="727">
        <v>2663591</v>
      </c>
      <c r="H20" s="727">
        <v>2371109</v>
      </c>
      <c r="I20" s="727">
        <v>2878268</v>
      </c>
      <c r="J20" s="727">
        <v>4203755</v>
      </c>
    </row>
    <row r="21" spans="1:10" x14ac:dyDescent="0.3">
      <c r="A21" s="311">
        <v>50144</v>
      </c>
      <c r="B21" s="311" t="s">
        <v>748</v>
      </c>
      <c r="C21" s="311">
        <v>647</v>
      </c>
      <c r="D21" s="727">
        <v>4258932</v>
      </c>
      <c r="E21" s="727">
        <v>853434</v>
      </c>
      <c r="F21" s="727">
        <v>1622119</v>
      </c>
      <c r="G21" s="727">
        <v>1743258</v>
      </c>
      <c r="H21" s="727">
        <v>1740179</v>
      </c>
      <c r="I21" s="727">
        <v>1739958</v>
      </c>
      <c r="J21" s="727">
        <v>1739695</v>
      </c>
    </row>
    <row r="22" spans="1:10" x14ac:dyDescent="0.3">
      <c r="A22" s="311">
        <v>50159</v>
      </c>
      <c r="B22" s="311" t="s">
        <v>749</v>
      </c>
      <c r="C22" s="311">
        <v>647</v>
      </c>
      <c r="D22" s="727">
        <v>28636370</v>
      </c>
      <c r="E22" s="727">
        <v>23180822</v>
      </c>
      <c r="F22" s="727">
        <v>16487675</v>
      </c>
      <c r="G22" s="727">
        <v>10909425</v>
      </c>
      <c r="H22" s="727">
        <v>7878571</v>
      </c>
      <c r="I22" s="727">
        <v>5300679</v>
      </c>
      <c r="J22" s="727">
        <v>4801051</v>
      </c>
    </row>
    <row r="23" spans="1:10" x14ac:dyDescent="0.3">
      <c r="A23" s="311">
        <v>50160</v>
      </c>
      <c r="B23" s="311" t="s">
        <v>750</v>
      </c>
      <c r="C23" s="311">
        <v>647</v>
      </c>
      <c r="D23" s="727">
        <v>1134799</v>
      </c>
      <c r="E23" s="727">
        <v>894858</v>
      </c>
      <c r="F23" s="727">
        <v>1002425</v>
      </c>
      <c r="G23" s="727">
        <v>354061</v>
      </c>
      <c r="H23" s="727">
        <v>392698</v>
      </c>
      <c r="I23" s="727">
        <v>442800</v>
      </c>
      <c r="J23" s="727">
        <v>942821</v>
      </c>
    </row>
    <row r="24" spans="1:10" x14ac:dyDescent="0.3">
      <c r="A24" s="311">
        <v>50180</v>
      </c>
      <c r="B24" s="311" t="s">
        <v>751</v>
      </c>
      <c r="C24" s="311">
        <v>647</v>
      </c>
      <c r="D24" s="727">
        <v>13193040</v>
      </c>
      <c r="E24" s="727">
        <v>17058564</v>
      </c>
      <c r="F24" s="727">
        <v>16187505</v>
      </c>
      <c r="G24" s="727">
        <v>16428100</v>
      </c>
      <c r="H24" s="727">
        <v>16688416</v>
      </c>
      <c r="I24" s="727">
        <v>17840940</v>
      </c>
      <c r="J24" s="727">
        <v>18042019</v>
      </c>
    </row>
    <row r="25" spans="1:10" x14ac:dyDescent="0.3">
      <c r="A25" s="311">
        <v>50405</v>
      </c>
      <c r="B25" s="311" t="s">
        <v>752</v>
      </c>
      <c r="C25" s="311">
        <v>647</v>
      </c>
      <c r="D25" s="727">
        <v>302046</v>
      </c>
      <c r="E25" s="727">
        <v>1055143</v>
      </c>
      <c r="F25" s="727">
        <v>0</v>
      </c>
      <c r="G25" s="727">
        <v>0</v>
      </c>
      <c r="H25" s="727">
        <v>0</v>
      </c>
      <c r="I25" s="727">
        <v>0</v>
      </c>
      <c r="J25" s="727">
        <v>0</v>
      </c>
    </row>
    <row r="26" spans="1:10" x14ac:dyDescent="0.3">
      <c r="A26" s="311">
        <v>50425</v>
      </c>
      <c r="B26" s="311" t="s">
        <v>753</v>
      </c>
      <c r="C26" s="311">
        <v>647</v>
      </c>
      <c r="D26" s="727">
        <v>20836222</v>
      </c>
      <c r="E26" s="727">
        <v>16328642</v>
      </c>
      <c r="F26" s="727">
        <v>15202516</v>
      </c>
      <c r="G26" s="727">
        <v>12384500</v>
      </c>
      <c r="H26" s="727">
        <v>9788553</v>
      </c>
      <c r="I26" s="727">
        <v>7967199</v>
      </c>
      <c r="J26" s="727">
        <v>6398918</v>
      </c>
    </row>
    <row r="27" spans="1:10" x14ac:dyDescent="0.3">
      <c r="A27" s="311">
        <v>50431</v>
      </c>
      <c r="B27" s="311" t="s">
        <v>754</v>
      </c>
      <c r="C27" s="311">
        <v>647</v>
      </c>
      <c r="D27" s="727">
        <v>25542629</v>
      </c>
      <c r="E27" s="727">
        <v>24964077</v>
      </c>
      <c r="F27" s="727">
        <v>23618105</v>
      </c>
      <c r="G27" s="727">
        <v>22744716</v>
      </c>
      <c r="H27" s="727">
        <v>16714796</v>
      </c>
      <c r="I27" s="727">
        <v>13788676</v>
      </c>
      <c r="J27" s="727">
        <v>10895689</v>
      </c>
    </row>
  </sheetData>
  <sheetProtection algorithmName="SHA-512" hashValue="zOJPBrBVacUhgC9ekTj45SG0iQCVqB0xg4zl4NXbCuUm+YsFjQ4emom1W6XDJ2q3oZ95XoQFIfIcoGM1GhHieA==" saltValue="qzrC+Ng8WmGKQcPPNBdYiA==" spinCount="100000" sheet="1" objects="1" scenarios="1"/>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313B3-4389-4319-BFF6-0DABAB34D46A}">
  <sheetPr codeName="Sheet10"/>
  <dimension ref="A1:K160"/>
  <sheetViews>
    <sheetView workbookViewId="0">
      <selection activeCell="K20" sqref="K20"/>
    </sheetView>
  </sheetViews>
  <sheetFormatPr defaultColWidth="9.109375" defaultRowHeight="14.4" x14ac:dyDescent="0.3"/>
  <cols>
    <col min="1" max="1" width="9.109375" style="274"/>
    <col min="2" max="2" width="54.109375" style="274" customWidth="1"/>
    <col min="3" max="3" width="23.6640625" style="274" customWidth="1"/>
    <col min="4" max="4" width="19.6640625" style="274" customWidth="1"/>
    <col min="5" max="10" width="9.109375" style="274"/>
    <col min="11" max="11" width="54.109375" style="274" customWidth="1"/>
    <col min="12" max="16384" width="9.109375" style="274"/>
  </cols>
  <sheetData>
    <row r="1" spans="1:11" ht="43.2" x14ac:dyDescent="0.3">
      <c r="A1" s="274" t="s">
        <v>755</v>
      </c>
      <c r="B1" s="274" t="s">
        <v>932</v>
      </c>
      <c r="C1" s="283" t="s">
        <v>896</v>
      </c>
      <c r="D1" s="284" t="s">
        <v>1133</v>
      </c>
      <c r="E1" s="274" t="s">
        <v>1625</v>
      </c>
    </row>
    <row r="3" spans="1:11" ht="23.4" x14ac:dyDescent="0.45">
      <c r="A3" s="274">
        <v>50001</v>
      </c>
      <c r="B3" s="274" t="s">
        <v>933</v>
      </c>
      <c r="C3" s="274">
        <v>50</v>
      </c>
      <c r="D3" s="170" t="s">
        <v>51</v>
      </c>
      <c r="E3" s="315" t="s">
        <v>1278</v>
      </c>
    </row>
    <row r="4" spans="1:11" x14ac:dyDescent="0.3">
      <c r="A4" s="274">
        <v>50006</v>
      </c>
      <c r="B4" s="274" t="s">
        <v>934</v>
      </c>
      <c r="C4" s="274">
        <v>50</v>
      </c>
      <c r="D4" s="170" t="s">
        <v>51</v>
      </c>
    </row>
    <row r="5" spans="1:11" x14ac:dyDescent="0.3">
      <c r="A5" s="274">
        <v>50013</v>
      </c>
      <c r="B5" s="274" t="s">
        <v>936</v>
      </c>
      <c r="C5" s="274">
        <v>50</v>
      </c>
      <c r="D5" s="170" t="s">
        <v>51</v>
      </c>
    </row>
    <row r="6" spans="1:11" x14ac:dyDescent="0.3">
      <c r="A6" s="274">
        <v>50016</v>
      </c>
      <c r="B6" s="1004" t="s">
        <v>1626</v>
      </c>
      <c r="C6" s="274">
        <v>50</v>
      </c>
      <c r="D6" s="170" t="s">
        <v>51</v>
      </c>
      <c r="K6" s="1004"/>
    </row>
    <row r="7" spans="1:11" x14ac:dyDescent="0.3">
      <c r="A7" s="274">
        <v>50019</v>
      </c>
      <c r="B7" s="1004" t="s">
        <v>1627</v>
      </c>
      <c r="C7" s="274">
        <v>50</v>
      </c>
      <c r="D7" s="170" t="s">
        <v>51</v>
      </c>
      <c r="K7" s="1004"/>
    </row>
    <row r="8" spans="1:11" x14ac:dyDescent="0.3">
      <c r="A8" s="274">
        <v>50504</v>
      </c>
      <c r="B8" s="274" t="s">
        <v>937</v>
      </c>
      <c r="C8" s="274">
        <v>50</v>
      </c>
      <c r="D8" s="170" t="s">
        <v>51</v>
      </c>
    </row>
    <row r="9" spans="1:11" x14ac:dyDescent="0.3">
      <c r="A9" s="274">
        <v>50021</v>
      </c>
      <c r="B9" s="1004" t="s">
        <v>1628</v>
      </c>
      <c r="C9" s="274">
        <v>50</v>
      </c>
      <c r="D9" s="170" t="s">
        <v>51</v>
      </c>
      <c r="K9" s="1004"/>
    </row>
    <row r="10" spans="1:11" x14ac:dyDescent="0.3">
      <c r="A10" s="274">
        <v>50024</v>
      </c>
      <c r="B10" s="274" t="s">
        <v>938</v>
      </c>
      <c r="C10" s="274">
        <v>50</v>
      </c>
      <c r="D10" s="170" t="s">
        <v>51</v>
      </c>
    </row>
    <row r="11" spans="1:11" x14ac:dyDescent="0.3">
      <c r="A11" s="274">
        <v>50029</v>
      </c>
      <c r="B11" s="274" t="s">
        <v>939</v>
      </c>
      <c r="C11" s="274">
        <v>50</v>
      </c>
      <c r="D11" s="170" t="s">
        <v>51</v>
      </c>
    </row>
    <row r="12" spans="1:11" x14ac:dyDescent="0.3">
      <c r="A12" s="274">
        <v>50031</v>
      </c>
      <c r="B12" s="1004" t="s">
        <v>1629</v>
      </c>
      <c r="C12" s="274">
        <v>50</v>
      </c>
      <c r="D12" s="170" t="s">
        <v>51</v>
      </c>
      <c r="K12" s="1004"/>
    </row>
    <row r="13" spans="1:11" x14ac:dyDescent="0.3">
      <c r="A13" s="274">
        <v>50469</v>
      </c>
      <c r="B13" s="274" t="s">
        <v>940</v>
      </c>
      <c r="C13" s="274">
        <v>50</v>
      </c>
      <c r="D13" s="170" t="s">
        <v>51</v>
      </c>
    </row>
    <row r="14" spans="1:11" x14ac:dyDescent="0.3">
      <c r="A14" s="274">
        <v>50034</v>
      </c>
      <c r="B14" s="274" t="s">
        <v>942</v>
      </c>
      <c r="C14" s="274">
        <v>50</v>
      </c>
      <c r="D14" s="170" t="s">
        <v>51</v>
      </c>
    </row>
    <row r="15" spans="1:11" x14ac:dyDescent="0.3">
      <c r="A15" s="274">
        <v>50038</v>
      </c>
      <c r="B15" s="274" t="s">
        <v>943</v>
      </c>
      <c r="C15" s="274">
        <v>50</v>
      </c>
      <c r="D15" s="170" t="s">
        <v>51</v>
      </c>
    </row>
    <row r="16" spans="1:11" x14ac:dyDescent="0.3">
      <c r="A16" s="274">
        <v>50506</v>
      </c>
      <c r="B16" s="274" t="s">
        <v>944</v>
      </c>
      <c r="C16" s="274">
        <v>50</v>
      </c>
      <c r="D16" s="170" t="s">
        <v>51</v>
      </c>
    </row>
    <row r="17" spans="1:11" x14ac:dyDescent="0.3">
      <c r="A17" s="274">
        <v>50045</v>
      </c>
      <c r="B17" s="274" t="s">
        <v>945</v>
      </c>
      <c r="C17" s="274">
        <v>50</v>
      </c>
      <c r="D17" s="170" t="s">
        <v>51</v>
      </c>
    </row>
    <row r="18" spans="1:11" x14ac:dyDescent="0.3">
      <c r="A18" s="274">
        <v>50049</v>
      </c>
      <c r="B18" s="274" t="s">
        <v>946</v>
      </c>
      <c r="C18" s="274">
        <v>50</v>
      </c>
      <c r="D18" s="170" t="s">
        <v>51</v>
      </c>
    </row>
    <row r="19" spans="1:11" x14ac:dyDescent="0.3">
      <c r="A19" s="274">
        <v>50055</v>
      </c>
      <c r="B19" s="1004" t="s">
        <v>1630</v>
      </c>
      <c r="C19" s="274">
        <v>50</v>
      </c>
      <c r="D19" s="170" t="s">
        <v>51</v>
      </c>
      <c r="K19" s="1004"/>
    </row>
    <row r="20" spans="1:11" x14ac:dyDescent="0.3">
      <c r="A20" s="274">
        <v>50466</v>
      </c>
      <c r="B20" s="274" t="s">
        <v>1631</v>
      </c>
      <c r="C20" s="274">
        <v>50</v>
      </c>
      <c r="D20" s="170" t="s">
        <v>51</v>
      </c>
    </row>
    <row r="21" spans="1:11" x14ac:dyDescent="0.3">
      <c r="A21" s="274">
        <v>50069</v>
      </c>
      <c r="B21" s="274" t="s">
        <v>947</v>
      </c>
      <c r="C21" s="274">
        <v>50</v>
      </c>
      <c r="D21" s="170" t="s">
        <v>51</v>
      </c>
    </row>
    <row r="22" spans="1:11" x14ac:dyDescent="0.3">
      <c r="A22" s="274">
        <v>50467</v>
      </c>
      <c r="B22" s="274" t="s">
        <v>948</v>
      </c>
      <c r="C22" s="274">
        <v>50</v>
      </c>
      <c r="D22" s="170" t="s">
        <v>51</v>
      </c>
    </row>
    <row r="23" spans="1:11" x14ac:dyDescent="0.3">
      <c r="A23" s="274">
        <v>50510</v>
      </c>
      <c r="B23" s="274" t="s">
        <v>949</v>
      </c>
      <c r="C23" s="274">
        <v>50</v>
      </c>
      <c r="D23" s="170" t="s">
        <v>51</v>
      </c>
    </row>
    <row r="24" spans="1:11" x14ac:dyDescent="0.3">
      <c r="A24" s="274">
        <v>50078</v>
      </c>
      <c r="B24" s="274" t="s">
        <v>1632</v>
      </c>
      <c r="C24" s="274">
        <v>50</v>
      </c>
      <c r="D24" s="170" t="s">
        <v>51</v>
      </c>
    </row>
    <row r="25" spans="1:11" x14ac:dyDescent="0.3">
      <c r="A25" s="274">
        <v>50080</v>
      </c>
      <c r="B25" s="274" t="s">
        <v>1633</v>
      </c>
      <c r="C25" s="274">
        <v>50</v>
      </c>
      <c r="D25" s="170" t="s">
        <v>51</v>
      </c>
    </row>
    <row r="26" spans="1:11" x14ac:dyDescent="0.3">
      <c r="A26" s="274">
        <v>50468</v>
      </c>
      <c r="B26" s="1004" t="s">
        <v>1634</v>
      </c>
      <c r="C26" s="274">
        <v>50</v>
      </c>
      <c r="D26" s="170" t="s">
        <v>51</v>
      </c>
      <c r="K26" s="1004"/>
    </row>
    <row r="27" spans="1:11" x14ac:dyDescent="0.3">
      <c r="A27" s="274">
        <v>50086</v>
      </c>
      <c r="B27" s="274" t="s">
        <v>951</v>
      </c>
      <c r="C27" s="274">
        <v>50</v>
      </c>
      <c r="D27" s="170" t="s">
        <v>51</v>
      </c>
    </row>
    <row r="28" spans="1:11" x14ac:dyDescent="0.3">
      <c r="A28" s="274">
        <v>50087</v>
      </c>
      <c r="B28" s="274" t="s">
        <v>952</v>
      </c>
      <c r="C28" s="274">
        <v>50</v>
      </c>
      <c r="D28" s="170" t="s">
        <v>51</v>
      </c>
    </row>
    <row r="29" spans="1:11" x14ac:dyDescent="0.3">
      <c r="A29" s="274">
        <v>50091</v>
      </c>
      <c r="B29" s="1004" t="s">
        <v>1635</v>
      </c>
      <c r="C29" s="274">
        <v>50</v>
      </c>
      <c r="D29" s="170" t="s">
        <v>51</v>
      </c>
      <c r="K29" s="1004"/>
    </row>
    <row r="30" spans="1:11" x14ac:dyDescent="0.3">
      <c r="A30" s="274">
        <v>50098</v>
      </c>
      <c r="B30" s="274" t="s">
        <v>1636</v>
      </c>
      <c r="C30" s="274">
        <v>50</v>
      </c>
      <c r="D30" s="170" t="s">
        <v>51</v>
      </c>
    </row>
    <row r="31" spans="1:11" x14ac:dyDescent="0.3">
      <c r="A31" s="274">
        <v>50100</v>
      </c>
      <c r="B31" s="274" t="s">
        <v>1637</v>
      </c>
      <c r="C31" s="274">
        <v>50</v>
      </c>
      <c r="D31" s="170" t="s">
        <v>51</v>
      </c>
    </row>
    <row r="32" spans="1:11" x14ac:dyDescent="0.3">
      <c r="A32" s="274">
        <v>50513</v>
      </c>
      <c r="B32" s="274" t="s">
        <v>953</v>
      </c>
      <c r="C32" s="274">
        <v>50</v>
      </c>
      <c r="D32" s="170" t="s">
        <v>51</v>
      </c>
    </row>
    <row r="33" spans="1:11" x14ac:dyDescent="0.3">
      <c r="A33" s="274">
        <v>50106</v>
      </c>
      <c r="B33" s="274" t="s">
        <v>954</v>
      </c>
      <c r="C33" s="274">
        <v>50</v>
      </c>
      <c r="D33" s="170" t="s">
        <v>51</v>
      </c>
    </row>
    <row r="34" spans="1:11" x14ac:dyDescent="0.3">
      <c r="A34" s="274">
        <v>50472</v>
      </c>
      <c r="B34" s="274" t="s">
        <v>955</v>
      </c>
      <c r="C34" s="274">
        <v>50</v>
      </c>
      <c r="D34" s="170" t="s">
        <v>51</v>
      </c>
    </row>
    <row r="35" spans="1:11" x14ac:dyDescent="0.3">
      <c r="A35" s="274">
        <v>50112</v>
      </c>
      <c r="B35" s="274" t="s">
        <v>956</v>
      </c>
      <c r="C35" s="274">
        <v>50</v>
      </c>
      <c r="D35" s="170" t="s">
        <v>51</v>
      </c>
    </row>
    <row r="36" spans="1:11" x14ac:dyDescent="0.3">
      <c r="A36" s="274">
        <v>50113</v>
      </c>
      <c r="B36" s="274" t="s">
        <v>957</v>
      </c>
      <c r="C36" s="274">
        <v>50</v>
      </c>
      <c r="D36" s="170" t="s">
        <v>51</v>
      </c>
    </row>
    <row r="37" spans="1:11" x14ac:dyDescent="0.3">
      <c r="A37" s="274">
        <v>50116</v>
      </c>
      <c r="B37" s="1004" t="s">
        <v>1638</v>
      </c>
      <c r="C37" s="274">
        <v>50</v>
      </c>
      <c r="D37" s="170" t="s">
        <v>51</v>
      </c>
      <c r="K37" s="1004"/>
    </row>
    <row r="38" spans="1:11" x14ac:dyDescent="0.3">
      <c r="A38" s="274">
        <v>50121</v>
      </c>
      <c r="B38" s="274" t="s">
        <v>959</v>
      </c>
      <c r="C38" s="274">
        <v>50</v>
      </c>
      <c r="D38" s="170" t="s">
        <v>51</v>
      </c>
    </row>
    <row r="39" spans="1:11" x14ac:dyDescent="0.3">
      <c r="A39" s="274">
        <v>50122</v>
      </c>
      <c r="B39" s="274" t="s">
        <v>960</v>
      </c>
      <c r="C39" s="274">
        <v>50</v>
      </c>
      <c r="D39" s="170" t="s">
        <v>51</v>
      </c>
    </row>
    <row r="40" spans="1:11" x14ac:dyDescent="0.3">
      <c r="A40" s="274">
        <v>50125</v>
      </c>
      <c r="B40" s="274" t="s">
        <v>961</v>
      </c>
      <c r="C40" s="274">
        <v>50</v>
      </c>
      <c r="D40" s="170" t="s">
        <v>51</v>
      </c>
    </row>
    <row r="41" spans="1:11" x14ac:dyDescent="0.3">
      <c r="A41" s="274">
        <v>50126</v>
      </c>
      <c r="B41" s="1004" t="s">
        <v>1639</v>
      </c>
      <c r="C41" s="274">
        <v>50</v>
      </c>
      <c r="D41" s="170" t="s">
        <v>51</v>
      </c>
      <c r="K41" s="1004"/>
    </row>
    <row r="42" spans="1:11" x14ac:dyDescent="0.3">
      <c r="A42" s="274">
        <v>50127</v>
      </c>
      <c r="B42" s="274" t="s">
        <v>1640</v>
      </c>
      <c r="C42" s="274">
        <v>50</v>
      </c>
      <c r="D42" s="170" t="s">
        <v>51</v>
      </c>
    </row>
    <row r="43" spans="1:11" x14ac:dyDescent="0.3">
      <c r="A43" s="274">
        <v>50128</v>
      </c>
      <c r="B43" s="274" t="s">
        <v>963</v>
      </c>
      <c r="C43" s="274">
        <v>50</v>
      </c>
      <c r="D43" s="170" t="s">
        <v>51</v>
      </c>
    </row>
    <row r="44" spans="1:11" x14ac:dyDescent="0.3">
      <c r="A44" s="274">
        <v>50129</v>
      </c>
      <c r="B44" s="274" t="s">
        <v>964</v>
      </c>
      <c r="C44" s="274">
        <v>50</v>
      </c>
      <c r="D44" s="170" t="s">
        <v>51</v>
      </c>
    </row>
    <row r="45" spans="1:11" x14ac:dyDescent="0.3">
      <c r="A45" s="274">
        <v>50130</v>
      </c>
      <c r="B45" s="274" t="s">
        <v>965</v>
      </c>
      <c r="C45" s="274">
        <v>50</v>
      </c>
      <c r="D45" s="170" t="s">
        <v>51</v>
      </c>
    </row>
    <row r="46" spans="1:11" x14ac:dyDescent="0.3">
      <c r="A46" s="274">
        <v>50570</v>
      </c>
      <c r="B46" s="274" t="s">
        <v>966</v>
      </c>
      <c r="C46" s="274">
        <v>50</v>
      </c>
      <c r="D46" s="170" t="s">
        <v>51</v>
      </c>
    </row>
    <row r="47" spans="1:11" x14ac:dyDescent="0.3">
      <c r="A47" s="274">
        <v>50139</v>
      </c>
      <c r="B47" s="274" t="s">
        <v>968</v>
      </c>
      <c r="C47" s="274">
        <v>50</v>
      </c>
      <c r="D47" s="170" t="s">
        <v>51</v>
      </c>
    </row>
    <row r="48" spans="1:11" x14ac:dyDescent="0.3">
      <c r="A48" s="274">
        <v>50142</v>
      </c>
      <c r="B48" s="274" t="s">
        <v>969</v>
      </c>
      <c r="C48" s="274">
        <v>50</v>
      </c>
      <c r="D48" s="170" t="s">
        <v>51</v>
      </c>
    </row>
    <row r="49" spans="1:11" x14ac:dyDescent="0.3">
      <c r="A49" s="274">
        <v>50143</v>
      </c>
      <c r="B49" s="274" t="s">
        <v>970</v>
      </c>
      <c r="C49" s="274">
        <v>50</v>
      </c>
      <c r="D49" s="170" t="s">
        <v>51</v>
      </c>
    </row>
    <row r="50" spans="1:11" x14ac:dyDescent="0.3">
      <c r="A50" s="274">
        <v>50148</v>
      </c>
      <c r="B50" s="274" t="s">
        <v>735</v>
      </c>
      <c r="C50" s="274">
        <v>50</v>
      </c>
      <c r="D50" s="170" t="s">
        <v>51</v>
      </c>
    </row>
    <row r="51" spans="1:11" x14ac:dyDescent="0.3">
      <c r="A51" s="274">
        <v>50151</v>
      </c>
      <c r="B51" s="274" t="s">
        <v>1641</v>
      </c>
      <c r="C51" s="274">
        <v>50</v>
      </c>
      <c r="D51" s="170" t="s">
        <v>51</v>
      </c>
    </row>
    <row r="52" spans="1:11" x14ac:dyDescent="0.3">
      <c r="A52" s="274">
        <v>50153</v>
      </c>
      <c r="B52" s="274" t="s">
        <v>971</v>
      </c>
      <c r="C52" s="274">
        <v>50</v>
      </c>
      <c r="D52" s="170" t="s">
        <v>51</v>
      </c>
    </row>
    <row r="53" spans="1:11" x14ac:dyDescent="0.3">
      <c r="A53" s="274">
        <v>50154</v>
      </c>
      <c r="B53" s="274" t="s">
        <v>972</v>
      </c>
      <c r="C53" s="274">
        <v>50</v>
      </c>
      <c r="D53" s="170" t="s">
        <v>51</v>
      </c>
    </row>
    <row r="54" spans="1:11" x14ac:dyDescent="0.3">
      <c r="A54" s="274">
        <v>50517</v>
      </c>
      <c r="B54" s="1004" t="s">
        <v>1642</v>
      </c>
      <c r="C54" s="274">
        <v>50</v>
      </c>
      <c r="D54" s="170" t="s">
        <v>51</v>
      </c>
      <c r="K54" s="1004"/>
    </row>
    <row r="55" spans="1:11" x14ac:dyDescent="0.3">
      <c r="A55" s="274">
        <v>50448</v>
      </c>
      <c r="B55" s="274" t="s">
        <v>973</v>
      </c>
      <c r="C55" s="274">
        <v>50</v>
      </c>
      <c r="D55" s="170" t="s">
        <v>51</v>
      </c>
    </row>
    <row r="56" spans="1:11" x14ac:dyDescent="0.3">
      <c r="A56" s="274">
        <v>50163</v>
      </c>
      <c r="B56" s="274" t="s">
        <v>974</v>
      </c>
      <c r="C56" s="274">
        <v>50</v>
      </c>
      <c r="D56" s="170" t="s">
        <v>51</v>
      </c>
    </row>
    <row r="57" spans="1:11" x14ac:dyDescent="0.3">
      <c r="A57" s="274">
        <v>50165</v>
      </c>
      <c r="B57" s="274" t="s">
        <v>975</v>
      </c>
      <c r="C57" s="274">
        <v>50</v>
      </c>
      <c r="D57" s="170" t="s">
        <v>51</v>
      </c>
    </row>
    <row r="58" spans="1:11" x14ac:dyDescent="0.3">
      <c r="A58" s="274">
        <v>50166</v>
      </c>
      <c r="B58" s="274" t="s">
        <v>976</v>
      </c>
      <c r="C58" s="274">
        <v>50</v>
      </c>
      <c r="D58" s="170" t="s">
        <v>51</v>
      </c>
    </row>
    <row r="59" spans="1:11" x14ac:dyDescent="0.3">
      <c r="A59" s="274">
        <v>50167</v>
      </c>
      <c r="B59" s="274" t="s">
        <v>977</v>
      </c>
      <c r="C59" s="274">
        <v>50</v>
      </c>
      <c r="D59" s="170" t="s">
        <v>51</v>
      </c>
    </row>
    <row r="60" spans="1:11" x14ac:dyDescent="0.3">
      <c r="A60" s="274">
        <v>50171</v>
      </c>
      <c r="B60" s="1004" t="s">
        <v>1643</v>
      </c>
      <c r="C60" s="274">
        <v>50</v>
      </c>
      <c r="D60" s="170" t="s">
        <v>51</v>
      </c>
      <c r="K60" s="1004"/>
    </row>
    <row r="61" spans="1:11" x14ac:dyDescent="0.3">
      <c r="A61" s="274">
        <v>50440</v>
      </c>
      <c r="B61" s="274" t="s">
        <v>1644</v>
      </c>
      <c r="C61" s="274">
        <v>50</v>
      </c>
      <c r="D61" s="170" t="s">
        <v>51</v>
      </c>
    </row>
    <row r="62" spans="1:11" x14ac:dyDescent="0.3">
      <c r="A62" s="274">
        <v>50175</v>
      </c>
      <c r="B62" s="1004" t="s">
        <v>736</v>
      </c>
      <c r="C62" s="274">
        <v>50</v>
      </c>
      <c r="D62" s="170" t="s">
        <v>51</v>
      </c>
      <c r="K62" s="1004"/>
    </row>
    <row r="63" spans="1:11" x14ac:dyDescent="0.3">
      <c r="A63" s="274">
        <v>50177</v>
      </c>
      <c r="B63" s="1004" t="s">
        <v>1645</v>
      </c>
      <c r="C63" s="274">
        <v>50</v>
      </c>
      <c r="D63" s="170" t="s">
        <v>51</v>
      </c>
      <c r="K63" s="1004"/>
    </row>
    <row r="64" spans="1:11" x14ac:dyDescent="0.3">
      <c r="A64" s="274">
        <v>50183</v>
      </c>
      <c r="B64" s="274" t="s">
        <v>978</v>
      </c>
      <c r="C64" s="274">
        <v>50</v>
      </c>
      <c r="D64" s="170" t="s">
        <v>51</v>
      </c>
    </row>
    <row r="65" spans="1:11" x14ac:dyDescent="0.3">
      <c r="A65" s="274">
        <v>50184</v>
      </c>
      <c r="B65" s="274" t="s">
        <v>979</v>
      </c>
      <c r="C65" s="274">
        <v>50</v>
      </c>
      <c r="D65" s="170" t="s">
        <v>51</v>
      </c>
    </row>
    <row r="66" spans="1:11" x14ac:dyDescent="0.3">
      <c r="A66" s="274">
        <v>50186</v>
      </c>
      <c r="B66" s="274" t="s">
        <v>980</v>
      </c>
      <c r="C66" s="274">
        <v>50</v>
      </c>
      <c r="D66" s="170" t="s">
        <v>51</v>
      </c>
    </row>
    <row r="67" spans="1:11" x14ac:dyDescent="0.3">
      <c r="A67" s="274">
        <v>50476</v>
      </c>
      <c r="B67" s="274" t="s">
        <v>808</v>
      </c>
      <c r="C67" s="274">
        <v>50</v>
      </c>
      <c r="D67" s="170" t="s">
        <v>51</v>
      </c>
    </row>
    <row r="68" spans="1:11" x14ac:dyDescent="0.3">
      <c r="A68" s="274">
        <v>50192</v>
      </c>
      <c r="B68" s="274" t="s">
        <v>809</v>
      </c>
      <c r="C68" s="274">
        <v>50</v>
      </c>
      <c r="D68" s="170" t="s">
        <v>51</v>
      </c>
    </row>
    <row r="69" spans="1:11" x14ac:dyDescent="0.3">
      <c r="A69" s="274">
        <v>50518</v>
      </c>
      <c r="B69" s="274" t="s">
        <v>810</v>
      </c>
      <c r="C69" s="274">
        <v>50</v>
      </c>
      <c r="D69" s="170" t="s">
        <v>51</v>
      </c>
    </row>
    <row r="70" spans="1:11" x14ac:dyDescent="0.3">
      <c r="A70" s="274">
        <v>50231</v>
      </c>
      <c r="B70" s="274" t="s">
        <v>819</v>
      </c>
      <c r="C70" s="274">
        <v>50</v>
      </c>
      <c r="D70" s="170" t="s">
        <v>51</v>
      </c>
    </row>
    <row r="71" spans="1:11" x14ac:dyDescent="0.3">
      <c r="A71" s="274">
        <v>50235</v>
      </c>
      <c r="B71" s="274" t="s">
        <v>822</v>
      </c>
      <c r="C71" s="274">
        <v>50</v>
      </c>
      <c r="D71" s="170" t="s">
        <v>51</v>
      </c>
    </row>
    <row r="72" spans="1:11" x14ac:dyDescent="0.3">
      <c r="A72" s="274">
        <v>50233</v>
      </c>
      <c r="B72" s="274" t="s">
        <v>820</v>
      </c>
      <c r="C72" s="274">
        <v>50</v>
      </c>
      <c r="D72" s="170" t="s">
        <v>51</v>
      </c>
    </row>
    <row r="73" spans="1:11" x14ac:dyDescent="0.3">
      <c r="A73" s="274">
        <v>50236</v>
      </c>
      <c r="B73" s="274" t="s">
        <v>823</v>
      </c>
      <c r="C73" s="274">
        <v>50</v>
      </c>
      <c r="D73" s="170" t="s">
        <v>51</v>
      </c>
    </row>
    <row r="74" spans="1:11" x14ac:dyDescent="0.3">
      <c r="A74" s="274">
        <v>50239</v>
      </c>
      <c r="B74" s="274" t="s">
        <v>826</v>
      </c>
      <c r="C74" s="274">
        <v>50</v>
      </c>
      <c r="D74" s="170" t="s">
        <v>51</v>
      </c>
    </row>
    <row r="75" spans="1:11" x14ac:dyDescent="0.3">
      <c r="A75" s="274">
        <v>50249</v>
      </c>
      <c r="B75" s="274" t="s">
        <v>838</v>
      </c>
      <c r="C75" s="274">
        <v>50</v>
      </c>
      <c r="D75" s="170" t="s">
        <v>51</v>
      </c>
    </row>
    <row r="76" spans="1:11" x14ac:dyDescent="0.3">
      <c r="A76" s="274">
        <v>50254</v>
      </c>
      <c r="B76" s="274" t="s">
        <v>1646</v>
      </c>
      <c r="C76" s="274">
        <v>50</v>
      </c>
      <c r="D76" s="170" t="s">
        <v>51</v>
      </c>
    </row>
    <row r="77" spans="1:11" x14ac:dyDescent="0.3">
      <c r="A77" s="274">
        <v>50255</v>
      </c>
      <c r="B77" s="1004" t="s">
        <v>1647</v>
      </c>
      <c r="C77" s="274">
        <v>50</v>
      </c>
      <c r="D77" s="170" t="s">
        <v>51</v>
      </c>
      <c r="K77" s="1004"/>
    </row>
    <row r="78" spans="1:11" x14ac:dyDescent="0.3">
      <c r="A78" s="274">
        <v>50257</v>
      </c>
      <c r="B78" s="274" t="s">
        <v>983</v>
      </c>
      <c r="C78" s="274">
        <v>50</v>
      </c>
      <c r="D78" s="170" t="s">
        <v>51</v>
      </c>
    </row>
    <row r="79" spans="1:11" x14ac:dyDescent="0.3">
      <c r="A79" s="274">
        <v>50452</v>
      </c>
      <c r="B79" s="1004" t="s">
        <v>1648</v>
      </c>
      <c r="C79" s="274">
        <v>50</v>
      </c>
      <c r="D79" s="170" t="s">
        <v>51</v>
      </c>
      <c r="K79" s="1004"/>
    </row>
    <row r="80" spans="1:11" x14ac:dyDescent="0.3">
      <c r="A80" s="274">
        <v>50260</v>
      </c>
      <c r="B80" s="274" t="s">
        <v>984</v>
      </c>
      <c r="C80" s="274">
        <v>50</v>
      </c>
      <c r="D80" s="170" t="s">
        <v>51</v>
      </c>
    </row>
    <row r="81" spans="1:11" x14ac:dyDescent="0.3">
      <c r="A81" s="274">
        <v>50268</v>
      </c>
      <c r="B81" s="1004" t="s">
        <v>1649</v>
      </c>
      <c r="C81" s="274">
        <v>50</v>
      </c>
      <c r="D81" s="170" t="s">
        <v>51</v>
      </c>
      <c r="K81" s="1004"/>
    </row>
    <row r="82" spans="1:11" x14ac:dyDescent="0.3">
      <c r="A82" s="274">
        <v>50269</v>
      </c>
      <c r="B82" s="274" t="s">
        <v>985</v>
      </c>
      <c r="C82" s="274">
        <v>50</v>
      </c>
      <c r="D82" s="170" t="s">
        <v>51</v>
      </c>
    </row>
    <row r="83" spans="1:11" x14ac:dyDescent="0.3">
      <c r="A83" s="274">
        <v>50480</v>
      </c>
      <c r="B83" s="274" t="s">
        <v>986</v>
      </c>
      <c r="C83" s="274">
        <v>50</v>
      </c>
      <c r="D83" s="170" t="s">
        <v>51</v>
      </c>
    </row>
    <row r="84" spans="1:11" x14ac:dyDescent="0.3">
      <c r="A84" s="274">
        <v>50278</v>
      </c>
      <c r="B84" s="274" t="s">
        <v>987</v>
      </c>
      <c r="C84" s="274">
        <v>50</v>
      </c>
      <c r="D84" s="170" t="s">
        <v>51</v>
      </c>
    </row>
    <row r="85" spans="1:11" x14ac:dyDescent="0.3">
      <c r="A85" s="274">
        <v>50280</v>
      </c>
      <c r="B85" s="274" t="s">
        <v>988</v>
      </c>
      <c r="C85" s="274">
        <v>50</v>
      </c>
      <c r="D85" s="170" t="s">
        <v>51</v>
      </c>
    </row>
    <row r="86" spans="1:11" x14ac:dyDescent="0.3">
      <c r="A86" s="274">
        <v>50281</v>
      </c>
      <c r="B86" s="274" t="s">
        <v>989</v>
      </c>
      <c r="C86" s="274">
        <v>50</v>
      </c>
      <c r="D86" s="170" t="s">
        <v>51</v>
      </c>
    </row>
    <row r="87" spans="1:11" x14ac:dyDescent="0.3">
      <c r="A87" s="274">
        <v>50478</v>
      </c>
      <c r="B87" s="274" t="s">
        <v>990</v>
      </c>
      <c r="C87" s="274">
        <v>50</v>
      </c>
      <c r="D87" s="170" t="s">
        <v>51</v>
      </c>
    </row>
    <row r="88" spans="1:11" x14ac:dyDescent="0.3">
      <c r="A88" s="274">
        <v>50283</v>
      </c>
      <c r="B88" s="274" t="s">
        <v>992</v>
      </c>
      <c r="C88" s="274">
        <v>50</v>
      </c>
      <c r="D88" s="170" t="s">
        <v>51</v>
      </c>
    </row>
    <row r="89" spans="1:11" x14ac:dyDescent="0.3">
      <c r="A89" s="274">
        <v>50285</v>
      </c>
      <c r="B89" s="274" t="s">
        <v>993</v>
      </c>
      <c r="C89" s="274">
        <v>50</v>
      </c>
      <c r="D89" s="170" t="s">
        <v>51</v>
      </c>
    </row>
    <row r="90" spans="1:11" x14ac:dyDescent="0.3">
      <c r="A90" s="274">
        <v>50296</v>
      </c>
      <c r="B90" s="274" t="s">
        <v>996</v>
      </c>
      <c r="C90" s="274">
        <v>50</v>
      </c>
      <c r="D90" s="170" t="s">
        <v>51</v>
      </c>
    </row>
    <row r="91" spans="1:11" x14ac:dyDescent="0.3">
      <c r="A91" s="274">
        <v>50297</v>
      </c>
      <c r="B91" s="274" t="s">
        <v>997</v>
      </c>
      <c r="C91" s="274">
        <v>50</v>
      </c>
      <c r="D91" s="170" t="s">
        <v>51</v>
      </c>
    </row>
    <row r="92" spans="1:11" x14ac:dyDescent="0.3">
      <c r="A92" s="274">
        <v>50305</v>
      </c>
      <c r="B92" s="1004" t="s">
        <v>1650</v>
      </c>
      <c r="C92" s="274">
        <v>50</v>
      </c>
      <c r="D92" s="170" t="s">
        <v>51</v>
      </c>
      <c r="K92" s="1004"/>
    </row>
    <row r="93" spans="1:11" x14ac:dyDescent="0.3">
      <c r="A93" s="274">
        <v>50479</v>
      </c>
      <c r="B93" s="274" t="s">
        <v>998</v>
      </c>
      <c r="C93" s="274">
        <v>50</v>
      </c>
      <c r="D93" s="170" t="s">
        <v>51</v>
      </c>
    </row>
    <row r="94" spans="1:11" x14ac:dyDescent="0.3">
      <c r="A94" s="274">
        <v>50307</v>
      </c>
      <c r="B94" s="274" t="s">
        <v>999</v>
      </c>
      <c r="C94" s="274">
        <v>50</v>
      </c>
      <c r="D94" s="170" t="s">
        <v>51</v>
      </c>
    </row>
    <row r="95" spans="1:11" x14ac:dyDescent="0.3">
      <c r="A95" s="274">
        <v>50310</v>
      </c>
      <c r="B95" s="274" t="s">
        <v>1000</v>
      </c>
      <c r="C95" s="274">
        <v>50</v>
      </c>
      <c r="D95" s="170" t="s">
        <v>51</v>
      </c>
    </row>
    <row r="96" spans="1:11" x14ac:dyDescent="0.3">
      <c r="A96" s="274">
        <v>50311</v>
      </c>
      <c r="B96" s="274" t="s">
        <v>1001</v>
      </c>
      <c r="C96" s="274">
        <v>50</v>
      </c>
      <c r="D96" s="170" t="s">
        <v>51</v>
      </c>
    </row>
    <row r="97" spans="1:11" x14ac:dyDescent="0.3">
      <c r="A97" s="274">
        <v>50314</v>
      </c>
      <c r="B97" s="274" t="s">
        <v>1002</v>
      </c>
      <c r="C97" s="274">
        <v>50</v>
      </c>
      <c r="D97" s="170" t="s">
        <v>51</v>
      </c>
    </row>
    <row r="98" spans="1:11" x14ac:dyDescent="0.3">
      <c r="A98" s="274">
        <v>50316</v>
      </c>
      <c r="B98" s="274" t="s">
        <v>1003</v>
      </c>
      <c r="C98" s="274">
        <v>50</v>
      </c>
      <c r="D98" s="170" t="s">
        <v>51</v>
      </c>
    </row>
    <row r="99" spans="1:11" x14ac:dyDescent="0.3">
      <c r="A99" s="274">
        <v>50318</v>
      </c>
      <c r="B99" s="274" t="s">
        <v>1004</v>
      </c>
      <c r="C99" s="274">
        <v>50</v>
      </c>
      <c r="D99" s="170" t="s">
        <v>51</v>
      </c>
    </row>
    <row r="100" spans="1:11" x14ac:dyDescent="0.3">
      <c r="A100" s="274">
        <v>50323</v>
      </c>
      <c r="B100" s="274" t="s">
        <v>1005</v>
      </c>
      <c r="C100" s="274">
        <v>50</v>
      </c>
      <c r="D100" s="170" t="s">
        <v>51</v>
      </c>
    </row>
    <row r="101" spans="1:11" x14ac:dyDescent="0.3">
      <c r="A101" s="274">
        <v>50321</v>
      </c>
      <c r="B101" s="274" t="s">
        <v>1651</v>
      </c>
      <c r="C101" s="274">
        <v>50</v>
      </c>
      <c r="D101" s="170" t="s">
        <v>51</v>
      </c>
    </row>
    <row r="102" spans="1:11" x14ac:dyDescent="0.3">
      <c r="A102" s="274">
        <v>50325</v>
      </c>
      <c r="B102" s="274" t="s">
        <v>1006</v>
      </c>
      <c r="C102" s="274">
        <v>50</v>
      </c>
      <c r="D102" s="170" t="s">
        <v>51</v>
      </c>
    </row>
    <row r="103" spans="1:11" x14ac:dyDescent="0.3">
      <c r="A103" s="274">
        <v>50327</v>
      </c>
      <c r="B103" s="274" t="s">
        <v>1007</v>
      </c>
      <c r="C103" s="274">
        <v>50</v>
      </c>
      <c r="D103" s="170" t="s">
        <v>51</v>
      </c>
    </row>
    <row r="104" spans="1:11" x14ac:dyDescent="0.3">
      <c r="A104" s="274">
        <v>50328</v>
      </c>
      <c r="B104" s="274" t="s">
        <v>742</v>
      </c>
      <c r="C104" s="274">
        <v>50</v>
      </c>
      <c r="D104" s="170" t="s">
        <v>51</v>
      </c>
    </row>
    <row r="105" spans="1:11" x14ac:dyDescent="0.3">
      <c r="A105" s="274">
        <v>50332</v>
      </c>
      <c r="B105" s="274" t="s">
        <v>1008</v>
      </c>
      <c r="C105" s="274">
        <v>50</v>
      </c>
      <c r="D105" s="170" t="s">
        <v>51</v>
      </c>
    </row>
    <row r="106" spans="1:11" x14ac:dyDescent="0.3">
      <c r="A106" s="274">
        <v>50334</v>
      </c>
      <c r="B106" s="1004" t="s">
        <v>1652</v>
      </c>
      <c r="C106" s="274">
        <v>50</v>
      </c>
      <c r="D106" s="170" t="s">
        <v>51</v>
      </c>
      <c r="K106" s="1004"/>
    </row>
    <row r="107" spans="1:11" x14ac:dyDescent="0.3">
      <c r="A107" s="274">
        <v>50336</v>
      </c>
      <c r="B107" s="274" t="s">
        <v>1653</v>
      </c>
      <c r="C107" s="274">
        <v>50</v>
      </c>
      <c r="D107" s="170" t="s">
        <v>51</v>
      </c>
    </row>
    <row r="108" spans="1:11" x14ac:dyDescent="0.3">
      <c r="A108" s="274">
        <v>50337</v>
      </c>
      <c r="B108" s="1004" t="s">
        <v>1654</v>
      </c>
      <c r="C108" s="274">
        <v>50</v>
      </c>
      <c r="D108" s="170" t="s">
        <v>51</v>
      </c>
      <c r="K108" s="1004"/>
    </row>
    <row r="109" spans="1:11" x14ac:dyDescent="0.3">
      <c r="A109" s="274">
        <v>50338</v>
      </c>
      <c r="B109" s="1004" t="s">
        <v>1655</v>
      </c>
      <c r="C109" s="274">
        <v>50</v>
      </c>
      <c r="D109" s="170" t="s">
        <v>51</v>
      </c>
      <c r="K109" s="1004"/>
    </row>
    <row r="110" spans="1:11" x14ac:dyDescent="0.3">
      <c r="A110" s="274">
        <v>50340</v>
      </c>
      <c r="B110" s="274" t="s">
        <v>1656</v>
      </c>
      <c r="C110" s="274">
        <v>50</v>
      </c>
      <c r="D110" s="170" t="s">
        <v>51</v>
      </c>
    </row>
    <row r="111" spans="1:11" x14ac:dyDescent="0.3">
      <c r="A111" s="274">
        <v>50343</v>
      </c>
      <c r="B111" s="274" t="s">
        <v>1009</v>
      </c>
      <c r="C111" s="274">
        <v>50</v>
      </c>
      <c r="D111" s="170" t="s">
        <v>51</v>
      </c>
    </row>
    <row r="112" spans="1:11" x14ac:dyDescent="0.3">
      <c r="A112" s="274">
        <v>50348</v>
      </c>
      <c r="B112" s="274" t="s">
        <v>1011</v>
      </c>
      <c r="C112" s="274">
        <v>50</v>
      </c>
      <c r="D112" s="170" t="s">
        <v>51</v>
      </c>
    </row>
    <row r="113" spans="1:11" x14ac:dyDescent="0.3">
      <c r="A113" s="274">
        <v>50541</v>
      </c>
      <c r="B113" s="274" t="s">
        <v>1012</v>
      </c>
      <c r="C113" s="274">
        <v>50</v>
      </c>
      <c r="D113" s="170" t="s">
        <v>51</v>
      </c>
    </row>
    <row r="114" spans="1:11" x14ac:dyDescent="0.3">
      <c r="A114" s="274">
        <v>50355</v>
      </c>
      <c r="B114" s="274" t="s">
        <v>1013</v>
      </c>
      <c r="C114" s="274">
        <v>50</v>
      </c>
      <c r="D114" s="170" t="s">
        <v>51</v>
      </c>
    </row>
    <row r="115" spans="1:11" x14ac:dyDescent="0.3">
      <c r="A115" s="274">
        <v>50357</v>
      </c>
      <c r="B115" s="1004" t="s">
        <v>1657</v>
      </c>
      <c r="C115" s="274">
        <v>50</v>
      </c>
      <c r="D115" s="170" t="s">
        <v>51</v>
      </c>
      <c r="K115" s="1004"/>
    </row>
    <row r="116" spans="1:11" x14ac:dyDescent="0.3">
      <c r="A116" s="274">
        <v>50360</v>
      </c>
      <c r="B116" s="274" t="s">
        <v>1014</v>
      </c>
      <c r="C116" s="274">
        <v>50</v>
      </c>
      <c r="D116" s="170" t="s">
        <v>51</v>
      </c>
    </row>
    <row r="117" spans="1:11" x14ac:dyDescent="0.3">
      <c r="A117" s="274">
        <v>50370</v>
      </c>
      <c r="B117" s="274" t="s">
        <v>1015</v>
      </c>
      <c r="C117" s="274">
        <v>50</v>
      </c>
      <c r="D117" s="170" t="s">
        <v>51</v>
      </c>
    </row>
    <row r="118" spans="1:11" x14ac:dyDescent="0.3">
      <c r="A118" s="274">
        <v>50374</v>
      </c>
      <c r="B118" s="274" t="s">
        <v>1658</v>
      </c>
      <c r="C118" s="274">
        <v>50</v>
      </c>
      <c r="D118" s="170" t="s">
        <v>51</v>
      </c>
    </row>
    <row r="119" spans="1:11" x14ac:dyDescent="0.3">
      <c r="A119" s="274">
        <v>50483</v>
      </c>
      <c r="B119" s="274" t="s">
        <v>1659</v>
      </c>
      <c r="C119" s="274">
        <v>50</v>
      </c>
      <c r="D119" s="170" t="s">
        <v>51</v>
      </c>
    </row>
    <row r="120" spans="1:11" x14ac:dyDescent="0.3">
      <c r="A120" s="274">
        <v>50386</v>
      </c>
      <c r="B120" s="274" t="s">
        <v>1660</v>
      </c>
      <c r="C120" s="274">
        <v>50</v>
      </c>
      <c r="D120" s="170" t="s">
        <v>51</v>
      </c>
    </row>
    <row r="121" spans="1:11" x14ac:dyDescent="0.3">
      <c r="A121" s="274">
        <v>50389</v>
      </c>
      <c r="B121" s="274" t="s">
        <v>1017</v>
      </c>
      <c r="C121" s="274">
        <v>50</v>
      </c>
      <c r="D121" s="170" t="s">
        <v>51</v>
      </c>
    </row>
    <row r="122" spans="1:11" x14ac:dyDescent="0.3">
      <c r="A122" s="274">
        <v>50500</v>
      </c>
      <c r="B122" s="274" t="s">
        <v>1018</v>
      </c>
      <c r="C122" s="274">
        <v>50</v>
      </c>
      <c r="D122" s="170" t="s">
        <v>51</v>
      </c>
    </row>
    <row r="123" spans="1:11" x14ac:dyDescent="0.3">
      <c r="A123" s="274">
        <v>50390</v>
      </c>
      <c r="B123" s="1004" t="s">
        <v>1661</v>
      </c>
      <c r="C123" s="274">
        <v>50</v>
      </c>
      <c r="D123" s="170" t="s">
        <v>51</v>
      </c>
      <c r="K123" s="1004"/>
    </row>
    <row r="124" spans="1:11" x14ac:dyDescent="0.3">
      <c r="A124" s="274">
        <v>50396</v>
      </c>
      <c r="B124" s="274" t="s">
        <v>1019</v>
      </c>
      <c r="C124" s="274">
        <v>50</v>
      </c>
      <c r="D124" s="170" t="s">
        <v>51</v>
      </c>
    </row>
    <row r="125" spans="1:11" x14ac:dyDescent="0.3">
      <c r="A125" s="274">
        <v>50399</v>
      </c>
      <c r="B125" s="274" t="s">
        <v>1021</v>
      </c>
      <c r="C125" s="274">
        <v>50</v>
      </c>
      <c r="D125" s="170" t="s">
        <v>51</v>
      </c>
    </row>
    <row r="126" spans="1:11" x14ac:dyDescent="0.3">
      <c r="A126" s="274">
        <v>50401</v>
      </c>
      <c r="B126" s="274" t="s">
        <v>1022</v>
      </c>
      <c r="C126" s="274">
        <v>50</v>
      </c>
      <c r="D126" s="170" t="s">
        <v>51</v>
      </c>
    </row>
    <row r="127" spans="1:11" x14ac:dyDescent="0.3">
      <c r="A127" s="274">
        <v>50402</v>
      </c>
      <c r="B127" s="1004" t="s">
        <v>1662</v>
      </c>
      <c r="C127" s="274">
        <v>50</v>
      </c>
      <c r="D127" s="170" t="s">
        <v>51</v>
      </c>
      <c r="K127" s="1004"/>
    </row>
    <row r="128" spans="1:11" x14ac:dyDescent="0.3">
      <c r="A128" s="274">
        <v>50486</v>
      </c>
      <c r="B128" s="274" t="s">
        <v>1663</v>
      </c>
      <c r="C128" s="274">
        <v>50</v>
      </c>
      <c r="D128" s="170" t="s">
        <v>51</v>
      </c>
    </row>
    <row r="129" spans="1:11" x14ac:dyDescent="0.3">
      <c r="A129" s="274">
        <v>50409</v>
      </c>
      <c r="B129" s="274" t="s">
        <v>1664</v>
      </c>
      <c r="C129" s="274">
        <v>50</v>
      </c>
      <c r="D129" s="170" t="s">
        <v>51</v>
      </c>
    </row>
    <row r="130" spans="1:11" x14ac:dyDescent="0.3">
      <c r="A130" s="274">
        <v>50420</v>
      </c>
      <c r="B130" s="274" t="s">
        <v>1023</v>
      </c>
      <c r="C130" s="274">
        <v>50</v>
      </c>
      <c r="D130" s="170" t="s">
        <v>51</v>
      </c>
    </row>
    <row r="131" spans="1:11" x14ac:dyDescent="0.3">
      <c r="A131" s="274">
        <v>50421</v>
      </c>
      <c r="B131" s="1004" t="s">
        <v>1665</v>
      </c>
      <c r="C131" s="274">
        <v>50</v>
      </c>
      <c r="D131" s="170" t="s">
        <v>51</v>
      </c>
      <c r="K131" s="1004"/>
    </row>
    <row r="132" spans="1:11" x14ac:dyDescent="0.3">
      <c r="A132" s="274">
        <v>50423</v>
      </c>
      <c r="B132" s="274" t="s">
        <v>1024</v>
      </c>
      <c r="C132" s="274">
        <v>50</v>
      </c>
      <c r="D132" s="170" t="s">
        <v>51</v>
      </c>
    </row>
    <row r="133" spans="1:11" x14ac:dyDescent="0.3">
      <c r="A133" s="274">
        <v>50432</v>
      </c>
      <c r="B133" s="1004" t="s">
        <v>1666</v>
      </c>
      <c r="C133" s="274">
        <v>50</v>
      </c>
      <c r="D133" s="170" t="s">
        <v>51</v>
      </c>
      <c r="K133" s="1004"/>
    </row>
    <row r="134" spans="1:11" x14ac:dyDescent="0.3">
      <c r="A134" s="274">
        <v>50499</v>
      </c>
      <c r="B134" s="1004" t="s">
        <v>1667</v>
      </c>
      <c r="C134" s="274">
        <v>50</v>
      </c>
      <c r="D134" s="170" t="s">
        <v>51</v>
      </c>
      <c r="K134" s="1004"/>
    </row>
    <row r="135" spans="1:11" x14ac:dyDescent="0.3">
      <c r="A135" s="274">
        <v>5103</v>
      </c>
      <c r="B135" s="274" t="s">
        <v>935</v>
      </c>
      <c r="C135" s="274">
        <v>51</v>
      </c>
      <c r="D135" s="170" t="s">
        <v>51</v>
      </c>
    </row>
    <row r="136" spans="1:11" x14ac:dyDescent="0.3">
      <c r="A136" s="274">
        <v>5107</v>
      </c>
      <c r="B136" s="274" t="s">
        <v>941</v>
      </c>
      <c r="C136" s="274">
        <v>51</v>
      </c>
      <c r="D136" s="170" t="s">
        <v>51</v>
      </c>
    </row>
    <row r="137" spans="1:11" x14ac:dyDescent="0.3">
      <c r="A137" s="274">
        <v>5116</v>
      </c>
      <c r="B137" s="1004" t="s">
        <v>1668</v>
      </c>
      <c r="C137" s="274">
        <v>51</v>
      </c>
      <c r="D137" s="170" t="s">
        <v>51</v>
      </c>
      <c r="K137" s="1004"/>
    </row>
    <row r="138" spans="1:11" x14ac:dyDescent="0.3">
      <c r="A138" s="274">
        <v>5119</v>
      </c>
      <c r="B138" s="1004" t="s">
        <v>1669</v>
      </c>
      <c r="C138" s="274">
        <v>51</v>
      </c>
      <c r="D138" s="170" t="s">
        <v>51</v>
      </c>
      <c r="K138" s="1004"/>
    </row>
    <row r="139" spans="1:11" x14ac:dyDescent="0.3">
      <c r="A139" s="274">
        <v>5123</v>
      </c>
      <c r="B139" s="274" t="s">
        <v>1670</v>
      </c>
      <c r="C139" s="274">
        <v>51</v>
      </c>
      <c r="D139" s="170" t="s">
        <v>51</v>
      </c>
    </row>
    <row r="140" spans="1:11" x14ac:dyDescent="0.3">
      <c r="A140" s="274">
        <v>5129</v>
      </c>
      <c r="B140" s="1004" t="s">
        <v>1671</v>
      </c>
      <c r="C140" s="274">
        <v>51</v>
      </c>
      <c r="D140" s="170" t="s">
        <v>51</v>
      </c>
      <c r="K140" s="1004"/>
    </row>
    <row r="141" spans="1:11" x14ac:dyDescent="0.3">
      <c r="A141" s="274">
        <v>5132</v>
      </c>
      <c r="B141" s="274" t="s">
        <v>958</v>
      </c>
      <c r="C141" s="274">
        <v>51</v>
      </c>
      <c r="D141" s="170" t="s">
        <v>51</v>
      </c>
    </row>
    <row r="142" spans="1:11" x14ac:dyDescent="0.3">
      <c r="A142" s="274">
        <v>5137</v>
      </c>
      <c r="B142" s="274" t="s">
        <v>1672</v>
      </c>
      <c r="C142" s="274">
        <v>51</v>
      </c>
      <c r="D142" s="170" t="s">
        <v>51</v>
      </c>
    </row>
    <row r="143" spans="1:11" x14ac:dyDescent="0.3">
      <c r="A143" s="274">
        <v>5147</v>
      </c>
      <c r="B143" s="274" t="s">
        <v>981</v>
      </c>
      <c r="C143" s="274">
        <v>51</v>
      </c>
      <c r="D143" s="170" t="s">
        <v>51</v>
      </c>
    </row>
    <row r="144" spans="1:11" x14ac:dyDescent="0.3">
      <c r="A144" s="274">
        <v>5156</v>
      </c>
      <c r="B144" s="274" t="s">
        <v>982</v>
      </c>
      <c r="C144" s="274">
        <v>51</v>
      </c>
      <c r="D144" s="170" t="s">
        <v>51</v>
      </c>
    </row>
    <row r="145" spans="1:11" x14ac:dyDescent="0.3">
      <c r="A145" s="274">
        <v>5157</v>
      </c>
      <c r="B145" s="274" t="s">
        <v>1673</v>
      </c>
      <c r="C145" s="274">
        <v>51</v>
      </c>
      <c r="D145" s="170" t="s">
        <v>51</v>
      </c>
    </row>
    <row r="146" spans="1:11" x14ac:dyDescent="0.3">
      <c r="A146" s="274">
        <v>5165</v>
      </c>
      <c r="B146" s="274" t="s">
        <v>991</v>
      </c>
      <c r="C146" s="274">
        <v>51</v>
      </c>
      <c r="D146" s="170" t="s">
        <v>51</v>
      </c>
    </row>
    <row r="147" spans="1:11" x14ac:dyDescent="0.3">
      <c r="A147" s="274">
        <v>5167</v>
      </c>
      <c r="B147" s="274" t="s">
        <v>994</v>
      </c>
      <c r="C147" s="274">
        <v>51</v>
      </c>
      <c r="D147" s="170" t="s">
        <v>51</v>
      </c>
    </row>
    <row r="148" spans="1:11" x14ac:dyDescent="0.3">
      <c r="A148" s="274">
        <v>5170</v>
      </c>
      <c r="B148" s="274" t="s">
        <v>995</v>
      </c>
      <c r="C148" s="274">
        <v>51</v>
      </c>
      <c r="D148" s="170" t="s">
        <v>51</v>
      </c>
    </row>
    <row r="149" spans="1:11" x14ac:dyDescent="0.3">
      <c r="A149" s="274">
        <v>5172</v>
      </c>
      <c r="B149" s="274" t="s">
        <v>1674</v>
      </c>
      <c r="C149" s="274">
        <v>51</v>
      </c>
      <c r="D149" s="170" t="s">
        <v>51</v>
      </c>
    </row>
    <row r="150" spans="1:11" x14ac:dyDescent="0.3">
      <c r="A150" s="274">
        <v>5182</v>
      </c>
      <c r="B150" s="274" t="s">
        <v>1010</v>
      </c>
      <c r="C150" s="274">
        <v>51</v>
      </c>
      <c r="D150" s="170" t="s">
        <v>51</v>
      </c>
    </row>
    <row r="151" spans="1:11" x14ac:dyDescent="0.3">
      <c r="A151" s="274">
        <v>5188</v>
      </c>
      <c r="B151" s="274" t="s">
        <v>1020</v>
      </c>
      <c r="C151" s="274">
        <v>51</v>
      </c>
      <c r="D151" s="170" t="s">
        <v>51</v>
      </c>
    </row>
    <row r="152" spans="1:11" x14ac:dyDescent="0.3">
      <c r="A152" s="274">
        <v>591706</v>
      </c>
      <c r="B152" s="1005" t="s">
        <v>1675</v>
      </c>
      <c r="C152" s="274">
        <v>59</v>
      </c>
      <c r="D152" s="170" t="s">
        <v>51</v>
      </c>
      <c r="K152" s="1005"/>
    </row>
    <row r="153" spans="1:11" x14ac:dyDescent="0.3">
      <c r="A153" s="274">
        <v>591612</v>
      </c>
      <c r="B153" s="1005" t="s">
        <v>1676</v>
      </c>
      <c r="C153" s="274">
        <v>59</v>
      </c>
      <c r="D153" s="170" t="s">
        <v>51</v>
      </c>
      <c r="K153" s="1005"/>
    </row>
    <row r="154" spans="1:11" x14ac:dyDescent="0.3">
      <c r="A154" s="274">
        <v>591604</v>
      </c>
      <c r="B154" s="274" t="s">
        <v>950</v>
      </c>
      <c r="C154" s="274">
        <v>59</v>
      </c>
      <c r="D154" s="170" t="s">
        <v>51</v>
      </c>
    </row>
    <row r="155" spans="1:11" x14ac:dyDescent="0.3">
      <c r="A155" s="274">
        <v>591632</v>
      </c>
      <c r="B155" s="1004" t="s">
        <v>962</v>
      </c>
      <c r="C155" s="274">
        <v>59</v>
      </c>
      <c r="D155" s="170" t="s">
        <v>51</v>
      </c>
      <c r="K155" s="1004"/>
    </row>
    <row r="156" spans="1:11" x14ac:dyDescent="0.3">
      <c r="A156" s="274">
        <v>591607</v>
      </c>
      <c r="B156" s="274" t="s">
        <v>967</v>
      </c>
      <c r="C156" s="274">
        <v>59</v>
      </c>
      <c r="D156" s="170" t="s">
        <v>51</v>
      </c>
    </row>
    <row r="157" spans="1:11" x14ac:dyDescent="0.3">
      <c r="A157" s="274">
        <v>591613</v>
      </c>
      <c r="B157" s="274" t="s">
        <v>1677</v>
      </c>
      <c r="C157" s="274">
        <v>59</v>
      </c>
      <c r="D157" s="170" t="s">
        <v>51</v>
      </c>
    </row>
    <row r="158" spans="1:11" x14ac:dyDescent="0.3">
      <c r="A158" s="274">
        <v>591616</v>
      </c>
      <c r="B158" s="1004" t="s">
        <v>1678</v>
      </c>
      <c r="C158" s="274">
        <v>59</v>
      </c>
      <c r="D158" s="170" t="s">
        <v>51</v>
      </c>
      <c r="K158" s="1004"/>
    </row>
    <row r="159" spans="1:11" x14ac:dyDescent="0.3">
      <c r="A159" s="274">
        <v>592368</v>
      </c>
      <c r="B159" s="274" t="s">
        <v>1016</v>
      </c>
      <c r="C159" s="274">
        <v>59</v>
      </c>
      <c r="D159" s="170" t="s">
        <v>51</v>
      </c>
    </row>
    <row r="160" spans="1:11" x14ac:dyDescent="0.3">
      <c r="A160" s="274">
        <v>591633</v>
      </c>
      <c r="B160" s="1004" t="s">
        <v>1679</v>
      </c>
      <c r="C160" s="274">
        <v>59</v>
      </c>
      <c r="D160" s="170" t="s">
        <v>51</v>
      </c>
      <c r="K160" s="1004"/>
    </row>
  </sheetData>
  <sheetProtection algorithmName="SHA-512" hashValue="953c6w7VAQSVJPJWO0tw0CXdFpLsXIRWH9f+h+7abmq+99CMwS74asNKuJ0QcT8sKL2596mK57em/p0GvGRpZg==" saltValue="1ir2S+D0SzDiKiJwfBFh4A==" spinCount="100000" sheet="1" objects="1" scenarios="1"/>
  <pageMargins left="0.7" right="0.7" top="0.75" bottom="0.75" header="0.3" footer="0.3"/>
  <pageSetup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727CB9B4DB0E24A99138E109A82D4B1" ma:contentTypeVersion="2" ma:contentTypeDescription="Create a new document." ma:contentTypeScope="" ma:versionID="7d65c62a0737bf523943f34b8e21b1c2">
  <xsd:schema xmlns:xsd="http://www.w3.org/2001/XMLSchema" xmlns:xs="http://www.w3.org/2001/XMLSchema" xmlns:p="http://schemas.microsoft.com/office/2006/metadata/properties" xmlns:ns3="427a2e50-c707-4c43-a106-c992efc9b0d3" targetNamespace="http://schemas.microsoft.com/office/2006/metadata/properties" ma:root="true" ma:fieldsID="ebed6594823f4076ed1a650c00a5a27e" ns3:_="">
    <xsd:import namespace="427a2e50-c707-4c43-a106-c992efc9b0d3"/>
    <xsd:element name="properties">
      <xsd:complexType>
        <xsd:sequence>
          <xsd:element name="documentManagement">
            <xsd:complexType>
              <xsd:all>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27a2e50-c707-4c43-a106-c992efc9b0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39034BF-83BA-418E-9F38-D22D387E3B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27a2e50-c707-4c43-a106-c992efc9b0d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48ED7BE-98F7-46AD-806A-4A5AD2D2AFDC}">
  <ds:schemaRefs>
    <ds:schemaRef ds:uri="http://schemas.microsoft.com/sharepoint/v3/contenttype/forms"/>
  </ds:schemaRefs>
</ds:datastoreItem>
</file>

<file path=customXml/itemProps3.xml><?xml version="1.0" encoding="utf-8"?>
<ds:datastoreItem xmlns:ds="http://schemas.openxmlformats.org/officeDocument/2006/customXml" ds:itemID="{1843076E-D01F-4418-A018-8509E507A11D}">
  <ds:schemaRefs>
    <ds:schemaRef ds:uri="http://www.w3.org/XML/1998/namespace"/>
    <ds:schemaRef ds:uri="http://schemas.microsoft.com/office/2006/documentManagement/types"/>
    <ds:schemaRef ds:uri="http://purl.org/dc/elements/1.1/"/>
    <ds:schemaRef ds:uri="http://schemas.microsoft.com/office/2006/metadata/properties"/>
    <ds:schemaRef ds:uri="http://purl.org/dc/dcmitype/"/>
    <ds:schemaRef ds:uri="http://purl.org/dc/terms/"/>
    <ds:schemaRef ds:uri="http://schemas.microsoft.com/office/infopath/2007/PartnerControls"/>
    <ds:schemaRef ds:uri="http://schemas.openxmlformats.org/package/2006/metadata/core-properties"/>
    <ds:schemaRef ds:uri="427a2e50-c707-4c43-a106-c992efc9b0d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11</vt:i4>
      </vt:variant>
    </vt:vector>
  </HeadingPairs>
  <TitlesOfParts>
    <vt:vector size="25" baseType="lpstr">
      <vt:lpstr>Instructions</vt:lpstr>
      <vt:lpstr>Unit Data from Audit Worksheet</vt:lpstr>
      <vt:lpstr>TD Info Completed by Auditor</vt:lpstr>
      <vt:lpstr>Import</vt:lpstr>
      <vt:lpstr>Performance  Indicators Print</vt:lpstr>
      <vt:lpstr>PI series #</vt:lpstr>
      <vt:lpstr>RSS</vt:lpstr>
      <vt:lpstr>Debt Service Funds (H)</vt:lpstr>
      <vt:lpstr>UAL</vt:lpstr>
      <vt:lpstr>2020 Data(H)</vt:lpstr>
      <vt:lpstr>2019 Data(H)</vt:lpstr>
      <vt:lpstr>Tax Reval Rate</vt:lpstr>
      <vt:lpstr>Unit Names(H)</vt:lpstr>
      <vt:lpstr>Electric trans</vt:lpstr>
      <vt:lpstr>errorCount</vt:lpstr>
      <vt:lpstr>'2020 Data(H)'!Print_Area</vt:lpstr>
      <vt:lpstr>Instructions!Print_Area</vt:lpstr>
      <vt:lpstr>'Performance  Indicators Print'!Print_Area</vt:lpstr>
      <vt:lpstr>'PI series #'!Print_Area</vt:lpstr>
      <vt:lpstr>'Unit Data from Audit Worksheet'!Print_Area</vt:lpstr>
      <vt:lpstr>Print_Selection_Auditor</vt:lpstr>
      <vt:lpstr>'Performance  Indicators Print'!Print_Titles</vt:lpstr>
      <vt:lpstr>'PI series #'!Print_Titles</vt:lpstr>
      <vt:lpstr>'Unit Data from Audit Worksheet'!Print_Titles</vt:lpstr>
      <vt:lpstr>showError</vt:lpstr>
    </vt:vector>
  </TitlesOfParts>
  <Company>NCDST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Melinda Canady</dc:creator>
  <cp:lastModifiedBy>Rita Baker</cp:lastModifiedBy>
  <cp:lastPrinted>2021-07-31T16:43:10Z</cp:lastPrinted>
  <dcterms:created xsi:type="dcterms:W3CDTF">2011-03-11T21:05:05Z</dcterms:created>
  <dcterms:modified xsi:type="dcterms:W3CDTF">2022-09-16T17:00:01Z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efresh">
    <vt:bool>true</vt:bool>
  </property>
  <property fmtid="{D5CDD505-2E9C-101B-9397-08002B2CF9AE}" pid="3" name="Refresh97">
    <vt:bool>false</vt:bool>
  </property>
  <property fmtid="{D5CDD505-2E9C-101B-9397-08002B2CF9AE}" pid="4" name="tabName">
    <vt:lpwstr>2015 Review Year</vt:lpwstr>
  </property>
  <property fmtid="{D5CDD505-2E9C-101B-9397-08002B2CF9AE}" pid="5" name="tabIndex">
    <vt:lpwstr/>
  </property>
  <property fmtid="{D5CDD505-2E9C-101B-9397-08002B2CF9AE}" pid="6" name="workpaperIndex">
    <vt:lpwstr/>
  </property>
  <property fmtid="{D5CDD505-2E9C-101B-9397-08002B2CF9AE}" pid="7" name="Version">
    <vt:i4>20</vt:i4>
  </property>
  <property fmtid="{D5CDD505-2E9C-101B-9397-08002B2CF9AE}" pid="8" name="ContentTypeId">
    <vt:lpwstr>0x010100C727CB9B4DB0E24A99138E109A82D4B1</vt:lpwstr>
  </property>
</Properties>
</file>