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CD50A1E2-71EB-48ED-9E1F-6A3900EF2A1D}" xr6:coauthVersionLast="47" xr6:coauthVersionMax="47" xr10:uidLastSave="{00000000-0000-0000-0000-000000000000}"/>
  <bookViews>
    <workbookView xWindow="57480" yWindow="-120" windowWidth="29040" windowHeight="15840" tabRatio="708" xr2:uid="{00000000-000D-0000-FFFF-FFFF00000000}"/>
  </bookViews>
  <sheets>
    <sheet name="Instructions" sheetId="49"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state="hidden"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state="hidden"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Print'!$A$1:$H$9</definedName>
    <definedName name="_xlnm.Print_Area" localSheetId="5">'PI series #'!$A$1:$I$25</definedName>
    <definedName name="_xlnm.Print_Area" localSheetId="1">'Unit Data from Audit Worksheet'!$A$7:$D$297</definedName>
    <definedName name="Print_Selection_Auditor">'TD Info Completed by Auditor'!$A$1:$N$95</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E86" i="53"/>
  <c r="E84" i="53"/>
  <c r="E82" i="53"/>
  <c r="F66" i="53"/>
  <c r="F64" i="53"/>
  <c r="F62" i="53"/>
  <c r="E251" i="28"/>
  <c r="E250" i="28"/>
  <c r="D8" i="80" l="1"/>
  <c r="E260" i="28" l="1"/>
  <c r="E259" i="28"/>
  <c r="E258" i="28"/>
  <c r="E255" i="28"/>
  <c r="L255" i="28" s="1"/>
  <c r="E253" i="28"/>
  <c r="L253" i="28" s="1"/>
  <c r="E252" i="28"/>
  <c r="L252" i="28" s="1"/>
  <c r="E249" i="28"/>
  <c r="E248" i="28"/>
  <c r="E247" i="28"/>
  <c r="E246" i="28"/>
  <c r="L4"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U2" i="29"/>
  <c r="T2" i="29"/>
  <c r="P2" i="29"/>
  <c r="O2" i="29"/>
  <c r="E100" i="1" l="1"/>
  <c r="E97" i="1"/>
  <c r="E96" i="1"/>
  <c r="E95" i="1"/>
  <c r="E94" i="1"/>
  <c r="E92" i="1"/>
  <c r="E91" i="1"/>
  <c r="E90" i="1"/>
  <c r="A327" i="1" l="1"/>
  <c r="J291" i="42" l="1"/>
  <c r="I291" i="42"/>
  <c r="H291" i="42"/>
  <c r="G291" i="42"/>
  <c r="F291" i="42"/>
  <c r="E291" i="42"/>
  <c r="D291" i="42"/>
  <c r="B4" i="80" l="1"/>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93"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2" i="1"/>
  <c r="E11" i="1"/>
  <c r="E10" i="1"/>
  <c r="E9" i="1"/>
  <c r="E8" i="1"/>
  <c r="E7" i="1"/>
  <c r="H38" i="1" l="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M23" i="73" l="1"/>
  <c r="D23" i="73" s="1"/>
  <c r="C281" i="28"/>
  <c r="G88" i="53" l="1"/>
  <c r="L266" i="28" l="1"/>
  <c r="L267" i="28"/>
  <c r="L268" i="28"/>
  <c r="E244"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57" i="53"/>
  <c r="H78" i="53"/>
  <c r="H76" i="53"/>
  <c r="G180" i="1" l="1"/>
  <c r="D25" i="73"/>
  <c r="D17" i="73"/>
  <c r="C17" i="73"/>
  <c r="B17" i="73"/>
  <c r="B11" i="73"/>
  <c r="C11" i="73"/>
  <c r="D11" i="73"/>
  <c r="E243" i="28" l="1"/>
  <c r="L243" i="28" s="1"/>
  <c r="B20" i="71" s="1"/>
  <c r="C243" i="28"/>
  <c r="A243" i="28"/>
  <c r="B2" i="71"/>
  <c r="B8" i="71" l="1"/>
  <c r="B12" i="71"/>
  <c r="W243" i="28"/>
  <c r="C253" i="28"/>
  <c r="A253" i="28"/>
  <c r="E257" i="28"/>
  <c r="W253" i="28" l="1"/>
  <c r="G222" i="1"/>
  <c r="E256" i="28"/>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9" i="80" s="1"/>
  <c r="L246" i="28"/>
  <c r="E254" i="28"/>
  <c r="C247" i="28"/>
  <c r="C246" i="28"/>
  <c r="A258" i="28"/>
  <c r="A257" i="28"/>
  <c r="A256" i="28"/>
  <c r="A255" i="28"/>
  <c r="A260" i="28"/>
  <c r="A259" i="28"/>
  <c r="A254" i="28"/>
  <c r="A251" i="28"/>
  <c r="A250" i="28"/>
  <c r="A249" i="28"/>
  <c r="A248" i="28"/>
  <c r="A247" i="28"/>
  <c r="A246" i="28"/>
  <c r="W246" i="28" l="1"/>
  <c r="W260" i="28"/>
  <c r="W192" i="28"/>
  <c r="W247" i="28"/>
  <c r="W255" i="28"/>
  <c r="W191" i="28"/>
  <c r="W248" i="28"/>
  <c r="W249" i="28"/>
  <c r="W257" i="28"/>
  <c r="W254" i="28"/>
  <c r="W250" i="28"/>
  <c r="W258" i="28"/>
  <c r="W161" i="28"/>
  <c r="W244" i="28"/>
  <c r="W259" i="28"/>
  <c r="W193" i="28"/>
  <c r="W256" i="28"/>
  <c r="W251" i="28"/>
  <c r="L254" i="28"/>
  <c r="L259" i="28"/>
  <c r="L258" i="28"/>
  <c r="L260" i="28"/>
  <c r="L248" i="28"/>
  <c r="M9" i="80" s="1"/>
  <c r="L249" i="28"/>
  <c r="N9" i="80" s="1"/>
  <c r="L250" i="28"/>
  <c r="L256" i="28"/>
  <c r="L251" i="28"/>
  <c r="L257" i="28"/>
  <c r="D9" i="80" l="1"/>
  <c r="D7" i="80"/>
  <c r="F7" i="80" s="1"/>
  <c r="F8" i="80"/>
  <c r="B2" i="73" l="1"/>
  <c r="C9" i="73" s="1"/>
  <c r="C8" i="73" l="1"/>
  <c r="C6" i="73"/>
  <c r="L14" i="73"/>
  <c r="L13" i="73"/>
  <c r="L20" i="73"/>
  <c r="L19" i="73"/>
  <c r="L18" i="73"/>
  <c r="L12" i="73"/>
  <c r="H28" i="53"/>
  <c r="E27" i="53"/>
  <c r="G11" i="53"/>
  <c r="G89" i="53" s="1"/>
  <c r="E98" i="53" l="1"/>
  <c r="G90" i="53"/>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s="1"/>
  <c r="B3" i="71" l="1"/>
  <c r="B13" i="71"/>
  <c r="B3" i="73"/>
  <c r="Y266" i="28"/>
  <c r="B8" i="73" l="1"/>
  <c r="B9" i="73"/>
  <c r="B6" i="73"/>
  <c r="L11" i="73"/>
  <c r="L17"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M20" i="73" l="1"/>
  <c r="F20" i="73" s="1"/>
  <c r="M14" i="73"/>
  <c r="D14" i="73" s="1"/>
  <c r="D9" i="73"/>
  <c r="D8" i="73"/>
  <c r="D6" i="73"/>
  <c r="M12" i="73"/>
  <c r="F12" i="73" s="1"/>
  <c r="M19" i="73"/>
  <c r="D19" i="73" s="1"/>
  <c r="F19" i="73" s="1"/>
  <c r="G124" i="28"/>
  <c r="F124" i="28"/>
  <c r="K15" i="73"/>
  <c r="K5" i="73"/>
  <c r="E6" i="73" s="1"/>
  <c r="L264" i="28"/>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K9" i="73" l="1"/>
  <c r="F9" i="73" s="1"/>
  <c r="D20" i="73"/>
  <c r="G143" i="28"/>
  <c r="F143" i="28"/>
  <c r="D12" i="73"/>
  <c r="F14" i="73"/>
  <c r="D13" i="73"/>
  <c r="F13" i="73" s="1"/>
  <c r="D15" i="73"/>
  <c r="F15" i="73" s="1"/>
  <c r="K8" i="73"/>
  <c r="L8" i="73" s="1"/>
  <c r="E8" i="73"/>
  <c r="K6" i="73"/>
  <c r="L6" i="73"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F30" i="71" l="1"/>
  <c r="L295" i="28"/>
  <c r="J295" i="28"/>
  <c r="H32" i="30"/>
  <c r="F15" i="30"/>
  <c r="F18" i="30" s="1"/>
  <c r="F32" i="30"/>
  <c r="C22" i="30" l="1"/>
  <c r="F21" i="30"/>
  <c r="C21" i="30"/>
  <c r="F23" i="73" l="1"/>
</calcChain>
</file>

<file path=xl/sharedStrings.xml><?xml version="1.0" encoding="utf-8"?>
<sst xmlns="http://schemas.openxmlformats.org/spreadsheetml/2006/main" count="2597" uniqueCount="1582">
  <si>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</si>
  <si>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</si>
  <si>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</si>
  <si>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</si>
  <si>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</si>
  <si>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</si>
  <si>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</si>
  <si>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</si>
  <si>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</si>
  <si>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</si>
  <si>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</si>
  <si>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</si>
  <si>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</si>
  <si>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</si>
  <si>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</si>
  <si>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</si>
  <si>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</si>
  <si>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</si>
  <si>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</si>
  <si>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</si>
  <si>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</si>
  <si>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</si>
  <si>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</si>
  <si>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</si>
  <si>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</si>
  <si>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</si>
  <si>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</si>
  <si>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</si>
  <si>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</si>
  <si>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</si>
  <si>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</si>
  <si>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</si>
  <si>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</si>
  <si>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</si>
  <si>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</si>
  <si>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</si>
  <si>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</si>
  <si>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</si>
  <si>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</si>
  <si>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</si>
  <si>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</si>
  <si>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</si>
  <si>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</si>
  <si>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</si>
  <si>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</si>
  <si>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</si>
  <si>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</si>
  <si>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</si>
  <si>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</si>
  <si>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</si>
  <si>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</si>
  <si>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</si>
  <si>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</si>
  <si>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</si>
  <si>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</si>
  <si>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</si>
  <si>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</si>
  <si>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</si>
  <si>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</si>
  <si>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</si>
  <si>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</si>
  <si>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</si>
  <si>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</si>
  <si>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</si>
  <si>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</si>
  <si>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</si>
  <si>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</si>
  <si>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</si>
  <si>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</si>
  <si>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</si>
  <si>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</si>
  <si>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</si>
  <si>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</si>
  <si>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</si>
  <si>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</si>
  <si>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</si>
  <si>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</si>
  <si>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</si>
  <si>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</si>
  <si>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</si>
  <si>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</si>
  <si>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</si>
  <si>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</si>
  <si>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</si>
  <si>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</si>
  <si>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</si>
  <si>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</si>
  <si>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</si>
  <si>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</si>
  <si>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</si>
  <si>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</si>
  <si>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</si>
  <si>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</si>
  <si>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</si>
  <si>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</si>
  <si>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</si>
  <si>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</si>
  <si>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</si>
  <si>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</si>
  <si>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</si>
  <si>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</si>
  <si>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</si>
  <si>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</si>
  <si>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</si>
  <si>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</si>
  <si>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</si>
  <si>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</si>
  <si>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</si>
  <si>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</si>
  <si>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</si>
  <si>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</si>
  <si>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</si>
  <si>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</si>
  <si>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</si>
  <si>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</si>
  <si>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</si>
  <si>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</si>
  <si>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</si>
  <si>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</si>
  <si>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</si>
  <si>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</si>
  <si>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</si>
  <si>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</si>
  <si>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</si>
  <si>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</si>
  <si>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</si>
  <si>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</si>
  <si>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</si>
  <si>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</si>
  <si>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</si>
  <si>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</si>
  <si>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</si>
  <si>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</si>
  <si>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</si>
  <si>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</si>
  <si>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</si>
  <si>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</si>
  <si>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</si>
  <si>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</si>
  <si>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</si>
  <si>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</si>
  <si>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</si>
  <si>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</si>
  <si>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</si>
  <si>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</si>
  <si>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</si>
  <si>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</si>
  <si>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</si>
  <si>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</si>
  <si>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</si>
  <si>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</si>
  <si>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</si>
  <si>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</si>
  <si>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</si>
  <si>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</si>
  <si>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</si>
  <si>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</si>
  <si>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</si>
  <si>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</si>
  <si>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</si>
  <si>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</si>
  <si>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</si>
  <si>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</si>
  <si>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</si>
  <si>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</si>
  <si>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</si>
  <si>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</si>
  <si>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</si>
  <si>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</si>
  <si>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</si>
  <si>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</si>
  <si>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</si>
  <si>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</si>
  <si>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</si>
  <si>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</si>
  <si>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</si>
  <si>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</si>
  <si>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</si>
  <si>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</si>
  <si>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</si>
  <si>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</si>
  <si>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</si>
  <si>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</si>
  <si>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</si>
  <si>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</si>
  <si>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</si>
  <si>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</si>
  <si>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</si>
  <si>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</si>
  <si>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</si>
  <si>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</si>
  <si>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</si>
  <si>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</si>
  <si>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</si>
  <si>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</si>
  <si>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</si>
  <si>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</si>
  <si>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</si>
  <si>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</si>
  <si>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</si>
  <si>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</si>
  <si>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</si>
  <si>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</si>
  <si>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</si>
  <si>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</si>
  <si>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</si>
  <si>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</si>
  <si>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</si>
  <si>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</si>
  <si>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</si>
  <si>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</si>
  <si>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</si>
  <si>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</si>
  <si>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</si>
  <si>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</si>
  <si>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</si>
  <si>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</si>
  <si>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</si>
  <si>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</si>
  <si>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</si>
  <si>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</si>
  <si>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</si>
  <si>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</si>
  <si>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</si>
  <si>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</si>
  <si>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</si>
  <si>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</si>
  <si>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</si>
  <si>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</si>
  <si>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</si>
  <si>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</si>
  <si>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</si>
  <si>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</si>
  <si>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</si>
  <si>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</si>
  <si>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</si>
  <si>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</si>
  <si>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</si>
  <si>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</si>
  <si>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</si>
  <si>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</si>
  <si>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</si>
  <si>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</si>
  <si>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</si>
  <si>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</si>
  <si>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</si>
  <si>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</si>
  <si>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</si>
  <si>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</si>
  <si>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</si>
  <si>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</si>
  <si>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</si>
  <si>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</si>
  <si>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</si>
  <si>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</si>
  <si>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</si>
  <si>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</si>
  <si>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</si>
  <si>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</si>
  <si>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</si>
  <si>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</si>
  <si>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</si>
  <si>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</si>
  <si>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</si>
  <si>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</si>
  <si>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</si>
  <si>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</si>
  <si>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</si>
  <si>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</si>
  <si>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</si>
  <si>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</si>
  <si>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</si>
  <si>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</si>
  <si>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</si>
  <si>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</si>
  <si>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</si>
  <si>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</si>
  <si>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</si>
  <si>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</si>
  <si>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</si>
  <si>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</si>
  <si>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</si>
  <si>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</si>
  <si>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</si>
  <si>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</si>
  <si>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</si>
  <si>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</si>
  <si>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</si>
  <si>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</si>
  <si>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</si>
  <si>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</si>
  <si>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</si>
  <si>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</si>
  <si>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</si>
  <si>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 xml:space="preserve">Counties Only- Local Current Expense to BOEs </t>
  </si>
  <si>
    <t xml:space="preserve">Counties Only- Capital Outlay Contribution to BOEs </t>
  </si>
  <si>
    <t xml:space="preserve">BOE Only-- Local Current Exp. Revenue from County. </t>
  </si>
  <si>
    <t>Combined Totals of all Proprietary Funds - Capital Contributions</t>
  </si>
  <si>
    <t>GF- Total cash &amp; investments (restricted &amp; unrestricted)</t>
  </si>
  <si>
    <t>All cash and investments (unit-wide, w/ fiduciary fds, &amp; restricted cash)</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</si>
  <si>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</si>
  <si>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</si>
  <si>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</si>
  <si>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</si>
  <si>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</si>
  <si>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</si>
  <si>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</si>
  <si>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</si>
  <si>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</si>
  <si>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</si>
  <si>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</si>
  <si>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</si>
  <si>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</si>
  <si>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</si>
  <si>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</si>
  <si>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</si>
  <si>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</si>
  <si>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</si>
  <si>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</si>
  <si>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</si>
  <si>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</si>
  <si>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</si>
  <si>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</si>
  <si>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</si>
  <si>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</si>
  <si>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</si>
  <si>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</si>
  <si>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</si>
  <si>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</si>
  <si>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</si>
  <si>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</si>
  <si>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</si>
  <si>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</si>
  <si>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</si>
  <si>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</si>
  <si>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</si>
  <si>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</si>
  <si>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</si>
  <si>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</si>
  <si>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</si>
  <si>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</si>
  <si>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</si>
  <si>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</si>
  <si>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</si>
  <si>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</si>
  <si>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</si>
  <si>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</si>
  <si>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</si>
  <si>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</si>
  <si>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</si>
  <si>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</si>
  <si>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</si>
  <si>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</si>
  <si>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</si>
  <si>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</si>
  <si>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</si>
  <si>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</si>
  <si>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</si>
  <si>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C-EF- Current Assets (unrestricted, excl. inventory and prepaids)</t>
  </si>
  <si>
    <t>C-EF Current Assets (unrestricted, incl. inventory and prepaids)</t>
  </si>
  <si>
    <t>GF- Proceeds from all LT debt issuance (COPs, IPs, Notes, CLs, etc.)</t>
  </si>
  <si>
    <t>GA- Total Net transfers in(out) (SOA)</t>
  </si>
  <si>
    <t>GF- Restricted cash &amp; investments</t>
  </si>
  <si>
    <t>County only-timber receipts sent to the schools</t>
  </si>
  <si>
    <t>Local Curr Exp trx to Fund 8</t>
  </si>
  <si>
    <t>Capital Outlay trx to Fund 8</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</si>
  <si>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</si>
  <si>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</si>
  <si>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</si>
  <si>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</si>
  <si>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</si>
  <si>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</si>
  <si>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</si>
  <si>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</si>
  <si>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</si>
  <si>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</si>
  <si>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</si>
  <si>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</si>
  <si>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</si>
  <si>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</si>
  <si>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</si>
  <si>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</si>
  <si>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</si>
  <si>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</si>
  <si>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</si>
  <si>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</si>
  <si>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</si>
  <si>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</si>
  <si>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</si>
  <si>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</si>
  <si>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</si>
  <si>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</si>
  <si>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yes and "2" for no</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</si>
  <si>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</si>
  <si>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</si>
  <si>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</si>
  <si>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</si>
  <si>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</si>
  <si>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</si>
  <si>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</si>
  <si>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</si>
  <si>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</si>
  <si>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</si>
  <si>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</si>
  <si>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</si>
  <si>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</si>
  <si>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</si>
  <si>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</si>
  <si>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</si>
  <si>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</si>
  <si>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</si>
  <si>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</si>
  <si>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</si>
  <si>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</si>
  <si>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</si>
  <si>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</si>
  <si>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</si>
  <si>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</si>
  <si>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</si>
  <si>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</si>
  <si>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</si>
  <si>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</si>
  <si>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</si>
  <si>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</si>
  <si>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</si>
  <si>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</si>
  <si>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</si>
  <si>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</si>
  <si>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</si>
  <si>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</si>
  <si>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</si>
  <si>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</si>
  <si>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</si>
  <si>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</si>
  <si>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</si>
  <si>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</si>
  <si>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</si>
  <si>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</si>
  <si>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</si>
  <si>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</si>
  <si>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</si>
  <si>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</si>
  <si>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</si>
  <si>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</si>
  <si>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</si>
  <si>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</si>
  <si>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</si>
  <si>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</si>
  <si>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</si>
  <si>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</si>
  <si>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</si>
  <si>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</si>
  <si>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</si>
  <si>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</si>
  <si>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</si>
  <si>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</si>
  <si>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</si>
  <si>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</si>
  <si>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</si>
  <si>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</si>
  <si>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</si>
  <si>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</si>
  <si>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</si>
  <si>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</si>
  <si>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</si>
  <si>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</si>
  <si>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</si>
  <si>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</si>
  <si>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</si>
  <si>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</si>
  <si>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</si>
  <si>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</si>
  <si>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</si>
  <si>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</si>
  <si>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</si>
  <si>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</si>
  <si>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</si>
  <si>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</si>
  <si>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</si>
  <si>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</si>
  <si>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</si>
  <si>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</si>
  <si>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</si>
  <si>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</si>
  <si>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</si>
  <si>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</si>
  <si>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</si>
  <si>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</si>
  <si>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</si>
  <si>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</si>
  <si>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</si>
  <si>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</si>
  <si>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</si>
  <si>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</si>
  <si>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</si>
  <si>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</si>
  <si>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</si>
  <si>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</si>
  <si>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</si>
  <si>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</si>
  <si>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</si>
  <si>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</si>
  <si>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</si>
  <si>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</si>
  <si>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</si>
  <si>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</si>
  <si>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</si>
  <si>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</si>
  <si>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</si>
  <si>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</si>
  <si>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</si>
  <si>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</si>
  <si>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</si>
  <si>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</si>
  <si>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Supplemental School Tax</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</si>
  <si>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</si>
  <si>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</si>
  <si>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</si>
  <si>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</si>
  <si>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</si>
  <si>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</si>
  <si>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</si>
  <si>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</si>
  <si>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</si>
  <si>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</si>
  <si>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</si>
  <si>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</si>
  <si>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</si>
  <si>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</si>
  <si>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</si>
  <si>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</si>
  <si>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</si>
  <si>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</si>
  <si>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</si>
  <si>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</si>
  <si>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</si>
  <si>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</si>
  <si>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</si>
  <si>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(506+536-4-5-6-11)+647/(532+20+509-533-508)</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</si>
  <si>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</si>
  <si>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</si>
  <si>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</si>
  <si>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</si>
  <si>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</si>
  <si>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</si>
  <si>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</si>
  <si>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</si>
  <si>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</si>
  <si>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</si>
  <si>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</si>
  <si>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</si>
  <si>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</si>
  <si>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</si>
  <si>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</si>
  <si>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</si>
  <si>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</si>
  <si>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</si>
  <si>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</si>
  <si>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</si>
  <si>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</si>
  <si>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</si>
  <si>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</si>
  <si>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</si>
  <si>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</si>
  <si>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</si>
  <si>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</si>
  <si>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</si>
  <si>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</si>
  <si>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</si>
  <si>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</si>
  <si>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</si>
  <si>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</si>
  <si>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</si>
  <si>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</si>
  <si>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</si>
  <si>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</si>
  <si>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</si>
  <si>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</si>
  <si>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</si>
  <si>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</si>
  <si>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</si>
  <si>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</si>
  <si>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</si>
  <si>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</si>
  <si>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</si>
  <si>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</si>
  <si>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</si>
  <si>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</si>
  <si>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</si>
  <si>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</si>
  <si>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</si>
  <si>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</si>
  <si>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</si>
  <si>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</si>
  <si>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</si>
  <si>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</si>
  <si>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</si>
  <si>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</si>
  <si>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</si>
  <si>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</si>
  <si>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</si>
  <si>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</si>
  <si>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</si>
  <si>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</si>
  <si>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</si>
  <si>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</si>
  <si>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</si>
  <si>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</si>
  <si>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</si>
  <si>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</si>
  <si>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</si>
  <si>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</si>
  <si>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</si>
  <si>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</si>
  <si>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</si>
  <si>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</si>
  <si>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</si>
  <si>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</si>
  <si>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</si>
  <si>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</si>
  <si>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</si>
  <si>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</si>
  <si>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</si>
  <si>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</si>
  <si>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</si>
  <si>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</si>
  <si>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</si>
  <si>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</si>
  <si>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</si>
  <si>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</si>
  <si>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</si>
  <si>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</si>
  <si>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</si>
  <si>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</si>
  <si>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</si>
  <si>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</si>
  <si>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</si>
  <si>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</si>
  <si>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</si>
  <si>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</si>
  <si>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</si>
  <si>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</si>
  <si>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</si>
  <si>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</si>
  <si>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</si>
  <si>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</si>
  <si>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</si>
  <si>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</si>
  <si>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</si>
  <si>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</si>
  <si>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</si>
  <si>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</si>
  <si>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</si>
  <si>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</si>
  <si>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</si>
  <si>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</si>
  <si>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</si>
  <si>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</si>
  <si>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</si>
  <si>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</si>
  <si>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</si>
  <si>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</si>
  <si>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</si>
  <si>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</si>
  <si>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</si>
  <si>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</si>
  <si>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</si>
  <si>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</si>
  <si>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</si>
  <si>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</si>
  <si>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</si>
  <si>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</si>
  <si>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</si>
  <si>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</si>
  <si>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</si>
  <si>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</si>
  <si>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</si>
  <si>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</si>
  <si>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</si>
  <si>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</si>
  <si>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</si>
  <si>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</si>
  <si>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</si>
  <si>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</si>
  <si>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</si>
  <si>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</si>
  <si>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</si>
  <si>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</si>
  <si>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</si>
  <si>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</si>
  <si>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</si>
  <si>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</si>
  <si>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</si>
  <si>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</si>
  <si>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</si>
  <si>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</si>
  <si>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</si>
  <si>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</si>
  <si>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</si>
  <si>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</si>
  <si>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</si>
  <si>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</si>
  <si>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</si>
  <si>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</si>
  <si>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</si>
  <si>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</si>
  <si>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</si>
  <si>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</si>
  <si>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</si>
  <si>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</si>
  <si>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</si>
  <si>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</si>
  <si>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</si>
  <si>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</si>
  <si>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</si>
  <si>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</si>
  <si>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General Performance Indicators:</t>
  </si>
  <si>
    <t>The unit must address the material and/or significant findings or any other findings that the auditor reported to them.</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</si>
  <si>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</si>
  <si>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</si>
  <si>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</si>
  <si>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</si>
  <si>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</si>
  <si>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</si>
  <si>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</si>
  <si>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</si>
  <si>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</si>
  <si>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</si>
  <si>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</si>
  <si>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</si>
  <si>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</si>
  <si>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</si>
  <si>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</si>
  <si>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</si>
  <si>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</si>
  <si>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</si>
  <si>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</si>
  <si>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</si>
  <si>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</si>
  <si>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TD Info Completed by Auditor : CCH acct # 978</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</si>
  <si>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</si>
  <si>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</si>
  <si>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</si>
  <si>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</si>
  <si>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</si>
  <si>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</si>
  <si>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DO NOT DELETE THIS ROW</t>
  </si>
  <si>
    <t>hidden data</t>
  </si>
  <si>
    <t>GF FBA% of Exp w/o Powell Bill</t>
  </si>
  <si>
    <t>Operating Net Income (loss) excluding depreciation+ debt service principal</t>
  </si>
  <si>
    <t>Unit data from Audit Worksheet tab ; 84-85-49+331</t>
  </si>
  <si>
    <t>Unit Data from Audit worksheet tab : 80/(85+351-49+331)</t>
  </si>
  <si>
    <t>Unit Data from Audit worksheet tab : 93-94-52+100</t>
  </si>
  <si>
    <t>Unit Data from Audit worksheet tab : (657-658-511-581)/(639-640-641-642-643-644-580)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</si>
  <si>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</si>
  <si>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</si>
  <si>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</si>
  <si>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</si>
  <si>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</si>
  <si>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</si>
  <si>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</si>
  <si>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</si>
  <si>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</si>
  <si>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</si>
  <si>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</si>
  <si>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</si>
  <si>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Tax rate for year audited</t>
  </si>
  <si>
    <t>Electric worksheet</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</si>
  <si>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</si>
  <si>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</si>
  <si>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</si>
  <si>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</si>
  <si>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</si>
  <si>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</si>
  <si>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</si>
  <si>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</si>
  <si>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</si>
  <si>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</si>
  <si>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</si>
  <si>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</si>
  <si>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</si>
  <si>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</si>
  <si>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</si>
  <si>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</si>
  <si>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</si>
  <si>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</si>
  <si>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</si>
  <si>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</si>
  <si>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</si>
  <si>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</si>
  <si>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</si>
  <si>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</si>
  <si>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</si>
  <si>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</si>
  <si>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</si>
  <si>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</si>
  <si>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</si>
  <si>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</si>
  <si>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</si>
  <si>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</si>
  <si>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</si>
  <si>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</si>
  <si>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</si>
  <si>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</si>
  <si>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</si>
  <si>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</si>
  <si>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</si>
  <si>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</si>
  <si>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</si>
  <si>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</si>
  <si>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</si>
  <si>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</si>
  <si>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</si>
  <si>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</si>
  <si>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</si>
  <si>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</si>
  <si>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</si>
  <si>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</si>
  <si>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</si>
  <si>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</si>
  <si>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</si>
  <si>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</si>
  <si>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</si>
  <si>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</si>
  <si>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</si>
  <si>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</si>
  <si>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</si>
  <si>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</si>
  <si>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</si>
  <si>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</si>
  <si>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</si>
  <si>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</si>
  <si>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</si>
  <si>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</si>
  <si>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</si>
  <si>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</si>
  <si>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</si>
  <si>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</si>
  <si>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</si>
  <si>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</si>
  <si>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</si>
  <si>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</si>
  <si>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</si>
  <si>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</si>
  <si>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</si>
  <si>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</si>
  <si>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</si>
  <si>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</si>
  <si>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</si>
  <si>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</si>
  <si>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</si>
  <si>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</si>
  <si>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</si>
  <si>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</si>
  <si>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</si>
  <si>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</si>
  <si>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</si>
  <si>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</si>
  <si>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</si>
  <si>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</si>
  <si>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</si>
  <si>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</si>
  <si>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</si>
  <si>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</si>
  <si>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</si>
  <si>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</si>
  <si>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</si>
  <si>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</si>
  <si>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</si>
  <si>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</si>
  <si>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</si>
  <si>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</si>
  <si>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</si>
  <si>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</si>
  <si>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</si>
  <si>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</si>
  <si>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</si>
  <si>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</si>
  <si>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</si>
  <si>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</si>
  <si>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</si>
  <si>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</si>
  <si>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</si>
  <si>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</si>
  <si>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</si>
  <si>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</si>
  <si>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</si>
  <si>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</si>
  <si>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</si>
  <si>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</si>
  <si>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</si>
  <si>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</si>
  <si>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</si>
  <si>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</si>
  <si>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</si>
  <si>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</si>
  <si>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</si>
  <si>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</si>
  <si>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</si>
  <si>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34% -- Average of similar units is 68%</t>
  </si>
  <si>
    <t>25% -- Average of similar units is 50%</t>
  </si>
  <si>
    <t>71% -- Average of similar units is 142%</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</si>
  <si>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</si>
  <si>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</si>
  <si>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</si>
  <si>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</si>
  <si>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</si>
  <si>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</si>
  <si>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</si>
  <si>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</si>
  <si>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</si>
  <si>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</si>
  <si>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</si>
  <si>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</si>
  <si>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</si>
  <si>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</si>
  <si>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</si>
  <si>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</si>
  <si>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</si>
  <si>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</si>
  <si>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</si>
  <si>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</si>
  <si>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</si>
  <si>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</si>
  <si>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</si>
  <si>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</si>
  <si>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</si>
  <si>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</si>
  <si>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</si>
  <si>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</si>
  <si>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</si>
  <si>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</si>
  <si>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</si>
  <si>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</si>
  <si>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</si>
  <si>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</si>
  <si>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</si>
  <si>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</si>
  <si>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</si>
  <si>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</si>
  <si>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</si>
  <si>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</si>
  <si>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</si>
  <si>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</si>
  <si>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</si>
  <si>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</si>
  <si>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</si>
  <si>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</si>
  <si>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</si>
  <si>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</si>
  <si>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</si>
  <si>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</si>
  <si>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</si>
  <si>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</si>
  <si>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</si>
  <si>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</si>
  <si>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</si>
  <si>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</si>
  <si>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</si>
  <si>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</si>
  <si>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</si>
  <si>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</si>
  <si>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</si>
  <si>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</si>
  <si>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</si>
  <si>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</si>
  <si>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</si>
  <si>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</si>
  <si>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</si>
  <si>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</si>
  <si>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</si>
  <si>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</si>
  <si>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</si>
  <si>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</si>
  <si>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</si>
  <si>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</si>
  <si>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</si>
  <si>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</si>
  <si>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</si>
  <si>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</si>
  <si>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</si>
  <si>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</si>
  <si>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33</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</si>
  <si>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</si>
  <si>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</si>
  <si>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</si>
  <si>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</si>
  <si>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</si>
  <si>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</si>
  <si>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</si>
  <si>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</si>
  <si>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</si>
  <si>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</si>
  <si>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</si>
  <si>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</si>
  <si>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</si>
  <si>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</si>
  <si>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</si>
  <si>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</si>
  <si>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</si>
  <si>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</si>
  <si>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</si>
  <si>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</si>
  <si>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</si>
  <si>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</si>
  <si>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</si>
  <si>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</si>
  <si>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</si>
  <si>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</si>
  <si>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</si>
  <si>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</si>
  <si>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</si>
  <si>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</si>
  <si>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</si>
  <si>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</si>
  <si>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</si>
  <si>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</si>
  <si>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</si>
  <si>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</si>
  <si>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</si>
  <si>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</si>
  <si>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</si>
  <si>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</si>
  <si>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</si>
  <si>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</si>
  <si>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</si>
  <si>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</si>
  <si>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</si>
  <si>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</si>
  <si>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</si>
  <si>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</si>
  <si>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</si>
  <si>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</si>
  <si>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</si>
  <si>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</si>
  <si>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</si>
  <si>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</si>
  <si>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</si>
  <si>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</si>
  <si>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</si>
  <si>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</si>
  <si>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</si>
  <si>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</si>
  <si>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</si>
  <si>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</si>
  <si>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</si>
  <si>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</si>
  <si>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</si>
  <si>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</si>
  <si>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</si>
  <si>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</si>
  <si>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</si>
  <si>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</si>
  <si>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</si>
  <si>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</si>
  <si>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</si>
  <si>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</si>
  <si>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</si>
  <si>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</si>
  <si>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</si>
  <si>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</si>
  <si>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</si>
  <si>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</si>
  <si>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</si>
  <si>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</si>
  <si>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</si>
  <si>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</si>
  <si>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</si>
  <si>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</si>
  <si>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</si>
  <si>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</si>
  <si>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</si>
  <si>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</si>
  <si>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</si>
  <si>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</si>
  <si>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</si>
  <si>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</si>
  <si>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</si>
  <si>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</si>
  <si>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</si>
  <si>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</si>
  <si>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</si>
  <si>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</si>
  <si>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</si>
  <si>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</si>
  <si>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</si>
  <si>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</si>
  <si>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</si>
  <si>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</si>
  <si>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</si>
  <si>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</si>
  <si>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</si>
  <si>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</si>
  <si>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</si>
  <si>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</si>
  <si>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</si>
  <si>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</si>
  <si>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</si>
  <si>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</si>
  <si>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</si>
  <si>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</si>
  <si>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</si>
  <si>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</si>
  <si>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</si>
  <si>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</si>
  <si>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</si>
  <si>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</si>
  <si>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</si>
  <si>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</si>
  <si>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</si>
  <si>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</si>
  <si>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</si>
  <si>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</si>
  <si>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</si>
  <si>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</si>
  <si>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</si>
  <si>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</si>
  <si>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</si>
  <si>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</si>
  <si>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</si>
  <si>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</si>
  <si>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</si>
  <si>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</si>
  <si>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</si>
  <si>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</si>
  <si>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</si>
  <si>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</si>
  <si>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</si>
  <si>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</si>
  <si>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</si>
  <si>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</si>
  <si>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</si>
  <si>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</si>
  <si>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</si>
  <si>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</si>
  <si>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</si>
  <si>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</si>
  <si>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</si>
  <si>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</si>
  <si>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</si>
  <si>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</si>
  <si>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</si>
  <si>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</si>
  <si>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</si>
  <si>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</si>
  <si>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</si>
  <si>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</si>
  <si>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</si>
  <si>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</si>
  <si>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</si>
  <si>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</si>
  <si>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</si>
  <si>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</si>
  <si>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</si>
  <si>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</si>
  <si>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</si>
  <si>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</si>
  <si>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</si>
  <si>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</si>
  <si>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</si>
  <si>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</si>
  <si>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</si>
  <si>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</si>
  <si>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</si>
  <si>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</si>
  <si>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</si>
  <si>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</si>
  <si>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</si>
  <si>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</si>
  <si>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</si>
  <si>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</si>
  <si>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</si>
  <si>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</si>
  <si>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</si>
  <si>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</si>
  <si>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</si>
  <si>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</si>
  <si>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</si>
  <si>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</si>
  <si>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</si>
  <si>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</si>
  <si>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</si>
  <si>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</si>
  <si>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</si>
  <si>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</si>
  <si>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</si>
  <si>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</si>
  <si>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</si>
  <si>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</si>
  <si>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</si>
  <si>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</si>
  <si>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</si>
  <si>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</si>
  <si>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</si>
  <si>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</si>
  <si>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</si>
  <si>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</si>
  <si>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</si>
  <si>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</si>
  <si>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</si>
  <si>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</si>
  <si>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</si>
  <si>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</si>
  <si>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</si>
  <si>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</si>
  <si>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</si>
  <si>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</si>
  <si>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</si>
  <si>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</si>
  <si>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</si>
  <si>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</si>
  <si>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</si>
  <si>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</si>
  <si>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</si>
  <si>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Threshold</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</si>
  <si>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</si>
  <si>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</si>
  <si>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</si>
  <si>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</si>
  <si>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</si>
  <si>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</si>
  <si>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</si>
  <si>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</si>
  <si>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</si>
  <si>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</si>
  <si>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</si>
  <si>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</si>
  <si>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</si>
  <si>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</si>
  <si>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</si>
  <si>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</si>
  <si>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</si>
  <si>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</si>
  <si>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</si>
  <si>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</si>
  <si>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</si>
  <si>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</si>
  <si>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</si>
  <si>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</si>
  <si>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</si>
  <si>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</si>
  <si>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</si>
  <si>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</si>
  <si>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</si>
  <si>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</si>
  <si>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</si>
  <si>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</si>
  <si>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</si>
  <si>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</si>
  <si>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</si>
  <si>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</si>
  <si>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</si>
  <si>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</si>
  <si>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</si>
  <si>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</si>
  <si>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</si>
  <si>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</si>
  <si>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</si>
  <si>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</si>
  <si>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</si>
  <si>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</si>
  <si>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</si>
  <si>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</si>
  <si>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</si>
  <si>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</si>
  <si>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</si>
  <si>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</si>
  <si>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</si>
  <si>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</si>
  <si>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</si>
  <si>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</si>
  <si>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</si>
  <si>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</si>
  <si>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</si>
  <si>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</si>
  <si>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</si>
  <si>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</si>
  <si>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</si>
  <si>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2021</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</si>
  <si>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</si>
  <si>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</si>
  <si>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</si>
  <si>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the unit has a statutory violation.</t>
  </si>
  <si>
    <t>This indicator states whether or not your auditor has identified material and/or significant findings or any other findings for your unit.</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</si>
  <si>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</si>
  <si>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</si>
  <si>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Albemarle Regional Library</t>
  </si>
  <si>
    <t>Appalachian Regional Library</t>
  </si>
  <si>
    <t>Avery/Mitchell/Yancey Regional Library</t>
  </si>
  <si>
    <t>B.H.M. Regional Library</t>
  </si>
  <si>
    <t>Braswell Memorial Public Library</t>
  </si>
  <si>
    <t>Charlotte Mecklenberg Public Library</t>
  </si>
  <si>
    <t>Craven/Pamlico/Carteret Regional Library</t>
  </si>
  <si>
    <t>East Albemarle Regional Library</t>
  </si>
  <si>
    <t>Fontana Regional Library</t>
  </si>
  <si>
    <t>Nantahala Regional Library</t>
  </si>
  <si>
    <t>Neuse Regional Library</t>
  </si>
  <si>
    <t>Northwestern Regional Library</t>
  </si>
  <si>
    <t>Pettigrew Regional Library</t>
  </si>
  <si>
    <t>Robeson County Public Library</t>
  </si>
  <si>
    <t>Sandhill Regional Library</t>
  </si>
  <si>
    <t>Sheppard Memorial Library</t>
  </si>
  <si>
    <t>Data Import 2019</t>
  </si>
  <si>
    <t>Account</t>
  </si>
  <si>
    <t>10</t>
  </si>
  <si>
    <t>GF- Reserved by state statute per report</t>
  </si>
  <si>
    <t>12</t>
  </si>
  <si>
    <t>13</t>
  </si>
  <si>
    <t>14</t>
  </si>
  <si>
    <t>C-EF- Current liabilities (Inc. Def Rev, Excl. BANs &amp; Comp Abs) Enter as positive.</t>
  </si>
  <si>
    <t>16</t>
  </si>
  <si>
    <t>GF- Total revenues</t>
  </si>
  <si>
    <t>17</t>
  </si>
  <si>
    <t>GF- Transfers In (incl. CU)</t>
  </si>
  <si>
    <t>19</t>
  </si>
  <si>
    <t>GF- Total expenditures. Enter as positive.</t>
  </si>
  <si>
    <t>C-EF- Capital contributions. (only positive)</t>
  </si>
  <si>
    <t>20</t>
  </si>
  <si>
    <t>GF- Transfers Out (incl. CU) ENTER AS A POSITIVE!</t>
  </si>
  <si>
    <t>21</t>
  </si>
  <si>
    <t>22</t>
  </si>
  <si>
    <t>GF- Other items. Should be only positive items. If negative, group with Total expenditures or Transfers out.</t>
  </si>
  <si>
    <t>23</t>
  </si>
  <si>
    <t>GF-net change in fund balance</t>
  </si>
  <si>
    <t>231</t>
  </si>
  <si>
    <t>251</t>
  </si>
  <si>
    <t>252</t>
  </si>
  <si>
    <t>GA- net assets, ICAND</t>
  </si>
  <si>
    <t>253</t>
  </si>
  <si>
    <t>GA-net assets, restricted</t>
  </si>
  <si>
    <t>254</t>
  </si>
  <si>
    <t>GA-net assets -unrestricted</t>
  </si>
  <si>
    <t>255</t>
  </si>
  <si>
    <t>GA-change in net assets</t>
  </si>
  <si>
    <t>256</t>
  </si>
  <si>
    <t>GA-special items</t>
  </si>
  <si>
    <t>257</t>
  </si>
  <si>
    <t>GA-extraordinary items</t>
  </si>
  <si>
    <t>258</t>
  </si>
  <si>
    <t>BTA- net assets, ICAND</t>
  </si>
  <si>
    <t>259</t>
  </si>
  <si>
    <t>BTA-net assets, restricted</t>
  </si>
  <si>
    <t>260</t>
  </si>
  <si>
    <t>BTA-net assets, unrestricted</t>
  </si>
  <si>
    <t>261</t>
  </si>
  <si>
    <t>BTA-change in net assets</t>
  </si>
  <si>
    <t>262</t>
  </si>
  <si>
    <t>BTA-special items</t>
  </si>
  <si>
    <t>263</t>
  </si>
  <si>
    <t>BTA-extraordinary items</t>
  </si>
  <si>
    <t>31</t>
  </si>
  <si>
    <t>C-EF- Change in Net Assets - per exhibits</t>
  </si>
  <si>
    <t>317</t>
  </si>
  <si>
    <t>Entity-Wide Buildings and Structures at Original Cost</t>
  </si>
  <si>
    <t>32</t>
  </si>
  <si>
    <t>C-EF- Depreciation &amp; Amort Expense. Enter as positive.</t>
  </si>
  <si>
    <t>320</t>
  </si>
  <si>
    <t>OPEB- Net OPEB obligation, ending</t>
  </si>
  <si>
    <t>321</t>
  </si>
  <si>
    <t>OPEB- Annual OPEB cost(expense)</t>
  </si>
  <si>
    <t>322</t>
  </si>
  <si>
    <t>OPEB- Total UAAL (unfunded actuarial accrued liability)</t>
  </si>
  <si>
    <t>323</t>
  </si>
  <si>
    <t>324</t>
  </si>
  <si>
    <t>OPEB- ARC (annual required contribution)</t>
  </si>
  <si>
    <t>325</t>
  </si>
  <si>
    <t>OPEB- UAAL as % of covered payroll</t>
  </si>
  <si>
    <t>C-EF- Cash Flow from Operating Activities</t>
  </si>
  <si>
    <t>333</t>
  </si>
  <si>
    <t>GA- Total Unrestricted Cash &amp; Investments (SNA)</t>
  </si>
  <si>
    <t>334</t>
  </si>
  <si>
    <t>GA- Total Depreciable capital assets, gross (no non-depreciable CA)(Notes)</t>
  </si>
  <si>
    <t>335</t>
  </si>
  <si>
    <t>GA- Unearned revenues- current portion only (SNA) Enter as positive.</t>
  </si>
  <si>
    <t>336</t>
  </si>
  <si>
    <t>GA- Current liabilities (Inc. UR, LTD, ISF)(Ex. BANs, Comp Abs, Pension, OPEB, Payables from Rest. Assets)(SNA) Enter as positive.</t>
  </si>
  <si>
    <t>337</t>
  </si>
  <si>
    <t>GA- Total LTD (ST &amp;LT, include BANs; No Comp Abs, Pension, OPEB)(Notes) Enter as positive.</t>
  </si>
  <si>
    <t>338</t>
  </si>
  <si>
    <t>GA- Total liabilities (SNA). Enter as postive.</t>
  </si>
  <si>
    <t>339</t>
  </si>
  <si>
    <t>GA- Total Charges for services (SOA)</t>
  </si>
  <si>
    <t>340</t>
  </si>
  <si>
    <t>GA- Total Program revenues (positive only)(SOA)</t>
  </si>
  <si>
    <t>341</t>
  </si>
  <si>
    <t>GA- Total General revenues (positive only; No transfers, special, extraordinary items)(SOA)</t>
  </si>
  <si>
    <t>342</t>
  </si>
  <si>
    <t>343</t>
  </si>
  <si>
    <t>GA- Principal paid on LT Debt (Notes) Enter as positive.</t>
  </si>
  <si>
    <t>344</t>
  </si>
  <si>
    <t>GA- Interest of LTD (SOA) Enter as positive.</t>
  </si>
  <si>
    <t>367</t>
  </si>
  <si>
    <t>368</t>
  </si>
  <si>
    <t>GF- Liabilities payable from restricted assets. Enter as positive.</t>
  </si>
  <si>
    <t>369</t>
  </si>
  <si>
    <t>GF- Total Intergovernmental revenue (Rest &amp; Unrest)</t>
  </si>
  <si>
    <t>370</t>
  </si>
  <si>
    <t>GF- Principal &amp; interest paid on LT debt (Exh. 4) Enter as positive.</t>
  </si>
  <si>
    <t>371</t>
  </si>
  <si>
    <t>GF- Transfers out to Debt Service Fund (Enter as positive)</t>
  </si>
  <si>
    <t>372</t>
  </si>
  <si>
    <t>Legal debt margin (amount cited in notes)</t>
  </si>
  <si>
    <t>373</t>
  </si>
  <si>
    <t>GA- Total accum. deprec. on all capital assets</t>
  </si>
  <si>
    <t>376</t>
  </si>
  <si>
    <t>GA- PPA &amp; restatements to Beg. Bal.</t>
  </si>
  <si>
    <t>379</t>
  </si>
  <si>
    <t>GF- Total assets</t>
  </si>
  <si>
    <t>380</t>
  </si>
  <si>
    <t>GF- Deferred rev NOT from cash. Enter as positive.</t>
  </si>
  <si>
    <t>385</t>
  </si>
  <si>
    <t>GA- Total assets (SNA)</t>
  </si>
  <si>
    <t>386</t>
  </si>
  <si>
    <t>GA- Transfers In (SOA)</t>
  </si>
  <si>
    <t>387</t>
  </si>
  <si>
    <t>GA- Transfers Out (SOA) Enter as positive.</t>
  </si>
  <si>
    <t>388</t>
  </si>
  <si>
    <t>GA- Total Expenses (SOA) Enter as positive.</t>
  </si>
  <si>
    <t>389</t>
  </si>
  <si>
    <t>GA- extraordinary &amp; special items (SOA)</t>
  </si>
  <si>
    <t>390</t>
  </si>
  <si>
    <t>BTA- extraordinary &amp; special items (SOA)</t>
  </si>
  <si>
    <t>391</t>
  </si>
  <si>
    <t>GF- Restricted for Stablization by State Statute</t>
  </si>
  <si>
    <t>4</t>
  </si>
  <si>
    <t>GF- Liabilities (Excl deferred/unearned rev)(Inc Payables from restricted asets) Enter as positive.</t>
  </si>
  <si>
    <t>5</t>
  </si>
  <si>
    <t>GF- Deferred/unearned rev from cash receipts (Notes) Enter as positive.</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</si>
  <si>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</si>
  <si>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</si>
  <si>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</si>
  <si>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</si>
  <si>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</si>
  <si>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</si>
  <si>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</si>
  <si>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</si>
  <si>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</si>
  <si>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</si>
  <si>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</si>
  <si>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</si>
  <si>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</si>
  <si>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</si>
  <si>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</si>
  <si>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</si>
  <si>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</si>
  <si>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</si>
  <si>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</si>
  <si>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</si>
  <si>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</si>
  <si>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</si>
  <si>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</si>
  <si>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</si>
  <si>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</si>
  <si>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</si>
  <si>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</si>
  <si>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</si>
  <si>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</si>
  <si>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</si>
  <si>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</si>
  <si>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</si>
  <si>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</si>
  <si>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Gen Fund - Total Expenditures (w/o Neg Refund)</t>
  </si>
  <si>
    <t>533</t>
  </si>
  <si>
    <t>Gen Fund - Proceeds from LTD (w/o Pos Refund)</t>
  </si>
  <si>
    <t>534</t>
  </si>
  <si>
    <t>535</t>
  </si>
  <si>
    <t>536</t>
  </si>
  <si>
    <t>6</t>
  </si>
  <si>
    <t>GF- Encumbrances in fund balance</t>
  </si>
  <si>
    <t>7</t>
  </si>
  <si>
    <t>GF- Inventory/prepaids in fund balance</t>
  </si>
  <si>
    <t>9</t>
  </si>
  <si>
    <t>GF- Total Fund Balance per report</t>
  </si>
  <si>
    <t>547</t>
  </si>
  <si>
    <t>Portion of retirees' cost</t>
  </si>
  <si>
    <t>The Unfunded actuarially accrued liability for the unit's LEO benefit.</t>
  </si>
  <si>
    <t>Internal Control-1) no IC issues 2)Immaterial 3) Unit letter for IC 4) Unit visit for IC</t>
  </si>
  <si>
    <t>998</t>
  </si>
  <si>
    <t>999</t>
  </si>
  <si>
    <t>Reviewer if you need to change what the unit entered do so directly in cell K56.  Enter "1" to the right if the unit has defined benefit other than the ones adm. By the state - leave blank if they do not</t>
  </si>
  <si>
    <t>import tab only</t>
  </si>
  <si>
    <t>600</t>
  </si>
  <si>
    <t>601</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</si>
  <si>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</si>
  <si>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</si>
  <si>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</si>
  <si>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</si>
  <si>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Master Unit</t>
  </si>
  <si>
    <t>Import 2020</t>
  </si>
  <si>
    <t>336 is active, collect by account 626-631</t>
  </si>
  <si>
    <t>reported on row 627</t>
  </si>
  <si>
    <t xml:space="preserve">Current liabilities
Include:   Current liabilities including current portion of long-term debt.  Deferred inflows should not be included in Current Liabilities  
</t>
  </si>
  <si>
    <t>Please enter any bond anticipation notes that are classified as current liabilities and included row 12 above (amounts entered should agree to the current amount included in the changes to long-term debt note)</t>
  </si>
  <si>
    <t>Please enter any compensated absences that are classified as current liabilities and included row 12 above (amounts entered should agree to the current amount included in the changes to long-term debt note)</t>
  </si>
  <si>
    <t>Please enter any pension liabilities that are classified as current liabilities and included row 12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</si>
  <si>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</si>
  <si>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row 12 above (amounts entered should agree to the current amount included in the changes to long-term debt note)</t>
  </si>
  <si>
    <t xml:space="preserve">Fund balance, Assigned </t>
  </si>
  <si>
    <t>Total OPEB benefits - What is the plan’s fiduciary net position as a percentage of the total OPEB liability?  Please enter as percentage value; for example, 83.5% should be entered as 83.5.  If assets have not been set aside in a trust, please enter 0.0</t>
  </si>
  <si>
    <t xml:space="preserve"> total expenditures for FBA Calculatin </t>
  </si>
  <si>
    <t xml:space="preserve"> (532+509+20-533-508) </t>
  </si>
  <si>
    <t xml:space="preserve"> FBA% Target message on PI </t>
  </si>
  <si>
    <t xml:space="preserve"> FBA% target </t>
  </si>
  <si>
    <t>34%</t>
  </si>
  <si>
    <t xml:space="preserve">71% </t>
  </si>
  <si>
    <t>25%</t>
  </si>
  <si>
    <t xml:space="preserve"> GF  FBA without Powell Bill </t>
  </si>
  <si>
    <t xml:space="preserve"> (506+536-4-5-6-11)+647 </t>
  </si>
  <si>
    <t xml:space="preserve"> GF Exp and Tran out </t>
  </si>
  <si>
    <t xml:space="preserve"> 532+20+509-533-508 </t>
  </si>
  <si>
    <t xml:space="preserve"> GF FBA% of Exp w/o Powell Bill </t>
  </si>
  <si>
    <t xml:space="preserve"> (506+536-4-5-6-11)+647/(532+20+509-533-508) </t>
  </si>
  <si>
    <t xml:space="preserve"> WS debt service </t>
  </si>
  <si>
    <t xml:space="preserve"> 331+89 </t>
  </si>
  <si>
    <t xml:space="preserve"> Electric cash flow - debt service </t>
  </si>
  <si>
    <t xml:space="preserve"> 100+98 </t>
  </si>
  <si>
    <t xml:space="preserve"> WS Current asset </t>
  </si>
  <si>
    <t xml:space="preserve"> 44-510 </t>
  </si>
  <si>
    <t xml:space="preserve"> WS Days in Sales </t>
  </si>
  <si>
    <t xml:space="preserve"> 81*365/88 </t>
  </si>
  <si>
    <t xml:space="preserve"> Electric Days in Sales  </t>
  </si>
  <si>
    <t xml:space="preserve"> 91*365/97 </t>
  </si>
  <si>
    <t xml:space="preserve"> GF FBA Less Powell Bill </t>
  </si>
  <si>
    <t xml:space="preserve"> GF FBA% of Exp less Powell Bill </t>
  </si>
  <si>
    <t xml:space="preserve"> WS Quick Ratio </t>
  </si>
  <si>
    <t xml:space="preserve"> (654-655-579-510)/(633-634-635-636-637-638-578) </t>
  </si>
  <si>
    <t xml:space="preserve"> WS Operating Net Income (loss) excluding depreciation+ debt service principal </t>
  </si>
  <si>
    <t xml:space="preserve"> 84-85+49-331 </t>
  </si>
  <si>
    <t xml:space="preserve"> WS Unrestricted cash / Total expenses less depreciation+depbt service principal </t>
  </si>
  <si>
    <t xml:space="preserve"> 80/(85+351-49+331) </t>
  </si>
  <si>
    <t xml:space="preserve"> Elec Quick ratio </t>
  </si>
  <si>
    <t xml:space="preserve"> (657-658-511-581)/(639-640-641-642-643-644-580) </t>
  </si>
  <si>
    <t xml:space="preserve"> Elec Operating Net Income (loss) excluding depreciation+ debt service principal </t>
  </si>
  <si>
    <t xml:space="preserve">  93-94+52-100 </t>
  </si>
  <si>
    <t xml:space="preserve"> Elec Unrestricted cash / Total expenses less depreciation+depbt service principal </t>
  </si>
  <si>
    <t xml:space="preserve"> (90/(364+94-52+100) </t>
  </si>
  <si>
    <t xml:space="preserve"> electric Gross Capital Assets </t>
  </si>
  <si>
    <t xml:space="preserve"> 527+356 </t>
  </si>
  <si>
    <t xml:space="preserve"> Electric Gross Annual Revenue </t>
  </si>
  <si>
    <t xml:space="preserve"> Performance Indicator Tab Target for FBA - County </t>
  </si>
  <si>
    <t>2020 Master Upload</t>
  </si>
  <si>
    <t>should equal column E unit data from audit worksheet</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</si>
  <si>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</si>
  <si>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</si>
  <si>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</si>
  <si>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Please indicate if you expect your revaluation to increase, decrease, or no change.  If you are not listed please select N/A</t>
  </si>
  <si>
    <t>2020 Data(H)</t>
  </si>
  <si>
    <t>2019 Data(H)</t>
  </si>
  <si>
    <t>should not be on down down list</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</si>
  <si>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</si>
  <si>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</si>
  <si>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</si>
  <si>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</si>
  <si>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</si>
  <si>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</si>
  <si>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</si>
  <si>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</si>
  <si>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</si>
  <si>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</si>
  <si>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</si>
  <si>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</si>
  <si>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</si>
  <si>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</si>
  <si>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</si>
  <si>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</si>
  <si>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</si>
  <si>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</si>
  <si>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</si>
  <si>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</si>
  <si>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</si>
  <si>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</si>
  <si>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</si>
  <si>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</si>
  <si>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</si>
  <si>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</si>
  <si>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Please have the completed audit report available to complete this form.  ALL questions must be answered before submitting to the portal.</t>
  </si>
  <si>
    <t>Please see the INSTRUCTIONS worksheet before completing this form.</t>
  </si>
  <si>
    <r>
      <rPr>
        <b/>
        <i/>
        <sz val="12"/>
        <rFont val="Cambria"/>
        <family val="1"/>
      </rPr>
      <t>Unit Data from Audit Worksheet</t>
    </r>
    <r>
      <rPr>
        <i/>
        <sz val="12"/>
        <rFont val="Cambria"/>
        <family val="1"/>
      </rPr>
      <t xml:space="preserve"> -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</si>
  <si>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Please do not enter prior's years beginning balance as an adjustment in column F.</t>
  </si>
  <si>
    <t>Formula in cell E250</t>
  </si>
  <si>
    <t>Formula in cell E251</t>
  </si>
  <si>
    <t>Version Date  8/19/2021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</si>
</sst>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0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sz val="16"/>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top style="thin">
        <color theme="0"/>
      </top>
      <bottom/>
      <diagonal/>
    </border>
    <border>
      <left style="thin">
        <color theme="1" tint="0.499984740745262"/>
      </left>
      <right/>
      <top style="thin">
        <color theme="1" tint="0.499984740745262"/>
      </top>
      <bottom/>
      <diagonal/>
    </border>
    <border>
      <left style="thin">
        <color theme="3" tint="0.59996337778862885"/>
      </left>
      <right/>
      <top/>
      <bottom style="thin">
        <color indexed="64"/>
      </bottom>
      <diagonal/>
    </border>
    <border>
      <left/>
      <right style="thin">
        <color theme="0"/>
      </right>
      <top/>
      <bottom style="medium">
        <color indexed="64"/>
      </bottom>
      <diagonal/>
    </border>
    <border>
      <left style="thin">
        <color indexed="64"/>
      </left>
      <right/>
      <top/>
      <bottom style="medium">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8" fillId="0" borderId="0"/>
    <xf numFmtId="0" fontId="68" fillId="0" borderId="0"/>
    <xf numFmtId="0" fontId="67" fillId="0" borderId="0"/>
    <xf numFmtId="0" fontId="68" fillId="0" borderId="0"/>
    <xf numFmtId="0" fontId="68" fillId="0" borderId="0"/>
    <xf numFmtId="0" fontId="69" fillId="0" borderId="0"/>
    <xf numFmtId="0" fontId="6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7"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67" fillId="0" borderId="0"/>
    <xf numFmtId="0" fontId="67" fillId="0" borderId="0"/>
    <xf numFmtId="0" fontId="67" fillId="0" borderId="0"/>
    <xf numFmtId="0" fontId="11"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21"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3" fillId="0" borderId="0"/>
    <xf numFmtId="0" fontId="33" fillId="0" borderId="0"/>
    <xf numFmtId="0" fontId="33" fillId="0" borderId="0"/>
    <xf numFmtId="0" fontId="33" fillId="0" borderId="0"/>
    <xf numFmtId="0" fontId="33" fillId="0" borderId="0"/>
    <xf numFmtId="0" fontId="11"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69" fillId="0" borderId="0"/>
    <xf numFmtId="0" fontId="33" fillId="0" borderId="0"/>
    <xf numFmtId="0" fontId="33" fillId="0" borderId="0"/>
    <xf numFmtId="0"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9"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8"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9"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8"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3" fillId="0" borderId="47" applyNumberFormat="0" applyFill="0" applyAlignment="0" applyProtection="0"/>
    <xf numFmtId="0" fontId="74" fillId="0" borderId="48" applyNumberFormat="0" applyFill="0" applyAlignment="0" applyProtection="0"/>
    <xf numFmtId="0" fontId="75" fillId="0" borderId="49" applyNumberFormat="0" applyFill="0" applyAlignment="0" applyProtection="0"/>
    <xf numFmtId="0" fontId="75" fillId="0" borderId="0" applyNumberFormat="0" applyFill="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8" fillId="40" borderId="50" applyNumberFormat="0" applyAlignment="0" applyProtection="0"/>
    <xf numFmtId="0" fontId="79" fillId="41" borderId="51" applyNumberFormat="0" applyAlignment="0" applyProtection="0"/>
    <xf numFmtId="0" fontId="80" fillId="41" borderId="50" applyNumberFormat="0" applyAlignment="0" applyProtection="0"/>
    <xf numFmtId="0" fontId="81" fillId="0" borderId="52" applyNumberFormat="0" applyFill="0" applyAlignment="0" applyProtection="0"/>
    <xf numFmtId="0" fontId="82" fillId="42" borderId="53" applyNumberFormat="0" applyAlignment="0" applyProtection="0"/>
    <xf numFmtId="0" fontId="70" fillId="0" borderId="0" applyNumberFormat="0" applyFill="0" applyBorder="0" applyAlignment="0" applyProtection="0"/>
    <xf numFmtId="0" fontId="39" fillId="0" borderId="55" applyNumberFormat="0" applyFill="0" applyAlignment="0" applyProtection="0"/>
    <xf numFmtId="0" fontId="83" fillId="44" borderId="0" applyNumberFormat="0" applyBorder="0" applyAlignment="0" applyProtection="0"/>
    <xf numFmtId="0" fontId="83" fillId="45"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92" fillId="39" borderId="0" applyNumberFormat="0" applyBorder="0" applyAlignment="0" applyProtection="0"/>
    <xf numFmtId="0" fontId="33" fillId="43" borderId="54" applyNumberFormat="0" applyFont="0" applyAlignment="0" applyProtection="0"/>
    <xf numFmtId="40" fontId="85" fillId="0" borderId="17">
      <alignment horizontal="right"/>
    </xf>
    <xf numFmtId="0" fontId="86" fillId="0" borderId="0">
      <alignment horizontal="left"/>
    </xf>
    <xf numFmtId="49" fontId="11" fillId="0" borderId="0"/>
    <xf numFmtId="0" fontId="86" fillId="0" borderId="0">
      <alignment horizontal="left"/>
    </xf>
    <xf numFmtId="177" fontId="85" fillId="0" borderId="17">
      <alignment horizontal="right"/>
    </xf>
    <xf numFmtId="49" fontId="85"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4" fillId="50" borderId="0">
      <alignment horizontal="right" vertical="center"/>
    </xf>
    <xf numFmtId="49" fontId="84" fillId="50" borderId="0">
      <alignment horizontal="left" vertical="center"/>
    </xf>
    <xf numFmtId="49" fontId="84" fillId="50" borderId="0">
      <alignment horizontal="center" vertical="center"/>
    </xf>
    <xf numFmtId="49" fontId="84" fillId="50" borderId="0">
      <alignment horizontal="center" vertical="center"/>
    </xf>
    <xf numFmtId="49" fontId="84" fillId="50" borderId="0">
      <alignment horizontal="right" vertical="center"/>
    </xf>
    <xf numFmtId="40" fontId="84" fillId="50" borderId="0">
      <alignment horizontal="right"/>
    </xf>
    <xf numFmtId="49" fontId="84"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4" fillId="50" borderId="0">
      <alignment horizontal="center" vertical="center"/>
    </xf>
    <xf numFmtId="49" fontId="84" fillId="50" borderId="0">
      <alignment horizontal="center" vertical="center"/>
    </xf>
    <xf numFmtId="177" fontId="84" fillId="50" borderId="0">
      <alignment horizontal="center" vertical="center"/>
    </xf>
    <xf numFmtId="49" fontId="84" fillId="50" borderId="0">
      <alignment horizontal="right"/>
    </xf>
    <xf numFmtId="40" fontId="85" fillId="0" borderId="19">
      <alignment horizontal="right"/>
    </xf>
    <xf numFmtId="0" fontId="86" fillId="0" borderId="0">
      <alignment horizontal="left"/>
    </xf>
    <xf numFmtId="49" fontId="11" fillId="0" borderId="0"/>
    <xf numFmtId="0" fontId="86" fillId="0" borderId="0">
      <alignment horizontal="left"/>
    </xf>
    <xf numFmtId="177" fontId="85" fillId="0" borderId="19">
      <alignment horizontal="right"/>
    </xf>
    <xf numFmtId="49" fontId="85" fillId="0" borderId="0">
      <alignment horizontal="right"/>
    </xf>
    <xf numFmtId="49" fontId="11" fillId="0" borderId="0"/>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84"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5" fillId="51" borderId="0">
      <alignment horizontal="center" vertical="center"/>
    </xf>
    <xf numFmtId="49" fontId="11" fillId="51" borderId="0">
      <alignment horizontal="left" vertical="center"/>
    </xf>
    <xf numFmtId="49" fontId="85" fillId="51" borderId="0">
      <alignment horizontal="center" vertical="center"/>
    </xf>
    <xf numFmtId="0" fontId="85" fillId="52" borderId="0">
      <alignment horizontal="left"/>
    </xf>
    <xf numFmtId="49" fontId="11" fillId="0" borderId="0"/>
    <xf numFmtId="0" fontId="85" fillId="52" borderId="0">
      <alignment horizontal="left"/>
    </xf>
    <xf numFmtId="40" fontId="85" fillId="0" borderId="0">
      <alignment horizontal="right"/>
    </xf>
    <xf numFmtId="49" fontId="84" fillId="50" borderId="0"/>
    <xf numFmtId="49" fontId="84" fillId="50" borderId="0"/>
    <xf numFmtId="49" fontId="11" fillId="0" borderId="0"/>
    <xf numFmtId="0" fontId="87" fillId="53" borderId="0" applyFont="0" applyFill="0">
      <alignment horizontal="left" vertical="top" wrapText="1"/>
    </xf>
    <xf numFmtId="40" fontId="87" fillId="0" borderId="0"/>
    <xf numFmtId="40" fontId="87" fillId="0" borderId="0"/>
    <xf numFmtId="0" fontId="87" fillId="0" borderId="0">
      <alignment horizontal="left"/>
    </xf>
    <xf numFmtId="0" fontId="87" fillId="0" borderId="0">
      <alignment horizontal="center"/>
    </xf>
    <xf numFmtId="0" fontId="88" fillId="0" borderId="0">
      <alignment horizontal="center"/>
    </xf>
    <xf numFmtId="0" fontId="89" fillId="50" borderId="0">
      <alignment horizontal="left"/>
    </xf>
    <xf numFmtId="0" fontId="89" fillId="50" borderId="0">
      <alignment horizontal="left"/>
    </xf>
    <xf numFmtId="0" fontId="88" fillId="0" borderId="0">
      <alignment horizontal="center"/>
    </xf>
    <xf numFmtId="40" fontId="90" fillId="0" borderId="18"/>
    <xf numFmtId="40" fontId="90" fillId="0" borderId="18"/>
    <xf numFmtId="0" fontId="90" fillId="0" borderId="0"/>
    <xf numFmtId="0" fontId="90" fillId="0" borderId="0"/>
    <xf numFmtId="0" fontId="88" fillId="0" borderId="0">
      <alignment horizontal="center"/>
    </xf>
    <xf numFmtId="0" fontId="91" fillId="54" borderId="0">
      <alignment horizontal="left"/>
    </xf>
    <xf numFmtId="0" fontId="91" fillId="54" borderId="0">
      <alignment horizontal="left"/>
    </xf>
    <xf numFmtId="40" fontId="85" fillId="0" borderId="0">
      <alignment horizontal="right"/>
    </xf>
    <xf numFmtId="0" fontId="86" fillId="0" borderId="0">
      <alignment horizontal="left"/>
    </xf>
    <xf numFmtId="49" fontId="11" fillId="0" borderId="0"/>
    <xf numFmtId="0" fontId="86" fillId="0" borderId="0">
      <alignment horizontal="left"/>
    </xf>
    <xf numFmtId="177" fontId="85" fillId="0" borderId="0">
      <alignment horizontal="right"/>
    </xf>
    <xf numFmtId="49" fontId="85" fillId="0" borderId="0" applyBorder="0">
      <alignment horizontal="right"/>
    </xf>
    <xf numFmtId="0" fontId="11" fillId="0" borderId="0"/>
    <xf numFmtId="49" fontId="93" fillId="53" borderId="0">
      <alignment horizontal="left"/>
    </xf>
    <xf numFmtId="49" fontId="93" fillId="53" borderId="0">
      <alignment horizontal="left"/>
    </xf>
    <xf numFmtId="0" fontId="94" fillId="53" borderId="0">
      <alignment horizontal="left"/>
    </xf>
    <xf numFmtId="178" fontId="94" fillId="53" borderId="0">
      <alignment horizontal="left"/>
    </xf>
    <xf numFmtId="40" fontId="85" fillId="0" borderId="0">
      <alignment horizontal="right"/>
    </xf>
    <xf numFmtId="49" fontId="95" fillId="53" borderId="0">
      <alignment horizontal="left"/>
    </xf>
    <xf numFmtId="49" fontId="95" fillId="53" borderId="0">
      <alignment horizontal="left"/>
    </xf>
    <xf numFmtId="49" fontId="11" fillId="0" borderId="0"/>
    <xf numFmtId="40" fontId="85" fillId="0" borderId="14">
      <alignment horizontal="right"/>
    </xf>
    <xf numFmtId="49" fontId="85" fillId="0" borderId="0">
      <alignment horizontal="left"/>
    </xf>
    <xf numFmtId="49" fontId="11" fillId="0" borderId="0"/>
    <xf numFmtId="49" fontId="85" fillId="0" borderId="0">
      <alignment horizontal="left"/>
    </xf>
    <xf numFmtId="177" fontId="85" fillId="0" borderId="14">
      <alignment horizontal="right"/>
    </xf>
    <xf numFmtId="49" fontId="85" fillId="0" borderId="0">
      <alignment horizontal="right"/>
    </xf>
    <xf numFmtId="40" fontId="85" fillId="0" borderId="14">
      <alignment horizontal="right"/>
    </xf>
    <xf numFmtId="0" fontId="85" fillId="52" borderId="0">
      <alignment horizontal="left"/>
    </xf>
    <xf numFmtId="49" fontId="11" fillId="0" borderId="0"/>
    <xf numFmtId="0" fontId="85" fillId="52" borderId="0">
      <alignment horizontal="left"/>
    </xf>
    <xf numFmtId="177" fontId="85" fillId="0" borderId="14">
      <alignment horizontal="right"/>
    </xf>
    <xf numFmtId="49" fontId="85" fillId="0" borderId="0">
      <alignment horizontal="right"/>
    </xf>
    <xf numFmtId="0" fontId="90" fillId="0" borderId="0"/>
    <xf numFmtId="40" fontId="87" fillId="0" borderId="18"/>
    <xf numFmtId="40" fontId="87" fillId="0" borderId="18"/>
    <xf numFmtId="0" fontId="87" fillId="0" borderId="0"/>
    <xf numFmtId="0" fontId="87" fillId="0" borderId="0"/>
    <xf numFmtId="40" fontId="87" fillId="0" borderId="0"/>
    <xf numFmtId="179" fontId="87" fillId="0" borderId="0"/>
    <xf numFmtId="40" fontId="87" fillId="0" borderId="0"/>
    <xf numFmtId="0" fontId="87" fillId="0" borderId="0"/>
    <xf numFmtId="0" fontId="87" fillId="0" borderId="0"/>
    <xf numFmtId="40" fontId="85" fillId="0" borderId="18">
      <alignment horizontal="right"/>
    </xf>
    <xf numFmtId="49" fontId="85" fillId="0" borderId="0">
      <alignment horizontal="left"/>
    </xf>
    <xf numFmtId="49" fontId="11" fillId="0" borderId="0"/>
    <xf numFmtId="49" fontId="85" fillId="0" borderId="0">
      <alignment horizontal="left"/>
    </xf>
    <xf numFmtId="177" fontId="85" fillId="0" borderId="18">
      <alignment horizontal="right"/>
    </xf>
    <xf numFmtId="49" fontId="85"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6"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3" fillId="57" borderId="0" applyNumberFormat="0" applyBorder="0" applyAlignment="0" applyProtection="0"/>
    <xf numFmtId="0" fontId="97" fillId="57" borderId="0" applyNumberFormat="0" applyBorder="0" applyAlignment="0" applyProtection="0"/>
    <xf numFmtId="0" fontId="83" fillId="60" borderId="0" applyNumberFormat="0" applyBorder="0" applyAlignment="0" applyProtection="0"/>
    <xf numFmtId="0" fontId="97" fillId="60" borderId="0" applyNumberFormat="0" applyBorder="0" applyAlignment="0" applyProtection="0"/>
    <xf numFmtId="0" fontId="83" fillId="63" borderId="0" applyNumberFormat="0" applyBorder="0" applyAlignment="0" applyProtection="0"/>
    <xf numFmtId="0" fontId="97" fillId="63" borderId="0" applyNumberFormat="0" applyBorder="0" applyAlignment="0" applyProtection="0"/>
    <xf numFmtId="0" fontId="83" fillId="66" borderId="0" applyNumberFormat="0" applyBorder="0" applyAlignment="0" applyProtection="0"/>
    <xf numFmtId="0" fontId="97" fillId="66" borderId="0" applyNumberFormat="0" applyBorder="0" applyAlignment="0" applyProtection="0"/>
    <xf numFmtId="0" fontId="83" fillId="69" borderId="0" applyNumberFormat="0" applyBorder="0" applyAlignment="0" applyProtection="0"/>
    <xf numFmtId="0" fontId="97" fillId="69" borderId="0" applyNumberFormat="0" applyBorder="0" applyAlignment="0" applyProtection="0"/>
    <xf numFmtId="0" fontId="83" fillId="72" borderId="0" applyNumberFormat="0" applyBorder="0" applyAlignment="0" applyProtection="0"/>
    <xf numFmtId="0" fontId="97" fillId="72"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7" fillId="46" borderId="0" applyNumberFormat="0" applyBorder="0" applyAlignment="0" applyProtection="0"/>
    <xf numFmtId="0" fontId="97" fillId="46" borderId="0" applyNumberFormat="0" applyBorder="0" applyAlignment="0" applyProtection="0"/>
    <xf numFmtId="0" fontId="97" fillId="47"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8" fillId="38" borderId="0" applyNumberFormat="0" applyBorder="0" applyAlignment="0" applyProtection="0"/>
    <xf numFmtId="0" fontId="99" fillId="41" borderId="50" applyNumberFormat="0" applyAlignment="0" applyProtection="0"/>
    <xf numFmtId="0" fontId="100"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01" fillId="0" borderId="0" applyNumberFormat="0" applyFill="0" applyBorder="0" applyAlignment="0" applyProtection="0"/>
    <xf numFmtId="0" fontId="102" fillId="37" borderId="0" applyNumberFormat="0" applyBorder="0" applyAlignment="0" applyProtection="0"/>
    <xf numFmtId="0" fontId="103" fillId="0" borderId="47" applyNumberFormat="0" applyFill="0" applyAlignment="0" applyProtection="0"/>
    <xf numFmtId="0" fontId="104"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5" fillId="0" borderId="49" applyNumberFormat="0" applyFill="0" applyAlignment="0" applyProtection="0"/>
    <xf numFmtId="0" fontId="105" fillId="0" borderId="0" applyNumberFormat="0" applyFill="0" applyBorder="0" applyAlignment="0" applyProtection="0"/>
    <xf numFmtId="0" fontId="106" fillId="40" borderId="50" applyNumberFormat="0" applyAlignment="0" applyProtection="0"/>
    <xf numFmtId="0" fontId="107" fillId="0" borderId="52" applyNumberFormat="0" applyFill="0" applyAlignment="0" applyProtection="0"/>
    <xf numFmtId="0" fontId="108"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9" fillId="41" borderId="51" applyNumberFormat="0" applyAlignment="0" applyProtection="0"/>
    <xf numFmtId="9" fontId="6" fillId="0" borderId="0" applyFont="0" applyFill="0" applyBorder="0" applyAlignment="0" applyProtection="0"/>
    <xf numFmtId="0" fontId="110" fillId="0" borderId="0" applyNumberFormat="0" applyFill="0" applyBorder="0" applyAlignment="0" applyProtection="0"/>
    <xf numFmtId="0" fontId="111" fillId="0" borderId="55" applyNumberFormat="0" applyFill="0" applyAlignment="0" applyProtection="0"/>
    <xf numFmtId="0" fontId="112" fillId="0" borderId="0" applyNumberFormat="0" applyFill="0" applyBorder="0" applyAlignment="0" applyProtection="0"/>
    <xf numFmtId="0" fontId="115" fillId="0" borderId="0"/>
    <xf numFmtId="43" fontId="116" fillId="0" borderId="0" applyFont="0" applyFill="0" applyBorder="0" applyAlignment="0" applyProtection="0"/>
    <xf numFmtId="0" fontId="116"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7" fillId="0" borderId="0" applyNumberFormat="0" applyFill="0" applyBorder="0" applyAlignment="0" applyProtection="0">
      <alignment vertical="top"/>
      <protection locked="0"/>
    </xf>
    <xf numFmtId="0" fontId="118" fillId="0" borderId="0" applyNumberFormat="0" applyFill="0" applyBorder="0" applyAlignment="0" applyProtection="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6" fillId="0" borderId="0"/>
    <xf numFmtId="0" fontId="1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6" fillId="0" borderId="0"/>
    <xf numFmtId="43" fontId="115" fillId="0" borderId="0" applyFont="0" applyFill="0" applyBorder="0" applyAlignment="0" applyProtection="0"/>
    <xf numFmtId="0" fontId="115" fillId="0" borderId="0"/>
    <xf numFmtId="0" fontId="151" fillId="0" borderId="0"/>
    <xf numFmtId="0" fontId="33" fillId="0" borderId="0"/>
    <xf numFmtId="0" fontId="151" fillId="0" borderId="0"/>
    <xf numFmtId="43" fontId="115" fillId="0" borderId="0" applyFont="0" applyFill="0" applyBorder="0" applyAlignment="0" applyProtection="0"/>
    <xf numFmtId="0" fontId="115" fillId="0" borderId="0"/>
    <xf numFmtId="0" fontId="115" fillId="0" borderId="0"/>
    <xf numFmtId="0" fontId="115" fillId="0" borderId="0"/>
    <xf numFmtId="0" fontId="154" fillId="0" borderId="0"/>
    <xf numFmtId="0" fontId="154" fillId="0" borderId="0"/>
    <xf numFmtId="0" fontId="155" fillId="0" borderId="0"/>
    <xf numFmtId="0" fontId="154" fillId="0" borderId="0"/>
    <xf numFmtId="0" fontId="151" fillId="0" borderId="0"/>
    <xf numFmtId="0" fontId="154" fillId="0" borderId="0"/>
    <xf numFmtId="0" fontId="151" fillId="0" borderId="0"/>
    <xf numFmtId="0" fontId="155"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4" fillId="0" borderId="0"/>
    <xf numFmtId="0" fontId="151" fillId="0" borderId="0"/>
    <xf numFmtId="0" fontId="151" fillId="0" borderId="0"/>
    <xf numFmtId="0" fontId="154" fillId="0" borderId="0"/>
    <xf numFmtId="0" fontId="151" fillId="0" borderId="0"/>
    <xf numFmtId="0" fontId="151" fillId="0" borderId="0"/>
    <xf numFmtId="0" fontId="155" fillId="0" borderId="0"/>
    <xf numFmtId="0" fontId="151" fillId="5" borderId="7" applyNumberFormat="0" applyFont="0" applyAlignment="0" applyProtection="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1" fillId="0" borderId="0"/>
    <xf numFmtId="0" fontId="155"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1" fillId="5" borderId="7" applyNumberFormat="0" applyFont="0" applyAlignment="0" applyProtection="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1" fillId="0" borderId="0"/>
    <xf numFmtId="0" fontId="155" fillId="0" borderId="0"/>
    <xf numFmtId="0" fontId="151" fillId="0" borderId="0"/>
    <xf numFmtId="0" fontId="155" fillId="0" borderId="0"/>
    <xf numFmtId="0" fontId="151" fillId="0" borderId="0"/>
    <xf numFmtId="0" fontId="156"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56" fillId="0" borderId="0"/>
    <xf numFmtId="0" fontId="154" fillId="0" borderId="0"/>
    <xf numFmtId="0" fontId="154" fillId="0" borderId="0"/>
    <xf numFmtId="0" fontId="154"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5" fillId="0" borderId="0"/>
    <xf numFmtId="0" fontId="155"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5" fillId="0" borderId="0"/>
    <xf numFmtId="43" fontId="115" fillId="0" borderId="0" applyFont="0" applyFill="0" applyBorder="0" applyAlignment="0" applyProtection="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cellStyleXfs>
  <cellXfs count="1257">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8"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1" fillId="25" borderId="0" xfId="0" applyFont="1" applyFill="1" applyAlignment="1" applyProtection="1">
      <alignment horizontal="center" wrapText="1"/>
    </xf>
    <xf numFmtId="0" fontId="52" fillId="21" borderId="10" xfId="0" applyFont="1" applyFill="1" applyBorder="1" applyAlignment="1" applyProtection="1">
      <alignment horizontal="center" wrapText="1"/>
    </xf>
    <xf numFmtId="0" fontId="52"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4" fillId="26" borderId="0" xfId="682" applyFont="1" applyFill="1"/>
    <xf numFmtId="0" fontId="54" fillId="0" borderId="0" xfId="682" applyFont="1" applyFill="1"/>
    <xf numFmtId="0" fontId="39" fillId="0" borderId="0" xfId="682" applyFont="1"/>
    <xf numFmtId="40" fontId="55" fillId="0" borderId="0" xfId="0" applyNumberFormat="1" applyFont="1"/>
    <xf numFmtId="0" fontId="52" fillId="0" borderId="0" xfId="0" applyFont="1"/>
    <xf numFmtId="0" fontId="0" fillId="0" borderId="0" xfId="0" applyNumberFormat="1" applyFont="1" applyFill="1" applyAlignment="1" applyProtection="1">
      <alignment vertical="center" wrapText="1"/>
    </xf>
    <xf numFmtId="0" fontId="54"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7"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4" fillId="0" borderId="0" xfId="0" applyNumberFormat="1" applyFont="1" applyFill="1" applyAlignment="1" applyProtection="1">
      <alignment vertical="center" wrapText="1"/>
    </xf>
    <xf numFmtId="0" fontId="54" fillId="0" borderId="0" xfId="0" applyNumberFormat="1" applyFont="1" applyFill="1" applyAlignment="1" applyProtection="1">
      <alignment horizontal="left" vertical="center" wrapText="1" indent="3"/>
    </xf>
    <xf numFmtId="0" fontId="54" fillId="0" borderId="14" xfId="0" applyNumberFormat="1" applyFont="1" applyFill="1" applyBorder="1" applyAlignment="1" applyProtection="1">
      <alignment horizontal="left" vertical="center" wrapText="1" indent="3"/>
    </xf>
    <xf numFmtId="0" fontId="54" fillId="0" borderId="0" xfId="0" applyNumberFormat="1" applyFont="1" applyFill="1" applyAlignment="1" applyProtection="1">
      <alignment horizontal="left" vertical="center" wrapText="1" indent="6"/>
    </xf>
    <xf numFmtId="0" fontId="45"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5" fillId="0" borderId="0" xfId="439" applyNumberFormat="1" applyFont="1" applyFill="1" applyAlignment="1" applyProtection="1">
      <alignment horizontal="center" vertical="center" wrapText="1"/>
    </xf>
    <xf numFmtId="173" fontId="45" fillId="0" borderId="0" xfId="439" applyNumberFormat="1" applyFont="1" applyFill="1" applyAlignment="1" applyProtection="1">
      <alignment horizontal="center" vertical="center" wrapText="1"/>
    </xf>
    <xf numFmtId="164" fontId="58"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9" fillId="0" borderId="25" xfId="0" applyNumberFormat="1" applyFont="1" applyFill="1" applyBorder="1" applyAlignment="1" applyProtection="1">
      <alignment horizontal="center" vertical="center"/>
    </xf>
    <xf numFmtId="0" fontId="60"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50"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2" fillId="21" borderId="10" xfId="0" applyFont="1" applyFill="1" applyBorder="1" applyAlignment="1" applyProtection="1">
      <alignment horizontal="center" vertical="center" wrapText="1"/>
    </xf>
    <xf numFmtId="164" fontId="58" fillId="0" borderId="31" xfId="439" applyNumberFormat="1" applyFont="1" applyFill="1" applyBorder="1" applyAlignment="1" applyProtection="1">
      <alignment horizontal="center" vertical="center" wrapText="1"/>
    </xf>
    <xf numFmtId="0" fontId="51"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8" fillId="0" borderId="0" xfId="0" applyFont="1" applyProtection="1"/>
    <xf numFmtId="0" fontId="58" fillId="23" borderId="23" xfId="0" applyNumberFormat="1" applyFont="1" applyFill="1" applyBorder="1" applyAlignment="1" applyProtection="1">
      <alignment horizontal="left" vertical="center" wrapText="1"/>
    </xf>
    <xf numFmtId="0" fontId="58"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8"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5" fillId="0" borderId="0" xfId="439" applyNumberFormat="1" applyFont="1" applyFill="1" applyAlignment="1" applyProtection="1">
      <alignment horizontal="center" vertical="center" wrapText="1"/>
    </xf>
    <xf numFmtId="0" fontId="61" fillId="0" borderId="0" xfId="0" applyNumberFormat="1" applyFont="1" applyFill="1" applyAlignment="1" applyProtection="1">
      <alignment vertical="center" wrapText="1"/>
    </xf>
    <xf numFmtId="0" fontId="50" fillId="0" borderId="0" xfId="0" applyFont="1" applyAlignment="1" applyProtection="1">
      <alignment wrapText="1"/>
    </xf>
    <xf numFmtId="0" fontId="45" fillId="0" borderId="23" xfId="1243" applyFont="1" applyFill="1" applyBorder="1" applyAlignment="1" applyProtection="1">
      <alignment horizontal="left" vertical="center" wrapText="1"/>
    </xf>
    <xf numFmtId="164" fontId="51" fillId="25" borderId="0" xfId="439" applyNumberFormat="1" applyFont="1" applyFill="1" applyAlignment="1" applyProtection="1">
      <alignment horizontal="center"/>
    </xf>
    <xf numFmtId="0" fontId="62"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8" fillId="22" borderId="23" xfId="439" applyNumberFormat="1" applyFont="1" applyFill="1" applyBorder="1" applyAlignment="1" applyProtection="1">
      <alignment horizontal="center" vertical="center" wrapText="1"/>
    </xf>
    <xf numFmtId="0" fontId="50" fillId="30" borderId="25" xfId="0" applyNumberFormat="1" applyFont="1" applyFill="1" applyBorder="1" applyAlignment="1" applyProtection="1">
      <alignment horizontal="center" vertical="center" wrapText="1"/>
    </xf>
    <xf numFmtId="164" fontId="50" fillId="24" borderId="10" xfId="439" applyNumberFormat="1" applyFont="1" applyFill="1" applyBorder="1" applyAlignment="1" applyProtection="1">
      <alignment horizontal="center" wrapText="1"/>
    </xf>
    <xf numFmtId="0" fontId="63"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8" fillId="0" borderId="29" xfId="439" applyNumberFormat="1" applyFont="1" applyFill="1" applyBorder="1" applyAlignment="1" applyProtection="1">
      <alignment horizontal="center" vertical="center" wrapText="1"/>
    </xf>
    <xf numFmtId="39" fontId="58"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2"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2" fillId="32" borderId="0" xfId="0" applyFont="1" applyFill="1" applyAlignment="1" applyProtection="1">
      <alignment horizontal="center" vertical="center" wrapText="1"/>
    </xf>
    <xf numFmtId="0" fontId="0" fillId="0" borderId="0" xfId="0" applyFont="1" applyProtection="1">
      <protection locked="0"/>
    </xf>
    <xf numFmtId="0" fontId="53"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8" fillId="0" borderId="23" xfId="439" applyNumberFormat="1" applyFont="1" applyFill="1" applyBorder="1" applyAlignment="1" applyProtection="1">
      <alignment horizontal="center" vertical="center" wrapText="1"/>
    </xf>
    <xf numFmtId="0" fontId="48" fillId="0" borderId="23" xfId="439" applyNumberFormat="1" applyFont="1" applyFill="1" applyBorder="1" applyAlignment="1" applyProtection="1">
      <alignment horizontal="center" vertical="center" wrapText="1"/>
    </xf>
    <xf numFmtId="41" fontId="65" fillId="0" borderId="0" xfId="0" applyNumberFormat="1" applyFont="1" applyFill="1" applyAlignment="1" applyProtection="1">
      <alignment wrapText="1"/>
    </xf>
    <xf numFmtId="0" fontId="64" fillId="0" borderId="0" xfId="0" applyFont="1" applyFill="1" applyAlignment="1" applyProtection="1">
      <alignment horizontal="center" vertical="center"/>
    </xf>
    <xf numFmtId="0" fontId="50" fillId="0" borderId="0" xfId="0" applyFont="1" applyFill="1" applyAlignment="1" applyProtection="1">
      <alignment horizontal="center" vertical="center" wrapText="1"/>
    </xf>
    <xf numFmtId="0" fontId="58"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8" fillId="29" borderId="23" xfId="439" applyNumberFormat="1" applyFont="1" applyFill="1" applyBorder="1" applyAlignment="1" applyProtection="1">
      <alignment horizontal="center" vertical="center" wrapText="1"/>
      <protection locked="0"/>
    </xf>
    <xf numFmtId="37" fontId="59"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9"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8"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8"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39" fillId="0" borderId="0" xfId="439" applyNumberFormat="1" applyFont="1" applyFill="1" applyAlignment="1" applyProtection="1">
      <alignment horizontal="center" vertical="center"/>
      <protection locked="0"/>
    </xf>
    <xf numFmtId="38" fontId="45"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8" fillId="0" borderId="29" xfId="439" applyNumberFormat="1" applyFont="1" applyFill="1" applyBorder="1" applyAlignment="1" applyProtection="1">
      <alignment horizontal="center" vertical="center" wrapText="1"/>
    </xf>
    <xf numFmtId="172" fontId="58"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4" fillId="0" borderId="0" xfId="0" applyFont="1" applyFill="1" applyAlignment="1" applyProtection="1">
      <alignment vertical="center" wrapText="1"/>
    </xf>
    <xf numFmtId="0" fontId="54"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8" fillId="29" borderId="44" xfId="439" applyNumberFormat="1" applyFont="1" applyFill="1" applyBorder="1" applyAlignment="1" applyProtection="1">
      <alignment horizontal="center" vertical="center" wrapText="1"/>
      <protection locked="0"/>
    </xf>
    <xf numFmtId="164" fontId="58" fillId="0" borderId="30" xfId="439" applyNumberFormat="1" applyFont="1" applyFill="1" applyBorder="1" applyAlignment="1" applyProtection="1">
      <alignment horizontal="center" vertical="center" wrapText="1"/>
    </xf>
    <xf numFmtId="39" fontId="58" fillId="0" borderId="27" xfId="439" applyNumberFormat="1" applyFont="1" applyFill="1" applyBorder="1" applyAlignment="1" applyProtection="1">
      <alignment horizontal="center" vertical="center" wrapText="1"/>
    </xf>
    <xf numFmtId="164" fontId="58"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8" fillId="29" borderId="45" xfId="439" applyNumberFormat="1" applyFont="1" applyFill="1" applyBorder="1" applyAlignment="1" applyProtection="1">
      <alignment horizontal="center" vertical="center" wrapText="1"/>
      <protection locked="0"/>
    </xf>
    <xf numFmtId="0" fontId="58" fillId="0" borderId="30" xfId="0" applyNumberFormat="1" applyFont="1" applyFill="1" applyBorder="1" applyAlignment="1" applyProtection="1">
      <alignment horizontal="left" vertical="center" wrapText="1"/>
    </xf>
    <xf numFmtId="0" fontId="58" fillId="23" borderId="31" xfId="0" applyNumberFormat="1" applyFont="1" applyFill="1" applyBorder="1" applyAlignment="1" applyProtection="1">
      <alignment horizontal="left" vertical="center" wrapText="1"/>
    </xf>
    <xf numFmtId="0" fontId="58"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0" fillId="0" borderId="0" xfId="0" applyNumberFormat="1" applyFont="1" applyFill="1" applyAlignment="1" applyProtection="1">
      <alignment horizontal="left" vertical="center" wrapText="1" indent="6"/>
    </xf>
    <xf numFmtId="0" fontId="58"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0" fillId="24" borderId="0" xfId="439" applyNumberFormat="1" applyFont="1" applyFill="1" applyBorder="1" applyAlignment="1" applyProtection="1">
      <alignment horizontal="center" wrapText="1"/>
    </xf>
    <xf numFmtId="41" fontId="66" fillId="0" borderId="0" xfId="0" applyNumberFormat="1" applyFont="1" applyFill="1" applyAlignment="1" applyProtection="1">
      <alignment wrapText="1"/>
    </xf>
    <xf numFmtId="14" fontId="58"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0" fillId="0" borderId="0" xfId="0" applyNumberFormat="1" applyFont="1" applyAlignment="1" applyProtection="1">
      <alignment wrapText="1"/>
    </xf>
    <xf numFmtId="164" fontId="58" fillId="22" borderId="23" xfId="439" applyNumberFormat="1" applyFont="1" applyFill="1" applyBorder="1" applyAlignment="1" applyProtection="1">
      <alignment horizontal="center" vertical="center" wrapText="1"/>
      <protection locked="0"/>
    </xf>
    <xf numFmtId="172" fontId="58" fillId="22" borderId="23" xfId="439" applyNumberFormat="1" applyFont="1" applyFill="1" applyBorder="1" applyAlignment="1" applyProtection="1">
      <alignment horizontal="center" vertical="center" wrapText="1"/>
    </xf>
    <xf numFmtId="39" fontId="58" fillId="22" borderId="28" xfId="439" applyNumberFormat="1" applyFont="1" applyFill="1" applyBorder="1" applyAlignment="1" applyProtection="1">
      <alignment horizontal="center" vertical="center" wrapText="1"/>
    </xf>
    <xf numFmtId="164" fontId="58"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8" fillId="29" borderId="31" xfId="439" applyNumberFormat="1" applyFont="1" applyFill="1" applyBorder="1" applyAlignment="1" applyProtection="1">
      <alignment horizontal="center" vertical="center" wrapText="1"/>
      <protection locked="0"/>
    </xf>
    <xf numFmtId="0" fontId="49" fillId="0" borderId="0" xfId="0" applyFont="1" applyAlignment="1" applyProtection="1">
      <alignment horizontal="center"/>
    </xf>
    <xf numFmtId="0" fontId="41" fillId="22" borderId="0" xfId="0" applyFont="1" applyFill="1" applyAlignment="1" applyProtection="1">
      <alignment horizontal="left" wrapText="1"/>
    </xf>
    <xf numFmtId="172" fontId="58" fillId="22" borderId="30" xfId="439" applyNumberFormat="1" applyFont="1" applyFill="1" applyBorder="1" applyAlignment="1" applyProtection="1">
      <alignment horizontal="center" vertical="center" wrapText="1"/>
    </xf>
    <xf numFmtId="175" fontId="58" fillId="75" borderId="23" xfId="439" applyNumberFormat="1" applyFont="1" applyFill="1" applyBorder="1" applyAlignment="1" applyProtection="1">
      <alignment horizontal="center" vertical="center" wrapText="1"/>
    </xf>
    <xf numFmtId="3" fontId="58" fillId="0" borderId="23" xfId="439" applyNumberFormat="1" applyFont="1" applyFill="1" applyBorder="1" applyAlignment="1" applyProtection="1">
      <alignment horizontal="center" vertical="center" wrapText="1"/>
      <protection locked="0"/>
    </xf>
    <xf numFmtId="180" fontId="58" fillId="75" borderId="23" xfId="439" applyNumberFormat="1" applyFont="1" applyFill="1" applyBorder="1" applyAlignment="1" applyProtection="1">
      <alignment horizontal="center" vertical="center" wrapText="1"/>
    </xf>
    <xf numFmtId="39" fontId="58" fillId="0" borderId="23" xfId="439" applyNumberFormat="1" applyFont="1" applyFill="1" applyBorder="1" applyAlignment="1" applyProtection="1">
      <alignment horizontal="center" vertical="center" wrapText="1"/>
    </xf>
    <xf numFmtId="3" fontId="58" fillId="0" borderId="31" xfId="439" applyNumberFormat="1" applyFont="1" applyFill="1" applyBorder="1" applyAlignment="1" applyProtection="1">
      <alignment horizontal="center" vertical="center" wrapText="1"/>
    </xf>
    <xf numFmtId="3" fontId="58" fillId="23" borderId="31" xfId="439" applyNumberFormat="1" applyFont="1" applyFill="1" applyBorder="1" applyAlignment="1" applyProtection="1">
      <alignment horizontal="center" vertical="center" wrapText="1"/>
    </xf>
    <xf numFmtId="3" fontId="58" fillId="23" borderId="23" xfId="439" applyNumberFormat="1" applyFont="1" applyFill="1" applyBorder="1" applyAlignment="1" applyProtection="1">
      <alignment horizontal="center" vertical="center" wrapText="1"/>
    </xf>
    <xf numFmtId="3" fontId="58" fillId="0" borderId="30" xfId="439" applyNumberFormat="1" applyFont="1" applyFill="1" applyBorder="1" applyAlignment="1" applyProtection="1">
      <alignment horizontal="center" vertical="center" wrapText="1"/>
    </xf>
    <xf numFmtId="37" fontId="58"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4"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72" fillId="22" borderId="0" xfId="0" applyFont="1" applyFill="1" applyProtection="1"/>
    <xf numFmtId="0" fontId="119" fillId="22" borderId="0" xfId="0" applyFont="1" applyFill="1" applyProtection="1"/>
    <xf numFmtId="0" fontId="83" fillId="22" borderId="0" xfId="0" applyFont="1" applyFill="1" applyAlignment="1" applyProtection="1">
      <alignment vertical="center" wrapText="1"/>
    </xf>
    <xf numFmtId="0" fontId="83" fillId="22" borderId="0" xfId="0" applyFont="1" applyFill="1" applyAlignment="1" applyProtection="1">
      <alignment vertical="center"/>
      <protection locked="0"/>
    </xf>
    <xf numFmtId="0" fontId="83" fillId="22" borderId="0" xfId="0" applyFont="1" applyFill="1" applyAlignment="1" applyProtection="1">
      <alignment vertical="center"/>
    </xf>
    <xf numFmtId="0" fontId="0" fillId="0" borderId="0" xfId="0" applyAlignment="1">
      <alignment horizontal="center"/>
    </xf>
    <xf numFmtId="0" fontId="83"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0" fontId="0" fillId="34" borderId="45" xfId="0" applyFont="1" applyFill="1" applyBorder="1" applyAlignment="1">
      <alignment vertical="center" wrapText="1"/>
    </xf>
    <xf numFmtId="171" fontId="58" fillId="75" borderId="29" xfId="439" applyNumberFormat="1" applyFont="1" applyFill="1" applyBorder="1" applyAlignment="1" applyProtection="1">
      <alignment horizontal="center" vertical="center" wrapText="1"/>
    </xf>
    <xf numFmtId="0" fontId="39" fillId="74" borderId="63" xfId="0" applyNumberFormat="1" applyFont="1" applyFill="1" applyBorder="1" applyAlignment="1" applyProtection="1">
      <alignment horizontal="center" vertical="center"/>
    </xf>
    <xf numFmtId="0" fontId="0" fillId="73" borderId="0" xfId="0" applyFill="1"/>
    <xf numFmtId="0" fontId="120" fillId="73" borderId="0" xfId="0" applyFont="1" applyFill="1" applyAlignment="1">
      <alignment vertical="center" wrapText="1"/>
    </xf>
    <xf numFmtId="0" fontId="47" fillId="73" borderId="0" xfId="0" applyFont="1" applyFill="1" applyAlignment="1">
      <alignment horizontal="justify" vertical="center"/>
    </xf>
    <xf numFmtId="0" fontId="124" fillId="77" borderId="0" xfId="0" applyFont="1" applyFill="1" applyAlignment="1">
      <alignment vertical="center"/>
    </xf>
    <xf numFmtId="0" fontId="62" fillId="0" borderId="45" xfId="0" applyFont="1" applyFill="1" applyBorder="1" applyAlignment="1" applyProtection="1">
      <alignment horizontal="center" vertical="center" wrapText="1"/>
    </xf>
    <xf numFmtId="0" fontId="62" fillId="32" borderId="45" xfId="0" applyFont="1" applyFill="1" applyBorder="1" applyAlignment="1" applyProtection="1">
      <alignment horizontal="center" vertical="center" wrapText="1"/>
    </xf>
    <xf numFmtId="0" fontId="58" fillId="31" borderId="25" xfId="0" applyNumberFormat="1" applyFont="1" applyFill="1" applyBorder="1" applyAlignment="1" applyProtection="1">
      <alignment horizontal="left" vertical="center" wrapText="1"/>
    </xf>
    <xf numFmtId="0" fontId="41" fillId="31" borderId="65" xfId="0" applyFont="1" applyFill="1" applyBorder="1" applyAlignment="1">
      <alignment wrapText="1"/>
    </xf>
    <xf numFmtId="14" fontId="41" fillId="31" borderId="65" xfId="0" applyNumberFormat="1" applyFont="1" applyFill="1" applyBorder="1" applyAlignment="1">
      <alignment wrapText="1"/>
    </xf>
    <xf numFmtId="0" fontId="39" fillId="31" borderId="63" xfId="0" applyNumberFormat="1" applyFont="1" applyFill="1" applyBorder="1" applyAlignment="1" applyProtection="1">
      <alignment horizontal="center" vertical="center"/>
    </xf>
    <xf numFmtId="49" fontId="58" fillId="0" borderId="23" xfId="439" applyNumberFormat="1" applyFont="1" applyFill="1" applyBorder="1" applyAlignment="1" applyProtection="1">
      <alignment horizontal="center" vertical="center" wrapText="1"/>
    </xf>
    <xf numFmtId="0" fontId="121" fillId="73" borderId="0" xfId="0" applyFont="1" applyFill="1" applyAlignment="1">
      <alignment horizontal="left" vertical="center" wrapText="1"/>
    </xf>
    <xf numFmtId="0" fontId="33" fillId="73" borderId="0" xfId="30098" applyFill="1"/>
    <xf numFmtId="0" fontId="123" fillId="77" borderId="0" xfId="30098" applyFont="1" applyFill="1" applyAlignment="1">
      <alignment horizontal="center" vertical="center" wrapText="1"/>
    </xf>
    <xf numFmtId="0" fontId="120" fillId="73" borderId="0" xfId="30098" applyFont="1" applyFill="1" applyAlignment="1">
      <alignment vertical="center" wrapText="1"/>
    </xf>
    <xf numFmtId="0" fontId="47" fillId="73" borderId="0" xfId="30098" applyFont="1" applyFill="1" applyAlignment="1">
      <alignment vertical="center" wrapText="1"/>
    </xf>
    <xf numFmtId="0" fontId="124" fillId="77" borderId="0" xfId="30098" applyFont="1" applyFill="1" applyAlignment="1">
      <alignment vertical="center"/>
    </xf>
    <xf numFmtId="0" fontId="127" fillId="0" borderId="0" xfId="30099" applyFont="1" applyAlignment="1">
      <alignment horizontal="left" vertical="top"/>
    </xf>
    <xf numFmtId="0" fontId="129" fillId="0" borderId="0" xfId="30099" applyFont="1" applyAlignment="1">
      <alignment horizontal="left" vertical="top"/>
    </xf>
    <xf numFmtId="0" fontId="127" fillId="36" borderId="0" xfId="30099" applyFont="1" applyFill="1" applyAlignment="1">
      <alignment horizontal="left" vertical="top"/>
    </xf>
    <xf numFmtId="0" fontId="129" fillId="0" borderId="0" xfId="30099" applyFont="1" applyAlignment="1">
      <alignment vertical="top"/>
    </xf>
    <xf numFmtId="0" fontId="127" fillId="0" borderId="0" xfId="30099" applyFont="1" applyAlignment="1">
      <alignment vertical="top"/>
    </xf>
    <xf numFmtId="0" fontId="129" fillId="79" borderId="13" xfId="30099" applyFont="1" applyFill="1" applyBorder="1" applyAlignment="1">
      <alignment horizontal="left" vertical="top"/>
    </xf>
    <xf numFmtId="0" fontId="129" fillId="79" borderId="16" xfId="30099" applyFont="1" applyFill="1" applyBorder="1" applyAlignment="1">
      <alignment horizontal="left" vertical="top"/>
    </xf>
    <xf numFmtId="164" fontId="134" fillId="79" borderId="16" xfId="30100" applyNumberFormat="1" applyFont="1" applyFill="1" applyBorder="1" applyAlignment="1">
      <alignment vertical="center"/>
    </xf>
    <xf numFmtId="0" fontId="135" fillId="79" borderId="16" xfId="30099" applyFont="1" applyFill="1" applyBorder="1" applyAlignment="1">
      <alignment vertical="center" wrapText="1"/>
    </xf>
    <xf numFmtId="0" fontId="135" fillId="79" borderId="16" xfId="30099" applyFont="1" applyFill="1" applyBorder="1" applyAlignment="1">
      <alignment vertical="center"/>
    </xf>
    <xf numFmtId="0" fontId="127" fillId="79" borderId="11" xfId="30099" applyFont="1" applyFill="1" applyBorder="1" applyAlignment="1">
      <alignment horizontal="left" vertical="top" wrapText="1"/>
    </xf>
    <xf numFmtId="0" fontId="136" fillId="0" borderId="0" xfId="30099" applyFont="1" applyAlignment="1">
      <alignment horizontal="left" vertical="top"/>
    </xf>
    <xf numFmtId="0" fontId="136" fillId="26" borderId="15" xfId="30099" applyFont="1" applyFill="1" applyBorder="1" applyAlignment="1">
      <alignment horizontal="left" vertical="top"/>
    </xf>
    <xf numFmtId="0" fontId="136" fillId="26" borderId="0" xfId="30099" applyFont="1" applyFill="1" applyAlignment="1">
      <alignment horizontal="left" vertical="top"/>
    </xf>
    <xf numFmtId="0" fontId="127" fillId="26" borderId="0" xfId="30099" applyFont="1" applyFill="1" applyAlignment="1">
      <alignment horizontal="left" vertical="top" wrapText="1"/>
    </xf>
    <xf numFmtId="0" fontId="136" fillId="26" borderId="0" xfId="30099" applyFont="1" applyFill="1" applyAlignment="1">
      <alignment horizontal="left" vertical="center"/>
    </xf>
    <xf numFmtId="0" fontId="136" fillId="26" borderId="60" xfId="30099" applyFont="1" applyFill="1" applyBorder="1" applyAlignment="1">
      <alignment horizontal="left" vertical="top" wrapText="1"/>
    </xf>
    <xf numFmtId="0" fontId="127" fillId="26" borderId="15" xfId="30099" applyFont="1" applyFill="1" applyBorder="1" applyAlignment="1">
      <alignment horizontal="left" vertical="top"/>
    </xf>
    <xf numFmtId="0" fontId="127" fillId="26" borderId="0" xfId="30099" applyFont="1" applyFill="1" applyAlignment="1">
      <alignment horizontal="left" vertical="top"/>
    </xf>
    <xf numFmtId="0" fontId="127" fillId="26" borderId="60" xfId="30099" applyFont="1" applyFill="1" applyBorder="1" applyAlignment="1">
      <alignment horizontal="left" vertical="top" wrapText="1"/>
    </xf>
    <xf numFmtId="0" fontId="139" fillId="26" borderId="0" xfId="30099" applyFont="1" applyFill="1" applyAlignment="1">
      <alignment horizontal="left" vertical="top"/>
    </xf>
    <xf numFmtId="0" fontId="127" fillId="26" borderId="0" xfId="30099" applyFont="1" applyFill="1" applyAlignment="1">
      <alignment horizontal="left" vertical="center"/>
    </xf>
    <xf numFmtId="14" fontId="127" fillId="0" borderId="69" xfId="30099" applyNumberFormat="1" applyFont="1" applyBorder="1" applyAlignment="1" applyProtection="1">
      <alignment horizontal="center" vertical="center"/>
      <protection locked="0"/>
    </xf>
    <xf numFmtId="0" fontId="127" fillId="26" borderId="0" xfId="30099" applyFont="1" applyFill="1" applyAlignment="1">
      <alignment horizontal="left" vertical="center" wrapText="1"/>
    </xf>
    <xf numFmtId="0" fontId="127" fillId="0" borderId="69" xfId="30099" applyFont="1" applyBorder="1" applyAlignment="1" applyProtection="1">
      <alignment horizontal="center" vertical="center"/>
      <protection locked="0"/>
    </xf>
    <xf numFmtId="0" fontId="143" fillId="26" borderId="0" xfId="30099" applyFont="1" applyFill="1" applyAlignment="1">
      <alignment horizontal="center" vertical="center" wrapText="1"/>
    </xf>
    <xf numFmtId="0" fontId="127" fillId="0" borderId="57" xfId="30099" applyFont="1" applyBorder="1" applyAlignment="1" applyProtection="1">
      <alignment horizontal="center" vertical="center"/>
      <protection locked="0"/>
    </xf>
    <xf numFmtId="0" fontId="127" fillId="26" borderId="0" xfId="30099" applyFont="1" applyFill="1" applyAlignment="1">
      <alignment horizontal="center" vertical="center"/>
    </xf>
    <xf numFmtId="0" fontId="144" fillId="26" borderId="0" xfId="30099" applyFont="1" applyFill="1" applyAlignment="1">
      <alignment horizontal="left" vertical="top" wrapText="1"/>
    </xf>
    <xf numFmtId="0" fontId="144" fillId="0" borderId="57" xfId="30099" applyFont="1" applyBorder="1" applyAlignment="1" applyProtection="1">
      <alignment horizontal="center" vertical="center" wrapText="1"/>
      <protection locked="0"/>
    </xf>
    <xf numFmtId="0" fontId="129" fillId="0" borderId="0" xfId="30099" applyFont="1" applyAlignment="1">
      <alignment horizontal="left"/>
    </xf>
    <xf numFmtId="0" fontId="128" fillId="0" borderId="69" xfId="30099" applyFont="1" applyBorder="1" applyAlignment="1" applyProtection="1">
      <alignment horizontal="center" vertical="center"/>
      <protection locked="0"/>
    </xf>
    <xf numFmtId="0" fontId="127" fillId="26" borderId="0" xfId="30099" applyFont="1" applyFill="1" applyAlignment="1">
      <alignment vertical="top" wrapText="1"/>
    </xf>
    <xf numFmtId="0" fontId="127" fillId="26" borderId="60" xfId="30099" applyFont="1" applyFill="1" applyBorder="1" applyAlignment="1">
      <alignment vertical="top" wrapText="1"/>
    </xf>
    <xf numFmtId="0" fontId="131" fillId="26" borderId="0" xfId="30099" applyFont="1" applyFill="1" applyAlignment="1">
      <alignment horizontal="left" vertical="top"/>
    </xf>
    <xf numFmtId="0" fontId="139" fillId="26" borderId="0" xfId="30099" applyFont="1" applyFill="1" applyAlignment="1">
      <alignment horizontal="left" vertical="top" wrapText="1"/>
    </xf>
    <xf numFmtId="0" fontId="127" fillId="26" borderId="15" xfId="30099" applyFont="1" applyFill="1" applyBorder="1" applyAlignment="1">
      <alignment horizontal="left"/>
    </xf>
    <xf numFmtId="0" fontId="127" fillId="26" borderId="0" xfId="30099" applyFont="1" applyFill="1" applyAlignment="1">
      <alignment horizontal="left"/>
    </xf>
    <xf numFmtId="0" fontId="127" fillId="26" borderId="0" xfId="30099" applyFont="1" applyFill="1" applyAlignment="1">
      <alignment vertical="center" wrapText="1"/>
    </xf>
    <xf numFmtId="0" fontId="139" fillId="26" borderId="0" xfId="30099" applyFont="1" applyFill="1" applyAlignment="1">
      <alignment vertical="center" wrapText="1"/>
    </xf>
    <xf numFmtId="0" fontId="127" fillId="0" borderId="0" xfId="30099" applyFont="1" applyAlignment="1">
      <alignment horizontal="left"/>
    </xf>
    <xf numFmtId="0" fontId="133" fillId="26" borderId="0" xfId="30099" applyFont="1" applyFill="1" applyAlignment="1">
      <alignment horizontal="left"/>
    </xf>
    <xf numFmtId="0" fontId="133" fillId="26" borderId="0" xfId="30099" applyFont="1" applyFill="1" applyAlignment="1">
      <alignment horizontal="right" vertical="center"/>
    </xf>
    <xf numFmtId="0" fontId="133" fillId="26" borderId="0" xfId="30099" applyFont="1" applyFill="1" applyAlignment="1">
      <alignment horizontal="right"/>
    </xf>
    <xf numFmtId="0" fontId="127" fillId="26" borderId="0" xfId="30099" applyFont="1" applyFill="1" applyAlignment="1">
      <alignment horizontal="right" vertical="center" wrapText="1"/>
    </xf>
    <xf numFmtId="14" fontId="127" fillId="26" borderId="0" xfId="30099" applyNumberFormat="1" applyFont="1" applyFill="1" applyAlignment="1">
      <alignment horizontal="left" vertical="center"/>
    </xf>
    <xf numFmtId="0" fontId="148" fillId="79" borderId="0" xfId="30099" applyFont="1" applyFill="1" applyAlignment="1">
      <alignment vertical="center"/>
    </xf>
    <xf numFmtId="0" fontId="148" fillId="79" borderId="0" xfId="30099" applyFont="1" applyFill="1" applyAlignment="1">
      <alignment horizontal="left" vertical="center"/>
    </xf>
    <xf numFmtId="0" fontId="139" fillId="26" borderId="0" xfId="30099" applyFont="1" applyFill="1" applyAlignment="1">
      <alignment horizontal="left" vertical="center" wrapText="1"/>
    </xf>
    <xf numFmtId="0" fontId="139" fillId="26" borderId="60" xfId="30099" applyFont="1" applyFill="1" applyBorder="1" applyAlignment="1">
      <alignment vertical="top" wrapText="1"/>
    </xf>
    <xf numFmtId="0" fontId="127" fillId="26" borderId="40" xfId="30099" applyFont="1" applyFill="1" applyBorder="1" applyAlignment="1">
      <alignment horizontal="left" vertical="top"/>
    </xf>
    <xf numFmtId="0" fontId="127" fillId="26" borderId="41" xfId="30099" applyFont="1" applyFill="1" applyBorder="1" applyAlignment="1">
      <alignment horizontal="left" vertical="top"/>
    </xf>
    <xf numFmtId="0" fontId="127" fillId="26" borderId="41" xfId="30099" applyFont="1" applyFill="1" applyBorder="1" applyAlignment="1">
      <alignment horizontal="right" vertical="center" wrapText="1"/>
    </xf>
    <xf numFmtId="0" fontId="127" fillId="26" borderId="41" xfId="30099" applyFont="1" applyFill="1" applyBorder="1" applyAlignment="1">
      <alignment horizontal="left" vertical="center"/>
    </xf>
    <xf numFmtId="0" fontId="127" fillId="26" borderId="42" xfId="30099" applyFont="1" applyFill="1" applyBorder="1" applyAlignment="1">
      <alignment horizontal="left" vertical="top" wrapText="1"/>
    </xf>
    <xf numFmtId="0" fontId="127" fillId="0" borderId="0" xfId="30099" applyFont="1" applyAlignment="1">
      <alignment horizontal="left" vertical="top" wrapText="1"/>
    </xf>
    <xf numFmtId="2" fontId="127" fillId="0" borderId="0" xfId="30099" applyNumberFormat="1" applyFont="1" applyAlignment="1">
      <alignment horizontal="left" vertical="top"/>
    </xf>
    <xf numFmtId="0" fontId="127" fillId="0" borderId="0" xfId="30099" applyFont="1" applyAlignment="1">
      <alignment horizontal="left" vertical="center" wrapText="1"/>
    </xf>
    <xf numFmtId="14" fontId="127" fillId="0" borderId="0" xfId="30099" applyNumberFormat="1" applyFont="1" applyAlignment="1">
      <alignment horizontal="left" vertical="top"/>
    </xf>
    <xf numFmtId="0" fontId="127"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0" fillId="26" borderId="0" xfId="30099" applyFont="1" applyFill="1" applyAlignment="1">
      <alignment horizontal="center" vertical="center"/>
    </xf>
    <xf numFmtId="164" fontId="133" fillId="26" borderId="0" xfId="30100" applyNumberFormat="1" applyFont="1" applyFill="1" applyBorder="1" applyAlignment="1">
      <alignment vertical="center"/>
    </xf>
    <xf numFmtId="164" fontId="133" fillId="26" borderId="0" xfId="30100" applyNumberFormat="1" applyFont="1" applyFill="1" applyBorder="1" applyAlignment="1">
      <alignment vertical="top"/>
    </xf>
    <xf numFmtId="164" fontId="132" fillId="26" borderId="0" xfId="30100" applyNumberFormat="1" applyFont="1" applyFill="1" applyBorder="1" applyAlignment="1">
      <alignment vertical="center"/>
    </xf>
    <xf numFmtId="164" fontId="131" fillId="26" borderId="0" xfId="30100" applyNumberFormat="1" applyFont="1" applyFill="1" applyBorder="1" applyAlignment="1">
      <alignment vertical="center"/>
    </xf>
    <xf numFmtId="164" fontId="133" fillId="26" borderId="41" xfId="30100" applyNumberFormat="1" applyFont="1" applyFill="1" applyBorder="1" applyAlignment="1">
      <alignment vertical="top"/>
    </xf>
    <xf numFmtId="164" fontId="127" fillId="0" borderId="0" xfId="30100" applyNumberFormat="1" applyFont="1" applyFill="1" applyBorder="1" applyAlignment="1">
      <alignment vertical="top"/>
    </xf>
    <xf numFmtId="49" fontId="133" fillId="26" borderId="0" xfId="30100" applyNumberFormat="1" applyFont="1" applyFill="1" applyBorder="1" applyAlignment="1">
      <alignment horizontal="center" vertical="center"/>
    </xf>
    <xf numFmtId="49" fontId="133" fillId="26" borderId="0" xfId="30100" applyNumberFormat="1" applyFont="1" applyFill="1" applyBorder="1" applyAlignment="1">
      <alignment horizontal="center" vertical="top"/>
    </xf>
    <xf numFmtId="0" fontId="133" fillId="26" borderId="0" xfId="30099" applyFont="1" applyFill="1" applyAlignment="1">
      <alignment horizontal="left" wrapText="1"/>
    </xf>
    <xf numFmtId="0" fontId="133" fillId="26" borderId="0" xfId="30099" applyFont="1" applyFill="1" applyAlignment="1">
      <alignment horizontal="left" vertical="center" wrapText="1"/>
    </xf>
    <xf numFmtId="0" fontId="127" fillId="0" borderId="0" xfId="30099" applyFont="1" applyFill="1" applyAlignment="1">
      <alignment horizontal="left"/>
    </xf>
    <xf numFmtId="0" fontId="129" fillId="0" borderId="0" xfId="30099" applyFont="1" applyFill="1" applyAlignment="1">
      <alignment horizontal="left"/>
    </xf>
    <xf numFmtId="167" fontId="0" fillId="0" borderId="82" xfId="545" applyNumberFormat="1" applyFont="1" applyBorder="1"/>
    <xf numFmtId="10" fontId="0" fillId="0" borderId="82" xfId="4688" applyNumberFormat="1" applyFont="1" applyBorder="1"/>
    <xf numFmtId="0" fontId="0" fillId="0" borderId="0" xfId="0"/>
    <xf numFmtId="2" fontId="0" fillId="0" borderId="82" xfId="439" applyNumberFormat="1" applyFont="1" applyBorder="1"/>
    <xf numFmtId="169" fontId="39" fillId="29" borderId="0" xfId="439" applyNumberFormat="1" applyFont="1" applyFill="1" applyAlignment="1" applyProtection="1">
      <alignment horizontal="center" vertical="center"/>
      <protection locked="0"/>
    </xf>
    <xf numFmtId="174" fontId="39" fillId="29" borderId="0" xfId="439" applyNumberFormat="1" applyFont="1" applyFill="1" applyAlignment="1" applyProtection="1">
      <alignment horizontal="center" vertical="center"/>
      <protection locked="0"/>
    </xf>
    <xf numFmtId="38" fontId="45" fillId="29" borderId="0" xfId="439" applyNumberFormat="1" applyFont="1" applyFill="1" applyAlignment="1" applyProtection="1">
      <alignment horizontal="center" vertical="center" wrapText="1"/>
      <protection locked="0"/>
    </xf>
    <xf numFmtId="9" fontId="0" fillId="0" borderId="82" xfId="4688" applyFont="1" applyBorder="1"/>
    <xf numFmtId="0" fontId="135" fillId="79" borderId="41" xfId="30099" applyFont="1" applyFill="1" applyBorder="1" applyAlignment="1">
      <alignment vertical="center"/>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0" fontId="131" fillId="26" borderId="0" xfId="30099" applyFont="1" applyFill="1" applyAlignment="1">
      <alignment vertical="top" wrapText="1"/>
    </xf>
    <xf numFmtId="0" fontId="152" fillId="26" borderId="0" xfId="30099" applyFont="1" applyFill="1" applyAlignment="1">
      <alignment horizontal="left" vertical="top" wrapText="1"/>
    </xf>
    <xf numFmtId="170" fontId="39" fillId="29" borderId="0" xfId="439" applyNumberFormat="1" applyFont="1" applyFill="1" applyAlignment="1" applyProtection="1">
      <alignment horizontal="center" vertical="center"/>
      <protection locked="0"/>
    </xf>
    <xf numFmtId="0" fontId="39" fillId="78" borderId="84" xfId="0" applyFont="1" applyFill="1" applyBorder="1" applyAlignment="1">
      <alignment horizontal="center"/>
    </xf>
    <xf numFmtId="0" fontId="39" fillId="78" borderId="84" xfId="0" applyFont="1" applyFill="1" applyBorder="1" applyAlignment="1">
      <alignment horizontal="center" wrapText="1"/>
    </xf>
    <xf numFmtId="0" fontId="39" fillId="78" borderId="93" xfId="0" applyFont="1" applyFill="1" applyBorder="1" applyAlignment="1">
      <alignment vertical="center" wrapText="1"/>
    </xf>
    <xf numFmtId="0" fontId="39" fillId="78" borderId="87" xfId="0" applyFont="1" applyFill="1" applyBorder="1" applyAlignment="1">
      <alignment wrapText="1"/>
    </xf>
    <xf numFmtId="0" fontId="39" fillId="78" borderId="78" xfId="0" applyFont="1" applyFill="1" applyBorder="1" applyAlignment="1">
      <alignment horizontal="center"/>
    </xf>
    <xf numFmtId="0" fontId="39" fillId="78" borderId="84" xfId="0" applyFont="1" applyFill="1" applyBorder="1" applyAlignment="1">
      <alignment wrapText="1"/>
    </xf>
    <xf numFmtId="43" fontId="0" fillId="0" borderId="82" xfId="439" applyNumberFormat="1" applyFont="1" applyBorder="1"/>
    <xf numFmtId="0" fontId="39" fillId="78" borderId="96" xfId="0" applyFont="1" applyFill="1" applyBorder="1" applyAlignment="1">
      <alignment horizontal="center"/>
    </xf>
    <xf numFmtId="0" fontId="39" fillId="78" borderId="91" xfId="0" applyFont="1" applyFill="1" applyBorder="1" applyAlignment="1">
      <alignment horizontal="center"/>
    </xf>
    <xf numFmtId="0" fontId="39" fillId="78" borderId="93" xfId="0" applyFont="1" applyFill="1" applyBorder="1" applyAlignment="1">
      <alignment wrapText="1"/>
    </xf>
    <xf numFmtId="0" fontId="39" fillId="78" borderId="100" xfId="0" applyFont="1" applyFill="1" applyBorder="1" applyAlignment="1">
      <alignment vertical="center" wrapText="1"/>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7" fillId="0" borderId="0" xfId="0" applyFont="1" applyAlignment="1">
      <alignment vertical="center"/>
    </xf>
    <xf numFmtId="0" fontId="157" fillId="0" borderId="0" xfId="30099" applyFont="1" applyAlignment="1">
      <alignment horizontal="left" vertical="top"/>
    </xf>
    <xf numFmtId="0" fontId="153" fillId="26" borderId="0" xfId="30099" applyFont="1" applyFill="1" applyAlignment="1">
      <alignment vertical="center" wrapText="1"/>
    </xf>
    <xf numFmtId="0" fontId="158" fillId="26" borderId="0" xfId="30099" applyFont="1" applyFill="1" applyAlignment="1">
      <alignment vertical="center" wrapText="1"/>
    </xf>
    <xf numFmtId="0" fontId="127" fillId="26" borderId="0" xfId="30099" applyFont="1" applyFill="1" applyAlignment="1">
      <alignment horizontal="left" vertical="center" wrapText="1"/>
    </xf>
    <xf numFmtId="0" fontId="159" fillId="0" borderId="0" xfId="0" applyFont="1"/>
    <xf numFmtId="0" fontId="133" fillId="26" borderId="0" xfId="30100" applyNumberFormat="1" applyFont="1" applyFill="1" applyBorder="1" applyAlignment="1">
      <alignment horizontal="center" vertical="center"/>
    </xf>
    <xf numFmtId="164" fontId="133"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applyFill="1" applyAlignment="1">
      <alignment horizontal="center"/>
    </xf>
    <xf numFmtId="0" fontId="54"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60" fillId="0" borderId="25" xfId="0" applyFont="1" applyFill="1" applyBorder="1" applyAlignment="1">
      <alignment horizontal="center" vertical="center"/>
    </xf>
    <xf numFmtId="0" fontId="50" fillId="0" borderId="25" xfId="0" applyFont="1" applyFill="1" applyBorder="1" applyAlignment="1">
      <alignment horizontal="center" vertical="center" wrapText="1"/>
    </xf>
    <xf numFmtId="0" fontId="59" fillId="0" borderId="25" xfId="0" applyFont="1" applyFill="1" applyBorder="1" applyAlignment="1">
      <alignment horizontal="center" vertical="center"/>
    </xf>
    <xf numFmtId="0" fontId="39" fillId="0" borderId="63" xfId="0" applyFont="1" applyFill="1" applyBorder="1" applyAlignment="1">
      <alignment horizontal="center" vertical="center"/>
    </xf>
    <xf numFmtId="0" fontId="70" fillId="0" borderId="0" xfId="0" applyFont="1" applyFill="1"/>
    <xf numFmtId="0" fontId="39" fillId="0" borderId="0" xfId="0" applyFont="1" applyFill="1" applyBorder="1" applyAlignment="1">
      <alignment horizontal="center" vertical="center"/>
    </xf>
    <xf numFmtId="0" fontId="53" fillId="0" borderId="30" xfId="0" applyNumberFormat="1" applyFont="1" applyFill="1" applyBorder="1" applyAlignment="1" applyProtection="1">
      <alignment horizontal="left" vertical="center" wrapText="1"/>
    </xf>
    <xf numFmtId="39" fontId="58" fillId="0" borderId="45" xfId="439" applyNumberFormat="1" applyFont="1" applyFill="1" applyBorder="1" applyAlignment="1" applyProtection="1">
      <alignment horizontal="center" vertical="center" wrapText="1"/>
    </xf>
    <xf numFmtId="0" fontId="63" fillId="0" borderId="0" xfId="0" applyNumberFormat="1" applyFont="1" applyFill="1" applyAlignment="1" applyProtection="1">
      <alignment horizontal="left" vertical="center" wrapText="1"/>
    </xf>
    <xf numFmtId="0" fontId="41" fillId="34" borderId="23" xfId="0" applyNumberFormat="1" applyFont="1" applyFill="1" applyBorder="1" applyAlignment="1" applyProtection="1">
      <alignment horizontal="left" vertical="center" wrapText="1"/>
    </xf>
    <xf numFmtId="0" fontId="58" fillId="34" borderId="25" xfId="0" applyNumberFormat="1" applyFont="1" applyFill="1" applyBorder="1" applyAlignment="1" applyProtection="1">
      <alignment horizontal="left" vertical="center" wrapText="1"/>
    </xf>
    <xf numFmtId="0" fontId="39" fillId="34" borderId="24" xfId="0" applyNumberFormat="1" applyFont="1" applyFill="1" applyBorder="1" applyAlignment="1" applyProtection="1">
      <alignment horizontal="center" vertical="center"/>
    </xf>
    <xf numFmtId="180" fontId="58"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3" fillId="0" borderId="45" xfId="0" applyNumberFormat="1" applyFont="1" applyFill="1" applyBorder="1" applyAlignment="1" applyProtection="1">
      <alignment horizontal="left" vertical="center" wrapText="1"/>
    </xf>
    <xf numFmtId="0" fontId="58" fillId="0" borderId="28" xfId="0" applyNumberFormat="1" applyFont="1" applyFill="1" applyBorder="1" applyAlignment="1" applyProtection="1">
      <alignment horizontal="left" vertical="center" wrapText="1"/>
    </xf>
    <xf numFmtId="0" fontId="53" fillId="0" borderId="45"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8"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8" fillId="0" borderId="29" xfId="439" applyNumberFormat="1" applyFont="1" applyFill="1" applyBorder="1" applyAlignment="1" applyProtection="1">
      <alignment horizontal="center" vertical="center" wrapText="1"/>
    </xf>
    <xf numFmtId="164" fontId="58" fillId="0" borderId="23" xfId="439" applyNumberFormat="1" applyFont="1" applyFill="1" applyBorder="1" applyAlignment="1" applyProtection="1">
      <alignment horizontal="center" vertical="center" wrapText="1"/>
    </xf>
    <xf numFmtId="0" fontId="58" fillId="0" borderId="23" xfId="0" applyNumberFormat="1" applyFont="1" applyFill="1" applyBorder="1" applyAlignment="1" applyProtection="1">
      <alignment horizontal="left" vertical="center" wrapText="1"/>
    </xf>
    <xf numFmtId="39" fontId="58" fillId="0" borderId="28" xfId="439" applyNumberFormat="1" applyFont="1" applyFill="1" applyBorder="1" applyAlignment="1" applyProtection="1">
      <alignment horizontal="center" vertical="center" wrapText="1"/>
    </xf>
    <xf numFmtId="164" fontId="58"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8" fillId="34" borderId="23" xfId="0" applyNumberFormat="1" applyFont="1" applyFill="1" applyBorder="1" applyAlignment="1" applyProtection="1">
      <alignment horizontal="left" vertical="center" wrapText="1"/>
    </xf>
    <xf numFmtId="164" fontId="58" fillId="29" borderId="23" xfId="439" applyNumberFormat="1" applyFont="1" applyFill="1" applyBorder="1" applyAlignment="1" applyProtection="1">
      <alignment horizontal="center" vertical="center" wrapText="1"/>
      <protection locked="0"/>
    </xf>
    <xf numFmtId="3" fontId="58" fillId="0" borderId="23" xfId="439" applyNumberFormat="1" applyFont="1" applyFill="1" applyBorder="1" applyAlignment="1" applyProtection="1">
      <alignment horizontal="center" vertical="center" wrapText="1"/>
    </xf>
    <xf numFmtId="3" fontId="58" fillId="34" borderId="23" xfId="439" applyNumberFormat="1" applyFont="1" applyFill="1" applyBorder="1" applyAlignment="1" applyProtection="1">
      <alignment horizontal="center" vertical="center" wrapText="1"/>
    </xf>
    <xf numFmtId="0" fontId="58" fillId="22" borderId="23" xfId="439" applyNumberFormat="1" applyFont="1" applyFill="1" applyBorder="1" applyAlignment="1" applyProtection="1">
      <alignment horizontal="center" vertical="center" wrapText="1"/>
      <protection locked="0"/>
    </xf>
    <xf numFmtId="164" fontId="58" fillId="29" borderId="0" xfId="439" applyNumberFormat="1" applyFont="1" applyFill="1" applyBorder="1" applyAlignment="1" applyProtection="1">
      <alignment horizontal="center" vertical="center" wrapText="1"/>
      <protection locked="0"/>
    </xf>
    <xf numFmtId="37" fontId="39"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3" fontId="58" fillId="0" borderId="45" xfId="439" applyNumberFormat="1" applyFont="1" applyFill="1" applyBorder="1" applyAlignment="1" applyProtection="1">
      <alignment horizontal="center" vertical="center" wrapText="1"/>
    </xf>
    <xf numFmtId="0" fontId="58"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8" fillId="78" borderId="25" xfId="0" applyNumberFormat="1" applyFont="1" applyFill="1" applyBorder="1" applyAlignment="1" applyProtection="1">
      <alignment horizontal="left" vertical="center" wrapText="1"/>
    </xf>
    <xf numFmtId="0" fontId="58"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0"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83" fontId="45" fillId="0" borderId="0" xfId="439" applyNumberFormat="1" applyFont="1" applyFill="1" applyAlignment="1" applyProtection="1">
      <alignment horizontal="center" vertical="center" wrapText="1"/>
    </xf>
    <xf numFmtId="167" fontId="0" fillId="0" borderId="85" xfId="545" applyNumberFormat="1" applyFont="1" applyFill="1" applyBorder="1" applyAlignment="1">
      <alignment horizontal="center"/>
    </xf>
    <xf numFmtId="10" fontId="0" fillId="0" borderId="94" xfId="4688" applyNumberFormat="1" applyFont="1" applyFill="1" applyBorder="1" applyAlignment="1">
      <alignment horizontal="center"/>
    </xf>
    <xf numFmtId="164" fontId="50" fillId="0" borderId="0" xfId="0" applyNumberFormat="1" applyFont="1" applyFill="1" applyAlignment="1" applyProtection="1">
      <alignment wrapText="1"/>
    </xf>
    <xf numFmtId="0" fontId="127" fillId="26" borderId="0" xfId="30099" applyFont="1" applyFill="1" applyAlignment="1">
      <alignment horizontal="left" vertical="top" wrapText="1"/>
    </xf>
    <xf numFmtId="164" fontId="50"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3"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0" fontId="150" fillId="81" borderId="57" xfId="30099" applyFont="1" applyFill="1" applyBorder="1" applyAlignment="1" applyProtection="1">
      <alignment horizontal="center" vertical="center"/>
      <protection locked="0"/>
    </xf>
    <xf numFmtId="0" fontId="127" fillId="81" borderId="57" xfId="30099" applyFont="1" applyFill="1" applyBorder="1" applyAlignment="1" applyProtection="1">
      <alignment horizontal="center" vertical="center"/>
      <protection locked="0"/>
    </xf>
    <xf numFmtId="14" fontId="127" fillId="81" borderId="57" xfId="30099" applyNumberFormat="1" applyFont="1" applyFill="1" applyBorder="1" applyAlignment="1" applyProtection="1">
      <alignment horizontal="center" vertical="center"/>
      <protection locked="0"/>
    </xf>
    <xf numFmtId="164" fontId="133"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39" fillId="78" borderId="105" xfId="0" applyFont="1" applyFill="1" applyBorder="1" applyAlignment="1">
      <alignment wrapText="1"/>
    </xf>
    <xf numFmtId="0" fontId="39"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39" fillId="78" borderId="105" xfId="0" applyFont="1" applyFill="1" applyBorder="1" applyAlignment="1">
      <alignment vertical="center" wrapText="1"/>
    </xf>
    <xf numFmtId="0" fontId="39"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64" fontId="0" fillId="0" borderId="0" xfId="439" applyNumberFormat="1" applyFont="1" applyFill="1" applyAlignment="1">
      <alignment horizontal="center"/>
    </xf>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38" fontId="0" fillId="0" borderId="0" xfId="0" applyNumberFormat="1" applyFont="1" applyFill="1"/>
    <xf numFmtId="40" fontId="0" fillId="0" borderId="0" xfId="0" applyNumberFormat="1" applyFont="1" applyFill="1"/>
    <xf numFmtId="0" fontId="33" fillId="0" borderId="0" xfId="0" applyFont="1" applyProtection="1"/>
    <xf numFmtId="0" fontId="59" fillId="0" borderId="0" xfId="26000" applyFont="1" applyProtection="1"/>
    <xf numFmtId="0" fontId="59" fillId="0" borderId="0" xfId="26000" applyFont="1" applyAlignment="1" applyProtection="1">
      <alignment horizontal="center" vertical="center"/>
    </xf>
    <xf numFmtId="0" fontId="45" fillId="0" borderId="0" xfId="26000" applyFont="1" applyProtection="1"/>
    <xf numFmtId="0" fontId="45" fillId="0" borderId="0" xfId="26000" applyFont="1" applyFill="1" applyProtection="1"/>
    <xf numFmtId="0" fontId="45" fillId="0" borderId="0" xfId="26000" applyFont="1" applyAlignment="1" applyProtection="1">
      <alignment horizontal="center"/>
    </xf>
    <xf numFmtId="0" fontId="59" fillId="0" borderId="0" xfId="26000" applyFont="1" applyAlignment="1" applyProtection="1">
      <alignment horizontal="left"/>
    </xf>
    <xf numFmtId="0" fontId="59" fillId="84" borderId="0" xfId="26000" applyFont="1" applyFill="1" applyProtection="1"/>
    <xf numFmtId="0" fontId="45" fillId="84" borderId="0" xfId="26000" applyFont="1" applyFill="1" applyProtection="1"/>
    <xf numFmtId="0" fontId="162" fillId="0" borderId="57" xfId="26000" applyFont="1" applyBorder="1" applyProtection="1"/>
    <xf numFmtId="9" fontId="59" fillId="0" borderId="0" xfId="26000" applyNumberFormat="1" applyFont="1" applyAlignment="1" applyProtection="1">
      <alignment horizontal="center"/>
    </xf>
    <xf numFmtId="38" fontId="45" fillId="83" borderId="0" xfId="29549" applyNumberFormat="1" applyFont="1" applyFill="1" applyProtection="1"/>
    <xf numFmtId="38" fontId="45" fillId="0" borderId="0" xfId="29549" applyNumberFormat="1" applyFont="1" applyFill="1" applyProtection="1"/>
    <xf numFmtId="164" fontId="45" fillId="0" borderId="57" xfId="29549" applyNumberFormat="1" applyFont="1" applyBorder="1" applyProtection="1"/>
    <xf numFmtId="164" fontId="45" fillId="0" borderId="0" xfId="29549" applyNumberFormat="1" applyFont="1" applyFill="1" applyBorder="1" applyProtection="1"/>
    <xf numFmtId="38" fontId="45" fillId="83" borderId="0" xfId="26000" applyNumberFormat="1" applyFont="1" applyFill="1" applyProtection="1"/>
    <xf numFmtId="38" fontId="45" fillId="0" borderId="0" xfId="26000" applyNumberFormat="1" applyFont="1" applyProtection="1"/>
    <xf numFmtId="0" fontId="45" fillId="0" borderId="0" xfId="26000" applyFont="1" applyAlignment="1" applyProtection="1">
      <alignment wrapText="1"/>
    </xf>
    <xf numFmtId="43" fontId="45" fillId="83" borderId="57" xfId="29549" applyFont="1" applyFill="1" applyBorder="1" applyAlignment="1" applyProtection="1">
      <alignment horizontal="left"/>
    </xf>
    <xf numFmtId="164" fontId="45" fillId="0" borderId="0" xfId="29549" applyNumberFormat="1" applyFont="1" applyFill="1" applyBorder="1" applyAlignment="1" applyProtection="1">
      <alignment horizontal="left"/>
    </xf>
    <xf numFmtId="172" fontId="45" fillId="0" borderId="0" xfId="29549" applyNumberFormat="1" applyFont="1" applyFill="1" applyBorder="1" applyAlignment="1" applyProtection="1">
      <alignment horizontal="left"/>
    </xf>
    <xf numFmtId="0" fontId="59" fillId="0" borderId="0" xfId="26000" applyFont="1" applyAlignment="1" applyProtection="1">
      <alignment wrapText="1"/>
    </xf>
    <xf numFmtId="164" fontId="45" fillId="83" borderId="57" xfId="29549" applyNumberFormat="1" applyFont="1" applyFill="1" applyBorder="1" applyProtection="1"/>
    <xf numFmtId="164" fontId="45" fillId="0" borderId="57" xfId="29549" applyNumberFormat="1" applyFont="1" applyFill="1" applyBorder="1" applyProtection="1"/>
    <xf numFmtId="40" fontId="45" fillId="83" borderId="0" xfId="26000" applyNumberFormat="1" applyFont="1" applyFill="1" applyProtection="1"/>
    <xf numFmtId="0" fontId="163" fillId="0" borderId="0" xfId="26000" applyFont="1" applyAlignment="1" applyProtection="1">
      <alignment horizontal="right"/>
    </xf>
    <xf numFmtId="164" fontId="45" fillId="0" borderId="0" xfId="29549" applyNumberFormat="1" applyFont="1" applyBorder="1" applyProtection="1"/>
    <xf numFmtId="164" fontId="45" fillId="0" borderId="0" xfId="26000" applyNumberFormat="1" applyFont="1" applyProtection="1"/>
    <xf numFmtId="38" fontId="45" fillId="0" borderId="0" xfId="29549" applyNumberFormat="1" applyFont="1" applyBorder="1" applyProtection="1"/>
    <xf numFmtId="0" fontId="163" fillId="0" borderId="0" xfId="26000" applyFont="1" applyProtection="1"/>
    <xf numFmtId="43" fontId="45" fillId="0" borderId="0" xfId="26000" applyNumberFormat="1" applyFont="1" applyProtection="1"/>
    <xf numFmtId="164" fontId="59" fillId="0" borderId="57" xfId="26000" applyNumberFormat="1" applyFont="1" applyBorder="1" applyProtection="1"/>
    <xf numFmtId="0" fontId="59" fillId="0" borderId="0" xfId="26000" applyFont="1" applyAlignment="1" applyProtection="1">
      <alignment horizontal="center"/>
    </xf>
    <xf numFmtId="0" fontId="59" fillId="0" borderId="70" xfId="26000" applyFont="1" applyBorder="1" applyAlignment="1" applyProtection="1">
      <alignment horizontal="right" vertical="top" wrapText="1"/>
    </xf>
    <xf numFmtId="164" fontId="59" fillId="0" borderId="72" xfId="29549" applyNumberFormat="1" applyFont="1" applyBorder="1" applyProtection="1"/>
    <xf numFmtId="167" fontId="45" fillId="0" borderId="0" xfId="29549" applyNumberFormat="1" applyFont="1" applyProtection="1"/>
    <xf numFmtId="43" fontId="59" fillId="0" borderId="70" xfId="29549" applyFont="1" applyBorder="1" applyProtection="1"/>
    <xf numFmtId="43" fontId="45" fillId="0" borderId="72" xfId="29549" applyFont="1" applyBorder="1" applyAlignment="1" applyProtection="1">
      <alignment horizontal="right"/>
    </xf>
    <xf numFmtId="0" fontId="45" fillId="0" borderId="0" xfId="26000" applyFont="1" applyBorder="1" applyAlignment="1" applyProtection="1">
      <alignment vertical="top"/>
    </xf>
    <xf numFmtId="0" fontId="163" fillId="0" borderId="0" xfId="26000" applyFont="1" applyAlignment="1" applyProtection="1">
      <alignment vertical="top" wrapText="1"/>
    </xf>
    <xf numFmtId="38" fontId="53" fillId="26" borderId="0" xfId="682" applyNumberFormat="1" applyFont="1" applyFill="1"/>
    <xf numFmtId="0" fontId="39" fillId="0" borderId="0" xfId="682" applyFont="1" applyFill="1" applyAlignment="1">
      <alignment wrapText="1"/>
    </xf>
    <xf numFmtId="0" fontId="0" fillId="0" borderId="0" xfId="682" applyFont="1"/>
    <xf numFmtId="0" fontId="164" fillId="26" borderId="0" xfId="682" applyFont="1" applyFill="1"/>
    <xf numFmtId="0" fontId="0" fillId="26" borderId="0" xfId="682" applyFont="1" applyFill="1"/>
    <xf numFmtId="0" fontId="50" fillId="0" borderId="17" xfId="682" applyFont="1" applyBorder="1" applyAlignment="1">
      <alignment horizontal="center"/>
    </xf>
    <xf numFmtId="0" fontId="165" fillId="0" borderId="0" xfId="682" applyFont="1"/>
    <xf numFmtId="0" fontId="165" fillId="0" borderId="0" xfId="682" applyFont="1" applyAlignment="1">
      <alignment vertical="center"/>
    </xf>
    <xf numFmtId="0" fontId="50" fillId="0" borderId="14" xfId="682" applyFont="1" applyBorder="1" applyAlignment="1">
      <alignment horizontal="center" vertical="center" wrapText="1"/>
    </xf>
    <xf numFmtId="0" fontId="166" fillId="0" borderId="0" xfId="682" applyFont="1"/>
    <xf numFmtId="0" fontId="53" fillId="0" borderId="0" xfId="682" applyFont="1"/>
    <xf numFmtId="167" fontId="167" fillId="26" borderId="0" xfId="546" applyNumberFormat="1" applyFont="1" applyFill="1"/>
    <xf numFmtId="167" fontId="53" fillId="0" borderId="0" xfId="546" applyNumberFormat="1" applyFont="1"/>
    <xf numFmtId="38" fontId="167" fillId="26" borderId="0" xfId="682" applyNumberFormat="1" applyFont="1" applyFill="1"/>
    <xf numFmtId="38" fontId="53" fillId="0" borderId="0" xfId="682" applyNumberFormat="1" applyFont="1"/>
    <xf numFmtId="38" fontId="0" fillId="26" borderId="0" xfId="682" applyNumberFormat="1" applyFont="1" applyFill="1"/>
    <xf numFmtId="38" fontId="53" fillId="26" borderId="17" xfId="449" applyNumberFormat="1" applyFont="1" applyFill="1" applyBorder="1"/>
    <xf numFmtId="38" fontId="53" fillId="0" borderId="0" xfId="449" applyNumberFormat="1" applyFont="1"/>
    <xf numFmtId="0" fontId="50" fillId="27" borderId="0" xfId="682" applyFont="1" applyFill="1"/>
    <xf numFmtId="0" fontId="0" fillId="27" borderId="0" xfId="682" applyFont="1" applyFill="1"/>
    <xf numFmtId="0" fontId="53" fillId="27" borderId="0" xfId="682" applyFont="1" applyFill="1"/>
    <xf numFmtId="167" fontId="50" fillId="27" borderId="0" xfId="546" applyNumberFormat="1" applyFont="1" applyFill="1"/>
    <xf numFmtId="167" fontId="53" fillId="27" borderId="0" xfId="546" applyNumberFormat="1" applyFont="1" applyFill="1"/>
    <xf numFmtId="164" fontId="53" fillId="26" borderId="17" xfId="449" applyNumberFormat="1" applyFont="1" applyFill="1" applyBorder="1"/>
    <xf numFmtId="164" fontId="53" fillId="0" borderId="0" xfId="449" applyNumberFormat="1" applyFont="1"/>
    <xf numFmtId="0" fontId="166" fillId="0" borderId="0" xfId="682" applyFont="1" applyAlignment="1">
      <alignment vertical="center"/>
    </xf>
    <xf numFmtId="0" fontId="168" fillId="0" borderId="0" xfId="682" applyFont="1"/>
    <xf numFmtId="38" fontId="53" fillId="26" borderId="0" xfId="449" applyNumberFormat="1" applyFont="1" applyFill="1"/>
    <xf numFmtId="167" fontId="50" fillId="27" borderId="18" xfId="546" applyNumberFormat="1" applyFont="1" applyFill="1" applyBorder="1"/>
    <xf numFmtId="167" fontId="53" fillId="26" borderId="19" xfId="546" applyNumberFormat="1" applyFont="1" applyFill="1" applyBorder="1"/>
    <xf numFmtId="0" fontId="50" fillId="0" borderId="0" xfId="682" applyFont="1"/>
    <xf numFmtId="167" fontId="50" fillId="0" borderId="20" xfId="546" applyNumberFormat="1" applyFont="1" applyBorder="1"/>
    <xf numFmtId="0" fontId="50" fillId="0" borderId="0" xfId="682" applyFont="1" applyAlignment="1">
      <alignment horizontal="center"/>
    </xf>
    <xf numFmtId="167" fontId="167" fillId="0" borderId="0" xfId="546" applyNumberFormat="1" applyFont="1" applyFill="1"/>
    <xf numFmtId="38" fontId="167" fillId="26" borderId="0" xfId="0" applyNumberFormat="1" applyFont="1" applyFill="1"/>
    <xf numFmtId="38" fontId="167" fillId="0" borderId="0" xfId="449" applyNumberFormat="1" applyFont="1" applyFill="1"/>
    <xf numFmtId="38" fontId="167" fillId="26" borderId="17" xfId="0" applyNumberFormat="1" applyFont="1" applyFill="1" applyBorder="1"/>
    <xf numFmtId="38" fontId="167" fillId="0" borderId="17" xfId="449" applyNumberFormat="1" applyFont="1" applyFill="1" applyBorder="1"/>
    <xf numFmtId="167" fontId="53" fillId="0" borderId="19" xfId="546" applyNumberFormat="1" applyFont="1" applyBorder="1"/>
    <xf numFmtId="10" fontId="50" fillId="0" borderId="19" xfId="682" applyNumberFormat="1" applyFont="1" applyBorder="1"/>
    <xf numFmtId="0" fontId="0" fillId="0" borderId="82" xfId="0" applyFont="1" applyBorder="1"/>
    <xf numFmtId="0" fontId="39" fillId="78" borderId="78" xfId="0" applyFont="1" applyFill="1" applyBorder="1" applyAlignment="1">
      <alignment horizontal="left"/>
    </xf>
    <xf numFmtId="0" fontId="0" fillId="78" borderId="78" xfId="0" applyFont="1" applyFill="1" applyBorder="1"/>
    <xf numFmtId="0" fontId="39" fillId="78" borderId="78" xfId="0" applyFont="1" applyFill="1" applyBorder="1"/>
    <xf numFmtId="0" fontId="0" fillId="78" borderId="81" xfId="0" applyFont="1" applyFill="1" applyBorder="1"/>
    <xf numFmtId="0" fontId="0" fillId="73" borderId="10" xfId="0" applyFont="1" applyFill="1" applyBorder="1" applyAlignment="1">
      <alignment horizontal="center" vertical="center" wrapText="1"/>
    </xf>
    <xf numFmtId="0" fontId="0" fillId="78" borderId="81" xfId="0" applyFont="1" applyFill="1" applyBorder="1" applyAlignment="1">
      <alignment wrapText="1"/>
    </xf>
    <xf numFmtId="0" fontId="0" fillId="0" borderId="82" xfId="0" applyFont="1" applyBorder="1" applyAlignment="1">
      <alignment wrapText="1"/>
    </xf>
    <xf numFmtId="1" fontId="0" fillId="0" borderId="82" xfId="0" applyNumberFormat="1" applyFont="1" applyBorder="1"/>
    <xf numFmtId="0" fontId="0" fillId="73" borderId="83" xfId="0" applyFont="1" applyFill="1" applyBorder="1" applyAlignment="1">
      <alignment horizontal="center" vertical="center" wrapText="1"/>
    </xf>
    <xf numFmtId="0" fontId="0" fillId="0" borderId="82" xfId="0" applyFont="1" applyBorder="1" applyAlignment="1">
      <alignment horizontal="center"/>
    </xf>
    <xf numFmtId="0" fontId="0" fillId="0" borderId="81" xfId="0" applyFont="1" applyBorder="1"/>
    <xf numFmtId="0" fontId="170" fillId="78" borderId="99" xfId="0" applyFont="1" applyFill="1" applyBorder="1" applyAlignment="1">
      <alignment wrapText="1"/>
    </xf>
    <xf numFmtId="37" fontId="0" fillId="0" borderId="0" xfId="0" applyNumberFormat="1" applyFont="1" applyBorder="1"/>
    <xf numFmtId="0" fontId="0" fillId="0" borderId="85" xfId="0" applyNumberFormat="1" applyFont="1" applyBorder="1" applyAlignment="1">
      <alignment horizontal="center" wrapText="1"/>
    </xf>
    <xf numFmtId="10" fontId="0" fillId="0" borderId="82" xfId="0" applyNumberFormat="1" applyFont="1" applyBorder="1"/>
    <xf numFmtId="0" fontId="0" fillId="78" borderId="84" xfId="0" applyFont="1" applyFill="1" applyBorder="1"/>
    <xf numFmtId="0" fontId="0" fillId="78" borderId="84" xfId="0" applyFont="1" applyFill="1" applyBorder="1" applyAlignment="1">
      <alignment horizontal="center" wrapText="1"/>
    </xf>
    <xf numFmtId="0" fontId="0" fillId="78" borderId="84" xfId="0" applyFont="1" applyFill="1" applyBorder="1" applyAlignment="1">
      <alignment wrapText="1"/>
    </xf>
    <xf numFmtId="0" fontId="0" fillId="78" borderId="96" xfId="0" applyFont="1" applyFill="1" applyBorder="1" applyAlignment="1">
      <alignment horizontal="center" wrapText="1"/>
    </xf>
    <xf numFmtId="0" fontId="0" fillId="78" borderId="96" xfId="0" applyFont="1" applyFill="1" applyBorder="1"/>
    <xf numFmtId="2" fontId="0" fillId="0" borderId="82" xfId="0" applyNumberFormat="1" applyFont="1" applyBorder="1"/>
    <xf numFmtId="168" fontId="0" fillId="0" borderId="82" xfId="0" applyNumberFormat="1" applyFont="1" applyBorder="1"/>
    <xf numFmtId="2" fontId="0" fillId="80" borderId="86" xfId="0" applyNumberFormat="1" applyFont="1" applyFill="1" applyBorder="1"/>
    <xf numFmtId="0" fontId="0" fillId="78" borderId="91" xfId="0" applyFont="1" applyFill="1" applyBorder="1" applyAlignment="1">
      <alignment horizontal="center" wrapText="1"/>
    </xf>
    <xf numFmtId="0" fontId="0" fillId="78" borderId="91" xfId="0" applyFont="1" applyFill="1" applyBorder="1"/>
    <xf numFmtId="0" fontId="0" fillId="78" borderId="92" xfId="0" applyFont="1" applyFill="1" applyBorder="1"/>
    <xf numFmtId="39" fontId="0" fillId="0" borderId="82" xfId="0" applyNumberFormat="1" applyFont="1" applyBorder="1"/>
    <xf numFmtId="2" fontId="0" fillId="0" borderId="85" xfId="0" applyNumberFormat="1" applyFont="1" applyFill="1" applyBorder="1" applyAlignment="1">
      <alignment horizontal="center"/>
    </xf>
    <xf numFmtId="0" fontId="0" fillId="78" borderId="87" xfId="0" applyFont="1" applyFill="1" applyBorder="1"/>
    <xf numFmtId="0" fontId="0" fillId="78" borderId="87" xfId="0" applyFont="1" applyFill="1" applyBorder="1" applyAlignment="1">
      <alignment horizontal="center" wrapText="1"/>
    </xf>
    <xf numFmtId="0" fontId="0" fillId="78" borderId="87" xfId="0" applyFont="1" applyFill="1" applyBorder="1" applyAlignment="1">
      <alignment wrapText="1"/>
    </xf>
    <xf numFmtId="0" fontId="170" fillId="78" borderId="82"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4" xfId="0" applyFont="1" applyFill="1" applyBorder="1"/>
    <xf numFmtId="0" fontId="0" fillId="78" borderId="10" xfId="0" quotePrefix="1" applyFont="1" applyFill="1" applyBorder="1" applyAlignment="1">
      <alignment horizontal="center" wrapText="1"/>
    </xf>
    <xf numFmtId="0" fontId="0" fillId="0" borderId="97"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2" xfId="0" applyFont="1" applyFill="1" applyBorder="1" applyAlignment="1">
      <alignment wrapText="1"/>
    </xf>
    <xf numFmtId="0" fontId="0" fillId="0" borderId="98"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2"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39" fillId="0" borderId="78" xfId="0" applyFont="1" applyBorder="1" applyAlignment="1">
      <alignment vertical="center"/>
    </xf>
    <xf numFmtId="0" fontId="170" fillId="78" borderId="103" xfId="0" applyFont="1" applyFill="1" applyBorder="1" applyAlignment="1">
      <alignment wrapText="1"/>
    </xf>
    <xf numFmtId="0" fontId="39" fillId="0" borderId="90" xfId="0" applyFont="1" applyBorder="1" applyAlignment="1">
      <alignment vertical="center"/>
    </xf>
    <xf numFmtId="9" fontId="39" fillId="0" borderId="0" xfId="4688" applyFont="1" applyBorder="1" applyAlignment="1">
      <alignment horizontal="center" wrapText="1"/>
    </xf>
    <xf numFmtId="0" fontId="39" fillId="0" borderId="84" xfId="0" applyFont="1" applyBorder="1" applyAlignment="1">
      <alignment vertical="center"/>
    </xf>
    <xf numFmtId="0" fontId="39" fillId="0" borderId="0" xfId="0" applyFont="1" applyFill="1" applyBorder="1" applyAlignment="1">
      <alignment vertical="center"/>
    </xf>
    <xf numFmtId="0" fontId="39" fillId="0" borderId="87" xfId="0" applyFont="1" applyBorder="1" applyAlignment="1">
      <alignment vertical="center"/>
    </xf>
    <xf numFmtId="0" fontId="39" fillId="0" borderId="82" xfId="0" applyFont="1" applyBorder="1" applyAlignment="1">
      <alignment vertical="center"/>
    </xf>
    <xf numFmtId="0" fontId="160" fillId="73" borderId="92" xfId="0" applyFont="1" applyFill="1" applyBorder="1" applyAlignment="1">
      <alignment horizontal="center" vertical="center" wrapText="1"/>
    </xf>
    <xf numFmtId="0" fontId="39" fillId="78" borderId="12" xfId="0" applyFont="1" applyFill="1" applyBorder="1"/>
    <xf numFmtId="0" fontId="170" fillId="78" borderId="109" xfId="0" applyFont="1" applyFill="1" applyBorder="1" applyAlignment="1">
      <alignment wrapText="1"/>
    </xf>
    <xf numFmtId="0" fontId="39" fillId="78" borderId="12" xfId="0" applyFont="1" applyFill="1" applyBorder="1" applyAlignment="1">
      <alignment horizontal="center"/>
    </xf>
    <xf numFmtId="0" fontId="39" fillId="78" borderId="12" xfId="0" applyFont="1" applyFill="1" applyBorder="1" applyAlignment="1">
      <alignment horizontal="center" wrapText="1"/>
    </xf>
    <xf numFmtId="0" fontId="0" fillId="78" borderId="110" xfId="0" applyFont="1" applyFill="1" applyBorder="1"/>
    <xf numFmtId="0" fontId="0" fillId="78" borderId="10" xfId="0" applyFont="1" applyFill="1" applyBorder="1"/>
    <xf numFmtId="0" fontId="39" fillId="78" borderId="10" xfId="0" applyFont="1" applyFill="1" applyBorder="1" applyAlignment="1">
      <alignment horizontal="center"/>
    </xf>
    <xf numFmtId="0" fontId="39" fillId="78" borderId="10" xfId="0" applyFont="1" applyFill="1" applyBorder="1" applyAlignment="1">
      <alignment horizontal="center" wrapText="1"/>
    </xf>
    <xf numFmtId="0" fontId="160"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8"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8"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5"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1" fillId="76" borderId="62"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5"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1"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8"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6"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4"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4"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4" xfId="439" applyNumberFormat="1" applyFont="1" applyFill="1" applyBorder="1" applyAlignment="1" applyProtection="1">
      <alignment horizontal="center" vertical="center"/>
    </xf>
    <xf numFmtId="49" fontId="0" fillId="74" borderId="63" xfId="439" applyNumberFormat="1" applyFont="1" applyFill="1" applyBorder="1" applyAlignment="1" applyProtection="1">
      <alignment horizontal="center" vertical="center"/>
    </xf>
    <xf numFmtId="0" fontId="0" fillId="31" borderId="65" xfId="0" applyFont="1" applyFill="1" applyBorder="1"/>
    <xf numFmtId="49" fontId="0" fillId="31" borderId="0" xfId="0" applyNumberFormat="1" applyFont="1" applyFill="1" applyAlignment="1" applyProtection="1">
      <alignment horizontal="center"/>
    </xf>
    <xf numFmtId="41" fontId="0" fillId="0" borderId="65"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3"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3"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3" xfId="439" applyNumberFormat="1" applyFont="1" applyFill="1" applyBorder="1" applyAlignment="1" applyProtection="1">
      <alignment horizontal="center" vertical="center"/>
    </xf>
    <xf numFmtId="169" fontId="0" fillId="74" borderId="64"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8"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5"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5" fillId="0" borderId="0" xfId="439" applyNumberFormat="1" applyFont="1" applyFill="1" applyProtection="1"/>
    <xf numFmtId="38" fontId="45" fillId="0" borderId="45" xfId="439" applyNumberFormat="1" applyFont="1" applyFill="1" applyBorder="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57" fillId="82" borderId="0" xfId="30099" applyNumberFormat="1" applyFont="1" applyFill="1" applyAlignment="1">
      <alignment horizontal="right" vertical="top" indent="1" shrinkToFit="1"/>
    </xf>
    <xf numFmtId="0" fontId="45" fillId="0" borderId="0" xfId="30099" applyFont="1" applyAlignment="1">
      <alignment horizontal="left" vertical="top" wrapText="1" indent="1"/>
    </xf>
    <xf numFmtId="1" fontId="157" fillId="0" borderId="0" xfId="30099" applyNumberFormat="1" applyFont="1" applyAlignment="1">
      <alignment horizontal="center" vertical="top" shrinkToFit="1"/>
    </xf>
    <xf numFmtId="0" fontId="45" fillId="0" borderId="0" xfId="0" applyNumberFormat="1" applyFont="1" applyFill="1" applyAlignment="1" applyProtection="1">
      <alignment horizontal="left" vertical="center" wrapText="1"/>
    </xf>
    <xf numFmtId="181" fontId="157" fillId="0" borderId="0" xfId="30099" applyNumberFormat="1" applyFont="1" applyFill="1" applyAlignment="1">
      <alignment horizontal="right" vertical="top" indent="1" shrinkToFit="1"/>
    </xf>
    <xf numFmtId="1" fontId="157" fillId="82" borderId="0" xfId="30099" applyNumberFormat="1" applyFont="1" applyFill="1" applyAlignment="1">
      <alignment horizontal="left" vertical="top" indent="3" shrinkToFit="1"/>
    </xf>
    <xf numFmtId="181" fontId="157" fillId="0" borderId="0" xfId="30099" applyNumberFormat="1" applyFont="1" applyAlignment="1">
      <alignment horizontal="right" vertical="top" indent="1" shrinkToFit="1"/>
    </xf>
    <xf numFmtId="1" fontId="157" fillId="0" borderId="0" xfId="30099" applyNumberFormat="1" applyFont="1" applyFill="1" applyAlignment="1">
      <alignment horizontal="left" vertical="top" indent="3" shrinkToFit="1"/>
    </xf>
    <xf numFmtId="0" fontId="45" fillId="0" borderId="0" xfId="30099" applyFont="1" applyFill="1" applyAlignment="1">
      <alignment horizontal="left" vertical="top" wrapText="1"/>
    </xf>
    <xf numFmtId="164" fontId="33" fillId="0" borderId="0" xfId="439" applyNumberFormat="1" applyFont="1"/>
    <xf numFmtId="0" fontId="45" fillId="0" borderId="0" xfId="30099" applyFont="1" applyAlignment="1">
      <alignment horizontal="left" vertical="top" wrapText="1" indent="2"/>
    </xf>
    <xf numFmtId="0" fontId="54" fillId="0" borderId="0" xfId="0" applyFont="1" applyFill="1" applyAlignment="1" applyProtection="1">
      <alignment horizontal="left" vertical="center" wrapText="1"/>
    </xf>
    <xf numFmtId="164" fontId="33" fillId="0" borderId="0" xfId="439" applyNumberFormat="1" applyFont="1" applyAlignment="1">
      <alignment horizontal="center" vertical="center" wrapText="1"/>
    </xf>
    <xf numFmtId="0" fontId="33" fillId="0" borderId="0" xfId="439" applyNumberFormat="1" applyFont="1" applyAlignment="1">
      <alignment horizontal="center" vertical="center"/>
    </xf>
    <xf numFmtId="0" fontId="0" fillId="0" borderId="32" xfId="0" applyFont="1" applyFill="1" applyBorder="1" applyAlignment="1">
      <alignment horizontal="center" wrapText="1"/>
    </xf>
    <xf numFmtId="1" fontId="157" fillId="0" borderId="0" xfId="30099" applyNumberFormat="1" applyFont="1" applyFill="1" applyAlignment="1">
      <alignment horizontal="center" vertical="top" shrinkToFit="1"/>
    </xf>
    <xf numFmtId="0" fontId="45" fillId="0" borderId="0" xfId="0" applyFont="1" applyFill="1" applyAlignment="1" applyProtection="1">
      <alignment horizontal="left" vertical="center" wrapText="1"/>
      <protection hidden="1"/>
    </xf>
    <xf numFmtId="0" fontId="45" fillId="0" borderId="0" xfId="30099" applyFont="1" applyAlignment="1">
      <alignment horizontal="left" vertical="top" wrapText="1"/>
    </xf>
    <xf numFmtId="0" fontId="45" fillId="0" borderId="61" xfId="0" applyFont="1" applyFill="1" applyBorder="1" applyAlignment="1">
      <alignment vertical="center" wrapText="1"/>
    </xf>
    <xf numFmtId="1" fontId="157" fillId="82" borderId="0" xfId="30099" applyNumberFormat="1" applyFont="1" applyFill="1" applyAlignment="1">
      <alignment horizontal="center" vertical="top" shrinkToFit="1"/>
    </xf>
    <xf numFmtId="1" fontId="157" fillId="0" borderId="0" xfId="30099" applyNumberFormat="1" applyFont="1" applyAlignment="1">
      <alignment horizontal="left" vertical="top" indent="3" shrinkToFit="1"/>
    </xf>
    <xf numFmtId="0" fontId="45" fillId="0" borderId="0" xfId="30099" applyFont="1" applyAlignment="1">
      <alignment horizontal="center" vertical="top" wrapText="1"/>
    </xf>
    <xf numFmtId="0" fontId="157" fillId="0" borderId="0" xfId="30099" applyFont="1" applyAlignment="1">
      <alignment horizontal="left" wrapText="1"/>
    </xf>
    <xf numFmtId="0" fontId="45" fillId="82" borderId="0" xfId="30099" applyFont="1" applyFill="1" applyAlignment="1">
      <alignment horizontal="left" vertical="top" wrapText="1" indent="1"/>
    </xf>
    <xf numFmtId="0" fontId="45" fillId="82" borderId="0" xfId="30099" applyFont="1" applyFill="1" applyAlignment="1">
      <alignment horizontal="left" vertical="top" wrapText="1" indent="2"/>
    </xf>
    <xf numFmtId="0" fontId="0" fillId="0" borderId="0" xfId="0" applyFont="1" applyAlignment="1">
      <alignment horizontal="center" vertical="center" wrapText="1"/>
    </xf>
    <xf numFmtId="0" fontId="71" fillId="0" borderId="45" xfId="0" applyNumberFormat="1" applyFont="1" applyFill="1" applyBorder="1" applyAlignment="1" applyProtection="1">
      <alignment horizontal="left" vertical="center" wrapText="1"/>
    </xf>
    <xf numFmtId="0" fontId="63" fillId="0" borderId="61"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5"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71"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70" fillId="28" borderId="0" xfId="439" applyNumberFormat="1" applyFont="1" applyFill="1" applyAlignment="1" applyProtection="1">
      <alignment wrapText="1"/>
    </xf>
    <xf numFmtId="41" fontId="71"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0"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0"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0" fillId="0" borderId="0" xfId="0" applyNumberFormat="1" applyFont="1" applyFill="1" applyAlignment="1" applyProtection="1">
      <alignment wrapText="1"/>
    </xf>
    <xf numFmtId="0" fontId="70" fillId="0" borderId="0" xfId="0" applyFont="1" applyFill="1" applyProtection="1"/>
    <xf numFmtId="164" fontId="0" fillId="0" borderId="45" xfId="0" applyNumberFormat="1" applyFont="1" applyFill="1" applyBorder="1" applyAlignment="1" applyProtection="1">
      <alignment wrapText="1"/>
      <protection locked="0"/>
    </xf>
    <xf numFmtId="0" fontId="71" fillId="0" borderId="0" xfId="0" applyFont="1" applyFill="1" applyAlignment="1" applyProtection="1">
      <alignment wrapText="1"/>
    </xf>
    <xf numFmtId="0" fontId="39" fillId="0" borderId="0" xfId="0" applyFont="1" applyFill="1" applyAlignment="1" applyProtection="1">
      <alignment horizontal="center" vertical="center" wrapText="1"/>
    </xf>
    <xf numFmtId="0" fontId="71" fillId="0" borderId="0" xfId="0" applyFont="1" applyFill="1" applyAlignment="1" applyProtection="1">
      <alignment horizontal="left" wrapText="1" indent="2"/>
    </xf>
    <xf numFmtId="0" fontId="0" fillId="0" borderId="0" xfId="0" applyFont="1" applyBorder="1" applyAlignment="1" applyProtection="1">
      <alignment wrapText="1"/>
    </xf>
    <xf numFmtId="41" fontId="71" fillId="0" borderId="45" xfId="0" applyNumberFormat="1" applyFont="1" applyFill="1" applyBorder="1" applyAlignment="1" applyProtection="1">
      <alignment wrapText="1"/>
    </xf>
    <xf numFmtId="41" fontId="71" fillId="0" borderId="45" xfId="0" applyNumberFormat="1" applyFont="1" applyBorder="1" applyAlignment="1">
      <alignment wrapText="1"/>
    </xf>
    <xf numFmtId="41" fontId="71"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1"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1"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0" fillId="0" borderId="0" xfId="439" applyNumberFormat="1" applyFont="1" applyFill="1" applyAlignment="1" applyProtection="1">
      <alignment vertical="center" wrapText="1"/>
    </xf>
    <xf numFmtId="39" fontId="70"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39"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0"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70"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5"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78"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5" fillId="0" borderId="45" xfId="0" applyFont="1" applyFill="1" applyBorder="1" applyAlignment="1" applyProtection="1">
      <alignment wrapText="1"/>
    </xf>
    <xf numFmtId="0" fontId="178" fillId="0" borderId="0" xfId="0" applyFont="1" applyFill="1" applyAlignment="1" applyProtection="1">
      <alignment horizontal="left" vertical="center" wrapText="1"/>
    </xf>
    <xf numFmtId="0" fontId="63" fillId="0" borderId="36" xfId="0" applyNumberFormat="1" applyFont="1" applyFill="1" applyBorder="1" applyAlignment="1" applyProtection="1">
      <alignment horizontal="left" vertical="center" wrapText="1"/>
    </xf>
    <xf numFmtId="0" fontId="45" fillId="0" borderId="0" xfId="0" applyFont="1" applyFill="1" applyAlignment="1" applyProtection="1">
      <alignment wrapText="1"/>
    </xf>
    <xf numFmtId="0" fontId="63" fillId="0" borderId="0" xfId="0" applyFont="1" applyAlignment="1">
      <alignment wrapText="1"/>
    </xf>
    <xf numFmtId="0" fontId="45" fillId="0" borderId="45" xfId="0" applyFont="1" applyBorder="1" applyAlignment="1">
      <alignment horizontal="center" vertical="center" wrapText="1"/>
    </xf>
    <xf numFmtId="0" fontId="39"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5" fillId="0" borderId="0" xfId="0" applyFont="1" applyFill="1" applyAlignment="1" applyProtection="1">
      <alignment horizontal="center" vertical="center" wrapText="1"/>
    </xf>
    <xf numFmtId="0" fontId="45"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5" fillId="0" borderId="45"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5" fillId="34" borderId="0" xfId="0" applyFont="1" applyFill="1" applyAlignment="1" applyProtection="1">
      <alignment horizontal="center" vertical="center" wrapText="1"/>
    </xf>
    <xf numFmtId="0" fontId="63" fillId="0" borderId="0" xfId="0" applyFont="1" applyFill="1" applyAlignment="1" applyProtection="1">
      <alignment horizontal="center" vertical="center" wrapText="1"/>
    </xf>
    <xf numFmtId="3" fontId="185" fillId="0" borderId="0" xfId="1540" applyFont="1" applyFill="1" applyAlignment="1" applyProtection="1">
      <alignment vertical="center" wrapText="1"/>
    </xf>
    <xf numFmtId="0" fontId="59" fillId="0" borderId="0" xfId="30099" applyFont="1" applyFill="1" applyAlignment="1">
      <alignment horizontal="left" vertical="top" wrapText="1"/>
    </xf>
    <xf numFmtId="0" fontId="59"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0"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0"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59" fillId="74" borderId="0" xfId="0" applyFont="1" applyFill="1" applyAlignment="1" applyProtection="1">
      <alignment horizontal="left" vertical="center"/>
    </xf>
    <xf numFmtId="0" fontId="45"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71"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71" fillId="74" borderId="0" xfId="0" applyFont="1" applyFill="1" applyAlignment="1" applyProtection="1"/>
    <xf numFmtId="0" fontId="39" fillId="74" borderId="0" xfId="0" applyFont="1" applyFill="1" applyAlignment="1" applyProtection="1">
      <alignment horizontal="center" vertical="center" wrapText="1"/>
      <protection locked="0"/>
    </xf>
    <xf numFmtId="0" fontId="71"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3" fillId="74" borderId="0" xfId="0" applyFont="1" applyFill="1" applyAlignment="1" applyProtection="1">
      <alignment horizontal="left" vertical="center"/>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71"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5"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70"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5" fillId="74" borderId="0" xfId="439" applyNumberFormat="1" applyFont="1" applyFill="1" applyProtection="1"/>
    <xf numFmtId="0" fontId="187"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71"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88" fillId="74" borderId="0" xfId="0" applyFont="1" applyFill="1" applyAlignment="1" applyProtection="1">
      <alignment horizontal="left" vertical="center"/>
    </xf>
    <xf numFmtId="0" fontId="83" fillId="74" borderId="0" xfId="0" applyFont="1" applyFill="1" applyAlignment="1" applyProtection="1">
      <alignment vertical="center"/>
    </xf>
    <xf numFmtId="0" fontId="189" fillId="74" borderId="0" xfId="0" applyFont="1" applyFill="1" applyAlignment="1" applyProtection="1">
      <alignment vertical="center"/>
      <protection locked="0"/>
    </xf>
    <xf numFmtId="0" fontId="63" fillId="74" borderId="36" xfId="0" applyNumberFormat="1" applyFont="1" applyFill="1" applyBorder="1" applyAlignment="1" applyProtection="1">
      <alignment horizontal="left" vertical="center" wrapText="1"/>
    </xf>
    <xf numFmtId="0" fontId="54" fillId="74" borderId="0" xfId="0" applyNumberFormat="1" applyFont="1" applyFill="1" applyAlignment="1" applyProtection="1">
      <alignment horizontal="left" vertical="center" wrapText="1"/>
    </xf>
    <xf numFmtId="168" fontId="39" fillId="29" borderId="0" xfId="439" applyNumberFormat="1" applyFont="1" applyFill="1" applyAlignment="1" applyProtection="1">
      <alignment horizontal="center" vertical="center"/>
      <protection locked="0"/>
    </xf>
    <xf numFmtId="0" fontId="59" fillId="74" borderId="0" xfId="0" applyFont="1" applyFill="1" applyAlignment="1">
      <alignment vertical="center" wrapText="1"/>
    </xf>
    <xf numFmtId="41" fontId="71" fillId="36" borderId="112" xfId="439" applyNumberFormat="1" applyFont="1" applyFill="1" applyBorder="1" applyAlignment="1">
      <alignment vertical="center" wrapText="1"/>
    </xf>
    <xf numFmtId="41" fontId="71" fillId="36" borderId="0" xfId="439" applyNumberFormat="1" applyFont="1" applyFill="1" applyAlignment="1">
      <alignment vertical="center" wrapText="1"/>
    </xf>
    <xf numFmtId="41" fontId="71" fillId="36" borderId="113" xfId="439" applyNumberFormat="1" applyFont="1" applyFill="1" applyBorder="1" applyAlignment="1">
      <alignment vertical="center" wrapText="1"/>
    </xf>
    <xf numFmtId="41" fontId="190" fillId="0" borderId="0" xfId="0" applyNumberFormat="1" applyFont="1" applyFill="1" applyAlignment="1" applyProtection="1">
      <alignment wrapText="1"/>
    </xf>
    <xf numFmtId="0" fontId="59"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5" fillId="22" borderId="0" xfId="439" applyNumberFormat="1" applyFont="1" applyFill="1" applyAlignment="1" applyProtection="1">
      <alignment horizontal="center" vertical="center" wrapText="1"/>
    </xf>
    <xf numFmtId="167" fontId="0" fillId="80" borderId="86" xfId="545" applyNumberFormat="1" applyFont="1" applyFill="1" applyBorder="1"/>
    <xf numFmtId="37" fontId="0" fillId="0" borderId="102" xfId="0" applyNumberFormat="1" applyFont="1" applyFill="1" applyBorder="1" applyAlignment="1">
      <alignment horizontal="center" wrapText="1"/>
    </xf>
    <xf numFmtId="37" fontId="83" fillId="0" borderId="102" xfId="0" applyNumberFormat="1" applyFont="1" applyFill="1" applyBorder="1" applyAlignment="1">
      <alignment horizontal="center" wrapText="1"/>
    </xf>
    <xf numFmtId="41" fontId="71"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0"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5" xfId="0" applyNumberFormat="1" applyFont="1" applyFill="1" applyBorder="1" applyAlignment="1">
      <alignment horizontal="center" wrapText="1"/>
    </xf>
    <xf numFmtId="37" fontId="0" fillId="0" borderId="88" xfId="0" applyNumberFormat="1" applyFont="1" applyFill="1" applyBorder="1" applyAlignment="1">
      <alignment horizontal="center" wrapText="1"/>
    </xf>
    <xf numFmtId="10" fontId="0" fillId="0" borderId="94" xfId="0" applyNumberFormat="1" applyFont="1" applyFill="1" applyBorder="1" applyAlignment="1">
      <alignment horizontal="center" wrapText="1"/>
    </xf>
    <xf numFmtId="0" fontId="39" fillId="78" borderId="10" xfId="0" applyFont="1" applyFill="1" applyBorder="1" applyAlignment="1">
      <alignment wrapText="1"/>
    </xf>
    <xf numFmtId="0" fontId="39" fillId="78" borderId="114" xfId="0" applyFont="1" applyFill="1" applyBorder="1" applyAlignment="1">
      <alignment wrapText="1"/>
    </xf>
    <xf numFmtId="10" fontId="0" fillId="0" borderId="83" xfId="4688" applyNumberFormat="1" applyFont="1" applyFill="1" applyBorder="1"/>
    <xf numFmtId="10" fontId="0" fillId="0" borderId="83" xfId="0" applyNumberFormat="1" applyFont="1" applyFill="1" applyBorder="1" applyAlignment="1">
      <alignment horizontal="center" wrapText="1"/>
    </xf>
    <xf numFmtId="0" fontId="0" fillId="0" borderId="115"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5" fillId="0" borderId="0" xfId="439" applyNumberFormat="1" applyFont="1" applyFill="1" applyAlignment="1" applyProtection="1">
      <alignment horizontal="center" vertical="center" wrapText="1"/>
    </xf>
    <xf numFmtId="0" fontId="0" fillId="78" borderId="85" xfId="0" applyFont="1" applyFill="1" applyBorder="1" applyAlignment="1">
      <alignment vertical="center" wrapText="1"/>
    </xf>
    <xf numFmtId="0" fontId="0" fillId="78" borderId="95" xfId="0" applyFont="1" applyFill="1" applyBorder="1" applyAlignment="1">
      <alignment vertical="center" wrapText="1"/>
    </xf>
    <xf numFmtId="0" fontId="0" fillId="78" borderId="101" xfId="0" applyFont="1" applyFill="1" applyBorder="1" applyAlignment="1">
      <alignment vertical="center" wrapText="1"/>
    </xf>
    <xf numFmtId="0" fontId="0" fillId="78" borderId="94"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3" xfId="0" quotePrefix="1" applyFont="1" applyFill="1" applyBorder="1" applyAlignment="1">
      <alignment horizontal="center" vertical="center" wrapText="1"/>
    </xf>
    <xf numFmtId="0" fontId="0" fillId="78" borderId="83" xfId="0" applyFont="1" applyFill="1" applyBorder="1" applyAlignment="1">
      <alignment vertical="center" wrapText="1"/>
    </xf>
    <xf numFmtId="164" fontId="45" fillId="0" borderId="10" xfId="439" applyNumberFormat="1" applyFont="1" applyFill="1" applyBorder="1" applyAlignment="1">
      <alignment horizontal="center"/>
    </xf>
    <xf numFmtId="0" fontId="0" fillId="78" borderId="0" xfId="0" applyFont="1" applyFill="1" applyBorder="1" applyProtection="1">
      <protection locked="0"/>
    </xf>
    <xf numFmtId="0" fontId="170" fillId="78" borderId="116" xfId="0" applyFont="1" applyFill="1" applyBorder="1" applyAlignment="1">
      <alignment wrapText="1"/>
    </xf>
    <xf numFmtId="9" fontId="0" fillId="78" borderId="83" xfId="4688" applyFont="1" applyFill="1" applyBorder="1" applyAlignment="1">
      <alignment horizontal="center" wrapText="1"/>
    </xf>
    <xf numFmtId="0" fontId="0" fillId="78" borderId="94" xfId="0" applyFont="1" applyFill="1" applyBorder="1" applyAlignment="1">
      <alignment horizontal="center" vertical="center" wrapText="1"/>
    </xf>
    <xf numFmtId="37" fontId="0" fillId="78" borderId="102" xfId="0" applyNumberFormat="1" applyFont="1" applyFill="1" applyBorder="1" applyAlignment="1">
      <alignment horizontal="center" wrapText="1"/>
    </xf>
    <xf numFmtId="0" fontId="0" fillId="78" borderId="97" xfId="0" applyFont="1" applyFill="1" applyBorder="1" applyProtection="1">
      <protection locked="0"/>
    </xf>
    <xf numFmtId="43" fontId="0" fillId="0" borderId="10" xfId="439" applyNumberFormat="1" applyFont="1" applyFill="1" applyBorder="1" applyAlignment="1">
      <alignment horizontal="center"/>
    </xf>
    <xf numFmtId="43" fontId="45" fillId="0" borderId="10" xfId="439" applyNumberFormat="1" applyFont="1" applyFill="1" applyBorder="1" applyAlignment="1">
      <alignment horizontal="center"/>
    </xf>
    <xf numFmtId="0" fontId="132" fillId="78" borderId="15" xfId="30099" applyFont="1" applyFill="1" applyBorder="1" applyAlignment="1">
      <alignment horizontal="left" wrapText="1"/>
    </xf>
    <xf numFmtId="0" fontId="132" fillId="78" borderId="0" xfId="30099" applyFont="1" applyFill="1" applyAlignment="1">
      <alignment horizontal="left" wrapText="1"/>
    </xf>
    <xf numFmtId="0" fontId="132"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7" xfId="0" applyBorder="1"/>
    <xf numFmtId="0" fontId="0" fillId="0" borderId="81" xfId="0" applyBorder="1"/>
    <xf numFmtId="0" fontId="0" fillId="0" borderId="82" xfId="0" applyBorder="1"/>
    <xf numFmtId="0" fontId="0" fillId="0" borderId="120" xfId="0" applyBorder="1"/>
    <xf numFmtId="0" fontId="194" fillId="0" borderId="10" xfId="0" applyFont="1" applyBorder="1" applyAlignment="1">
      <alignment horizontal="center" vertical="center" wrapText="1"/>
    </xf>
    <xf numFmtId="0" fontId="0" fillId="0" borderId="74" xfId="0" applyBorder="1" applyAlignment="1">
      <alignment horizontal="center" wrapText="1"/>
    </xf>
    <xf numFmtId="1" fontId="0" fillId="0" borderId="0" xfId="0" applyNumberFormat="1"/>
    <xf numFmtId="0" fontId="194" fillId="0" borderId="83" xfId="0" applyFont="1" applyBorder="1" applyAlignment="1">
      <alignment horizontal="center" vertical="center" wrapText="1"/>
    </xf>
    <xf numFmtId="0" fontId="0" fillId="0" borderId="0" xfId="0" applyAlignment="1">
      <alignment horizontal="center" wrapText="1"/>
    </xf>
    <xf numFmtId="2" fontId="0" fillId="0" borderId="0" xfId="0" applyNumberFormat="1"/>
    <xf numFmtId="0" fontId="0" fillId="0" borderId="57" xfId="0" applyBorder="1" applyAlignment="1">
      <alignment horizontal="center" wrapText="1"/>
    </xf>
    <xf numFmtId="0" fontId="0" fillId="78" borderId="57" xfId="0" applyFill="1" applyBorder="1" applyAlignment="1">
      <alignment wrapText="1"/>
    </xf>
    <xf numFmtId="37" fontId="0" fillId="0" borderId="57" xfId="0" applyNumberFormat="1" applyBorder="1" applyAlignment="1">
      <alignment horizontal="center" wrapText="1"/>
    </xf>
    <xf numFmtId="0" fontId="0" fillId="78" borderId="84" xfId="0" applyFill="1" applyBorder="1"/>
    <xf numFmtId="0" fontId="39" fillId="78" borderId="89" xfId="0" applyFont="1" applyFill="1" applyBorder="1" applyAlignment="1">
      <alignment horizontal="center" wrapText="1"/>
    </xf>
    <xf numFmtId="0" fontId="39" fillId="78" borderId="70" xfId="0" applyFont="1" applyFill="1" applyBorder="1" applyAlignment="1">
      <alignment horizontal="center"/>
    </xf>
    <xf numFmtId="37" fontId="0" fillId="0" borderId="57" xfId="0" applyNumberFormat="1" applyBorder="1" applyAlignment="1">
      <alignment horizontal="center"/>
    </xf>
    <xf numFmtId="0" fontId="0" fillId="0" borderId="122" xfId="0" applyBorder="1"/>
    <xf numFmtId="0" fontId="0" fillId="85" borderId="57" xfId="0" applyFill="1" applyBorder="1" applyAlignment="1">
      <alignment horizontal="center" wrapText="1"/>
    </xf>
    <xf numFmtId="37" fontId="45" fillId="0" borderId="57" xfId="0" applyNumberFormat="1" applyFont="1" applyBorder="1" applyAlignment="1">
      <alignment horizontal="center"/>
    </xf>
    <xf numFmtId="37" fontId="45" fillId="0" borderId="57" xfId="0" applyNumberFormat="1" applyFont="1" applyBorder="1" applyAlignment="1">
      <alignment horizontal="center" wrapText="1"/>
    </xf>
    <xf numFmtId="0" fontId="0" fillId="0" borderId="87" xfId="0" applyBorder="1"/>
    <xf numFmtId="0" fontId="0" fillId="0" borderId="87" xfId="0" applyBorder="1" applyAlignment="1">
      <alignment wrapText="1"/>
    </xf>
    <xf numFmtId="0" fontId="0" fillId="0" borderId="82" xfId="0" applyBorder="1" applyAlignment="1">
      <alignment wrapText="1"/>
    </xf>
    <xf numFmtId="0" fontId="0" fillId="0" borderId="118" xfId="0" applyBorder="1"/>
    <xf numFmtId="0" fontId="37" fillId="78" borderId="57" xfId="0" applyFont="1" applyFill="1" applyBorder="1" applyAlignment="1">
      <alignment vertical="center" wrapText="1"/>
    </xf>
    <xf numFmtId="0" fontId="160" fillId="0" borderId="0" xfId="0" applyFont="1" applyFill="1" applyBorder="1" applyAlignment="1">
      <alignment vertical="center" wrapText="1"/>
    </xf>
    <xf numFmtId="0" fontId="0" fillId="0" borderId="119" xfId="0" applyBorder="1" applyAlignment="1">
      <alignment wrapText="1"/>
    </xf>
    <xf numFmtId="0" fontId="37" fillId="78" borderId="57" xfId="0" applyFont="1" applyFill="1" applyBorder="1" applyAlignment="1">
      <alignment horizontal="justify" vertical="center"/>
    </xf>
    <xf numFmtId="0" fontId="46" fillId="78" borderId="13" xfId="0" applyFont="1" applyFill="1" applyBorder="1" applyAlignment="1">
      <alignment vertical="center" wrapText="1"/>
    </xf>
    <xf numFmtId="0" fontId="0" fillId="0" borderId="57" xfId="0" applyFill="1" applyBorder="1" applyAlignment="1">
      <alignment horizontal="justify" vertical="center"/>
    </xf>
    <xf numFmtId="0" fontId="40" fillId="78" borderId="13" xfId="0" applyFont="1" applyFill="1" applyBorder="1" applyAlignment="1">
      <alignment horizontal="center" vertical="center"/>
    </xf>
    <xf numFmtId="0" fontId="46" fillId="78" borderId="123" xfId="0" applyFont="1" applyFill="1" applyBorder="1" applyAlignment="1">
      <alignment vertical="center" wrapText="1"/>
    </xf>
    <xf numFmtId="166" fontId="41" fillId="0" borderId="0" xfId="0" applyNumberFormat="1" applyFont="1" applyAlignment="1">
      <alignment horizontal="left" vertical="center" wrapText="1"/>
    </xf>
    <xf numFmtId="166" fontId="0" fillId="0" borderId="0" xfId="0" applyNumberFormat="1"/>
    <xf numFmtId="0" fontId="63" fillId="0" borderId="0" xfId="0" applyFont="1" applyFill="1" applyBorder="1" applyAlignment="1">
      <alignment vertical="center" wrapText="1"/>
    </xf>
    <xf numFmtId="0" fontId="0" fillId="0" borderId="0" xfId="0" applyNumberFormat="1" applyFont="1" applyFill="1" applyBorder="1" applyAlignment="1">
      <alignment horizontal="center"/>
    </xf>
    <xf numFmtId="0" fontId="34" fillId="0" borderId="0" xfId="720" applyAlignment="1">
      <alignment wrapText="1"/>
    </xf>
    <xf numFmtId="0" fontId="41" fillId="0" borderId="0" xfId="0" applyFont="1"/>
    <xf numFmtId="0" fontId="41" fillId="0" borderId="0" xfId="0" applyFont="1" applyAlignment="1">
      <alignment wrapText="1"/>
    </xf>
    <xf numFmtId="164" fontId="34" fillId="0" borderId="124" xfId="449" applyNumberFormat="1" applyFont="1" applyBorder="1"/>
    <xf numFmtId="0" fontId="34" fillId="0" borderId="0" xfId="720"/>
    <xf numFmtId="166" fontId="0" fillId="83" borderId="0" xfId="0" applyNumberFormat="1" applyFill="1"/>
    <xf numFmtId="38" fontId="63" fillId="0" borderId="0" xfId="0" applyNumberFormat="1" applyFont="1"/>
    <xf numFmtId="0" fontId="34" fillId="0" borderId="0" xfId="720" applyAlignment="1">
      <alignment horizontal="center" wrapText="1"/>
    </xf>
    <xf numFmtId="0" fontId="0" fillId="73" borderId="0" xfId="0" applyFill="1" applyAlignment="1">
      <alignment wrapText="1"/>
    </xf>
    <xf numFmtId="38" fontId="63" fillId="73" borderId="0" xfId="0" applyNumberFormat="1" applyFont="1" applyFill="1"/>
    <xf numFmtId="0" fontId="39" fillId="0" borderId="0" xfId="683" applyFont="1" applyAlignment="1">
      <alignment horizontal="center" vertical="center"/>
    </xf>
    <xf numFmtId="0" fontId="0" fillId="0" borderId="0" xfId="0" quotePrefix="1"/>
    <xf numFmtId="0" fontId="54" fillId="0" borderId="0" xfId="0" applyFont="1" applyAlignment="1">
      <alignment vertical="center" wrapText="1"/>
    </xf>
    <xf numFmtId="0" fontId="0" fillId="0" borderId="0" xfId="0" applyAlignment="1">
      <alignment vertical="center" wrapText="1"/>
    </xf>
    <xf numFmtId="0" fontId="0" fillId="73" borderId="0" xfId="0" quotePrefix="1" applyFill="1"/>
    <xf numFmtId="0" fontId="0" fillId="73" borderId="23" xfId="0" applyFill="1" applyBorder="1" applyAlignment="1">
      <alignment vertical="center" wrapText="1"/>
    </xf>
    <xf numFmtId="0" fontId="63" fillId="73" borderId="0" xfId="720" applyFont="1" applyFill="1" applyAlignment="1">
      <alignment horizontal="left" vertical="center" wrapText="1"/>
    </xf>
    <xf numFmtId="166" fontId="63" fillId="73" borderId="0" xfId="0" applyNumberFormat="1" applyFont="1" applyFill="1"/>
    <xf numFmtId="0" fontId="39" fillId="73" borderId="0" xfId="705" applyFont="1" applyFill="1" applyAlignment="1">
      <alignment horizontal="center" vertical="center"/>
    </xf>
    <xf numFmtId="0" fontId="39" fillId="0" borderId="25" xfId="705" applyFont="1" applyBorder="1" applyAlignment="1">
      <alignment horizontal="center" vertical="center"/>
    </xf>
    <xf numFmtId="0" fontId="44" fillId="0" borderId="23" xfId="705" applyFont="1" applyBorder="1" applyAlignment="1">
      <alignment vertical="center" wrapText="1"/>
    </xf>
    <xf numFmtId="0" fontId="44" fillId="0" borderId="0" xfId="705" applyFont="1" applyAlignment="1">
      <alignment vertical="center" wrapText="1"/>
    </xf>
    <xf numFmtId="0" fontId="39" fillId="73" borderId="25" xfId="705" applyFont="1" applyFill="1" applyBorder="1" applyAlignment="1">
      <alignment horizontal="center" vertical="center"/>
    </xf>
    <xf numFmtId="0" fontId="44" fillId="73" borderId="23" xfId="705" applyFont="1" applyFill="1" applyBorder="1" applyAlignment="1">
      <alignment vertical="center" wrapText="1"/>
    </xf>
    <xf numFmtId="0" fontId="39" fillId="0" borderId="0" xfId="705" applyFont="1" applyAlignment="1">
      <alignment horizontal="center" vertical="center"/>
    </xf>
    <xf numFmtId="0" fontId="33" fillId="0" borderId="23" xfId="705" applyBorder="1" applyAlignment="1">
      <alignment horizontal="left" vertical="center" wrapText="1"/>
    </xf>
    <xf numFmtId="0" fontId="0" fillId="0" borderId="0" xfId="0" applyAlignment="1">
      <alignment horizontal="left" vertical="center" wrapText="1"/>
    </xf>
    <xf numFmtId="0" fontId="34" fillId="0" borderId="0" xfId="720" applyAlignment="1">
      <alignment horizontal="center"/>
    </xf>
    <xf numFmtId="0" fontId="34" fillId="0" borderId="0" xfId="440" applyNumberFormat="1" applyFont="1"/>
    <xf numFmtId="0" fontId="33" fillId="0" borderId="0" xfId="622" applyAlignment="1">
      <alignment wrapText="1"/>
    </xf>
    <xf numFmtId="40" fontId="63" fillId="73" borderId="0" xfId="0" applyNumberFormat="1" applyFont="1" applyFill="1"/>
    <xf numFmtId="0" fontId="45" fillId="34" borderId="0" xfId="0" applyFont="1" applyFill="1"/>
    <xf numFmtId="0" fontId="45" fillId="34" borderId="0" xfId="0" applyFont="1" applyFill="1" applyAlignment="1">
      <alignment horizontal="left" vertical="center" wrapText="1"/>
    </xf>
    <xf numFmtId="0" fontId="192" fillId="0" borderId="0" xfId="0" applyFont="1" applyAlignment="1">
      <alignment horizontal="left" vertical="center" wrapText="1"/>
    </xf>
    <xf numFmtId="38" fontId="0" fillId="0" borderId="0" xfId="0" applyNumberFormat="1"/>
    <xf numFmtId="4" fontId="0" fillId="0" borderId="0" xfId="0" applyNumberFormat="1"/>
    <xf numFmtId="40" fontId="0" fillId="0" borderId="0" xfId="0" applyNumberFormat="1"/>
    <xf numFmtId="164" fontId="34" fillId="0" borderId="0" xfId="449" applyNumberFormat="1" applyFont="1" applyBorder="1"/>
    <xf numFmtId="10" fontId="0" fillId="0" borderId="0" xfId="4688" applyNumberFormat="1" applyFont="1"/>
    <xf numFmtId="0" fontId="0" fillId="0" borderId="0" xfId="0"/>
    <xf numFmtId="0" fontId="41" fillId="0" borderId="0" xfId="0" applyFont="1" applyAlignment="1">
      <alignment horizontal="center"/>
    </xf>
    <xf numFmtId="0" fontId="34" fillId="0" borderId="0" xfId="720" applyAlignment="1">
      <alignment horizontal="center" wrapText="1"/>
    </xf>
    <xf numFmtId="0" fontId="41" fillId="0" borderId="0" xfId="0" applyFont="1" applyAlignment="1">
      <alignment wrapText="1"/>
    </xf>
    <xf numFmtId="164" fontId="34" fillId="0" borderId="124" xfId="449" applyNumberFormat="1" applyFont="1" applyBorder="1" applyAlignment="1">
      <alignment wrapText="1"/>
    </xf>
    <xf numFmtId="0" fontId="0" fillId="0" borderId="0" xfId="0" applyAlignment="1">
      <alignment horizontal="center"/>
    </xf>
    <xf numFmtId="0" fontId="34" fillId="0" borderId="0" xfId="720" applyAlignment="1">
      <alignment horizontal="center"/>
    </xf>
    <xf numFmtId="0" fontId="0" fillId="0" borderId="0" xfId="0" applyAlignment="1">
      <alignment wrapText="1"/>
    </xf>
    <xf numFmtId="166" fontId="0" fillId="0" borderId="0" xfId="0" applyNumberFormat="1"/>
    <xf numFmtId="166" fontId="0" fillId="83" borderId="0" xfId="0" applyNumberFormat="1" applyFill="1"/>
    <xf numFmtId="38" fontId="63" fillId="0" borderId="0" xfId="0" applyNumberFormat="1" applyFont="1"/>
    <xf numFmtId="0" fontId="0" fillId="73" borderId="0" xfId="0" applyFill="1" applyAlignment="1">
      <alignment horizontal="center"/>
    </xf>
    <xf numFmtId="0" fontId="0" fillId="73" borderId="0" xfId="0" applyFill="1"/>
    <xf numFmtId="0" fontId="39" fillId="73" borderId="0" xfId="705" applyFont="1" applyFill="1" applyAlignment="1">
      <alignment horizontal="center" vertical="center"/>
    </xf>
    <xf numFmtId="0" fontId="0" fillId="73" borderId="0" xfId="0" applyFill="1" applyAlignment="1">
      <alignment wrapText="1"/>
    </xf>
    <xf numFmtId="38" fontId="63" fillId="73" borderId="0" xfId="0" applyNumberFormat="1" applyFont="1" applyFill="1"/>
    <xf numFmtId="0" fontId="0" fillId="0" borderId="0" xfId="0" quotePrefix="1" applyAlignment="1">
      <alignment horizontal="center"/>
    </xf>
    <xf numFmtId="0" fontId="54" fillId="0" borderId="0" xfId="0" applyFont="1" applyAlignment="1">
      <alignment vertical="center" wrapText="1"/>
    </xf>
    <xf numFmtId="0" fontId="0" fillId="0" borderId="23" xfId="0" applyBorder="1" applyAlignment="1">
      <alignment vertical="center" wrapText="1"/>
    </xf>
    <xf numFmtId="0" fontId="0" fillId="0" borderId="0" xfId="0" applyAlignment="1">
      <alignment vertical="center" wrapText="1"/>
    </xf>
    <xf numFmtId="0" fontId="0" fillId="73" borderId="0" xfId="0" quotePrefix="1" applyFill="1" applyAlignment="1">
      <alignment horizontal="center"/>
    </xf>
    <xf numFmtId="0" fontId="0" fillId="73" borderId="0" xfId="0" applyFill="1" applyAlignment="1">
      <alignment vertical="center" wrapText="1"/>
    </xf>
    <xf numFmtId="0" fontId="63" fillId="73" borderId="23" xfId="720" applyFont="1" applyFill="1" applyBorder="1" applyAlignment="1">
      <alignment horizontal="left" vertical="center" wrapText="1"/>
    </xf>
    <xf numFmtId="0" fontId="0" fillId="73" borderId="23" xfId="0" applyFill="1" applyBorder="1" applyAlignment="1">
      <alignment vertical="center" wrapText="1"/>
    </xf>
    <xf numFmtId="0" fontId="39" fillId="0" borderId="0" xfId="705" applyFont="1" applyAlignment="1">
      <alignment horizontal="center" vertical="center"/>
    </xf>
    <xf numFmtId="0" fontId="44" fillId="0" borderId="0" xfId="705" applyFont="1" applyAlignment="1">
      <alignment vertical="center" wrapText="1"/>
    </xf>
    <xf numFmtId="0" fontId="39" fillId="73" borderId="25" xfId="705" applyFont="1" applyFill="1" applyBorder="1" applyAlignment="1">
      <alignment horizontal="center" vertical="center"/>
    </xf>
    <xf numFmtId="0" fontId="44" fillId="73" borderId="23" xfId="705" applyFont="1" applyFill="1" applyBorder="1" applyAlignment="1">
      <alignment vertical="center" wrapText="1"/>
    </xf>
    <xf numFmtId="0" fontId="44" fillId="73" borderId="0" xfId="705" applyFont="1" applyFill="1" applyAlignment="1">
      <alignment vertical="center" wrapText="1"/>
    </xf>
    <xf numFmtId="0" fontId="39" fillId="0" borderId="25" xfId="705" applyFont="1" applyBorder="1" applyAlignment="1">
      <alignment horizontal="center" vertical="center"/>
    </xf>
    <xf numFmtId="0" fontId="33" fillId="0" borderId="0" xfId="705" applyAlignment="1">
      <alignment horizontal="left" vertical="center" wrapText="1"/>
    </xf>
    <xf numFmtId="0" fontId="34" fillId="0" borderId="0" xfId="720" applyAlignment="1">
      <alignment wrapText="1"/>
    </xf>
    <xf numFmtId="0" fontId="33" fillId="0" borderId="0" xfId="622" applyAlignment="1">
      <alignment wrapText="1"/>
    </xf>
    <xf numFmtId="166" fontId="63" fillId="73" borderId="0" xfId="0" applyNumberFormat="1" applyFont="1" applyFill="1"/>
    <xf numFmtId="0" fontId="0" fillId="0" borderId="25" xfId="0" applyBorder="1" applyAlignment="1">
      <alignment horizontal="center"/>
    </xf>
    <xf numFmtId="0" fontId="34" fillId="0" borderId="23" xfId="720" applyBorder="1" applyAlignment="1">
      <alignment wrapText="1"/>
    </xf>
    <xf numFmtId="0" fontId="0" fillId="0" borderId="0" xfId="0" applyAlignment="1">
      <alignment horizontal="left" vertical="center" wrapText="1"/>
    </xf>
    <xf numFmtId="0" fontId="0" fillId="0" borderId="0" xfId="0" applyAlignment="1">
      <alignment horizontal="center" wrapText="1"/>
    </xf>
    <xf numFmtId="40" fontId="63" fillId="73" borderId="0" xfId="0" applyNumberFormat="1" applyFont="1" applyFill="1"/>
    <xf numFmtId="0" fontId="45" fillId="34" borderId="0" xfId="0" applyFont="1" applyFill="1" applyAlignment="1">
      <alignment horizontal="center"/>
    </xf>
    <xf numFmtId="0" fontId="195" fillId="34" borderId="0" xfId="0" applyFont="1" applyFill="1" applyAlignment="1">
      <alignment horizontal="left" vertical="center" wrapText="1"/>
    </xf>
    <xf numFmtId="0" fontId="45" fillId="0" borderId="0" xfId="0" applyFont="1" applyAlignment="1">
      <alignment horizontal="left" vertical="center" wrapText="1"/>
    </xf>
    <xf numFmtId="38" fontId="0" fillId="0" borderId="0" xfId="0" applyNumberFormat="1"/>
    <xf numFmtId="40" fontId="0" fillId="0" borderId="0" xfId="0" applyNumberFormat="1"/>
    <xf numFmtId="4" fontId="0" fillId="0" borderId="0" xfId="0" applyNumberFormat="1"/>
    <xf numFmtId="0" fontId="34" fillId="0" borderId="0" xfId="440" applyNumberFormat="1" applyFont="1" applyAlignment="1">
      <alignment horizontal="center"/>
    </xf>
    <xf numFmtId="0" fontId="39" fillId="0" borderId="25" xfId="683" applyFont="1" applyBorder="1" applyAlignment="1">
      <alignment horizontal="center" vertical="center"/>
    </xf>
    <xf numFmtId="10" fontId="0" fillId="36" borderId="83" xfId="4688" applyNumberFormat="1" applyFont="1" applyFill="1" applyBorder="1"/>
    <xf numFmtId="0" fontId="0" fillId="36" borderId="0" xfId="0" applyFill="1"/>
    <xf numFmtId="0" fontId="0" fillId="36" borderId="0" xfId="0" applyFill="1" applyAlignment="1">
      <alignment wrapText="1"/>
    </xf>
    <xf numFmtId="164" fontId="45" fillId="22" borderId="0" xfId="439" applyNumberFormat="1" applyFont="1" applyFill="1" applyAlignment="1" applyProtection="1">
      <alignment horizontal="center" vertical="center" wrapText="1"/>
    </xf>
    <xf numFmtId="41" fontId="71" fillId="0" borderId="0" xfId="439" applyNumberFormat="1" applyFont="1" applyFill="1" applyAlignment="1" applyProtection="1">
      <alignment horizontal="center" vertical="center" wrapText="1"/>
      <protection locked="0"/>
    </xf>
    <xf numFmtId="0" fontId="133" fillId="26" borderId="0" xfId="30099" applyFont="1" applyFill="1" applyAlignment="1">
      <alignment horizontal="left" wrapText="1"/>
    </xf>
    <xf numFmtId="0" fontId="127" fillId="26" borderId="0" xfId="30099" applyFont="1" applyFill="1" applyAlignment="1">
      <alignment horizontal="left" vertical="top" wrapText="1"/>
    </xf>
    <xf numFmtId="164" fontId="34" fillId="0" borderId="0" xfId="449" applyNumberFormat="1" applyFont="1" applyBorder="1" applyAlignment="1">
      <alignment horizontal="left"/>
    </xf>
    <xf numFmtId="166" fontId="0" fillId="0" borderId="0" xfId="0" applyNumberFormat="1" applyBorder="1" applyAlignment="1">
      <alignment horizontal="left"/>
    </xf>
    <xf numFmtId="0" fontId="0" fillId="0" borderId="0" xfId="0" applyBorder="1"/>
    <xf numFmtId="166" fontId="0" fillId="83" borderId="0" xfId="0" applyNumberFormat="1" applyFill="1" applyBorder="1" applyAlignment="1">
      <alignment horizontal="left"/>
    </xf>
    <xf numFmtId="0" fontId="127" fillId="26" borderId="0" xfId="30099" applyFont="1" applyFill="1" applyAlignment="1">
      <alignment horizontal="left" vertical="top" wrapText="1"/>
    </xf>
    <xf numFmtId="0" fontId="133" fillId="26" borderId="0" xfId="30099" applyFont="1" applyFill="1" applyAlignment="1">
      <alignment horizontal="left" wrapText="1"/>
    </xf>
    <xf numFmtId="164" fontId="50" fillId="0" borderId="0" xfId="0" applyNumberFormat="1" applyFont="1" applyAlignment="1">
      <alignment wrapText="1"/>
    </xf>
    <xf numFmtId="0" fontId="196" fillId="77" borderId="57" xfId="0" applyFont="1" applyFill="1" applyBorder="1" applyAlignment="1">
      <alignment horizontal="center" vertical="center" wrapText="1"/>
    </xf>
    <xf numFmtId="0" fontId="192" fillId="0" borderId="0" xfId="0" applyFont="1"/>
    <xf numFmtId="0" fontId="197" fillId="73" borderId="0" xfId="0" applyFont="1" applyFill="1" applyAlignment="1">
      <alignment horizontal="justify" vertical="center"/>
    </xf>
    <xf numFmtId="0" fontId="197" fillId="73" borderId="0" xfId="0" applyFont="1" applyFill="1" applyAlignment="1">
      <alignment vertical="center"/>
    </xf>
    <xf numFmtId="0" fontId="197" fillId="73" borderId="0" xfId="0" applyFont="1" applyFill="1" applyAlignment="1">
      <alignment vertical="center" wrapText="1"/>
    </xf>
    <xf numFmtId="0" fontId="201" fillId="73" borderId="0" xfId="611" applyFont="1" applyFill="1" applyAlignment="1">
      <alignment vertical="center"/>
    </xf>
    <xf numFmtId="0" fontId="202" fillId="73" borderId="0" xfId="0" applyFont="1" applyFill="1" applyAlignment="1">
      <alignment vertical="center"/>
    </xf>
    <xf numFmtId="0" fontId="203" fillId="73" borderId="0" xfId="611" applyFont="1" applyFill="1" applyAlignment="1" applyProtection="1">
      <alignment vertical="center"/>
      <protection locked="0"/>
    </xf>
    <xf numFmtId="0" fontId="202" fillId="73" borderId="0" xfId="0" applyFont="1" applyFill="1"/>
    <xf numFmtId="0" fontId="203" fillId="73" borderId="0" xfId="611" applyFont="1" applyFill="1" applyProtection="1">
      <protection locked="0"/>
    </xf>
    <xf numFmtId="0" fontId="120" fillId="73" borderId="0" xfId="30098" applyFont="1" applyFill="1" applyAlignment="1">
      <alignment horizontal="left" vertical="center" wrapText="1" indent="1"/>
    </xf>
    <xf numFmtId="0" fontId="120" fillId="73" borderId="0" xfId="30098" quotePrefix="1" applyFont="1" applyFill="1" applyAlignment="1">
      <alignment horizontal="left" vertical="center" wrapText="1" indent="1"/>
    </xf>
    <xf numFmtId="0" fontId="206" fillId="73" borderId="0" xfId="30098" applyFont="1" applyFill="1" applyAlignment="1">
      <alignment vertical="center" wrapText="1"/>
    </xf>
    <xf numFmtId="0" fontId="197" fillId="73" borderId="0" xfId="30098" applyFont="1" applyFill="1" applyAlignment="1">
      <alignment vertical="center" wrapText="1"/>
    </xf>
    <xf numFmtId="0" fontId="203" fillId="73" borderId="0" xfId="611" applyFont="1" applyFill="1" applyAlignment="1">
      <alignment vertical="center"/>
    </xf>
    <xf numFmtId="0" fontId="131" fillId="78" borderId="37" xfId="30099" applyFont="1" applyFill="1" applyBorder="1" applyAlignment="1">
      <alignment vertical="top"/>
    </xf>
    <xf numFmtId="0" fontId="131" fillId="78" borderId="38" xfId="30099" applyFont="1" applyFill="1" applyBorder="1" applyAlignment="1">
      <alignment vertical="top"/>
    </xf>
    <xf numFmtId="0" fontId="131" fillId="78" borderId="39" xfId="30099" applyFont="1" applyFill="1" applyBorder="1" applyAlignment="1">
      <alignment vertical="top"/>
    </xf>
    <xf numFmtId="0" fontId="0" fillId="34" borderId="45" xfId="0" applyNumberFormat="1" applyFont="1" applyFill="1" applyBorder="1" applyAlignment="1" applyProtection="1">
      <alignment horizontal="center" vertical="center"/>
    </xf>
    <xf numFmtId="0" fontId="39" fillId="78" borderId="84" xfId="0" applyFont="1" applyFill="1" applyBorder="1" applyAlignment="1">
      <alignment horizontal="left"/>
    </xf>
    <xf numFmtId="0" fontId="0" fillId="78" borderId="127" xfId="0" applyFill="1" applyBorder="1"/>
    <xf numFmtId="14" fontId="0" fillId="0" borderId="0" xfId="0" applyNumberFormat="1" applyFont="1" applyProtection="1"/>
    <xf numFmtId="38" fontId="0" fillId="34" borderId="0" xfId="0" applyNumberFormat="1" applyFill="1" applyAlignment="1" applyProtection="1">
      <alignment vertical="center" wrapText="1"/>
      <protection locked="0"/>
    </xf>
    <xf numFmtId="164" fontId="58" fillId="34"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144" fillId="26" borderId="0" xfId="30099" applyFont="1" applyFill="1" applyAlignment="1">
      <alignment horizontal="right" vertical="center" wrapText="1"/>
    </xf>
    <xf numFmtId="0" fontId="0" fillId="0" borderId="0" xfId="0" applyAlignment="1">
      <alignment vertical="center"/>
    </xf>
    <xf numFmtId="0" fontId="35" fillId="0" borderId="0" xfId="611"/>
    <xf numFmtId="0" fontId="149" fillId="26" borderId="0" xfId="30099" applyFont="1" applyFill="1" applyAlignment="1">
      <alignment vertical="center" wrapText="1"/>
    </xf>
    <xf numFmtId="0" fontId="153" fillId="26" borderId="0" xfId="30099" applyFont="1" applyFill="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9" fillId="74" borderId="111"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27" fillId="0" borderId="66" xfId="30099" applyFont="1" applyBorder="1" applyAlignment="1" applyProtection="1">
      <alignment horizontal="left" vertical="center"/>
      <protection locked="0"/>
    </xf>
    <xf numFmtId="0" fontId="127" fillId="0" borderId="67" xfId="30099" applyFont="1" applyBorder="1" applyAlignment="1" applyProtection="1">
      <alignment horizontal="left" vertical="center"/>
      <protection locked="0"/>
    </xf>
    <xf numFmtId="0" fontId="127" fillId="0" borderId="68" xfId="30099" applyFont="1" applyBorder="1" applyAlignment="1" applyProtection="1">
      <alignment horizontal="left" vertical="center"/>
      <protection locked="0"/>
    </xf>
    <xf numFmtId="0" fontId="147" fillId="26" borderId="0" xfId="30099" applyFont="1" applyFill="1" applyAlignment="1">
      <alignment horizontal="right" vertical="center" wrapText="1"/>
    </xf>
    <xf numFmtId="0" fontId="139" fillId="26" borderId="0" xfId="30099" applyFont="1" applyFill="1" applyAlignment="1">
      <alignment horizontal="left" vertical="center" wrapText="1"/>
    </xf>
    <xf numFmtId="0" fontId="127" fillId="26" borderId="0" xfId="30099" applyFont="1" applyFill="1" applyAlignment="1">
      <alignment horizontal="left" vertical="top" wrapText="1"/>
    </xf>
    <xf numFmtId="0" fontId="127" fillId="26" borderId="0" xfId="30099" applyFont="1" applyFill="1" applyAlignment="1">
      <alignment horizontal="left" vertical="center" wrapText="1"/>
    </xf>
    <xf numFmtId="0" fontId="127" fillId="26" borderId="60" xfId="30099" applyFont="1" applyFill="1" applyBorder="1" applyAlignment="1">
      <alignment horizontal="left" vertical="center" wrapText="1"/>
    </xf>
    <xf numFmtId="0" fontId="133" fillId="26" borderId="0" xfId="30099" applyFont="1" applyFill="1" applyAlignment="1">
      <alignment horizontal="left" wrapText="1"/>
    </xf>
    <xf numFmtId="0" fontId="133" fillId="26" borderId="60" xfId="30099" applyFont="1" applyFill="1" applyBorder="1" applyAlignment="1">
      <alignment horizontal="left" wrapText="1"/>
    </xf>
    <xf numFmtId="0" fontId="133" fillId="26" borderId="0" xfId="30099" applyFont="1" applyFill="1" applyBorder="1" applyAlignment="1">
      <alignment horizontal="left" wrapText="1"/>
    </xf>
    <xf numFmtId="0" fontId="132" fillId="78" borderId="40" xfId="30099" applyFont="1" applyFill="1" applyBorder="1" applyAlignment="1">
      <alignment horizontal="left" wrapText="1"/>
    </xf>
    <xf numFmtId="0" fontId="132" fillId="78" borderId="41" xfId="30099" applyFont="1" applyFill="1" applyBorder="1" applyAlignment="1">
      <alignment horizontal="left" wrapText="1"/>
    </xf>
    <xf numFmtId="0" fontId="132" fillId="78" borderId="42" xfId="30099" applyFont="1" applyFill="1" applyBorder="1" applyAlignment="1">
      <alignment horizontal="left" wrapText="1"/>
    </xf>
    <xf numFmtId="0" fontId="132" fillId="78" borderId="15" xfId="30099" applyFont="1" applyFill="1" applyBorder="1" applyAlignment="1">
      <alignment horizontal="left" wrapText="1"/>
    </xf>
    <xf numFmtId="0" fontId="132" fillId="78" borderId="0" xfId="30099" applyFont="1" applyFill="1" applyAlignment="1">
      <alignment horizontal="left" wrapText="1"/>
    </xf>
    <xf numFmtId="0" fontId="132" fillId="78" borderId="60" xfId="30099" applyFont="1" applyFill="1" applyBorder="1" applyAlignment="1">
      <alignment horizontal="left" wrapText="1"/>
    </xf>
    <xf numFmtId="0" fontId="127" fillId="26" borderId="71" xfId="30099" applyFont="1" applyFill="1" applyBorder="1" applyAlignment="1">
      <alignment horizontal="left" vertical="center" wrapText="1"/>
    </xf>
    <xf numFmtId="0" fontId="143" fillId="26" borderId="41" xfId="30099" applyFont="1" applyFill="1" applyBorder="1" applyAlignment="1">
      <alignment horizontal="center" vertical="center" wrapText="1"/>
    </xf>
    <xf numFmtId="164" fontId="134" fillId="79" borderId="13" xfId="30100" applyNumberFormat="1" applyFont="1" applyFill="1" applyBorder="1" applyAlignment="1">
      <alignment horizontal="center" vertical="center" wrapText="1"/>
    </xf>
    <xf numFmtId="164" fontId="134" fillId="79" borderId="16" xfId="30100" applyNumberFormat="1" applyFont="1" applyFill="1" applyBorder="1" applyAlignment="1">
      <alignment horizontal="center" vertical="center" wrapText="1"/>
    </xf>
    <xf numFmtId="164" fontId="134" fillId="79" borderId="11" xfId="30100" applyNumberFormat="1" applyFont="1" applyFill="1" applyBorder="1" applyAlignment="1">
      <alignment horizontal="center" vertical="center" wrapText="1"/>
    </xf>
    <xf numFmtId="0" fontId="128" fillId="78" borderId="13" xfId="30099" applyFont="1" applyFill="1" applyBorder="1" applyAlignment="1">
      <alignment horizontal="center" vertical="center" wrapText="1"/>
    </xf>
    <xf numFmtId="0" fontId="128" fillId="78" borderId="16" xfId="30099" applyFont="1" applyFill="1" applyBorder="1" applyAlignment="1">
      <alignment horizontal="center" vertical="center" wrapText="1"/>
    </xf>
    <xf numFmtId="0" fontId="128" fillId="78" borderId="11" xfId="30099" applyFont="1" applyFill="1" applyBorder="1" applyAlignment="1">
      <alignment horizontal="center" vertical="center" wrapText="1"/>
    </xf>
    <xf numFmtId="0" fontId="128" fillId="78" borderId="13" xfId="30099" applyFont="1" applyFill="1" applyBorder="1" applyAlignment="1">
      <alignment horizontal="center" vertical="top" wrapText="1"/>
    </xf>
    <xf numFmtId="0" fontId="128" fillId="78" borderId="16" xfId="30099" applyFont="1" applyFill="1" applyBorder="1" applyAlignment="1">
      <alignment horizontal="center" vertical="top" wrapText="1"/>
    </xf>
    <xf numFmtId="0" fontId="128" fillId="78" borderId="11" xfId="30099" applyFont="1" applyFill="1" applyBorder="1" applyAlignment="1">
      <alignment horizontal="center" vertical="top" wrapText="1"/>
    </xf>
    <xf numFmtId="164" fontId="130" fillId="79" borderId="13" xfId="30100" applyNumberFormat="1" applyFont="1" applyFill="1" applyBorder="1" applyAlignment="1">
      <alignment horizontal="center" vertical="center"/>
    </xf>
    <xf numFmtId="164" fontId="130" fillId="79" borderId="16" xfId="30100" applyNumberFormat="1" applyFont="1" applyFill="1" applyBorder="1" applyAlignment="1">
      <alignment horizontal="center" vertical="center"/>
    </xf>
    <xf numFmtId="164" fontId="130" fillId="79" borderId="11" xfId="30100" applyNumberFormat="1" applyFont="1" applyFill="1" applyBorder="1" applyAlignment="1">
      <alignment horizontal="center" vertical="center"/>
    </xf>
    <xf numFmtId="0" fontId="144" fillId="0" borderId="66" xfId="30099" applyFont="1" applyBorder="1" applyAlignment="1" applyProtection="1">
      <alignment horizontal="left" vertical="center"/>
      <protection locked="0"/>
    </xf>
    <xf numFmtId="0" fontId="144" fillId="0" borderId="67" xfId="30099" applyFont="1" applyBorder="1" applyAlignment="1" applyProtection="1">
      <alignment horizontal="left" vertical="center"/>
      <protection locked="0"/>
    </xf>
    <xf numFmtId="0" fontId="144" fillId="0" borderId="68" xfId="30099" applyFont="1" applyBorder="1" applyAlignment="1" applyProtection="1">
      <alignment horizontal="left" vertical="center"/>
      <protection locked="0"/>
    </xf>
    <xf numFmtId="0" fontId="141" fillId="26" borderId="0" xfId="30099" applyFont="1" applyFill="1" applyAlignment="1">
      <alignment horizontal="left" vertical="center" wrapText="1"/>
    </xf>
    <xf numFmtId="0" fontId="118" fillId="0" borderId="66" xfId="29597" applyFill="1" applyBorder="1" applyAlignment="1" applyProtection="1">
      <alignment horizontal="left" vertical="center"/>
      <protection locked="0"/>
    </xf>
    <xf numFmtId="0" fontId="127" fillId="0" borderId="13" xfId="30099" applyFont="1" applyBorder="1" applyAlignment="1" applyProtection="1">
      <alignment horizontal="left" vertical="center"/>
      <protection locked="0"/>
    </xf>
    <xf numFmtId="0" fontId="127" fillId="0" borderId="11" xfId="30099" applyFont="1" applyBorder="1" applyAlignment="1" applyProtection="1">
      <alignment horizontal="left" vertical="center"/>
      <protection locked="0"/>
    </xf>
    <xf numFmtId="0" fontId="143" fillId="26" borderId="0" xfId="30099" applyFont="1" applyFill="1" applyAlignment="1">
      <alignment horizontal="center" vertical="center" wrapText="1"/>
    </xf>
    <xf numFmtId="0" fontId="139" fillId="26" borderId="15" xfId="30099" applyFont="1" applyFill="1" applyBorder="1" applyAlignment="1">
      <alignment horizontal="center" vertical="top"/>
    </xf>
    <xf numFmtId="0" fontId="139" fillId="26" borderId="0" xfId="30099" applyFont="1" applyFill="1" applyAlignment="1">
      <alignment horizontal="center" vertical="top"/>
    </xf>
    <xf numFmtId="0" fontId="139" fillId="26" borderId="0" xfId="30099" applyFont="1" applyFill="1" applyAlignment="1">
      <alignment horizontal="center" vertical="top" wrapText="1"/>
    </xf>
    <xf numFmtId="0" fontId="127" fillId="26" borderId="0" xfId="30099" applyFont="1" applyFill="1" applyAlignment="1">
      <alignment horizontal="left" wrapText="1"/>
    </xf>
    <xf numFmtId="0" fontId="127" fillId="26" borderId="71" xfId="30099" applyFont="1" applyFill="1" applyBorder="1" applyAlignment="1">
      <alignment horizontal="left" wrapText="1"/>
    </xf>
    <xf numFmtId="0" fontId="193" fillId="0" borderId="40" xfId="0" applyFont="1" applyBorder="1" applyAlignment="1">
      <alignment horizontal="center" vertical="center"/>
    </xf>
    <xf numFmtId="0" fontId="193" fillId="0" borderId="41" xfId="0" applyFont="1" applyBorder="1" applyAlignment="1">
      <alignment horizontal="center" vertical="center"/>
    </xf>
    <xf numFmtId="0" fontId="160" fillId="73" borderId="70" xfId="0" applyFont="1" applyFill="1" applyBorder="1" applyAlignment="1">
      <alignment horizontal="center" vertical="center" wrapText="1"/>
    </xf>
    <xf numFmtId="0" fontId="160" fillId="73" borderId="121" xfId="0" applyFont="1" applyFill="1" applyBorder="1" applyAlignment="1">
      <alignment horizontal="center" vertical="center" wrapText="1"/>
    </xf>
    <xf numFmtId="0" fontId="160" fillId="73" borderId="60" xfId="0" applyFont="1" applyFill="1" applyBorder="1" applyAlignment="1">
      <alignment horizontal="center" vertical="center" wrapText="1"/>
    </xf>
    <xf numFmtId="0" fontId="160" fillId="73" borderId="42" xfId="0" applyFont="1" applyFill="1" applyBorder="1" applyAlignment="1">
      <alignment horizontal="center" vertical="center" wrapText="1"/>
    </xf>
    <xf numFmtId="0" fontId="39" fillId="78" borderId="70" xfId="0" applyFont="1" applyFill="1" applyBorder="1" applyAlignment="1">
      <alignment horizontal="center" vertical="center" wrapText="1"/>
    </xf>
    <xf numFmtId="0" fontId="39" fillId="78" borderId="121" xfId="0" applyFont="1" applyFill="1" applyBorder="1" applyAlignment="1">
      <alignment horizontal="center" vertical="center" wrapText="1"/>
    </xf>
    <xf numFmtId="0" fontId="39" fillId="78" borderId="72" xfId="0" applyFont="1" applyFill="1" applyBorder="1" applyAlignment="1">
      <alignment horizontal="center" vertical="center" wrapText="1"/>
    </xf>
    <xf numFmtId="0" fontId="39" fillId="78" borderId="13" xfId="0" applyFont="1" applyFill="1" applyBorder="1" applyAlignment="1">
      <alignment horizontal="left" wrapText="1"/>
    </xf>
    <xf numFmtId="0" fontId="39" fillId="78" borderId="16" xfId="0" applyFont="1" applyFill="1" applyBorder="1" applyAlignment="1">
      <alignment horizontal="left" wrapText="1"/>
    </xf>
    <xf numFmtId="0" fontId="39" fillId="78" borderId="11" xfId="0" applyFont="1" applyFill="1" applyBorder="1" applyAlignment="1">
      <alignment horizontal="left" wrapText="1"/>
    </xf>
    <xf numFmtId="0" fontId="59" fillId="78" borderId="13" xfId="0" applyFont="1" applyFill="1" applyBorder="1" applyAlignment="1">
      <alignment horizontal="left" wrapText="1"/>
    </xf>
    <xf numFmtId="0" fontId="59" fillId="78" borderId="16" xfId="0" applyFont="1" applyFill="1" applyBorder="1" applyAlignment="1">
      <alignment horizontal="left" wrapText="1"/>
    </xf>
    <xf numFmtId="0" fontId="59" fillId="78" borderId="11" xfId="0" applyFont="1" applyFill="1" applyBorder="1" applyAlignment="1">
      <alignment horizontal="left" wrapText="1"/>
    </xf>
    <xf numFmtId="0" fontId="59" fillId="78" borderId="41" xfId="0" applyFont="1" applyFill="1" applyBorder="1" applyAlignment="1">
      <alignment horizontal="left" wrapText="1"/>
    </xf>
    <xf numFmtId="0" fontId="59" fillId="78" borderId="125" xfId="0" applyFont="1" applyFill="1" applyBorder="1" applyAlignment="1">
      <alignment horizontal="left" wrapText="1"/>
    </xf>
    <xf numFmtId="0" fontId="39" fillId="78" borderId="57" xfId="0" applyFont="1" applyFill="1" applyBorder="1" applyAlignment="1">
      <alignment horizontal="left" wrapText="1"/>
    </xf>
    <xf numFmtId="0" fontId="193" fillId="0" borderId="13" xfId="0" applyFont="1" applyBorder="1" applyAlignment="1">
      <alignment horizontal="center" vertical="center"/>
    </xf>
    <xf numFmtId="0" fontId="193" fillId="0" borderId="16" xfId="0" applyFont="1" applyBorder="1" applyAlignment="1">
      <alignment horizontal="center" vertical="center"/>
    </xf>
    <xf numFmtId="0" fontId="193" fillId="0" borderId="11" xfId="0" applyFont="1" applyBorder="1" applyAlignment="1">
      <alignment horizontal="center" vertical="center"/>
    </xf>
    <xf numFmtId="0" fontId="59" fillId="34" borderId="13" xfId="0" applyFont="1" applyFill="1" applyBorder="1" applyAlignment="1">
      <alignment horizontal="center" vertical="center" wrapText="1"/>
    </xf>
    <xf numFmtId="0" fontId="59" fillId="34" borderId="16" xfId="0" applyFont="1" applyFill="1" applyBorder="1" applyAlignment="1">
      <alignment horizontal="center" vertical="center" wrapText="1"/>
    </xf>
    <xf numFmtId="0" fontId="59" fillId="34" borderId="11" xfId="0" applyFont="1" applyFill="1" applyBorder="1" applyAlignment="1">
      <alignment horizontal="center" vertical="center" wrapText="1"/>
    </xf>
    <xf numFmtId="0" fontId="0" fillId="78" borderId="128" xfId="0" applyFill="1" applyBorder="1" applyAlignment="1">
      <alignment horizontal="center"/>
    </xf>
    <xf numFmtId="0" fontId="0" fillId="78" borderId="17" xfId="0" applyFill="1" applyBorder="1" applyAlignment="1">
      <alignment horizontal="center"/>
    </xf>
    <xf numFmtId="0" fontId="49" fillId="0" borderId="10" xfId="0" applyFont="1" applyBorder="1" applyAlignment="1">
      <alignment horizontal="center" vertical="center" wrapText="1"/>
    </xf>
    <xf numFmtId="0" fontId="39" fillId="0" borderId="73" xfId="0" applyFont="1" applyBorder="1" applyAlignment="1">
      <alignment horizontal="center" vertical="center"/>
    </xf>
    <xf numFmtId="0" fontId="39" fillId="0" borderId="74" xfId="0" applyFont="1" applyBorder="1" applyAlignment="1">
      <alignment horizontal="center" vertical="center"/>
    </xf>
    <xf numFmtId="0" fontId="39" fillId="0" borderId="126" xfId="0" applyFont="1" applyBorder="1" applyAlignment="1">
      <alignment horizontal="center" vertical="center"/>
    </xf>
    <xf numFmtId="0" fontId="39" fillId="0" borderId="41" xfId="0" applyFont="1" applyBorder="1" applyAlignment="1">
      <alignment horizontal="center" vertical="center"/>
    </xf>
    <xf numFmtId="0" fontId="39" fillId="0" borderId="83" xfId="0" applyFont="1" applyBorder="1" applyAlignment="1">
      <alignment horizontal="center" vertical="center"/>
    </xf>
    <xf numFmtId="0" fontId="39" fillId="0" borderId="129" xfId="0" applyFont="1" applyBorder="1" applyAlignment="1">
      <alignment horizontal="center" vertical="center"/>
    </xf>
    <xf numFmtId="0" fontId="49" fillId="0" borderId="102" xfId="0" applyFont="1" applyBorder="1" applyAlignment="1">
      <alignment horizontal="center" vertical="center"/>
    </xf>
    <xf numFmtId="0" fontId="39" fillId="78" borderId="106" xfId="0" applyFont="1" applyFill="1" applyBorder="1" applyAlignment="1">
      <alignment horizontal="left" wrapText="1"/>
    </xf>
    <xf numFmtId="0" fontId="39" fillId="78" borderId="102" xfId="0" applyFont="1" applyFill="1" applyBorder="1" applyAlignment="1">
      <alignment horizontal="left" wrapText="1"/>
    </xf>
    <xf numFmtId="0" fontId="0" fillId="78" borderId="79" xfId="0" applyFont="1" applyFill="1" applyBorder="1" applyAlignment="1">
      <alignment horizontal="center"/>
    </xf>
    <xf numFmtId="0" fontId="0" fillId="78" borderId="80" xfId="0" applyFont="1" applyFill="1" applyBorder="1" applyAlignment="1">
      <alignment horizontal="center"/>
    </xf>
    <xf numFmtId="0" fontId="49" fillId="73" borderId="10" xfId="0" applyFont="1" applyFill="1" applyBorder="1" applyAlignment="1">
      <alignment horizontal="center" vertical="center" wrapText="1"/>
    </xf>
    <xf numFmtId="0" fontId="46" fillId="73" borderId="10" xfId="0" applyFont="1" applyFill="1" applyBorder="1" applyAlignment="1">
      <alignment horizontal="center" vertical="center" wrapText="1"/>
    </xf>
    <xf numFmtId="0" fontId="46" fillId="73" borderId="83" xfId="0" applyFont="1" applyFill="1" applyBorder="1" applyAlignment="1">
      <alignment horizontal="center" vertical="center" wrapText="1"/>
    </xf>
    <xf numFmtId="0" fontId="0" fillId="73" borderId="10" xfId="0" applyFont="1" applyFill="1" applyBorder="1" applyAlignment="1">
      <alignment horizontal="center" vertical="center"/>
    </xf>
    <xf numFmtId="0" fontId="160" fillId="73" borderId="74" xfId="0" applyFont="1" applyFill="1" applyBorder="1" applyAlignment="1">
      <alignment horizontal="center" vertical="center" wrapText="1"/>
    </xf>
    <xf numFmtId="0" fontId="160" fillId="73" borderId="0" xfId="0" applyFont="1" applyFill="1" applyBorder="1" applyAlignment="1">
      <alignment horizontal="center" vertical="center" wrapText="1"/>
    </xf>
    <xf numFmtId="0" fontId="161" fillId="73" borderId="107" xfId="0" applyFont="1" applyFill="1" applyBorder="1" applyAlignment="1">
      <alignment horizontal="center" vertical="center" wrapText="1"/>
    </xf>
    <xf numFmtId="0" fontId="161" fillId="73" borderId="108" xfId="0" applyFont="1" applyFill="1" applyBorder="1" applyAlignment="1">
      <alignment horizontal="center" vertical="center" wrapText="1"/>
    </xf>
    <xf numFmtId="0" fontId="53" fillId="0" borderId="0" xfId="682" applyFont="1" applyAlignment="1">
      <alignment horizontal="left" wrapText="1"/>
    </xf>
    <xf numFmtId="0" fontId="169" fillId="27" borderId="0" xfId="682" applyFont="1" applyFill="1" applyAlignment="1">
      <alignment horizontal="left" vertical="center" wrapText="1"/>
    </xf>
    <xf numFmtId="0" fontId="166" fillId="0" borderId="0" xfId="682" applyFont="1" applyAlignment="1">
      <alignment horizontal="center" vertical="center"/>
    </xf>
    <xf numFmtId="0" fontId="39" fillId="27" borderId="0" xfId="682" applyFont="1" applyFill="1" applyAlignment="1">
      <alignment horizontal="left" wrapText="1"/>
    </xf>
    <xf numFmtId="0" fontId="45" fillId="0" borderId="0" xfId="30099" applyFont="1" applyAlignment="1">
      <alignment horizontal="left" vertical="top" wrapText="1" indent="1"/>
    </xf>
    <xf numFmtId="0" fontId="45" fillId="0" borderId="0" xfId="30099" applyFont="1" applyAlignment="1">
      <alignment horizontal="left" vertical="top" wrapText="1" indent="5"/>
    </xf>
    <xf numFmtId="0" fontId="45" fillId="0" borderId="0" xfId="30099" applyFont="1" applyAlignment="1">
      <alignment horizontal="center" vertical="top" wrapText="1"/>
    </xf>
    <xf numFmtId="0" fontId="45" fillId="0" borderId="0" xfId="30099" applyFont="1" applyAlignment="1">
      <alignment horizontal="left" vertical="top" wrapText="1" indent="4"/>
    </xf>
    <xf numFmtId="0" fontId="45" fillId="0" borderId="0" xfId="30099" applyFont="1" applyAlignment="1">
      <alignment horizontal="left" vertical="top" wrapText="1" indent="8"/>
    </xf>
    <xf numFmtId="0" fontId="45" fillId="0" borderId="0" xfId="30099" applyFont="1" applyAlignment="1">
      <alignment horizontal="left" vertical="center" wrapText="1" indent="1"/>
    </xf>
    <xf numFmtId="0" fontId="45" fillId="0" borderId="37" xfId="26000" applyFont="1" applyBorder="1" applyAlignment="1" applyProtection="1">
      <alignment horizontal="left" vertical="top" wrapText="1"/>
    </xf>
    <xf numFmtId="0" fontId="45" fillId="0" borderId="38" xfId="26000" applyFont="1" applyBorder="1" applyAlignment="1" applyProtection="1">
      <alignment horizontal="left" vertical="top" wrapText="1"/>
    </xf>
    <xf numFmtId="0" fontId="45" fillId="0" borderId="39" xfId="26000" applyFont="1" applyBorder="1" applyAlignment="1" applyProtection="1">
      <alignment horizontal="left" vertical="top" wrapText="1"/>
    </xf>
    <xf numFmtId="0" fontId="45" fillId="0" borderId="15" xfId="26000" applyFont="1" applyBorder="1" applyAlignment="1" applyProtection="1">
      <alignment horizontal="left" vertical="top" wrapText="1"/>
    </xf>
    <xf numFmtId="0" fontId="45" fillId="0" borderId="0" xfId="26000" applyFont="1" applyAlignment="1" applyProtection="1">
      <alignment horizontal="left" vertical="top" wrapText="1"/>
    </xf>
    <xf numFmtId="0" fontId="45" fillId="0" borderId="60" xfId="26000" applyFont="1" applyBorder="1" applyAlignment="1" applyProtection="1">
      <alignment horizontal="left" vertical="top" wrapText="1"/>
    </xf>
    <xf numFmtId="0" fontId="45" fillId="0" borderId="40" xfId="26000" applyFont="1" applyBorder="1" applyAlignment="1" applyProtection="1">
      <alignment horizontal="left" vertical="top" wrapText="1"/>
    </xf>
    <xf numFmtId="0" fontId="45" fillId="0" borderId="41" xfId="26000" applyFont="1" applyBorder="1" applyAlignment="1" applyProtection="1">
      <alignment horizontal="left" vertical="top" wrapText="1"/>
    </xf>
    <xf numFmtId="0" fontId="45" fillId="0" borderId="42" xfId="26000" applyFont="1" applyBorder="1" applyAlignment="1" applyProtection="1">
      <alignment horizontal="left" vertical="top" wrapText="1"/>
    </xf>
    <xf numFmtId="0" fontId="59" fillId="0" borderId="0" xfId="26000" applyFont="1" applyAlignment="1" applyProtection="1">
      <alignment horizontal="center" vertical="top"/>
    </xf>
    <xf numFmtId="0" fontId="59" fillId="0" borderId="0" xfId="26000" applyFont="1" applyAlignment="1" applyProtection="1">
      <alignment horizontal="center" vertical="top" wrapText="1"/>
    </xf>
    <xf numFmtId="0" fontId="163" fillId="0" borderId="73" xfId="26000" applyFont="1" applyBorder="1" applyAlignment="1" applyProtection="1">
      <alignment horizontal="left" vertical="top" wrapText="1"/>
    </xf>
    <xf numFmtId="0" fontId="163" fillId="0" borderId="74" xfId="26000" applyFont="1" applyBorder="1" applyAlignment="1" applyProtection="1">
      <alignment horizontal="left" vertical="top" wrapText="1"/>
    </xf>
    <xf numFmtId="0" fontId="163" fillId="0" borderId="75" xfId="26000" applyFont="1" applyBorder="1" applyAlignment="1" applyProtection="1">
      <alignment horizontal="left" vertical="top" wrapText="1"/>
    </xf>
    <xf numFmtId="0" fontId="163" fillId="0" borderId="22" xfId="26000" applyFont="1" applyBorder="1" applyAlignment="1" applyProtection="1">
      <alignment horizontal="left" vertical="top" wrapText="1"/>
    </xf>
    <xf numFmtId="0" fontId="163" fillId="0" borderId="0" xfId="26000" applyFont="1" applyAlignment="1" applyProtection="1">
      <alignment horizontal="left" vertical="top" wrapText="1"/>
    </xf>
    <xf numFmtId="0" fontId="163" fillId="0" borderId="56" xfId="26000" applyFont="1" applyBorder="1" applyAlignment="1" applyProtection="1">
      <alignment horizontal="left" vertical="top" wrapText="1"/>
    </xf>
    <xf numFmtId="0" fontId="163" fillId="0" borderId="76" xfId="26000" applyFont="1" applyBorder="1" applyAlignment="1" applyProtection="1">
      <alignment horizontal="left" vertical="top" wrapText="1"/>
    </xf>
    <xf numFmtId="0" fontId="163" fillId="0" borderId="17" xfId="26000" applyFont="1" applyBorder="1" applyAlignment="1" applyProtection="1">
      <alignment horizontal="left" vertical="top" wrapText="1"/>
    </xf>
    <xf numFmtId="0" fontId="163" fillId="0" borderId="77" xfId="26000" applyFont="1" applyBorder="1" applyAlignment="1" applyProtection="1">
      <alignment horizontal="left" vertical="top" wrapText="1"/>
    </xf>
    <xf numFmtId="0" fontId="59" fillId="0" borderId="41" xfId="26000" applyFont="1" applyBorder="1" applyAlignment="1" applyProtection="1">
      <alignment horizontal="left"/>
    </xf>
  </cellXfs>
  <cellStyles count="3172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15"/>
      <tableStyleElement type="headerRow" dxfId="114"/>
      <tableStyleElement type="firstRowStripe" dxfId="113"/>
    </tableStyle>
  </tableStyles>
  <colors>
    <mruColors>
      <color rgb="FFFFFFCC"/>
      <color rgb="FFCCFFFF"/>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1925951</xdr:colOff>
      <xdr:row>46</xdr:row>
      <xdr:rowOff>291465</xdr:rowOff>
    </xdr:from>
    <xdr:to>
      <xdr:col>5</xdr:col>
      <xdr:colOff>3484241</xdr:colOff>
      <xdr:row>55</xdr:row>
      <xdr:rowOff>34290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935976" y="3949065"/>
          <a:ext cx="1558290" cy="1362075"/>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CBB7-1E59-4F70-A059-F1B18ACBDBB6}">
  <sheetPr codeName="Sheet1">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1029" customWidth="1"/>
    <col min="2" max="2" width="187.109375" style="1029" customWidth="1"/>
    <col min="3" max="4" width="9.109375" style="1029" hidden="1" customWidth="1"/>
    <col min="5" max="5" width="2.33203125" style="1029" customWidth="1"/>
    <col min="6" max="6" width="8.109375" style="1029" customWidth="1"/>
    <col min="7" max="16384" width="9.109375" style="1029"/>
  </cols>
  <sheetData>
    <row r="1" spans="2:14" ht="9.6" customHeight="1" thickBot="1" x14ac:dyDescent="0.35">
      <c r="B1" s="1041"/>
    </row>
    <row r="2" spans="2:14" ht="91.8" customHeight="1" thickBot="1" x14ac:dyDescent="0.35">
      <c r="B2" s="1090" t="s">
        <v>1551</v>
      </c>
    </row>
    <row r="3" spans="2:14" ht="61.2" customHeight="1" x14ac:dyDescent="0.3">
      <c r="B3" s="188" t="s">
        <v>1552</v>
      </c>
    </row>
    <row r="4" spans="2:14" ht="83.4" customHeight="1" x14ac:dyDescent="0.4">
      <c r="B4" s="188" t="s">
        <v>1577</v>
      </c>
      <c r="F4" s="1091"/>
      <c r="G4" s="1091"/>
      <c r="H4" s="1091"/>
      <c r="I4" s="1091"/>
      <c r="J4" s="1091"/>
      <c r="K4" s="1091"/>
      <c r="L4" s="1091"/>
      <c r="M4" s="1091"/>
      <c r="N4" s="1091"/>
    </row>
    <row r="5" spans="2:14" ht="58.2" customHeight="1" x14ac:dyDescent="0.3">
      <c r="B5" s="188" t="s">
        <v>1553</v>
      </c>
    </row>
    <row r="6" spans="2:14" ht="117.6" customHeight="1" x14ac:dyDescent="0.3">
      <c r="B6" s="178" t="s">
        <v>1554</v>
      </c>
    </row>
    <row r="7" spans="2:14" ht="25.95" customHeight="1" x14ac:dyDescent="0.3">
      <c r="B7" s="190" t="s">
        <v>528</v>
      </c>
    </row>
    <row r="8" spans="2:14" ht="49.2" customHeight="1" x14ac:dyDescent="0.3">
      <c r="B8" s="1092" t="s">
        <v>1555</v>
      </c>
    </row>
    <row r="9" spans="2:14" ht="42.6" customHeight="1" x14ac:dyDescent="0.3">
      <c r="B9" s="1092" t="s">
        <v>529</v>
      </c>
    </row>
    <row r="10" spans="2:14" s="1116" customFormat="1" ht="34.200000000000003" customHeight="1" x14ac:dyDescent="0.3">
      <c r="B10" s="1093" t="s">
        <v>530</v>
      </c>
    </row>
    <row r="11" spans="2:14" s="1116" customFormat="1" ht="55.8" customHeight="1" x14ac:dyDescent="0.3">
      <c r="B11" s="1094" t="s">
        <v>1556</v>
      </c>
    </row>
    <row r="12" spans="2:14" ht="36" customHeight="1" x14ac:dyDescent="0.3">
      <c r="B12" s="1094" t="s">
        <v>1557</v>
      </c>
    </row>
    <row r="13" spans="2:14" ht="39" customHeight="1" x14ac:dyDescent="0.3">
      <c r="B13" s="1095" t="s">
        <v>1558</v>
      </c>
    </row>
    <row r="14" spans="2:14" ht="25.95" customHeight="1" x14ac:dyDescent="0.3">
      <c r="B14" s="190" t="s">
        <v>531</v>
      </c>
    </row>
    <row r="15" spans="2:14" x14ac:dyDescent="0.3">
      <c r="B15" s="1041"/>
    </row>
    <row r="16" spans="2:14" x14ac:dyDescent="0.3">
      <c r="B16" s="1096" t="s">
        <v>37</v>
      </c>
    </row>
    <row r="17" spans="2:2" ht="15.6" customHeight="1" x14ac:dyDescent="0.3">
      <c r="B17" s="1097" t="s">
        <v>1559</v>
      </c>
    </row>
    <row r="18" spans="2:2" x14ac:dyDescent="0.3">
      <c r="B18" s="1098"/>
    </row>
    <row r="19" spans="2:2" x14ac:dyDescent="0.3">
      <c r="B19" s="1096" t="s">
        <v>38</v>
      </c>
    </row>
    <row r="20" spans="2:2" ht="15.6" customHeight="1" x14ac:dyDescent="0.3">
      <c r="B20" s="1099" t="s">
        <v>368</v>
      </c>
    </row>
    <row r="21" spans="2:2" ht="13.2" customHeight="1" x14ac:dyDescent="0.3">
      <c r="B21" s="1041"/>
    </row>
    <row r="22" spans="2:2" ht="25.95" customHeight="1" x14ac:dyDescent="0.3">
      <c r="B22" s="190" t="s">
        <v>532</v>
      </c>
    </row>
    <row r="23" spans="2:2" s="1116" customFormat="1" ht="72.599999999999994" customHeight="1" x14ac:dyDescent="0.3">
      <c r="B23" s="1092" t="s">
        <v>1560</v>
      </c>
    </row>
    <row r="24" spans="2:2" s="1116" customFormat="1" ht="84.6" customHeight="1" x14ac:dyDescent="0.3">
      <c r="B24" s="1092" t="s">
        <v>1561</v>
      </c>
    </row>
    <row r="25" spans="2:2" s="1116" customFormat="1" ht="78.599999999999994" customHeight="1" x14ac:dyDescent="0.3">
      <c r="B25" s="1092" t="s">
        <v>533</v>
      </c>
    </row>
    <row r="26" spans="2:2" ht="15" x14ac:dyDescent="0.3">
      <c r="B26" s="180" t="s">
        <v>1562</v>
      </c>
    </row>
    <row r="27" spans="2:2" ht="8.4" customHeight="1" x14ac:dyDescent="0.3">
      <c r="B27" s="179"/>
    </row>
    <row r="28" spans="2:2" ht="25.95" customHeight="1" x14ac:dyDescent="0.3">
      <c r="B28" s="190" t="s">
        <v>1563</v>
      </c>
    </row>
    <row r="29" spans="2:2" ht="28.8" customHeight="1" x14ac:dyDescent="0.3">
      <c r="B29" s="191" t="s">
        <v>1564</v>
      </c>
    </row>
    <row r="30" spans="2:2" ht="31.8" customHeight="1" x14ac:dyDescent="0.3">
      <c r="B30" s="191" t="s">
        <v>1565</v>
      </c>
    </row>
    <row r="31" spans="2:2" ht="30.6" customHeight="1" x14ac:dyDescent="0.3">
      <c r="B31" s="1100" t="s">
        <v>1566</v>
      </c>
    </row>
    <row r="32" spans="2:2" ht="25.2" customHeight="1" x14ac:dyDescent="0.3">
      <c r="B32" s="1100" t="s">
        <v>1567</v>
      </c>
    </row>
    <row r="33" spans="2:7" ht="27.6" customHeight="1" x14ac:dyDescent="0.3">
      <c r="B33" s="1101" t="s">
        <v>1568</v>
      </c>
    </row>
    <row r="34" spans="2:7" ht="31.8" customHeight="1" x14ac:dyDescent="0.3">
      <c r="B34" s="1102" t="s">
        <v>1569</v>
      </c>
    </row>
    <row r="35" spans="2:7" ht="60" customHeight="1" x14ac:dyDescent="0.3">
      <c r="B35" s="191" t="s">
        <v>1570</v>
      </c>
    </row>
    <row r="36" spans="2:7" ht="25.95" customHeight="1" x14ac:dyDescent="0.3">
      <c r="B36" s="191" t="s">
        <v>1571</v>
      </c>
    </row>
    <row r="37" spans="2:7" ht="12" customHeight="1" x14ac:dyDescent="0.3">
      <c r="B37" s="191"/>
    </row>
    <row r="38" spans="2:7" ht="25.95" customHeight="1" x14ac:dyDescent="0.3">
      <c r="B38" s="190" t="s">
        <v>768</v>
      </c>
    </row>
    <row r="39" spans="2:7" x14ac:dyDescent="0.3">
      <c r="B39" s="189"/>
      <c r="G39" s="1117"/>
    </row>
    <row r="40" spans="2:7" ht="43.2" customHeight="1" x14ac:dyDescent="0.3">
      <c r="B40" s="1103" t="s">
        <v>1572</v>
      </c>
    </row>
    <row r="41" spans="2:7" ht="19.95" customHeight="1" x14ac:dyDescent="0.3">
      <c r="B41" s="1104" t="s">
        <v>1558</v>
      </c>
    </row>
    <row r="42" spans="2:7" ht="11.4" customHeight="1" x14ac:dyDescent="0.3">
      <c r="B42" s="192"/>
    </row>
    <row r="43" spans="2:7" ht="15" x14ac:dyDescent="0.3">
      <c r="B43" s="193"/>
    </row>
    <row r="44" spans="2:7" ht="7.2" customHeight="1" x14ac:dyDescent="0.3">
      <c r="B44" s="191"/>
    </row>
    <row r="45" spans="2:7" ht="25.95" customHeight="1" x14ac:dyDescent="0.3">
      <c r="B45" s="190" t="s">
        <v>769</v>
      </c>
    </row>
    <row r="46" spans="2:7" ht="35.4" customHeight="1" x14ac:dyDescent="0.3">
      <c r="B46" s="1103" t="s">
        <v>1573</v>
      </c>
    </row>
    <row r="47" spans="2:7" ht="15" x14ac:dyDescent="0.3">
      <c r="B47" s="193"/>
    </row>
    <row r="58" ht="44.25" customHeight="1" x14ac:dyDescent="0.3"/>
  </sheetData>
  <sheetProtection algorithmName="SHA-512" hashValue="FNrFeLlB0qUhQw1of6898vDUTvcZlT7cNGzLE6yu/IF5ydvzsLAisNxnWo4z1RWFZTebXVKZez61W47d+EOAdA==" saltValue="f+hRvM++NM7JyhyyhI0UMA==" spinCount="100000" sheet="1" formatCells="0" formatColumns="0" formatRows="0"/>
  <hyperlinks>
    <hyperlink ref="B17" r:id="rId1" xr:uid="{D4569DC1-C03F-46FA-89BF-647ADB8CD92B}"/>
    <hyperlink ref="B20" r:id="rId2" xr:uid="{4760C016-22F6-40C6-8277-B245D4F46ACA}"/>
    <hyperlink ref="B41" r:id="rId3" xr:uid="{3860AA1B-E0AB-4646-BE38-17097A67CB64}"/>
    <hyperlink ref="B13" r:id="rId4" xr:uid="{FE1987F8-5198-4456-8C87-0728D17CA907}"/>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U598"/>
  <sheetViews>
    <sheetView zoomScaleNormal="100" workbookViewId="0">
      <selection activeCell="A2" sqref="A2:H2"/>
    </sheetView>
  </sheetViews>
  <sheetFormatPr defaultColWidth="9.109375" defaultRowHeight="14.4" x14ac:dyDescent="0.3"/>
  <cols>
    <col min="1" max="1" width="20.109375" style="99" customWidth="1"/>
    <col min="2" max="2" width="7.6640625" style="313" customWidth="1"/>
    <col min="3" max="3" width="11.6640625" style="99" customWidth="1"/>
    <col min="4" max="4" width="60.33203125" style="99" customWidth="1"/>
    <col min="5" max="5" width="14.44140625" style="99" bestFit="1" customWidth="1"/>
    <col min="6" max="6" width="15.5546875" style="99" bestFit="1" customWidth="1"/>
    <col min="7" max="7" width="12.6640625" style="99" bestFit="1" customWidth="1"/>
    <col min="8" max="8" width="17" style="99" bestFit="1" customWidth="1"/>
    <col min="9" max="9" width="15.5546875" style="99" bestFit="1" customWidth="1"/>
    <col min="10" max="10" width="14.44140625" style="99" bestFit="1" customWidth="1"/>
    <col min="11" max="11" width="15.44140625" style="99" bestFit="1" customWidth="1"/>
    <col min="12" max="12" width="14.44140625" style="99" bestFit="1" customWidth="1"/>
    <col min="13" max="13" width="17" style="99" bestFit="1" customWidth="1"/>
    <col min="14" max="14" width="13.44140625" style="99" bestFit="1" customWidth="1"/>
    <col min="15" max="15" width="14.44140625" style="99" bestFit="1" customWidth="1"/>
    <col min="16" max="16" width="15.5546875" style="99" bestFit="1" customWidth="1"/>
    <col min="17" max="17" width="15.88671875" style="99" bestFit="1" customWidth="1"/>
    <col min="18" max="19" width="15.5546875" style="99" bestFit="1" customWidth="1"/>
    <col min="20" max="20" width="16.5546875" style="99" bestFit="1" customWidth="1"/>
    <col min="21" max="21" width="9.88671875" style="99" bestFit="1" customWidth="1"/>
    <col min="22" max="16384" width="9.109375" style="99"/>
  </cols>
  <sheetData>
    <row r="1" spans="1:19" s="403" customFormat="1" ht="69.599999999999994" x14ac:dyDescent="0.3">
      <c r="A1" s="1030" t="s">
        <v>1487</v>
      </c>
      <c r="B1" s="1031" t="s">
        <v>1488</v>
      </c>
      <c r="C1" s="1030" t="s">
        <v>1303</v>
      </c>
      <c r="D1" s="1032" t="s">
        <v>42</v>
      </c>
      <c r="E1" s="1033" t="s">
        <v>1286</v>
      </c>
      <c r="F1" s="1033" t="s">
        <v>1287</v>
      </c>
      <c r="G1" s="1033" t="s">
        <v>1288</v>
      </c>
      <c r="H1" s="1033" t="s">
        <v>1289</v>
      </c>
      <c r="I1" s="1033" t="s">
        <v>1290</v>
      </c>
      <c r="J1" s="1033" t="s">
        <v>1291</v>
      </c>
      <c r="K1" s="1033" t="s">
        <v>1292</v>
      </c>
      <c r="L1" s="1033" t="s">
        <v>1293</v>
      </c>
      <c r="M1" s="1033" t="s">
        <v>1294</v>
      </c>
      <c r="N1" s="1033" t="s">
        <v>1295</v>
      </c>
      <c r="O1" s="1033" t="s">
        <v>1296</v>
      </c>
      <c r="P1" s="1033" t="s">
        <v>1297</v>
      </c>
      <c r="Q1" s="1033" t="s">
        <v>1298</v>
      </c>
      <c r="R1" s="1033" t="s">
        <v>1299</v>
      </c>
      <c r="S1" s="1033" t="s">
        <v>1300</v>
      </c>
    </row>
    <row r="2" spans="1:19" s="403" customFormat="1" x14ac:dyDescent="0.3">
      <c r="A2" s="1029"/>
      <c r="B2" s="1035"/>
      <c r="C2" s="1029"/>
      <c r="D2" s="1029"/>
      <c r="E2" s="1037">
        <v>571300</v>
      </c>
      <c r="F2" s="1037">
        <v>571301</v>
      </c>
      <c r="G2" s="1037">
        <v>571302</v>
      </c>
      <c r="H2" s="1038">
        <v>571303</v>
      </c>
      <c r="I2" s="1037">
        <v>572177</v>
      </c>
      <c r="J2" s="1037">
        <v>571304</v>
      </c>
      <c r="K2" s="1037">
        <v>571305</v>
      </c>
      <c r="L2" s="1037">
        <v>571306</v>
      </c>
      <c r="M2" s="1037">
        <v>571307</v>
      </c>
      <c r="N2" s="1037">
        <v>571309</v>
      </c>
      <c r="O2" s="1037">
        <v>571310</v>
      </c>
      <c r="P2" s="1037">
        <v>571311</v>
      </c>
      <c r="Q2" s="1037">
        <v>571313</v>
      </c>
      <c r="R2" s="1037">
        <v>571315</v>
      </c>
      <c r="S2" s="1037">
        <v>571316</v>
      </c>
    </row>
    <row r="3" spans="1:19" s="403" customFormat="1" ht="28.8" x14ac:dyDescent="0.3">
      <c r="A3" s="1034">
        <v>4</v>
      </c>
      <c r="B3" s="1034">
        <v>4</v>
      </c>
      <c r="C3" s="1034">
        <v>4</v>
      </c>
      <c r="D3" s="1036" t="s">
        <v>1425</v>
      </c>
      <c r="E3" s="1039">
        <v>0</v>
      </c>
      <c r="F3" s="1039">
        <v>39809</v>
      </c>
      <c r="G3" s="1039">
        <v>0</v>
      </c>
      <c r="H3" s="1039">
        <v>21128</v>
      </c>
      <c r="I3" s="1039">
        <v>82102</v>
      </c>
      <c r="J3" s="1039">
        <v>4658438</v>
      </c>
      <c r="K3" s="1039">
        <v>34385</v>
      </c>
      <c r="L3" s="1039">
        <v>27596</v>
      </c>
      <c r="M3" s="1039">
        <v>102587</v>
      </c>
      <c r="N3" s="1039">
        <v>6197</v>
      </c>
      <c r="O3" s="1039">
        <v>9</v>
      </c>
      <c r="P3" s="1039">
        <v>99287</v>
      </c>
      <c r="Q3" s="1039">
        <v>1449</v>
      </c>
      <c r="R3" s="1039">
        <v>7754</v>
      </c>
      <c r="S3" s="1039">
        <v>3081</v>
      </c>
    </row>
    <row r="4" spans="1:19" s="403" customFormat="1" ht="28.8" x14ac:dyDescent="0.3">
      <c r="A4" s="1034">
        <v>5</v>
      </c>
      <c r="B4" s="1034">
        <v>5</v>
      </c>
      <c r="C4" s="1034">
        <v>5</v>
      </c>
      <c r="D4" s="1036" t="s">
        <v>1427</v>
      </c>
      <c r="E4" s="1039">
        <v>0</v>
      </c>
      <c r="F4" s="1039">
        <v>0</v>
      </c>
      <c r="G4" s="1039">
        <v>0</v>
      </c>
      <c r="H4" s="1039">
        <v>0</v>
      </c>
      <c r="I4" s="1039">
        <v>0</v>
      </c>
      <c r="J4" s="1039">
        <v>0</v>
      </c>
      <c r="K4" s="1039">
        <v>0</v>
      </c>
      <c r="L4" s="1039">
        <v>0</v>
      </c>
      <c r="M4" s="1039">
        <v>0</v>
      </c>
      <c r="N4" s="1039">
        <v>0</v>
      </c>
      <c r="O4" s="1039">
        <v>0</v>
      </c>
      <c r="P4" s="1039">
        <v>0</v>
      </c>
      <c r="Q4" s="1039">
        <v>0</v>
      </c>
      <c r="R4" s="1039">
        <v>0</v>
      </c>
      <c r="S4" s="1039">
        <v>0</v>
      </c>
    </row>
    <row r="5" spans="1:19" s="403" customFormat="1" x14ac:dyDescent="0.3">
      <c r="A5" s="1034">
        <v>6</v>
      </c>
      <c r="B5" s="1034">
        <v>6</v>
      </c>
      <c r="C5" s="1034">
        <v>6</v>
      </c>
      <c r="D5" s="1036" t="s">
        <v>1468</v>
      </c>
      <c r="E5" s="1039">
        <v>0</v>
      </c>
      <c r="F5" s="1039">
        <v>0</v>
      </c>
      <c r="G5" s="1039">
        <v>0</v>
      </c>
      <c r="H5" s="1039">
        <v>0</v>
      </c>
      <c r="I5" s="1039">
        <v>0</v>
      </c>
      <c r="J5" s="1039">
        <v>1559838</v>
      </c>
      <c r="K5" s="1039">
        <v>0</v>
      </c>
      <c r="L5" s="1039">
        <v>0</v>
      </c>
      <c r="M5" s="1039">
        <v>25104</v>
      </c>
      <c r="N5" s="1039">
        <v>0</v>
      </c>
      <c r="O5" s="1039">
        <v>0</v>
      </c>
      <c r="P5" s="1039">
        <v>0</v>
      </c>
      <c r="Q5" s="1039">
        <v>0</v>
      </c>
      <c r="R5" s="1039">
        <v>0</v>
      </c>
      <c r="S5" s="1039">
        <v>0</v>
      </c>
    </row>
    <row r="6" spans="1:19" s="403" customFormat="1" x14ac:dyDescent="0.3">
      <c r="A6" s="1034">
        <v>7</v>
      </c>
      <c r="B6" s="1034">
        <v>7</v>
      </c>
      <c r="C6" s="1034">
        <v>7</v>
      </c>
      <c r="D6" s="1036" t="s">
        <v>1470</v>
      </c>
      <c r="E6" s="1039">
        <v>4489</v>
      </c>
      <c r="F6" s="1039">
        <v>0</v>
      </c>
      <c r="G6" s="1039">
        <v>0</v>
      </c>
      <c r="H6" s="1039">
        <v>0</v>
      </c>
      <c r="I6" s="1039">
        <v>19363</v>
      </c>
      <c r="J6" s="1039">
        <v>96596</v>
      </c>
      <c r="K6" s="1039">
        <v>76570</v>
      </c>
      <c r="L6" s="1039">
        <v>17216</v>
      </c>
      <c r="M6" s="1039">
        <v>0</v>
      </c>
      <c r="N6" s="1039">
        <v>0</v>
      </c>
      <c r="O6" s="1039">
        <v>0</v>
      </c>
      <c r="P6" s="1039">
        <v>0</v>
      </c>
      <c r="Q6" s="1039">
        <v>0</v>
      </c>
      <c r="R6" s="1039">
        <v>0</v>
      </c>
      <c r="S6" s="1039">
        <v>0</v>
      </c>
    </row>
    <row r="7" spans="1:19" s="403" customFormat="1" x14ac:dyDescent="0.3">
      <c r="A7" s="1034">
        <v>9</v>
      </c>
      <c r="B7" s="1031">
        <v>9</v>
      </c>
      <c r="C7" s="1034">
        <v>9</v>
      </c>
      <c r="D7" s="1036" t="s">
        <v>1472</v>
      </c>
      <c r="E7" s="1039">
        <v>2099041</v>
      </c>
      <c r="F7" s="1039">
        <v>1162317</v>
      </c>
      <c r="G7" s="1039">
        <v>1461892</v>
      </c>
      <c r="H7" s="1039">
        <v>679290</v>
      </c>
      <c r="I7" s="1039">
        <v>995226</v>
      </c>
      <c r="J7" s="1039">
        <v>6489615</v>
      </c>
      <c r="K7" s="1039">
        <v>1310450</v>
      </c>
      <c r="L7" s="1039">
        <v>184679</v>
      </c>
      <c r="M7" s="1039">
        <v>1774025</v>
      </c>
      <c r="N7" s="1039">
        <v>1435395</v>
      </c>
      <c r="O7" s="1039">
        <v>1683360</v>
      </c>
      <c r="P7" s="1039">
        <v>1073675</v>
      </c>
      <c r="Q7" s="1039">
        <v>586171</v>
      </c>
      <c r="R7" s="1039">
        <v>643848</v>
      </c>
      <c r="S7" s="1039">
        <v>383230</v>
      </c>
    </row>
    <row r="8" spans="1:19" s="403" customFormat="1" x14ac:dyDescent="0.3">
      <c r="A8" s="1034">
        <v>11</v>
      </c>
      <c r="B8" s="1031"/>
      <c r="C8" s="1029"/>
      <c r="D8" s="1029"/>
      <c r="E8" s="1039"/>
      <c r="F8" s="1039"/>
      <c r="G8" s="1039"/>
      <c r="H8" s="1039"/>
      <c r="I8" s="1039"/>
      <c r="J8" s="1039"/>
      <c r="K8" s="1039"/>
      <c r="L8" s="1039"/>
      <c r="M8" s="1039"/>
      <c r="N8" s="1039"/>
      <c r="O8" s="1039"/>
      <c r="P8" s="1039"/>
      <c r="Q8" s="1039"/>
      <c r="R8" s="1039"/>
      <c r="S8" s="1039"/>
    </row>
    <row r="9" spans="1:19" s="403" customFormat="1" x14ac:dyDescent="0.3">
      <c r="A9" s="1034">
        <v>12</v>
      </c>
      <c r="B9" s="1031"/>
      <c r="C9" s="1034">
        <v>12</v>
      </c>
      <c r="D9" s="1036" t="s">
        <v>358</v>
      </c>
      <c r="E9" s="1039">
        <v>0</v>
      </c>
      <c r="F9" s="1039">
        <v>0</v>
      </c>
      <c r="G9" s="1039">
        <v>0</v>
      </c>
      <c r="H9" s="1039">
        <v>0</v>
      </c>
      <c r="I9" s="1039">
        <v>0</v>
      </c>
      <c r="J9" s="1039">
        <v>0</v>
      </c>
      <c r="K9" s="1039">
        <v>0</v>
      </c>
      <c r="L9" s="1039">
        <v>0</v>
      </c>
      <c r="M9" s="1039">
        <v>0</v>
      </c>
      <c r="N9" s="1039">
        <v>0</v>
      </c>
      <c r="O9" s="1039">
        <v>0</v>
      </c>
      <c r="P9" s="1039">
        <v>0</v>
      </c>
      <c r="Q9" s="1039">
        <v>0</v>
      </c>
      <c r="R9" s="1039">
        <v>0</v>
      </c>
      <c r="S9" s="1039">
        <v>0</v>
      </c>
    </row>
    <row r="10" spans="1:19" s="403" customFormat="1" x14ac:dyDescent="0.3">
      <c r="A10" s="1034">
        <v>13</v>
      </c>
      <c r="B10" s="1031"/>
      <c r="C10" s="1034">
        <v>13</v>
      </c>
      <c r="D10" s="1036" t="s">
        <v>359</v>
      </c>
      <c r="E10" s="1039">
        <v>0</v>
      </c>
      <c r="F10" s="1039">
        <v>0</v>
      </c>
      <c r="G10" s="1039">
        <v>0</v>
      </c>
      <c r="H10" s="1039">
        <v>0</v>
      </c>
      <c r="I10" s="1039">
        <v>0</v>
      </c>
      <c r="J10" s="1039">
        <v>0</v>
      </c>
      <c r="K10" s="1039">
        <v>0</v>
      </c>
      <c r="L10" s="1039">
        <v>0</v>
      </c>
      <c r="M10" s="1039">
        <v>0</v>
      </c>
      <c r="N10" s="1039">
        <v>0</v>
      </c>
      <c r="O10" s="1039">
        <v>0</v>
      </c>
      <c r="P10" s="1039">
        <v>0</v>
      </c>
      <c r="Q10" s="1039">
        <v>0</v>
      </c>
      <c r="R10" s="1039">
        <v>0</v>
      </c>
      <c r="S10" s="1039">
        <v>0</v>
      </c>
    </row>
    <row r="11" spans="1:19" s="403" customFormat="1" ht="28.8" x14ac:dyDescent="0.3">
      <c r="A11" s="1034">
        <v>14</v>
      </c>
      <c r="B11" s="1031"/>
      <c r="C11" s="1034">
        <v>14</v>
      </c>
      <c r="D11" s="1036" t="s">
        <v>1309</v>
      </c>
      <c r="E11" s="1039">
        <v>0</v>
      </c>
      <c r="F11" s="1039">
        <v>0</v>
      </c>
      <c r="G11" s="1039">
        <v>0</v>
      </c>
      <c r="H11" s="1039">
        <v>0</v>
      </c>
      <c r="I11" s="1039">
        <v>0</v>
      </c>
      <c r="J11" s="1039">
        <v>0</v>
      </c>
      <c r="K11" s="1039">
        <v>0</v>
      </c>
      <c r="L11" s="1039">
        <v>0</v>
      </c>
      <c r="M11" s="1039">
        <v>0</v>
      </c>
      <c r="N11" s="1039">
        <v>0</v>
      </c>
      <c r="O11" s="1039">
        <v>0</v>
      </c>
      <c r="P11" s="1039">
        <v>0</v>
      </c>
      <c r="Q11" s="1039">
        <v>0</v>
      </c>
      <c r="R11" s="1039">
        <v>0</v>
      </c>
      <c r="S11" s="1039">
        <v>0</v>
      </c>
    </row>
    <row r="12" spans="1:19" s="403" customFormat="1" x14ac:dyDescent="0.3">
      <c r="A12" s="1034">
        <v>16</v>
      </c>
      <c r="B12" s="1031">
        <v>16</v>
      </c>
      <c r="C12" s="1034">
        <v>16</v>
      </c>
      <c r="D12" s="1036" t="s">
        <v>1311</v>
      </c>
      <c r="E12" s="1039">
        <v>1214913</v>
      </c>
      <c r="F12" s="1039">
        <v>2579628</v>
      </c>
      <c r="G12" s="1039">
        <v>836491</v>
      </c>
      <c r="H12" s="1039">
        <v>845632</v>
      </c>
      <c r="I12" s="1039">
        <v>2063829</v>
      </c>
      <c r="J12" s="1039">
        <v>42438813</v>
      </c>
      <c r="K12" s="1039">
        <v>3361395</v>
      </c>
      <c r="L12" s="1039">
        <v>447800</v>
      </c>
      <c r="M12" s="1039">
        <v>3319401</v>
      </c>
      <c r="N12" s="1039">
        <v>1112959</v>
      </c>
      <c r="O12" s="1039">
        <v>1834374</v>
      </c>
      <c r="P12" s="1039">
        <v>2725838</v>
      </c>
      <c r="Q12" s="1039">
        <v>1304028</v>
      </c>
      <c r="R12" s="1039">
        <v>1269732</v>
      </c>
      <c r="S12" s="1039">
        <v>839947</v>
      </c>
    </row>
    <row r="13" spans="1:19" s="403" customFormat="1" x14ac:dyDescent="0.3">
      <c r="A13" s="1034">
        <v>17</v>
      </c>
      <c r="B13" s="1034">
        <v>17</v>
      </c>
      <c r="C13" s="1034">
        <v>17</v>
      </c>
      <c r="D13" s="1036" t="s">
        <v>1313</v>
      </c>
      <c r="E13" s="1039">
        <v>0</v>
      </c>
      <c r="F13" s="1039">
        <v>0</v>
      </c>
      <c r="G13" s="1039">
        <v>0</v>
      </c>
      <c r="H13" s="1039">
        <v>0</v>
      </c>
      <c r="I13" s="1039">
        <v>0</v>
      </c>
      <c r="J13" s="1039">
        <v>0</v>
      </c>
      <c r="K13" s="1039">
        <v>0</v>
      </c>
      <c r="L13" s="1039">
        <v>0</v>
      </c>
      <c r="M13" s="1039">
        <v>0</v>
      </c>
      <c r="N13" s="1039">
        <v>0</v>
      </c>
      <c r="O13" s="1039">
        <v>0</v>
      </c>
      <c r="P13" s="1039">
        <v>0</v>
      </c>
      <c r="Q13" s="1039">
        <v>0</v>
      </c>
      <c r="R13" s="1039">
        <v>0</v>
      </c>
      <c r="S13" s="1039">
        <v>0</v>
      </c>
    </row>
    <row r="14" spans="1:19" s="403" customFormat="1" x14ac:dyDescent="0.3">
      <c r="A14" s="1034">
        <v>19</v>
      </c>
      <c r="B14" s="1034"/>
      <c r="C14" s="1034">
        <v>19</v>
      </c>
      <c r="D14" s="1036" t="s">
        <v>1315</v>
      </c>
      <c r="E14" s="1039">
        <v>0</v>
      </c>
      <c r="F14" s="1039">
        <v>0</v>
      </c>
      <c r="G14" s="1039">
        <v>0</v>
      </c>
      <c r="H14" s="1039">
        <v>0</v>
      </c>
      <c r="I14" s="1039">
        <v>0</v>
      </c>
      <c r="J14" s="1039">
        <v>0</v>
      </c>
      <c r="K14" s="1039">
        <v>0</v>
      </c>
      <c r="L14" s="1039">
        <v>0</v>
      </c>
      <c r="M14" s="1039">
        <v>0</v>
      </c>
      <c r="N14" s="1039">
        <v>0</v>
      </c>
      <c r="O14" s="1039">
        <v>0</v>
      </c>
      <c r="P14" s="1039">
        <v>0</v>
      </c>
      <c r="Q14" s="1039">
        <v>0</v>
      </c>
      <c r="R14" s="1039">
        <v>0</v>
      </c>
      <c r="S14" s="1039">
        <v>0</v>
      </c>
    </row>
    <row r="15" spans="1:19" s="403" customFormat="1" x14ac:dyDescent="0.3">
      <c r="A15" s="1034">
        <v>20</v>
      </c>
      <c r="B15" s="1034">
        <v>20</v>
      </c>
      <c r="C15" s="1034">
        <v>20</v>
      </c>
      <c r="D15" s="1036" t="s">
        <v>1318</v>
      </c>
      <c r="E15" s="1039">
        <v>0</v>
      </c>
      <c r="F15" s="1039">
        <v>0</v>
      </c>
      <c r="G15" s="1039">
        <v>0</v>
      </c>
      <c r="H15" s="1039">
        <v>0</v>
      </c>
      <c r="I15" s="1039">
        <v>0</v>
      </c>
      <c r="J15" s="1039">
        <v>0</v>
      </c>
      <c r="K15" s="1039">
        <v>0</v>
      </c>
      <c r="L15" s="1039">
        <v>0</v>
      </c>
      <c r="M15" s="1039">
        <v>0</v>
      </c>
      <c r="N15" s="1039">
        <v>0</v>
      </c>
      <c r="O15" s="1039">
        <v>0</v>
      </c>
      <c r="P15" s="1039">
        <v>0</v>
      </c>
      <c r="Q15" s="1039">
        <v>0</v>
      </c>
      <c r="R15" s="1039">
        <v>0</v>
      </c>
      <c r="S15" s="1039">
        <v>0</v>
      </c>
    </row>
    <row r="16" spans="1:19" s="403" customFormat="1" x14ac:dyDescent="0.3">
      <c r="A16" s="1034">
        <v>21</v>
      </c>
      <c r="B16" s="1034"/>
      <c r="C16" s="1034">
        <v>21</v>
      </c>
      <c r="D16" s="1036" t="s">
        <v>360</v>
      </c>
      <c r="E16" s="1039">
        <v>0</v>
      </c>
      <c r="F16" s="1039">
        <v>0</v>
      </c>
      <c r="G16" s="1039">
        <v>0</v>
      </c>
      <c r="H16" s="1039">
        <v>0</v>
      </c>
      <c r="I16" s="1039">
        <v>0</v>
      </c>
      <c r="J16" s="1039">
        <v>0</v>
      </c>
      <c r="K16" s="1039">
        <v>0</v>
      </c>
      <c r="L16" s="1039">
        <v>0</v>
      </c>
      <c r="M16" s="1039">
        <v>0</v>
      </c>
      <c r="N16" s="1039">
        <v>0</v>
      </c>
      <c r="O16" s="1039">
        <v>0</v>
      </c>
      <c r="P16" s="1039">
        <v>0</v>
      </c>
      <c r="Q16" s="1039">
        <v>0</v>
      </c>
      <c r="R16" s="1039">
        <v>0</v>
      </c>
      <c r="S16" s="1039">
        <v>0</v>
      </c>
    </row>
    <row r="17" spans="1:19" s="403" customFormat="1" ht="28.8" x14ac:dyDescent="0.3">
      <c r="A17" s="1034">
        <v>22</v>
      </c>
      <c r="B17" s="1031">
        <v>22</v>
      </c>
      <c r="C17" s="1034">
        <v>22</v>
      </c>
      <c r="D17" s="1036" t="s">
        <v>1321</v>
      </c>
      <c r="E17" s="1039">
        <v>0</v>
      </c>
      <c r="F17" s="1039">
        <v>0</v>
      </c>
      <c r="G17" s="1039">
        <v>0</v>
      </c>
      <c r="H17" s="1039">
        <v>0</v>
      </c>
      <c r="I17" s="1039">
        <v>1968</v>
      </c>
      <c r="J17" s="1039">
        <v>0</v>
      </c>
      <c r="K17" s="1039">
        <v>0</v>
      </c>
      <c r="L17" s="1039">
        <v>0</v>
      </c>
      <c r="M17" s="1039">
        <v>0</v>
      </c>
      <c r="N17" s="1039">
        <v>0</v>
      </c>
      <c r="O17" s="1039">
        <v>0</v>
      </c>
      <c r="P17" s="1039">
        <v>0</v>
      </c>
      <c r="Q17" s="1039">
        <v>0</v>
      </c>
      <c r="R17" s="1039">
        <v>0</v>
      </c>
      <c r="S17" s="1039">
        <v>9500</v>
      </c>
    </row>
    <row r="18" spans="1:19" s="403" customFormat="1" x14ac:dyDescent="0.3">
      <c r="A18" s="1034">
        <v>23</v>
      </c>
      <c r="B18" s="1034">
        <v>23</v>
      </c>
      <c r="C18" s="1034">
        <v>23</v>
      </c>
      <c r="D18" s="1036" t="s">
        <v>1323</v>
      </c>
      <c r="E18" s="1039">
        <v>-81397</v>
      </c>
      <c r="F18" s="1039">
        <v>-29765</v>
      </c>
      <c r="G18" s="1039">
        <v>-6337</v>
      </c>
      <c r="H18" s="1039">
        <v>17165</v>
      </c>
      <c r="I18" s="1039">
        <v>-119224</v>
      </c>
      <c r="J18" s="1039">
        <v>72327</v>
      </c>
      <c r="K18" s="1039">
        <v>-192328</v>
      </c>
      <c r="L18" s="1039">
        <v>-6381</v>
      </c>
      <c r="M18" s="1039">
        <v>200000</v>
      </c>
      <c r="N18" s="1039">
        <v>-14411</v>
      </c>
      <c r="O18" s="1039">
        <v>-29409</v>
      </c>
      <c r="P18" s="1039">
        <v>125978</v>
      </c>
      <c r="Q18" s="1039">
        <v>170270</v>
      </c>
      <c r="R18" s="1039">
        <v>-29133</v>
      </c>
      <c r="S18" s="1039">
        <v>-46592</v>
      </c>
    </row>
    <row r="19" spans="1:19" s="403" customFormat="1" x14ac:dyDescent="0.3">
      <c r="A19" s="1034">
        <v>31</v>
      </c>
      <c r="B19" s="1034"/>
      <c r="C19" s="1034">
        <v>31</v>
      </c>
      <c r="D19" s="1036" t="s">
        <v>1351</v>
      </c>
      <c r="E19" s="1039">
        <v>0</v>
      </c>
      <c r="F19" s="1039">
        <v>0</v>
      </c>
      <c r="G19" s="1039">
        <v>0</v>
      </c>
      <c r="H19" s="1039">
        <v>0</v>
      </c>
      <c r="I19" s="1039">
        <v>0</v>
      </c>
      <c r="J19" s="1039">
        <v>0</v>
      </c>
      <c r="K19" s="1039">
        <v>0</v>
      </c>
      <c r="L19" s="1039">
        <v>0</v>
      </c>
      <c r="M19" s="1039">
        <v>0</v>
      </c>
      <c r="N19" s="1039">
        <v>0</v>
      </c>
      <c r="O19" s="1039">
        <v>0</v>
      </c>
      <c r="P19" s="1039">
        <v>0</v>
      </c>
      <c r="Q19" s="1039">
        <v>0</v>
      </c>
      <c r="R19" s="1039">
        <v>0</v>
      </c>
      <c r="S19" s="1039">
        <v>0</v>
      </c>
    </row>
    <row r="20" spans="1:19" s="403" customFormat="1" x14ac:dyDescent="0.3">
      <c r="A20" s="1034">
        <v>32</v>
      </c>
      <c r="B20" s="1034"/>
      <c r="C20" s="1034">
        <v>32</v>
      </c>
      <c r="D20" s="1036" t="s">
        <v>1355</v>
      </c>
      <c r="E20" s="1039">
        <v>0</v>
      </c>
      <c r="F20" s="1039">
        <v>0</v>
      </c>
      <c r="G20" s="1039">
        <v>0</v>
      </c>
      <c r="H20" s="1039">
        <v>0</v>
      </c>
      <c r="I20" s="1039">
        <v>0</v>
      </c>
      <c r="J20" s="1039">
        <v>0</v>
      </c>
      <c r="K20" s="1039">
        <v>0</v>
      </c>
      <c r="L20" s="1039">
        <v>0</v>
      </c>
      <c r="M20" s="1039">
        <v>0</v>
      </c>
      <c r="N20" s="1039">
        <v>0</v>
      </c>
      <c r="O20" s="1039">
        <v>0</v>
      </c>
      <c r="P20" s="1039">
        <v>0</v>
      </c>
      <c r="Q20" s="1039">
        <v>0</v>
      </c>
      <c r="R20" s="1039">
        <v>0</v>
      </c>
      <c r="S20" s="1039">
        <v>0</v>
      </c>
    </row>
    <row r="21" spans="1:19" s="403" customFormat="1" x14ac:dyDescent="0.3">
      <c r="A21" s="1034">
        <v>33</v>
      </c>
      <c r="B21" s="1034"/>
      <c r="C21" s="1034">
        <v>33</v>
      </c>
      <c r="D21" s="1036" t="s">
        <v>1367</v>
      </c>
      <c r="E21" s="1039">
        <v>0</v>
      </c>
      <c r="F21" s="1039">
        <v>0</v>
      </c>
      <c r="G21" s="1039">
        <v>0</v>
      </c>
      <c r="H21" s="1039">
        <v>0</v>
      </c>
      <c r="I21" s="1039">
        <v>0</v>
      </c>
      <c r="J21" s="1039">
        <v>0</v>
      </c>
      <c r="K21" s="1039">
        <v>0</v>
      </c>
      <c r="L21" s="1039">
        <v>0</v>
      </c>
      <c r="M21" s="1039">
        <v>0</v>
      </c>
      <c r="N21" s="1039">
        <v>0</v>
      </c>
      <c r="O21" s="1039">
        <v>0</v>
      </c>
      <c r="P21" s="1039">
        <v>0</v>
      </c>
      <c r="Q21" s="1039">
        <v>0</v>
      </c>
      <c r="R21" s="1039">
        <v>0</v>
      </c>
      <c r="S21" s="1039">
        <v>0</v>
      </c>
    </row>
    <row r="22" spans="1:19" s="403" customFormat="1" x14ac:dyDescent="0.3">
      <c r="A22" s="1034">
        <v>34</v>
      </c>
      <c r="B22" s="1034"/>
      <c r="C22" s="1034">
        <v>193</v>
      </c>
      <c r="D22" s="1036" t="s">
        <v>1316</v>
      </c>
      <c r="E22" s="1039">
        <v>0</v>
      </c>
      <c r="F22" s="1039">
        <v>0</v>
      </c>
      <c r="G22" s="1039">
        <v>0</v>
      </c>
      <c r="H22" s="1039">
        <v>0</v>
      </c>
      <c r="I22" s="1039">
        <v>0</v>
      </c>
      <c r="J22" s="1039">
        <v>0</v>
      </c>
      <c r="K22" s="1039">
        <v>0</v>
      </c>
      <c r="L22" s="1039">
        <v>0</v>
      </c>
      <c r="M22" s="1039">
        <v>0</v>
      </c>
      <c r="N22" s="1039">
        <v>0</v>
      </c>
      <c r="O22" s="1039">
        <v>0</v>
      </c>
      <c r="P22" s="1039">
        <v>0</v>
      </c>
      <c r="Q22" s="1039">
        <v>0</v>
      </c>
      <c r="R22" s="1039">
        <v>0</v>
      </c>
      <c r="S22" s="1039">
        <v>0</v>
      </c>
    </row>
    <row r="23" spans="1:19" s="403" customFormat="1" x14ac:dyDescent="0.3">
      <c r="A23" s="1034">
        <v>35</v>
      </c>
      <c r="B23" s="1034"/>
      <c r="C23" s="1034">
        <v>231</v>
      </c>
      <c r="D23" s="1036" t="s">
        <v>298</v>
      </c>
      <c r="E23" s="1039">
        <v>0</v>
      </c>
      <c r="F23" s="1039">
        <v>0</v>
      </c>
      <c r="G23" s="1039">
        <v>0</v>
      </c>
      <c r="H23" s="1039">
        <v>0</v>
      </c>
      <c r="I23" s="1039">
        <v>0</v>
      </c>
      <c r="J23" s="1039">
        <v>0</v>
      </c>
      <c r="K23" s="1039">
        <v>0</v>
      </c>
      <c r="L23" s="1039">
        <v>0</v>
      </c>
      <c r="M23" s="1039">
        <v>0</v>
      </c>
      <c r="N23" s="1039">
        <v>0</v>
      </c>
      <c r="O23" s="1039">
        <v>0</v>
      </c>
      <c r="P23" s="1039">
        <v>0</v>
      </c>
      <c r="Q23" s="1039">
        <v>0</v>
      </c>
      <c r="R23" s="1039">
        <v>0</v>
      </c>
      <c r="S23" s="1039">
        <v>0</v>
      </c>
    </row>
    <row r="24" spans="1:19" s="403" customFormat="1" x14ac:dyDescent="0.3">
      <c r="A24" s="1034">
        <v>36</v>
      </c>
      <c r="B24" s="1034"/>
      <c r="C24" s="1034">
        <v>251</v>
      </c>
      <c r="D24" s="1036" t="s">
        <v>299</v>
      </c>
      <c r="E24" s="1039">
        <v>0</v>
      </c>
      <c r="F24" s="1039">
        <v>0</v>
      </c>
      <c r="G24" s="1039">
        <v>0</v>
      </c>
      <c r="H24" s="1039">
        <v>0</v>
      </c>
      <c r="I24" s="1039">
        <v>0</v>
      </c>
      <c r="J24" s="1039">
        <v>0</v>
      </c>
      <c r="K24" s="1039">
        <v>0</v>
      </c>
      <c r="L24" s="1039">
        <v>0</v>
      </c>
      <c r="M24" s="1039">
        <v>0</v>
      </c>
      <c r="N24" s="1039">
        <v>0</v>
      </c>
      <c r="O24" s="1039">
        <v>0</v>
      </c>
      <c r="P24" s="1039">
        <v>0</v>
      </c>
      <c r="Q24" s="1039">
        <v>0</v>
      </c>
      <c r="R24" s="1039">
        <v>0</v>
      </c>
      <c r="S24" s="1039">
        <v>0</v>
      </c>
    </row>
    <row r="25" spans="1:19" s="403" customFormat="1" x14ac:dyDescent="0.3">
      <c r="A25" s="1034">
        <v>37</v>
      </c>
      <c r="B25" s="1034"/>
      <c r="C25" s="1029"/>
      <c r="D25" s="1029"/>
      <c r="E25" s="1039"/>
      <c r="F25" s="1039"/>
      <c r="G25" s="1039"/>
      <c r="H25" s="1039"/>
      <c r="I25" s="1039"/>
      <c r="J25" s="1039"/>
      <c r="K25" s="1039"/>
      <c r="L25" s="1039"/>
      <c r="M25" s="1039"/>
      <c r="N25" s="1039"/>
      <c r="O25" s="1039"/>
      <c r="P25" s="1039"/>
      <c r="Q25" s="1039"/>
      <c r="R25" s="1039"/>
      <c r="S25" s="1039"/>
    </row>
    <row r="26" spans="1:19" s="403" customFormat="1" x14ac:dyDescent="0.3">
      <c r="A26" s="1034">
        <v>38</v>
      </c>
      <c r="B26" s="1034"/>
      <c r="C26" s="1029"/>
      <c r="D26" s="1029"/>
      <c r="E26" s="1039"/>
      <c r="F26" s="1039"/>
      <c r="G26" s="1039"/>
      <c r="H26" s="1039"/>
      <c r="I26" s="1039"/>
      <c r="J26" s="1039"/>
      <c r="K26" s="1039"/>
      <c r="L26" s="1039"/>
      <c r="M26" s="1039"/>
      <c r="N26" s="1039"/>
      <c r="O26" s="1039"/>
      <c r="P26" s="1039"/>
      <c r="Q26" s="1039"/>
      <c r="R26" s="1039"/>
      <c r="S26" s="1039"/>
    </row>
    <row r="27" spans="1:19" s="403" customFormat="1" x14ac:dyDescent="0.3">
      <c r="A27" s="1034">
        <v>39</v>
      </c>
      <c r="B27" s="1034"/>
      <c r="C27" s="1029"/>
      <c r="D27" s="1029"/>
      <c r="E27" s="1039"/>
      <c r="F27" s="1039"/>
      <c r="G27" s="1039"/>
      <c r="H27" s="1039"/>
      <c r="I27" s="1039"/>
      <c r="J27" s="1039"/>
      <c r="K27" s="1039"/>
      <c r="L27" s="1039"/>
      <c r="M27" s="1039"/>
      <c r="N27" s="1039"/>
      <c r="O27" s="1039"/>
      <c r="P27" s="1039"/>
      <c r="Q27" s="1039"/>
      <c r="R27" s="1039"/>
      <c r="S27" s="1039"/>
    </row>
    <row r="28" spans="1:19" s="403" customFormat="1" x14ac:dyDescent="0.3">
      <c r="A28" s="1034">
        <v>40</v>
      </c>
      <c r="B28" s="1034"/>
      <c r="C28" s="1029"/>
      <c r="D28" s="1029"/>
      <c r="E28" s="1039"/>
      <c r="F28" s="1039"/>
      <c r="G28" s="1039"/>
      <c r="H28" s="1039"/>
      <c r="I28" s="1039"/>
      <c r="J28" s="1039"/>
      <c r="K28" s="1039"/>
      <c r="L28" s="1039"/>
      <c r="M28" s="1039"/>
      <c r="N28" s="1039"/>
      <c r="O28" s="1039"/>
      <c r="P28" s="1039"/>
      <c r="Q28" s="1039"/>
      <c r="R28" s="1039"/>
      <c r="S28" s="1039"/>
    </row>
    <row r="29" spans="1:19" s="403" customFormat="1" x14ac:dyDescent="0.3">
      <c r="A29" s="1034">
        <v>41</v>
      </c>
      <c r="B29" s="1034"/>
      <c r="C29" s="1029"/>
      <c r="D29" s="1029"/>
      <c r="E29" s="1039"/>
      <c r="F29" s="1039"/>
      <c r="G29" s="1039"/>
      <c r="H29" s="1039"/>
      <c r="I29" s="1039"/>
      <c r="J29" s="1039"/>
      <c r="K29" s="1039"/>
      <c r="L29" s="1039"/>
      <c r="M29" s="1039"/>
      <c r="N29" s="1039"/>
      <c r="O29" s="1039"/>
      <c r="P29" s="1039"/>
      <c r="Q29" s="1039"/>
      <c r="R29" s="1039"/>
      <c r="S29" s="1039"/>
    </row>
    <row r="30" spans="1:19" s="403" customFormat="1" x14ac:dyDescent="0.3">
      <c r="A30" s="1034">
        <v>43</v>
      </c>
      <c r="B30" s="1034"/>
      <c r="C30" s="1029"/>
      <c r="D30" s="1029"/>
      <c r="E30" s="1039"/>
      <c r="F30" s="1039"/>
      <c r="G30" s="1039"/>
      <c r="H30" s="1039"/>
      <c r="I30" s="1039"/>
      <c r="J30" s="1039"/>
      <c r="K30" s="1039"/>
      <c r="L30" s="1039"/>
      <c r="M30" s="1039"/>
      <c r="N30" s="1039"/>
      <c r="O30" s="1039"/>
      <c r="P30" s="1039"/>
      <c r="Q30" s="1039"/>
      <c r="R30" s="1039"/>
      <c r="S30" s="1039"/>
    </row>
    <row r="31" spans="1:19" s="403" customFormat="1" x14ac:dyDescent="0.3">
      <c r="A31" s="1034">
        <v>44</v>
      </c>
      <c r="B31" s="1034"/>
      <c r="C31" s="1029"/>
      <c r="D31" s="1029"/>
      <c r="E31" s="1039"/>
      <c r="F31" s="1039"/>
      <c r="G31" s="1039"/>
      <c r="H31" s="1039"/>
      <c r="I31" s="1039"/>
      <c r="J31" s="1039"/>
      <c r="K31" s="1039"/>
      <c r="L31" s="1039"/>
      <c r="M31" s="1039"/>
      <c r="N31" s="1039"/>
      <c r="O31" s="1039"/>
      <c r="P31" s="1039"/>
      <c r="Q31" s="1039"/>
      <c r="R31" s="1039"/>
      <c r="S31" s="1039"/>
    </row>
    <row r="32" spans="1:19" s="403" customFormat="1" x14ac:dyDescent="0.3">
      <c r="A32" s="1034">
        <v>45</v>
      </c>
      <c r="B32" s="1034"/>
      <c r="C32" s="1029"/>
      <c r="D32" s="1029"/>
      <c r="E32" s="1039"/>
      <c r="F32" s="1039"/>
      <c r="G32" s="1039"/>
      <c r="H32" s="1039"/>
      <c r="I32" s="1039"/>
      <c r="J32" s="1039"/>
      <c r="K32" s="1039"/>
      <c r="L32" s="1039"/>
      <c r="M32" s="1039"/>
      <c r="N32" s="1039"/>
      <c r="O32" s="1039"/>
      <c r="P32" s="1039"/>
      <c r="Q32" s="1039"/>
      <c r="R32" s="1039"/>
      <c r="S32" s="1039"/>
    </row>
    <row r="33" spans="1:19" s="403" customFormat="1" x14ac:dyDescent="0.3">
      <c r="A33" s="1034">
        <v>46</v>
      </c>
      <c r="B33" s="1034"/>
      <c r="C33" s="1029"/>
      <c r="D33" s="1029"/>
      <c r="E33" s="1039"/>
      <c r="F33" s="1039"/>
      <c r="G33" s="1039"/>
      <c r="H33" s="1039"/>
      <c r="I33" s="1039"/>
      <c r="J33" s="1039"/>
      <c r="K33" s="1039"/>
      <c r="L33" s="1039"/>
      <c r="M33" s="1039"/>
      <c r="N33" s="1039"/>
      <c r="O33" s="1039"/>
      <c r="P33" s="1039"/>
      <c r="Q33" s="1039"/>
      <c r="R33" s="1039"/>
      <c r="S33" s="1039"/>
    </row>
    <row r="34" spans="1:19" s="403" customFormat="1" x14ac:dyDescent="0.3">
      <c r="A34" s="1034">
        <v>47</v>
      </c>
      <c r="B34" s="1034"/>
      <c r="C34" s="1029"/>
      <c r="D34" s="1029"/>
      <c r="E34" s="1039"/>
      <c r="F34" s="1039"/>
      <c r="G34" s="1039"/>
      <c r="H34" s="1039"/>
      <c r="I34" s="1039"/>
      <c r="J34" s="1039"/>
      <c r="K34" s="1039"/>
      <c r="L34" s="1039"/>
      <c r="M34" s="1039"/>
      <c r="N34" s="1039"/>
      <c r="O34" s="1039"/>
      <c r="P34" s="1039"/>
      <c r="Q34" s="1039"/>
      <c r="R34" s="1039"/>
      <c r="S34" s="1039"/>
    </row>
    <row r="35" spans="1:19" s="403" customFormat="1" x14ac:dyDescent="0.3">
      <c r="A35" s="1034">
        <v>48</v>
      </c>
      <c r="B35" s="1034"/>
      <c r="C35" s="1029"/>
      <c r="D35" s="1029"/>
      <c r="E35" s="1039"/>
      <c r="F35" s="1039"/>
      <c r="G35" s="1039"/>
      <c r="H35" s="1039"/>
      <c r="I35" s="1039"/>
      <c r="J35" s="1039"/>
      <c r="K35" s="1039"/>
      <c r="L35" s="1039"/>
      <c r="M35" s="1039"/>
      <c r="N35" s="1039"/>
      <c r="O35" s="1039"/>
      <c r="P35" s="1039"/>
      <c r="Q35" s="1039"/>
      <c r="R35" s="1039"/>
      <c r="S35" s="1039"/>
    </row>
    <row r="36" spans="1:19" s="403" customFormat="1" x14ac:dyDescent="0.3">
      <c r="A36" s="1034">
        <v>49</v>
      </c>
      <c r="B36" s="1034"/>
      <c r="C36" s="1029"/>
      <c r="D36" s="1029"/>
      <c r="E36" s="1039"/>
      <c r="F36" s="1039"/>
      <c r="G36" s="1039"/>
      <c r="H36" s="1039"/>
      <c r="I36" s="1039"/>
      <c r="J36" s="1039"/>
      <c r="K36" s="1039"/>
      <c r="L36" s="1039"/>
      <c r="M36" s="1039"/>
      <c r="N36" s="1039"/>
      <c r="O36" s="1039"/>
      <c r="P36" s="1039"/>
      <c r="Q36" s="1039"/>
      <c r="R36" s="1039"/>
      <c r="S36" s="1039"/>
    </row>
    <row r="37" spans="1:19" s="403" customFormat="1" x14ac:dyDescent="0.3">
      <c r="A37" s="1034">
        <v>50</v>
      </c>
      <c r="B37" s="1034"/>
      <c r="C37" s="1029"/>
      <c r="D37" s="1029"/>
      <c r="E37" s="1039"/>
      <c r="F37" s="1039"/>
      <c r="G37" s="1039"/>
      <c r="H37" s="1039"/>
      <c r="I37" s="1039"/>
      <c r="J37" s="1039"/>
      <c r="K37" s="1039"/>
      <c r="L37" s="1039"/>
      <c r="M37" s="1039"/>
      <c r="N37" s="1039"/>
      <c r="O37" s="1039"/>
      <c r="P37" s="1039"/>
      <c r="Q37" s="1039"/>
      <c r="R37" s="1039"/>
      <c r="S37" s="1039"/>
    </row>
    <row r="38" spans="1:19" s="403" customFormat="1" x14ac:dyDescent="0.3">
      <c r="A38" s="1034">
        <v>51</v>
      </c>
      <c r="B38" s="1034"/>
      <c r="C38" s="1029"/>
      <c r="D38" s="1029"/>
      <c r="E38" s="1039"/>
      <c r="F38" s="1039"/>
      <c r="G38" s="1039"/>
      <c r="H38" s="1039"/>
      <c r="I38" s="1039"/>
      <c r="J38" s="1039"/>
      <c r="K38" s="1039"/>
      <c r="L38" s="1039"/>
      <c r="M38" s="1039"/>
      <c r="N38" s="1039"/>
      <c r="O38" s="1039"/>
      <c r="P38" s="1039"/>
      <c r="Q38" s="1039"/>
      <c r="R38" s="1039"/>
      <c r="S38" s="1039"/>
    </row>
    <row r="39" spans="1:19" s="403" customFormat="1" x14ac:dyDescent="0.3">
      <c r="A39" s="1034">
        <v>52</v>
      </c>
      <c r="B39" s="1034"/>
      <c r="C39" s="1029"/>
      <c r="D39" s="1029"/>
      <c r="E39" s="1039"/>
      <c r="F39" s="1039"/>
      <c r="G39" s="1039"/>
      <c r="H39" s="1039"/>
      <c r="I39" s="1039"/>
      <c r="J39" s="1039"/>
      <c r="K39" s="1039"/>
      <c r="L39" s="1039"/>
      <c r="M39" s="1039"/>
      <c r="N39" s="1039"/>
      <c r="O39" s="1039"/>
      <c r="P39" s="1039"/>
      <c r="Q39" s="1039"/>
      <c r="R39" s="1039"/>
      <c r="S39" s="1039"/>
    </row>
    <row r="40" spans="1:19" s="403" customFormat="1" x14ac:dyDescent="0.3">
      <c r="A40" s="1034">
        <v>53</v>
      </c>
      <c r="B40" s="1034"/>
      <c r="C40" s="1029"/>
      <c r="D40" s="1029"/>
      <c r="E40" s="1039"/>
      <c r="F40" s="1039"/>
      <c r="G40" s="1039"/>
      <c r="H40" s="1039"/>
      <c r="I40" s="1039"/>
      <c r="J40" s="1039"/>
      <c r="K40" s="1039"/>
      <c r="L40" s="1039"/>
      <c r="M40" s="1039"/>
      <c r="N40" s="1039"/>
      <c r="O40" s="1039"/>
      <c r="P40" s="1039"/>
      <c r="Q40" s="1039"/>
      <c r="R40" s="1039"/>
      <c r="S40" s="1039"/>
    </row>
    <row r="41" spans="1:19" s="403" customFormat="1" x14ac:dyDescent="0.3">
      <c r="A41" s="1034">
        <v>54</v>
      </c>
      <c r="B41" s="1034"/>
      <c r="C41" s="1029"/>
      <c r="D41" s="1029"/>
      <c r="E41" s="1039"/>
      <c r="F41" s="1039"/>
      <c r="G41" s="1039"/>
      <c r="H41" s="1039"/>
      <c r="I41" s="1039"/>
      <c r="J41" s="1039"/>
      <c r="K41" s="1039"/>
      <c r="L41" s="1039"/>
      <c r="M41" s="1039"/>
      <c r="N41" s="1039"/>
      <c r="O41" s="1039"/>
      <c r="P41" s="1039"/>
      <c r="Q41" s="1039"/>
      <c r="R41" s="1039"/>
      <c r="S41" s="1039"/>
    </row>
    <row r="42" spans="1:19" s="403" customFormat="1" x14ac:dyDescent="0.3">
      <c r="A42" s="1034">
        <v>55</v>
      </c>
      <c r="B42" s="1034"/>
      <c r="C42" s="1029"/>
      <c r="D42" s="1029"/>
      <c r="E42" s="1039"/>
      <c r="F42" s="1039"/>
      <c r="G42" s="1039"/>
      <c r="H42" s="1039"/>
      <c r="I42" s="1039"/>
      <c r="J42" s="1039"/>
      <c r="K42" s="1039"/>
      <c r="L42" s="1039"/>
      <c r="M42" s="1039"/>
      <c r="N42" s="1039"/>
      <c r="O42" s="1039"/>
      <c r="P42" s="1039"/>
      <c r="Q42" s="1039"/>
      <c r="R42" s="1039"/>
      <c r="S42" s="1039"/>
    </row>
    <row r="43" spans="1:19" s="405" customFormat="1" x14ac:dyDescent="0.3">
      <c r="A43" s="1034">
        <v>61</v>
      </c>
      <c r="B43" s="1034"/>
      <c r="C43" s="1029"/>
      <c r="D43" s="1029"/>
      <c r="E43" s="1039"/>
      <c r="F43" s="1039"/>
      <c r="G43" s="1039"/>
      <c r="H43" s="1039"/>
      <c r="I43" s="1039"/>
      <c r="J43" s="1039"/>
      <c r="K43" s="1039"/>
      <c r="L43" s="1039"/>
      <c r="M43" s="1039"/>
      <c r="N43" s="1039"/>
      <c r="O43" s="1039"/>
      <c r="P43" s="1039"/>
      <c r="Q43" s="1039"/>
      <c r="R43" s="1039"/>
      <c r="S43" s="1039"/>
    </row>
    <row r="44" spans="1:19" s="403" customFormat="1" x14ac:dyDescent="0.3">
      <c r="A44" s="1034">
        <v>80</v>
      </c>
      <c r="B44" s="1034"/>
      <c r="C44" s="1029"/>
      <c r="D44" s="1029"/>
      <c r="E44" s="1039"/>
      <c r="F44" s="1039"/>
      <c r="G44" s="1039"/>
      <c r="H44" s="1039"/>
      <c r="I44" s="1039"/>
      <c r="J44" s="1039"/>
      <c r="K44" s="1039"/>
      <c r="L44" s="1039"/>
      <c r="M44" s="1039"/>
      <c r="N44" s="1039"/>
      <c r="O44" s="1039"/>
      <c r="P44" s="1039"/>
      <c r="Q44" s="1039"/>
      <c r="R44" s="1039"/>
      <c r="S44" s="1039"/>
    </row>
    <row r="45" spans="1:19" s="403" customFormat="1" x14ac:dyDescent="0.3">
      <c r="A45" s="1034">
        <v>81</v>
      </c>
      <c r="B45" s="1034"/>
      <c r="C45" s="1029"/>
      <c r="D45" s="1029"/>
      <c r="E45" s="1039"/>
      <c r="F45" s="1039"/>
      <c r="G45" s="1039"/>
      <c r="H45" s="1039"/>
      <c r="I45" s="1039"/>
      <c r="J45" s="1039"/>
      <c r="K45" s="1039"/>
      <c r="L45" s="1039"/>
      <c r="M45" s="1039"/>
      <c r="N45" s="1039"/>
      <c r="O45" s="1039"/>
      <c r="P45" s="1039"/>
      <c r="Q45" s="1039"/>
      <c r="R45" s="1039"/>
      <c r="S45" s="1039"/>
    </row>
    <row r="46" spans="1:19" s="403" customFormat="1" x14ac:dyDescent="0.3">
      <c r="A46" s="1034">
        <v>82</v>
      </c>
      <c r="B46" s="1034"/>
      <c r="C46" s="1029"/>
      <c r="D46" s="1029"/>
      <c r="E46" s="1039"/>
      <c r="F46" s="1039"/>
      <c r="G46" s="1039"/>
      <c r="H46" s="1039"/>
      <c r="I46" s="1039"/>
      <c r="J46" s="1039"/>
      <c r="K46" s="1039"/>
      <c r="L46" s="1039"/>
      <c r="M46" s="1039"/>
      <c r="N46" s="1039"/>
      <c r="O46" s="1039"/>
      <c r="P46" s="1039"/>
      <c r="Q46" s="1039"/>
      <c r="R46" s="1039"/>
      <c r="S46" s="1039"/>
    </row>
    <row r="47" spans="1:19" s="403" customFormat="1" x14ac:dyDescent="0.3">
      <c r="A47" s="1034">
        <v>83</v>
      </c>
      <c r="B47" s="1034"/>
      <c r="C47" s="1029"/>
      <c r="D47" s="1029"/>
      <c r="E47" s="1039"/>
      <c r="F47" s="1039"/>
      <c r="G47" s="1039"/>
      <c r="H47" s="1039"/>
      <c r="I47" s="1039"/>
      <c r="J47" s="1039"/>
      <c r="K47" s="1039"/>
      <c r="L47" s="1039"/>
      <c r="M47" s="1039"/>
      <c r="N47" s="1039"/>
      <c r="O47" s="1039"/>
      <c r="P47" s="1039"/>
      <c r="Q47" s="1039"/>
      <c r="R47" s="1039"/>
      <c r="S47" s="1039"/>
    </row>
    <row r="48" spans="1:19" s="403" customFormat="1" x14ac:dyDescent="0.3">
      <c r="A48" s="1034">
        <v>84</v>
      </c>
      <c r="B48" s="1034"/>
      <c r="C48" s="1029"/>
      <c r="D48" s="1029"/>
      <c r="E48" s="1039"/>
      <c r="F48" s="1039"/>
      <c r="G48" s="1039"/>
      <c r="H48" s="1039"/>
      <c r="I48" s="1039"/>
      <c r="J48" s="1039"/>
      <c r="K48" s="1039"/>
      <c r="L48" s="1039"/>
      <c r="M48" s="1039"/>
      <c r="N48" s="1039"/>
      <c r="O48" s="1039"/>
      <c r="P48" s="1039"/>
      <c r="Q48" s="1039"/>
      <c r="R48" s="1039"/>
      <c r="S48" s="1039"/>
    </row>
    <row r="49" spans="1:19" s="403" customFormat="1" x14ac:dyDescent="0.3">
      <c r="A49" s="1034">
        <v>85</v>
      </c>
      <c r="B49" s="1034"/>
      <c r="C49" s="1029"/>
      <c r="D49" s="1029"/>
      <c r="E49" s="1039"/>
      <c r="F49" s="1039"/>
      <c r="G49" s="1039"/>
      <c r="H49" s="1039"/>
      <c r="I49" s="1039"/>
      <c r="J49" s="1039"/>
      <c r="K49" s="1039"/>
      <c r="L49" s="1039"/>
      <c r="M49" s="1039"/>
      <c r="N49" s="1039"/>
      <c r="O49" s="1039"/>
      <c r="P49" s="1039"/>
      <c r="Q49" s="1039"/>
      <c r="R49" s="1039"/>
      <c r="S49" s="1039"/>
    </row>
    <row r="50" spans="1:19" s="403" customFormat="1" x14ac:dyDescent="0.3">
      <c r="A50" s="1034">
        <v>88</v>
      </c>
      <c r="B50" s="1034"/>
      <c r="C50" s="1029"/>
      <c r="D50" s="1029"/>
      <c r="E50" s="1039"/>
      <c r="F50" s="1039"/>
      <c r="G50" s="1039"/>
      <c r="H50" s="1039"/>
      <c r="I50" s="1039"/>
      <c r="J50" s="1039"/>
      <c r="K50" s="1039"/>
      <c r="L50" s="1039"/>
      <c r="M50" s="1039"/>
      <c r="N50" s="1039"/>
      <c r="O50" s="1039"/>
      <c r="P50" s="1039"/>
      <c r="Q50" s="1039"/>
      <c r="R50" s="1039"/>
      <c r="S50" s="1039"/>
    </row>
    <row r="51" spans="1:19" s="403" customFormat="1" x14ac:dyDescent="0.3">
      <c r="A51" s="1034">
        <v>89</v>
      </c>
      <c r="B51" s="1034"/>
      <c r="C51" s="1029"/>
      <c r="D51" s="1029"/>
      <c r="E51" s="1039"/>
      <c r="F51" s="1039"/>
      <c r="G51" s="1039"/>
      <c r="H51" s="1039"/>
      <c r="I51" s="1039"/>
      <c r="J51" s="1039"/>
      <c r="K51" s="1039"/>
      <c r="L51" s="1039"/>
      <c r="M51" s="1039"/>
      <c r="N51" s="1039"/>
      <c r="O51" s="1039"/>
      <c r="P51" s="1039"/>
      <c r="Q51" s="1039"/>
      <c r="R51" s="1039"/>
      <c r="S51" s="1039"/>
    </row>
    <row r="52" spans="1:19" s="403" customFormat="1" x14ac:dyDescent="0.3">
      <c r="A52" s="1034">
        <v>90</v>
      </c>
      <c r="B52" s="1034"/>
      <c r="C52" s="1029"/>
      <c r="D52" s="1029"/>
      <c r="E52" s="1039"/>
      <c r="F52" s="1039"/>
      <c r="G52" s="1039"/>
      <c r="H52" s="1039"/>
      <c r="I52" s="1039"/>
      <c r="J52" s="1039"/>
      <c r="K52" s="1039"/>
      <c r="L52" s="1039"/>
      <c r="M52" s="1039"/>
      <c r="N52" s="1039"/>
      <c r="O52" s="1039"/>
      <c r="P52" s="1039"/>
      <c r="Q52" s="1039"/>
      <c r="R52" s="1039"/>
      <c r="S52" s="1039"/>
    </row>
    <row r="53" spans="1:19" s="403" customFormat="1" x14ac:dyDescent="0.3">
      <c r="A53" s="1034">
        <v>91</v>
      </c>
      <c r="B53" s="1034"/>
      <c r="C53" s="1029"/>
      <c r="D53" s="1029"/>
      <c r="E53" s="1039"/>
      <c r="F53" s="1039"/>
      <c r="G53" s="1039"/>
      <c r="H53" s="1039"/>
      <c r="I53" s="1039"/>
      <c r="J53" s="1039"/>
      <c r="K53" s="1039"/>
      <c r="L53" s="1039"/>
      <c r="M53" s="1039"/>
      <c r="N53" s="1039"/>
      <c r="O53" s="1039"/>
      <c r="P53" s="1039"/>
      <c r="Q53" s="1039"/>
      <c r="R53" s="1039"/>
      <c r="S53" s="1039"/>
    </row>
    <row r="54" spans="1:19" s="403" customFormat="1" x14ac:dyDescent="0.3">
      <c r="A54" s="1034">
        <v>92</v>
      </c>
      <c r="B54" s="1034"/>
      <c r="C54" s="1029"/>
      <c r="D54" s="1029"/>
      <c r="E54" s="1039"/>
      <c r="F54" s="1039"/>
      <c r="G54" s="1039"/>
      <c r="H54" s="1039"/>
      <c r="I54" s="1039"/>
      <c r="J54" s="1039"/>
      <c r="K54" s="1039"/>
      <c r="L54" s="1039"/>
      <c r="M54" s="1039"/>
      <c r="N54" s="1039"/>
      <c r="O54" s="1039"/>
      <c r="P54" s="1039"/>
      <c r="Q54" s="1039"/>
      <c r="R54" s="1039"/>
      <c r="S54" s="1039"/>
    </row>
    <row r="55" spans="1:19" s="403" customFormat="1" x14ac:dyDescent="0.3">
      <c r="A55" s="1034">
        <v>93</v>
      </c>
      <c r="B55" s="1034"/>
      <c r="C55" s="1029"/>
      <c r="D55" s="1029"/>
      <c r="E55" s="1039"/>
      <c r="F55" s="1039"/>
      <c r="G55" s="1039"/>
      <c r="H55" s="1039"/>
      <c r="I55" s="1039"/>
      <c r="J55" s="1039"/>
      <c r="K55" s="1039"/>
      <c r="L55" s="1039"/>
      <c r="M55" s="1039"/>
      <c r="N55" s="1039"/>
      <c r="O55" s="1039"/>
      <c r="P55" s="1039"/>
      <c r="Q55" s="1039"/>
      <c r="R55" s="1039"/>
      <c r="S55" s="1039"/>
    </row>
    <row r="56" spans="1:19" s="403" customFormat="1" x14ac:dyDescent="0.3">
      <c r="A56" s="1034">
        <v>94</v>
      </c>
      <c r="B56" s="1034"/>
      <c r="C56" s="1029"/>
      <c r="D56" s="1029"/>
      <c r="E56" s="1039"/>
      <c r="F56" s="1039"/>
      <c r="G56" s="1039"/>
      <c r="H56" s="1039"/>
      <c r="I56" s="1039"/>
      <c r="J56" s="1039"/>
      <c r="K56" s="1039"/>
      <c r="L56" s="1039"/>
      <c r="M56" s="1039"/>
      <c r="N56" s="1039"/>
      <c r="O56" s="1039"/>
      <c r="P56" s="1039"/>
      <c r="Q56" s="1039"/>
      <c r="R56" s="1039"/>
      <c r="S56" s="1039"/>
    </row>
    <row r="57" spans="1:19" s="403" customFormat="1" x14ac:dyDescent="0.3">
      <c r="A57" s="1034">
        <v>97</v>
      </c>
      <c r="B57" s="1034"/>
      <c r="C57" s="1029"/>
      <c r="D57" s="1029"/>
      <c r="E57" s="1039"/>
      <c r="F57" s="1039"/>
      <c r="G57" s="1039"/>
      <c r="H57" s="1039"/>
      <c r="I57" s="1039"/>
      <c r="J57" s="1039"/>
      <c r="K57" s="1039"/>
      <c r="L57" s="1039"/>
      <c r="M57" s="1039"/>
      <c r="N57" s="1039"/>
      <c r="O57" s="1039"/>
      <c r="P57" s="1039"/>
      <c r="Q57" s="1039"/>
      <c r="R57" s="1039"/>
      <c r="S57" s="1039"/>
    </row>
    <row r="58" spans="1:19" s="403" customFormat="1" x14ac:dyDescent="0.3">
      <c r="A58" s="1034">
        <v>98</v>
      </c>
      <c r="B58" s="1034"/>
      <c r="C58" s="1029"/>
      <c r="D58" s="1029"/>
      <c r="E58" s="1039"/>
      <c r="F58" s="1039"/>
      <c r="G58" s="1039"/>
      <c r="H58" s="1039"/>
      <c r="I58" s="1039"/>
      <c r="J58" s="1039"/>
      <c r="K58" s="1039"/>
      <c r="L58" s="1039"/>
      <c r="M58" s="1039"/>
      <c r="N58" s="1039"/>
      <c r="O58" s="1039"/>
      <c r="P58" s="1039"/>
      <c r="Q58" s="1039"/>
      <c r="R58" s="1039"/>
      <c r="S58" s="1039"/>
    </row>
    <row r="59" spans="1:19" s="403" customFormat="1" x14ac:dyDescent="0.3">
      <c r="A59" s="1034">
        <v>99</v>
      </c>
      <c r="B59" s="1034"/>
      <c r="C59" s="1029"/>
      <c r="D59" s="1029"/>
      <c r="E59" s="1039"/>
      <c r="F59" s="1039"/>
      <c r="G59" s="1039"/>
      <c r="H59" s="1039"/>
      <c r="I59" s="1039"/>
      <c r="J59" s="1039"/>
      <c r="K59" s="1039"/>
      <c r="L59" s="1039"/>
      <c r="M59" s="1039"/>
      <c r="N59" s="1039"/>
      <c r="O59" s="1039"/>
      <c r="P59" s="1039"/>
      <c r="Q59" s="1039"/>
      <c r="R59" s="1039"/>
      <c r="S59" s="1039"/>
    </row>
    <row r="60" spans="1:19" s="403" customFormat="1" x14ac:dyDescent="0.3">
      <c r="A60" s="1034">
        <v>100</v>
      </c>
      <c r="B60" s="1034"/>
      <c r="C60" s="1029"/>
      <c r="D60" s="1029"/>
      <c r="E60" s="1039"/>
      <c r="F60" s="1039"/>
      <c r="G60" s="1039"/>
      <c r="H60" s="1039"/>
      <c r="I60" s="1039"/>
      <c r="J60" s="1039"/>
      <c r="K60" s="1039"/>
      <c r="L60" s="1039"/>
      <c r="M60" s="1039"/>
      <c r="N60" s="1039"/>
      <c r="O60" s="1039"/>
      <c r="P60" s="1039"/>
      <c r="Q60" s="1039"/>
      <c r="R60" s="1039"/>
      <c r="S60" s="1039"/>
    </row>
    <row r="61" spans="1:19" s="403" customFormat="1" x14ac:dyDescent="0.3">
      <c r="A61" s="1034">
        <v>101</v>
      </c>
      <c r="B61" s="1034"/>
      <c r="C61" s="1029"/>
      <c r="D61" s="1029"/>
      <c r="E61" s="1039"/>
      <c r="F61" s="1039"/>
      <c r="G61" s="1039"/>
      <c r="H61" s="1039"/>
      <c r="I61" s="1039"/>
      <c r="J61" s="1039"/>
      <c r="K61" s="1039"/>
      <c r="L61" s="1039"/>
      <c r="M61" s="1039"/>
      <c r="N61" s="1039"/>
      <c r="O61" s="1039"/>
      <c r="P61" s="1039"/>
      <c r="Q61" s="1039"/>
      <c r="R61" s="1039"/>
      <c r="S61" s="1039"/>
    </row>
    <row r="62" spans="1:19" s="406" customFormat="1" x14ac:dyDescent="0.3">
      <c r="A62" s="1034">
        <v>102</v>
      </c>
      <c r="B62" s="1034"/>
      <c r="C62" s="1029"/>
      <c r="D62" s="1029"/>
      <c r="E62" s="1039"/>
      <c r="F62" s="1039"/>
      <c r="G62" s="1039"/>
      <c r="H62" s="1039"/>
      <c r="I62" s="1039"/>
      <c r="J62" s="1039"/>
      <c r="K62" s="1039"/>
      <c r="L62" s="1039"/>
      <c r="M62" s="1039"/>
      <c r="N62" s="1039"/>
      <c r="O62" s="1039"/>
      <c r="P62" s="1039"/>
      <c r="Q62" s="1039"/>
      <c r="R62" s="1039"/>
      <c r="S62" s="1039"/>
    </row>
    <row r="63" spans="1:19" s="406" customFormat="1" x14ac:dyDescent="0.3">
      <c r="A63" s="1034">
        <v>103</v>
      </c>
      <c r="B63" s="1034"/>
      <c r="C63" s="1029"/>
      <c r="D63" s="1029"/>
      <c r="E63" s="1039"/>
      <c r="F63" s="1039"/>
      <c r="G63" s="1039"/>
      <c r="H63" s="1039"/>
      <c r="I63" s="1039"/>
      <c r="J63" s="1039"/>
      <c r="K63" s="1039"/>
      <c r="L63" s="1039"/>
      <c r="M63" s="1039"/>
      <c r="N63" s="1039"/>
      <c r="O63" s="1039"/>
      <c r="P63" s="1039"/>
      <c r="Q63" s="1039"/>
      <c r="R63" s="1039"/>
      <c r="S63" s="1039"/>
    </row>
    <row r="64" spans="1:19" s="403" customFormat="1" x14ac:dyDescent="0.3">
      <c r="A64" s="1034">
        <v>104</v>
      </c>
      <c r="B64" s="1034"/>
      <c r="C64" s="1029"/>
      <c r="D64" s="1029"/>
      <c r="E64" s="1039"/>
      <c r="F64" s="1039"/>
      <c r="G64" s="1039"/>
      <c r="H64" s="1039"/>
      <c r="I64" s="1039"/>
      <c r="J64" s="1039"/>
      <c r="K64" s="1039"/>
      <c r="L64" s="1039"/>
      <c r="M64" s="1039"/>
      <c r="N64" s="1039"/>
      <c r="O64" s="1039"/>
      <c r="P64" s="1039"/>
      <c r="Q64" s="1039"/>
      <c r="R64" s="1039"/>
      <c r="S64" s="1039"/>
    </row>
    <row r="65" spans="1:19" s="403" customFormat="1" x14ac:dyDescent="0.3">
      <c r="A65" s="1034">
        <v>107</v>
      </c>
      <c r="B65" s="1034"/>
      <c r="C65" s="1029"/>
      <c r="D65" s="1029"/>
      <c r="E65" s="1039"/>
      <c r="F65" s="1039"/>
      <c r="G65" s="1039"/>
      <c r="H65" s="1039"/>
      <c r="I65" s="1039"/>
      <c r="J65" s="1039"/>
      <c r="K65" s="1039"/>
      <c r="L65" s="1039"/>
      <c r="M65" s="1039"/>
      <c r="N65" s="1039"/>
      <c r="O65" s="1039"/>
      <c r="P65" s="1039"/>
      <c r="Q65" s="1039"/>
      <c r="R65" s="1039"/>
      <c r="S65" s="1039"/>
    </row>
    <row r="66" spans="1:19" s="403" customFormat="1" x14ac:dyDescent="0.3">
      <c r="A66" s="1034">
        <v>108</v>
      </c>
      <c r="B66" s="1034"/>
      <c r="C66" s="1029"/>
      <c r="D66" s="1029"/>
      <c r="E66" s="1039"/>
      <c r="F66" s="1039"/>
      <c r="G66" s="1039"/>
      <c r="H66" s="1039"/>
      <c r="I66" s="1039"/>
      <c r="J66" s="1039"/>
      <c r="K66" s="1039"/>
      <c r="L66" s="1039"/>
      <c r="M66" s="1039"/>
      <c r="N66" s="1039"/>
      <c r="O66" s="1039"/>
      <c r="P66" s="1039"/>
      <c r="Q66" s="1039"/>
      <c r="R66" s="1039"/>
      <c r="S66" s="1039"/>
    </row>
    <row r="67" spans="1:19" s="403" customFormat="1" x14ac:dyDescent="0.3">
      <c r="A67" s="1034">
        <v>147</v>
      </c>
      <c r="B67" s="1034"/>
      <c r="C67" s="1029"/>
      <c r="D67" s="1029"/>
      <c r="E67" s="1039"/>
      <c r="F67" s="1039"/>
      <c r="G67" s="1039"/>
      <c r="H67" s="1039"/>
      <c r="I67" s="1039"/>
      <c r="J67" s="1039"/>
      <c r="K67" s="1039"/>
      <c r="L67" s="1039"/>
      <c r="M67" s="1039"/>
      <c r="N67" s="1039"/>
      <c r="O67" s="1039"/>
      <c r="P67" s="1039"/>
      <c r="Q67" s="1039"/>
      <c r="R67" s="1039"/>
      <c r="S67" s="1039"/>
    </row>
    <row r="68" spans="1:19" s="403" customFormat="1" x14ac:dyDescent="0.3">
      <c r="A68" s="1034">
        <v>148</v>
      </c>
      <c r="B68" s="1034"/>
      <c r="C68" s="1029"/>
      <c r="D68" s="1029"/>
      <c r="E68" s="1039"/>
      <c r="F68" s="1039"/>
      <c r="G68" s="1039"/>
      <c r="H68" s="1039"/>
      <c r="I68" s="1039"/>
      <c r="J68" s="1039"/>
      <c r="K68" s="1039"/>
      <c r="L68" s="1039"/>
      <c r="M68" s="1039"/>
      <c r="N68" s="1039"/>
      <c r="O68" s="1039"/>
      <c r="P68" s="1039"/>
      <c r="Q68" s="1039"/>
      <c r="R68" s="1039"/>
      <c r="S68" s="1039"/>
    </row>
    <row r="69" spans="1:19" s="403" customFormat="1" x14ac:dyDescent="0.3">
      <c r="A69" s="1034">
        <v>149</v>
      </c>
      <c r="B69" s="1034"/>
      <c r="C69" s="1029"/>
      <c r="D69" s="1029"/>
      <c r="E69" s="1039"/>
      <c r="F69" s="1039"/>
      <c r="G69" s="1039"/>
      <c r="H69" s="1039"/>
      <c r="I69" s="1039"/>
      <c r="J69" s="1039"/>
      <c r="K69" s="1039"/>
      <c r="L69" s="1039"/>
      <c r="M69" s="1039"/>
      <c r="N69" s="1039"/>
      <c r="O69" s="1039"/>
      <c r="P69" s="1039"/>
      <c r="Q69" s="1039"/>
      <c r="R69" s="1039"/>
      <c r="S69" s="1039"/>
    </row>
    <row r="70" spans="1:19" s="403" customFormat="1" x14ac:dyDescent="0.3">
      <c r="A70" s="1034">
        <v>150</v>
      </c>
      <c r="B70" s="1034"/>
      <c r="C70" s="1029"/>
      <c r="D70" s="1029"/>
      <c r="E70" s="1039"/>
      <c r="F70" s="1039"/>
      <c r="G70" s="1039"/>
      <c r="H70" s="1039"/>
      <c r="I70" s="1039"/>
      <c r="J70" s="1039"/>
      <c r="K70" s="1039"/>
      <c r="L70" s="1039"/>
      <c r="M70" s="1039"/>
      <c r="N70" s="1039"/>
      <c r="O70" s="1039"/>
      <c r="P70" s="1039"/>
      <c r="Q70" s="1039"/>
      <c r="R70" s="1039"/>
      <c r="S70" s="1039"/>
    </row>
    <row r="71" spans="1:19" s="403" customFormat="1" x14ac:dyDescent="0.3">
      <c r="A71" s="1034">
        <v>171</v>
      </c>
      <c r="B71" s="1034"/>
      <c r="C71" s="1029"/>
      <c r="D71" s="1029"/>
      <c r="E71" s="1039"/>
      <c r="F71" s="1039"/>
      <c r="G71" s="1039"/>
      <c r="H71" s="1039"/>
      <c r="I71" s="1039"/>
      <c r="J71" s="1039"/>
      <c r="K71" s="1039"/>
      <c r="L71" s="1039"/>
      <c r="M71" s="1039"/>
      <c r="N71" s="1039"/>
      <c r="O71" s="1039"/>
      <c r="P71" s="1039"/>
      <c r="Q71" s="1039"/>
      <c r="R71" s="1039"/>
      <c r="S71" s="1039"/>
    </row>
    <row r="72" spans="1:19" s="403" customFormat="1" x14ac:dyDescent="0.3">
      <c r="A72" s="1034">
        <v>191</v>
      </c>
      <c r="B72" s="1034"/>
      <c r="C72" s="1029"/>
      <c r="D72" s="1029"/>
      <c r="E72" s="1039"/>
      <c r="F72" s="1039"/>
      <c r="G72" s="1039"/>
      <c r="H72" s="1039"/>
      <c r="I72" s="1039"/>
      <c r="J72" s="1039"/>
      <c r="K72" s="1039"/>
      <c r="L72" s="1039"/>
      <c r="M72" s="1039"/>
      <c r="N72" s="1039"/>
      <c r="O72" s="1039"/>
      <c r="P72" s="1039"/>
      <c r="Q72" s="1039"/>
      <c r="R72" s="1039"/>
      <c r="S72" s="1039"/>
    </row>
    <row r="73" spans="1:19" s="403" customFormat="1" x14ac:dyDescent="0.3">
      <c r="A73" s="1034">
        <v>192</v>
      </c>
      <c r="B73" s="1034"/>
      <c r="C73" s="1029"/>
      <c r="D73" s="1029"/>
      <c r="E73" s="1039"/>
      <c r="F73" s="1039"/>
      <c r="G73" s="1039"/>
      <c r="H73" s="1039"/>
      <c r="I73" s="1039"/>
      <c r="J73" s="1039"/>
      <c r="K73" s="1039"/>
      <c r="L73" s="1039"/>
      <c r="M73" s="1039"/>
      <c r="N73" s="1039"/>
      <c r="O73" s="1039"/>
      <c r="P73" s="1039"/>
      <c r="Q73" s="1039"/>
      <c r="R73" s="1039"/>
      <c r="S73" s="1039"/>
    </row>
    <row r="74" spans="1:19" s="403" customFormat="1" x14ac:dyDescent="0.3">
      <c r="A74" s="1034">
        <v>193</v>
      </c>
      <c r="B74" s="1034"/>
      <c r="C74" s="1029"/>
      <c r="D74" s="1029"/>
      <c r="E74" s="1039"/>
      <c r="F74" s="1039"/>
      <c r="G74" s="1039"/>
      <c r="H74" s="1039"/>
      <c r="I74" s="1039"/>
      <c r="J74" s="1039"/>
      <c r="K74" s="1039"/>
      <c r="L74" s="1039"/>
      <c r="M74" s="1039"/>
      <c r="N74" s="1039"/>
      <c r="O74" s="1039"/>
      <c r="P74" s="1039"/>
      <c r="Q74" s="1039"/>
      <c r="R74" s="1039"/>
      <c r="S74" s="1039"/>
    </row>
    <row r="75" spans="1:19" s="403" customFormat="1" x14ac:dyDescent="0.3">
      <c r="A75" s="1034">
        <v>194</v>
      </c>
      <c r="B75" s="1034"/>
      <c r="C75" s="1029"/>
      <c r="D75" s="1029"/>
      <c r="E75" s="1039"/>
      <c r="F75" s="1039"/>
      <c r="G75" s="1039"/>
      <c r="H75" s="1039"/>
      <c r="I75" s="1039"/>
      <c r="J75" s="1039"/>
      <c r="K75" s="1039"/>
      <c r="L75" s="1039"/>
      <c r="M75" s="1039"/>
      <c r="N75" s="1039"/>
      <c r="O75" s="1039"/>
      <c r="P75" s="1039"/>
      <c r="Q75" s="1039"/>
      <c r="R75" s="1039"/>
      <c r="S75" s="1039"/>
    </row>
    <row r="76" spans="1:19" s="403" customFormat="1" x14ac:dyDescent="0.3">
      <c r="A76" s="1034">
        <v>231</v>
      </c>
      <c r="B76" s="1034"/>
      <c r="C76" s="1029"/>
      <c r="D76" s="1029"/>
      <c r="E76" s="1039"/>
      <c r="F76" s="1039"/>
      <c r="G76" s="1039"/>
      <c r="H76" s="1039"/>
      <c r="I76" s="1039"/>
      <c r="J76" s="1039"/>
      <c r="K76" s="1039"/>
      <c r="L76" s="1039"/>
      <c r="M76" s="1039"/>
      <c r="N76" s="1039"/>
      <c r="O76" s="1039"/>
      <c r="P76" s="1039"/>
      <c r="Q76" s="1039"/>
      <c r="R76" s="1039"/>
      <c r="S76" s="1039"/>
    </row>
    <row r="77" spans="1:19" s="403" customFormat="1" x14ac:dyDescent="0.3">
      <c r="A77" s="1034">
        <v>251</v>
      </c>
      <c r="B77" s="1034"/>
      <c r="C77" s="1029"/>
      <c r="D77" s="1029"/>
      <c r="E77" s="1039"/>
      <c r="F77" s="1039"/>
      <c r="G77" s="1039"/>
      <c r="H77" s="1039"/>
      <c r="I77" s="1039"/>
      <c r="J77" s="1039"/>
      <c r="K77" s="1039"/>
      <c r="L77" s="1039"/>
      <c r="M77" s="1039"/>
      <c r="N77" s="1039"/>
      <c r="O77" s="1039"/>
      <c r="P77" s="1039"/>
      <c r="Q77" s="1039"/>
      <c r="R77" s="1039"/>
      <c r="S77" s="1039"/>
    </row>
    <row r="78" spans="1:19" s="403" customFormat="1" x14ac:dyDescent="0.3">
      <c r="A78" s="1034">
        <v>252</v>
      </c>
      <c r="B78" s="1031">
        <v>252</v>
      </c>
      <c r="C78" s="1034">
        <v>252</v>
      </c>
      <c r="D78" s="1036" t="s">
        <v>1327</v>
      </c>
      <c r="E78" s="1039">
        <v>283798</v>
      </c>
      <c r="F78" s="1039">
        <v>459746</v>
      </c>
      <c r="G78" s="1039">
        <v>32216</v>
      </c>
      <c r="H78" s="1039">
        <v>759140</v>
      </c>
      <c r="I78" s="1039">
        <v>75022</v>
      </c>
      <c r="J78" s="1039">
        <v>102063238</v>
      </c>
      <c r="K78" s="1039">
        <v>1215945</v>
      </c>
      <c r="L78" s="1039">
        <v>53907</v>
      </c>
      <c r="M78" s="1039">
        <v>1070179</v>
      </c>
      <c r="N78" s="1039">
        <v>752120</v>
      </c>
      <c r="O78" s="1039">
        <v>3155324</v>
      </c>
      <c r="P78" s="1039">
        <v>690541</v>
      </c>
      <c r="Q78" s="1039">
        <v>278166</v>
      </c>
      <c r="R78" s="1039">
        <v>117730</v>
      </c>
      <c r="S78" s="1039">
        <v>276813</v>
      </c>
    </row>
    <row r="79" spans="1:19" s="403" customFormat="1" x14ac:dyDescent="0.3">
      <c r="A79" s="1034">
        <v>253</v>
      </c>
      <c r="B79" s="1031">
        <v>253</v>
      </c>
      <c r="C79" s="1034">
        <v>253</v>
      </c>
      <c r="D79" s="1036" t="s">
        <v>1329</v>
      </c>
      <c r="E79" s="1039">
        <v>103577</v>
      </c>
      <c r="F79" s="1039">
        <v>117270</v>
      </c>
      <c r="G79" s="1039">
        <v>1384272</v>
      </c>
      <c r="H79" s="1039">
        <v>3004</v>
      </c>
      <c r="I79" s="1039">
        <v>229402</v>
      </c>
      <c r="J79" s="1039">
        <v>34702440</v>
      </c>
      <c r="K79" s="1039">
        <v>98391</v>
      </c>
      <c r="L79" s="1039">
        <v>133518</v>
      </c>
      <c r="M79" s="1039">
        <v>501049</v>
      </c>
      <c r="N79" s="1039">
        <v>1168989</v>
      </c>
      <c r="O79" s="1039">
        <v>55463</v>
      </c>
      <c r="P79" s="1039">
        <v>88926</v>
      </c>
      <c r="Q79" s="1039">
        <v>260394</v>
      </c>
      <c r="R79" s="1039">
        <v>163642</v>
      </c>
      <c r="S79" s="1039">
        <v>76338</v>
      </c>
    </row>
    <row r="80" spans="1:19" s="403" customFormat="1" x14ac:dyDescent="0.3">
      <c r="A80" s="1034">
        <v>254</v>
      </c>
      <c r="B80" s="1034">
        <v>254</v>
      </c>
      <c r="C80" s="1034">
        <v>254</v>
      </c>
      <c r="D80" s="1036" t="s">
        <v>1331</v>
      </c>
      <c r="E80" s="1039">
        <v>1927515</v>
      </c>
      <c r="F80" s="1039">
        <v>803226</v>
      </c>
      <c r="G80" s="1039">
        <v>-43579</v>
      </c>
      <c r="H80" s="1039">
        <v>643449</v>
      </c>
      <c r="I80" s="1039">
        <v>506333</v>
      </c>
      <c r="J80" s="1039">
        <v>-72239382</v>
      </c>
      <c r="K80" s="1039">
        <v>1073429</v>
      </c>
      <c r="L80" s="1039">
        <v>20640</v>
      </c>
      <c r="M80" s="1039">
        <v>935575</v>
      </c>
      <c r="N80" s="1039">
        <v>211919</v>
      </c>
      <c r="O80" s="1039">
        <v>1482822</v>
      </c>
      <c r="P80" s="1039">
        <v>717194</v>
      </c>
      <c r="Q80" s="1039">
        <v>263637</v>
      </c>
      <c r="R80" s="1039">
        <v>337681</v>
      </c>
      <c r="S80" s="1039">
        <v>225860</v>
      </c>
    </row>
    <row r="81" spans="1:19" s="403" customFormat="1" x14ac:dyDescent="0.3">
      <c r="A81" s="1034">
        <v>255</v>
      </c>
      <c r="B81" s="1034">
        <v>255</v>
      </c>
      <c r="C81" s="1034">
        <v>255</v>
      </c>
      <c r="D81" s="1036" t="s">
        <v>1333</v>
      </c>
      <c r="E81" s="1039">
        <v>-154789</v>
      </c>
      <c r="F81" s="1039">
        <v>-174080</v>
      </c>
      <c r="G81" s="1039">
        <v>-46826</v>
      </c>
      <c r="H81" s="1039">
        <v>-11451</v>
      </c>
      <c r="I81" s="1039">
        <v>-23411</v>
      </c>
      <c r="J81" s="1039">
        <v>24477488</v>
      </c>
      <c r="K81" s="1039">
        <v>-234216</v>
      </c>
      <c r="L81" s="1039">
        <v>-397</v>
      </c>
      <c r="M81" s="1039">
        <v>37855</v>
      </c>
      <c r="N81" s="1039">
        <v>-52914</v>
      </c>
      <c r="O81" s="1039">
        <v>-222065</v>
      </c>
      <c r="P81" s="1039">
        <v>32868</v>
      </c>
      <c r="Q81" s="1039">
        <v>77002</v>
      </c>
      <c r="R81" s="1039">
        <v>-109852</v>
      </c>
      <c r="S81" s="1039">
        <v>-90950</v>
      </c>
    </row>
    <row r="82" spans="1:19" s="403" customFormat="1" x14ac:dyDescent="0.3">
      <c r="A82" s="1034">
        <v>274</v>
      </c>
      <c r="B82" s="1034"/>
      <c r="C82" s="1029"/>
      <c r="D82" s="1029"/>
      <c r="E82" s="1039"/>
      <c r="F82" s="1039"/>
      <c r="G82" s="1039"/>
      <c r="H82" s="1039"/>
      <c r="I82" s="1039"/>
      <c r="J82" s="1039"/>
      <c r="K82" s="1039"/>
      <c r="L82" s="1039"/>
      <c r="M82" s="1039"/>
      <c r="N82" s="1039"/>
      <c r="O82" s="1039"/>
      <c r="P82" s="1039"/>
      <c r="Q82" s="1039"/>
      <c r="R82" s="1039"/>
      <c r="S82" s="1039"/>
    </row>
    <row r="83" spans="1:19" s="403" customFormat="1" x14ac:dyDescent="0.3">
      <c r="A83" s="1034">
        <v>294</v>
      </c>
      <c r="B83" s="1034"/>
      <c r="C83" s="1029"/>
      <c r="D83" s="1029"/>
      <c r="E83" s="1039"/>
      <c r="F83" s="1039"/>
      <c r="G83" s="1039"/>
      <c r="H83" s="1039"/>
      <c r="I83" s="1039"/>
      <c r="J83" s="1039"/>
      <c r="K83" s="1039"/>
      <c r="L83" s="1039"/>
      <c r="M83" s="1039"/>
      <c r="N83" s="1039"/>
      <c r="O83" s="1039"/>
      <c r="P83" s="1039"/>
      <c r="Q83" s="1039"/>
      <c r="R83" s="1039"/>
      <c r="S83" s="1039"/>
    </row>
    <row r="84" spans="1:19" s="403" customFormat="1" x14ac:dyDescent="0.3">
      <c r="A84" s="1034">
        <v>314</v>
      </c>
      <c r="B84" s="1034"/>
      <c r="C84" s="1029"/>
      <c r="D84" s="1029"/>
      <c r="E84" s="1039"/>
      <c r="F84" s="1039"/>
      <c r="G84" s="1039"/>
      <c r="H84" s="1039"/>
      <c r="I84" s="1039"/>
      <c r="J84" s="1039"/>
      <c r="K84" s="1039"/>
      <c r="L84" s="1039"/>
      <c r="M84" s="1039"/>
      <c r="N84" s="1039"/>
      <c r="O84" s="1039"/>
      <c r="P84" s="1039"/>
      <c r="Q84" s="1039"/>
      <c r="R84" s="1039"/>
      <c r="S84" s="1039"/>
    </row>
    <row r="85" spans="1:19" s="403" customFormat="1" x14ac:dyDescent="0.3">
      <c r="A85" s="1034">
        <v>315</v>
      </c>
      <c r="B85" s="1034"/>
      <c r="C85" s="1029"/>
      <c r="D85" s="1029"/>
      <c r="E85" s="1039"/>
      <c r="F85" s="1039"/>
      <c r="G85" s="1039"/>
      <c r="H85" s="1039"/>
      <c r="I85" s="1039"/>
      <c r="J85" s="1039"/>
      <c r="K85" s="1039"/>
      <c r="L85" s="1039"/>
      <c r="M85" s="1039"/>
      <c r="N85" s="1039"/>
      <c r="O85" s="1039"/>
      <c r="P85" s="1039"/>
      <c r="Q85" s="1039"/>
      <c r="R85" s="1039"/>
      <c r="S85" s="1039"/>
    </row>
    <row r="86" spans="1:19" s="403" customFormat="1" x14ac:dyDescent="0.3">
      <c r="A86" s="1034">
        <v>316</v>
      </c>
      <c r="B86" s="1034"/>
      <c r="C86" s="1029"/>
      <c r="D86" s="1029"/>
      <c r="E86" s="1039"/>
      <c r="F86" s="1039"/>
      <c r="G86" s="1039"/>
      <c r="H86" s="1039"/>
      <c r="I86" s="1039"/>
      <c r="J86" s="1039"/>
      <c r="K86" s="1039"/>
      <c r="L86" s="1039"/>
      <c r="M86" s="1039"/>
      <c r="N86" s="1039"/>
      <c r="O86" s="1039"/>
      <c r="P86" s="1039"/>
      <c r="Q86" s="1039"/>
      <c r="R86" s="1039"/>
      <c r="S86" s="1039"/>
    </row>
    <row r="87" spans="1:19" s="403" customFormat="1" x14ac:dyDescent="0.3">
      <c r="A87" s="1034">
        <v>320</v>
      </c>
      <c r="B87" s="1034"/>
      <c r="C87" s="1034">
        <v>320</v>
      </c>
      <c r="D87" s="1036" t="s">
        <v>1357</v>
      </c>
      <c r="E87" s="1039">
        <v>0</v>
      </c>
      <c r="F87" s="1039">
        <v>0</v>
      </c>
      <c r="G87" s="1039">
        <v>0</v>
      </c>
      <c r="H87" s="1039">
        <v>0</v>
      </c>
      <c r="I87" s="1039">
        <v>0</v>
      </c>
      <c r="J87" s="1039">
        <v>0</v>
      </c>
      <c r="K87" s="1039">
        <v>0</v>
      </c>
      <c r="L87" s="1039">
        <v>0</v>
      </c>
      <c r="M87" s="1039">
        <v>0</v>
      </c>
      <c r="N87" s="1039">
        <v>0</v>
      </c>
      <c r="O87" s="1039">
        <v>0</v>
      </c>
      <c r="P87" s="1039">
        <v>0</v>
      </c>
      <c r="Q87" s="1039">
        <v>0</v>
      </c>
      <c r="R87" s="1039">
        <v>0</v>
      </c>
      <c r="S87" s="1039">
        <v>0</v>
      </c>
    </row>
    <row r="88" spans="1:19" s="403" customFormat="1" x14ac:dyDescent="0.3">
      <c r="A88" s="1034">
        <v>321</v>
      </c>
      <c r="B88" s="1034"/>
      <c r="C88" s="1034">
        <v>321</v>
      </c>
      <c r="D88" s="1036" t="s">
        <v>1359</v>
      </c>
      <c r="E88" s="1039">
        <v>0</v>
      </c>
      <c r="F88" s="1039">
        <v>0</v>
      </c>
      <c r="G88" s="1039">
        <v>0</v>
      </c>
      <c r="H88" s="1039">
        <v>0</v>
      </c>
      <c r="I88" s="1039">
        <v>0</v>
      </c>
      <c r="J88" s="1039">
        <v>0</v>
      </c>
      <c r="K88" s="1039">
        <v>0</v>
      </c>
      <c r="L88" s="1039">
        <v>0</v>
      </c>
      <c r="M88" s="1039">
        <v>0</v>
      </c>
      <c r="N88" s="1039">
        <v>0</v>
      </c>
      <c r="O88" s="1039">
        <v>0</v>
      </c>
      <c r="P88" s="1039">
        <v>0</v>
      </c>
      <c r="Q88" s="1039">
        <v>0</v>
      </c>
      <c r="R88" s="1039">
        <v>0</v>
      </c>
      <c r="S88" s="1039">
        <v>0</v>
      </c>
    </row>
    <row r="89" spans="1:19" s="403" customFormat="1" x14ac:dyDescent="0.3">
      <c r="A89" s="1034">
        <v>322</v>
      </c>
      <c r="B89" s="1034"/>
      <c r="C89" s="1034">
        <v>322</v>
      </c>
      <c r="D89" s="1036" t="s">
        <v>1361</v>
      </c>
      <c r="E89" s="1039">
        <v>0</v>
      </c>
      <c r="F89" s="1039">
        <v>0</v>
      </c>
      <c r="G89" s="1039">
        <v>0</v>
      </c>
      <c r="H89" s="1039">
        <v>0</v>
      </c>
      <c r="I89" s="1039">
        <v>0</v>
      </c>
      <c r="J89" s="1039">
        <v>0</v>
      </c>
      <c r="K89" s="1039">
        <v>0</v>
      </c>
      <c r="L89" s="1039">
        <v>0</v>
      </c>
      <c r="M89" s="1039">
        <v>0</v>
      </c>
      <c r="N89" s="1039">
        <v>0</v>
      </c>
      <c r="O89" s="1039">
        <v>0</v>
      </c>
      <c r="P89" s="1039">
        <v>0</v>
      </c>
      <c r="Q89" s="1039">
        <v>0</v>
      </c>
      <c r="R89" s="1039">
        <v>0</v>
      </c>
      <c r="S89" s="1039">
        <v>0</v>
      </c>
    </row>
    <row r="90" spans="1:19" s="403" customFormat="1" x14ac:dyDescent="0.3">
      <c r="A90" s="1034">
        <v>323</v>
      </c>
      <c r="B90" s="1034"/>
      <c r="C90" s="1034">
        <v>323</v>
      </c>
      <c r="D90" s="1036" t="s">
        <v>257</v>
      </c>
      <c r="E90" s="1039">
        <v>0</v>
      </c>
      <c r="F90" s="1039">
        <v>0</v>
      </c>
      <c r="G90" s="1039">
        <v>0</v>
      </c>
      <c r="H90" s="1039">
        <v>0</v>
      </c>
      <c r="I90" s="1039">
        <v>0</v>
      </c>
      <c r="J90" s="1039">
        <v>0</v>
      </c>
      <c r="K90" s="1039">
        <v>0</v>
      </c>
      <c r="L90" s="1039">
        <v>0</v>
      </c>
      <c r="M90" s="1039">
        <v>0</v>
      </c>
      <c r="N90" s="1039">
        <v>0</v>
      </c>
      <c r="O90" s="1039">
        <v>0</v>
      </c>
      <c r="P90" s="1039">
        <v>0</v>
      </c>
      <c r="Q90" s="1039">
        <v>0</v>
      </c>
      <c r="R90" s="1039">
        <v>0</v>
      </c>
      <c r="S90" s="1039">
        <v>0</v>
      </c>
    </row>
    <row r="91" spans="1:19" s="403" customFormat="1" x14ac:dyDescent="0.3">
      <c r="A91" s="1034">
        <v>324</v>
      </c>
      <c r="B91" s="1034"/>
      <c r="C91" s="1034">
        <v>324</v>
      </c>
      <c r="D91" s="1036" t="s">
        <v>1364</v>
      </c>
      <c r="E91" s="1039">
        <v>0</v>
      </c>
      <c r="F91" s="1039">
        <v>0</v>
      </c>
      <c r="G91" s="1039">
        <v>0</v>
      </c>
      <c r="H91" s="1039">
        <v>0</v>
      </c>
      <c r="I91" s="1039">
        <v>0</v>
      </c>
      <c r="J91" s="1039">
        <v>0</v>
      </c>
      <c r="K91" s="1039">
        <v>0</v>
      </c>
      <c r="L91" s="1039">
        <v>0</v>
      </c>
      <c r="M91" s="1039">
        <v>0</v>
      </c>
      <c r="N91" s="1039">
        <v>0</v>
      </c>
      <c r="O91" s="1039">
        <v>0</v>
      </c>
      <c r="P91" s="1039">
        <v>0</v>
      </c>
      <c r="Q91" s="1039">
        <v>0</v>
      </c>
      <c r="R91" s="1039">
        <v>0</v>
      </c>
      <c r="S91" s="1039">
        <v>0</v>
      </c>
    </row>
    <row r="92" spans="1:19" s="403" customFormat="1" x14ac:dyDescent="0.3">
      <c r="A92" s="1034">
        <v>325</v>
      </c>
      <c r="B92" s="1034"/>
      <c r="C92" s="1034">
        <v>325</v>
      </c>
      <c r="D92" s="1036" t="s">
        <v>1366</v>
      </c>
      <c r="E92" s="1039">
        <v>0</v>
      </c>
      <c r="F92" s="1039">
        <v>0</v>
      </c>
      <c r="G92" s="1039">
        <v>0</v>
      </c>
      <c r="H92" s="1039">
        <v>0</v>
      </c>
      <c r="I92" s="1039">
        <v>0</v>
      </c>
      <c r="J92" s="1039">
        <v>0</v>
      </c>
      <c r="K92" s="1039">
        <v>0</v>
      </c>
      <c r="L92" s="1039">
        <v>0</v>
      </c>
      <c r="M92" s="1039">
        <v>0</v>
      </c>
      <c r="N92" s="1039">
        <v>0</v>
      </c>
      <c r="O92" s="1039">
        <v>0</v>
      </c>
      <c r="P92" s="1039">
        <v>0</v>
      </c>
      <c r="Q92" s="1039">
        <v>0</v>
      </c>
      <c r="R92" s="1039">
        <v>0</v>
      </c>
      <c r="S92" s="1039">
        <v>0</v>
      </c>
    </row>
    <row r="93" spans="1:19" s="403" customFormat="1" x14ac:dyDescent="0.3">
      <c r="A93" s="1034">
        <v>326</v>
      </c>
      <c r="B93" s="1034"/>
      <c r="C93" s="1029"/>
      <c r="D93" s="1029"/>
      <c r="E93" s="1039"/>
      <c r="F93" s="1039"/>
      <c r="G93" s="1039"/>
      <c r="H93" s="1039"/>
      <c r="I93" s="1039"/>
      <c r="J93" s="1039"/>
      <c r="K93" s="1039"/>
      <c r="L93" s="1039"/>
      <c r="M93" s="1039"/>
      <c r="N93" s="1039"/>
      <c r="O93" s="1039"/>
      <c r="P93" s="1039"/>
      <c r="Q93" s="1039"/>
      <c r="R93" s="1039"/>
      <c r="S93" s="1039"/>
    </row>
    <row r="94" spans="1:19" s="403" customFormat="1" x14ac:dyDescent="0.3">
      <c r="A94" s="1034">
        <v>327</v>
      </c>
      <c r="B94" s="1034"/>
      <c r="C94" s="1029"/>
      <c r="D94" s="1029"/>
      <c r="E94" s="1039"/>
      <c r="F94" s="1039"/>
      <c r="G94" s="1039"/>
      <c r="H94" s="1039"/>
      <c r="I94" s="1039"/>
      <c r="J94" s="1039"/>
      <c r="K94" s="1039"/>
      <c r="L94" s="1039"/>
      <c r="M94" s="1039"/>
      <c r="N94" s="1039"/>
      <c r="O94" s="1039"/>
      <c r="P94" s="1039"/>
      <c r="Q94" s="1039"/>
      <c r="R94" s="1039"/>
      <c r="S94" s="1039"/>
    </row>
    <row r="95" spans="1:19" s="403" customFormat="1" x14ac:dyDescent="0.3">
      <c r="A95" s="1034">
        <v>328</v>
      </c>
      <c r="B95" s="1034"/>
      <c r="C95" s="1029"/>
      <c r="D95" s="1029"/>
      <c r="E95" s="1039"/>
      <c r="F95" s="1039"/>
      <c r="G95" s="1039"/>
      <c r="H95" s="1039"/>
      <c r="I95" s="1039"/>
      <c r="J95" s="1039"/>
      <c r="K95" s="1039"/>
      <c r="L95" s="1039"/>
      <c r="M95" s="1039"/>
      <c r="N95" s="1039"/>
      <c r="O95" s="1039"/>
      <c r="P95" s="1039"/>
      <c r="Q95" s="1039"/>
      <c r="R95" s="1039"/>
      <c r="S95" s="1039"/>
    </row>
    <row r="96" spans="1:19" s="403" customFormat="1" x14ac:dyDescent="0.3">
      <c r="A96" s="1034">
        <v>330</v>
      </c>
      <c r="B96" s="1034"/>
      <c r="C96" s="1029"/>
      <c r="D96" s="1029"/>
      <c r="E96" s="1039"/>
      <c r="F96" s="1039"/>
      <c r="G96" s="1039"/>
      <c r="H96" s="1039"/>
      <c r="I96" s="1039"/>
      <c r="J96" s="1039"/>
      <c r="K96" s="1039"/>
      <c r="L96" s="1039"/>
      <c r="M96" s="1039"/>
      <c r="N96" s="1039"/>
      <c r="O96" s="1039"/>
      <c r="P96" s="1039"/>
      <c r="Q96" s="1039"/>
      <c r="R96" s="1039"/>
      <c r="S96" s="1039"/>
    </row>
    <row r="97" spans="1:19" s="403" customFormat="1" x14ac:dyDescent="0.3">
      <c r="A97" s="1034">
        <v>331</v>
      </c>
      <c r="B97" s="1034"/>
      <c r="C97" s="1029"/>
      <c r="D97" s="1029"/>
      <c r="E97" s="1039"/>
      <c r="F97" s="1039"/>
      <c r="G97" s="1039"/>
      <c r="H97" s="1039"/>
      <c r="I97" s="1039"/>
      <c r="J97" s="1039"/>
      <c r="K97" s="1039"/>
      <c r="L97" s="1039"/>
      <c r="M97" s="1039"/>
      <c r="N97" s="1039"/>
      <c r="O97" s="1039"/>
      <c r="P97" s="1039"/>
      <c r="Q97" s="1039"/>
      <c r="R97" s="1039"/>
      <c r="S97" s="1039"/>
    </row>
    <row r="98" spans="1:19" s="403" customFormat="1" x14ac:dyDescent="0.3">
      <c r="A98" s="1034">
        <v>332</v>
      </c>
      <c r="B98" s="1034"/>
      <c r="C98" s="1029"/>
      <c r="D98" s="1029"/>
      <c r="E98" s="1039"/>
      <c r="F98" s="1039"/>
      <c r="G98" s="1039"/>
      <c r="H98" s="1039"/>
      <c r="I98" s="1039"/>
      <c r="J98" s="1039"/>
      <c r="K98" s="1039"/>
      <c r="L98" s="1039"/>
      <c r="M98" s="1039"/>
      <c r="N98" s="1039"/>
      <c r="O98" s="1039"/>
      <c r="P98" s="1039"/>
      <c r="Q98" s="1039"/>
      <c r="R98" s="1039"/>
      <c r="S98" s="1039"/>
    </row>
    <row r="99" spans="1:19" s="403" customFormat="1" x14ac:dyDescent="0.3">
      <c r="A99" s="1034">
        <v>333</v>
      </c>
      <c r="B99" s="1031">
        <v>333</v>
      </c>
      <c r="C99" s="1034">
        <v>333</v>
      </c>
      <c r="D99" s="1036" t="s">
        <v>1369</v>
      </c>
      <c r="E99" s="1039">
        <v>1990975</v>
      </c>
      <c r="F99" s="1039">
        <v>1084856</v>
      </c>
      <c r="G99" s="1039">
        <v>65745</v>
      </c>
      <c r="H99" s="1039">
        <v>697414</v>
      </c>
      <c r="I99" s="1039">
        <v>929826</v>
      </c>
      <c r="J99" s="1039">
        <v>11889577</v>
      </c>
      <c r="K99" s="1039">
        <v>1169874</v>
      </c>
      <c r="L99" s="1039">
        <v>61541</v>
      </c>
      <c r="M99" s="1039">
        <v>1698929</v>
      </c>
      <c r="N99" s="1039">
        <v>144543</v>
      </c>
      <c r="O99" s="1039">
        <v>1627906</v>
      </c>
      <c r="P99" s="1039">
        <v>1084036</v>
      </c>
      <c r="Q99" s="1039">
        <v>417226</v>
      </c>
      <c r="R99" s="1039">
        <v>487960</v>
      </c>
      <c r="S99" s="1039">
        <v>338056</v>
      </c>
    </row>
    <row r="100" spans="1:19" s="403" customFormat="1" ht="28.8" x14ac:dyDescent="0.3">
      <c r="A100" s="1034">
        <v>334</v>
      </c>
      <c r="B100" s="1029"/>
      <c r="C100" s="1034">
        <v>334</v>
      </c>
      <c r="D100" s="1036" t="s">
        <v>1371</v>
      </c>
      <c r="E100" s="1039">
        <v>0</v>
      </c>
      <c r="F100" s="1039">
        <v>0</v>
      </c>
      <c r="G100" s="1039">
        <v>0</v>
      </c>
      <c r="H100" s="1039">
        <v>0</v>
      </c>
      <c r="I100" s="1039">
        <v>0</v>
      </c>
      <c r="J100" s="1039">
        <v>0</v>
      </c>
      <c r="K100" s="1039">
        <v>0</v>
      </c>
      <c r="L100" s="1039">
        <v>0</v>
      </c>
      <c r="M100" s="1039">
        <v>0</v>
      </c>
      <c r="N100" s="1039">
        <v>0</v>
      </c>
      <c r="O100" s="1039">
        <v>0</v>
      </c>
      <c r="P100" s="1039">
        <v>0</v>
      </c>
      <c r="Q100" s="1039">
        <v>0</v>
      </c>
      <c r="R100" s="1039">
        <v>0</v>
      </c>
      <c r="S100" s="1039">
        <v>0</v>
      </c>
    </row>
    <row r="101" spans="1:19" s="403" customFormat="1" x14ac:dyDescent="0.3">
      <c r="A101" s="1034">
        <v>335</v>
      </c>
      <c r="B101" s="1031">
        <v>335</v>
      </c>
      <c r="C101" s="1034">
        <v>335</v>
      </c>
      <c r="D101" s="1036" t="s">
        <v>1373</v>
      </c>
      <c r="E101" s="1039">
        <v>0</v>
      </c>
      <c r="F101" s="1039">
        <v>0</v>
      </c>
      <c r="G101" s="1039">
        <v>0</v>
      </c>
      <c r="H101" s="1039">
        <v>0</v>
      </c>
      <c r="I101" s="1039">
        <v>0</v>
      </c>
      <c r="J101" s="1039">
        <v>0</v>
      </c>
      <c r="K101" s="1039">
        <v>0</v>
      </c>
      <c r="L101" s="1039">
        <v>0</v>
      </c>
      <c r="M101" s="1039">
        <v>0</v>
      </c>
      <c r="N101" s="1039">
        <v>3300</v>
      </c>
      <c r="O101" s="1039">
        <v>0</v>
      </c>
      <c r="P101" s="1039">
        <v>0</v>
      </c>
      <c r="Q101" s="1039">
        <v>0</v>
      </c>
      <c r="R101" s="1039">
        <v>0</v>
      </c>
      <c r="S101" s="1039">
        <v>0</v>
      </c>
    </row>
    <row r="102" spans="1:19" s="403" customFormat="1" ht="97.2" x14ac:dyDescent="0.3">
      <c r="A102" s="1034">
        <v>336</v>
      </c>
      <c r="B102" s="1031" t="s">
        <v>1489</v>
      </c>
      <c r="C102" s="1034">
        <v>336</v>
      </c>
      <c r="D102" s="1036" t="s">
        <v>1375</v>
      </c>
      <c r="E102" s="1039">
        <v>0</v>
      </c>
      <c r="F102" s="1039">
        <v>19559</v>
      </c>
      <c r="G102" s="1039">
        <v>0</v>
      </c>
      <c r="H102" s="1039">
        <v>0</v>
      </c>
      <c r="I102" s="1039">
        <v>213851</v>
      </c>
      <c r="J102" s="1039">
        <v>4661724</v>
      </c>
      <c r="K102" s="1039">
        <v>24592</v>
      </c>
      <c r="L102" s="1039">
        <v>27596</v>
      </c>
      <c r="M102" s="1039">
        <v>0</v>
      </c>
      <c r="N102" s="1039">
        <v>0</v>
      </c>
      <c r="O102" s="1039">
        <v>9</v>
      </c>
      <c r="P102" s="1039">
        <v>99287</v>
      </c>
      <c r="Q102" s="1039">
        <v>1449</v>
      </c>
      <c r="R102" s="1039">
        <v>7754</v>
      </c>
      <c r="S102" s="1039">
        <v>3081</v>
      </c>
    </row>
    <row r="103" spans="1:19" s="403" customFormat="1" ht="28.8" x14ac:dyDescent="0.3">
      <c r="A103" s="1034">
        <v>337</v>
      </c>
      <c r="B103" s="1031"/>
      <c r="C103" s="1034">
        <v>337</v>
      </c>
      <c r="D103" s="1036" t="s">
        <v>1377</v>
      </c>
      <c r="E103" s="1039">
        <v>0</v>
      </c>
      <c r="F103" s="1039">
        <v>0</v>
      </c>
      <c r="G103" s="1039">
        <v>0</v>
      </c>
      <c r="H103" s="1039">
        <v>0</v>
      </c>
      <c r="I103" s="1039">
        <v>0</v>
      </c>
      <c r="J103" s="1039">
        <v>0</v>
      </c>
      <c r="K103" s="1039">
        <v>0</v>
      </c>
      <c r="L103" s="1039">
        <v>0</v>
      </c>
      <c r="M103" s="1039">
        <v>0</v>
      </c>
      <c r="N103" s="1039">
        <v>0</v>
      </c>
      <c r="O103" s="1039">
        <v>0</v>
      </c>
      <c r="P103" s="1039">
        <v>0</v>
      </c>
      <c r="Q103" s="1039">
        <v>0</v>
      </c>
      <c r="R103" s="1039">
        <v>0</v>
      </c>
      <c r="S103" s="1039">
        <v>0</v>
      </c>
    </row>
    <row r="104" spans="1:19" s="403" customFormat="1" x14ac:dyDescent="0.3">
      <c r="A104" s="1034">
        <v>338</v>
      </c>
      <c r="B104" s="1031">
        <v>338</v>
      </c>
      <c r="C104" s="1034">
        <v>338</v>
      </c>
      <c r="D104" s="1036" t="s">
        <v>1379</v>
      </c>
      <c r="E104" s="1039">
        <v>212288</v>
      </c>
      <c r="F104" s="1039">
        <v>578909</v>
      </c>
      <c r="G104" s="1039">
        <v>221142</v>
      </c>
      <c r="H104" s="1039">
        <v>139222</v>
      </c>
      <c r="I104" s="1039">
        <v>612785</v>
      </c>
      <c r="J104" s="1039">
        <v>87514706</v>
      </c>
      <c r="K104" s="1039">
        <v>655811</v>
      </c>
      <c r="L104" s="1039">
        <v>102402</v>
      </c>
      <c r="M104" s="1039">
        <v>752041</v>
      </c>
      <c r="N104" s="1039">
        <v>132006</v>
      </c>
      <c r="O104" s="1039">
        <v>339724</v>
      </c>
      <c r="P104" s="1039">
        <v>627536</v>
      </c>
      <c r="Q104" s="1039">
        <v>191389</v>
      </c>
      <c r="R104" s="1039">
        <v>301032</v>
      </c>
      <c r="S104" s="1039">
        <v>144831</v>
      </c>
    </row>
    <row r="105" spans="1:19" s="403" customFormat="1" x14ac:dyDescent="0.3">
      <c r="A105" s="1034">
        <v>339</v>
      </c>
      <c r="B105" s="1034">
        <v>339</v>
      </c>
      <c r="C105" s="1034">
        <v>339</v>
      </c>
      <c r="D105" s="1036" t="s">
        <v>1381</v>
      </c>
      <c r="E105" s="1039">
        <v>48417</v>
      </c>
      <c r="F105" s="1039">
        <v>57455</v>
      </c>
      <c r="G105" s="1039">
        <v>18369</v>
      </c>
      <c r="H105" s="1039">
        <v>42188</v>
      </c>
      <c r="I105" s="1039">
        <v>0</v>
      </c>
      <c r="J105" s="1039">
        <v>2075964</v>
      </c>
      <c r="K105" s="1039">
        <v>76646</v>
      </c>
      <c r="L105" s="1039">
        <v>0</v>
      </c>
      <c r="M105" s="1039">
        <v>69133</v>
      </c>
      <c r="N105" s="1039">
        <v>6152</v>
      </c>
      <c r="O105" s="1039">
        <v>0</v>
      </c>
      <c r="P105" s="1039">
        <v>38768</v>
      </c>
      <c r="Q105" s="1039">
        <v>0</v>
      </c>
      <c r="R105" s="1039">
        <v>16007</v>
      </c>
      <c r="S105" s="1039">
        <v>160652</v>
      </c>
    </row>
    <row r="106" spans="1:19" s="403" customFormat="1" x14ac:dyDescent="0.3">
      <c r="A106" s="1034">
        <v>340</v>
      </c>
      <c r="B106" s="1029"/>
      <c r="C106" s="1034">
        <v>340</v>
      </c>
      <c r="D106" s="1036" t="s">
        <v>1383</v>
      </c>
      <c r="E106" s="1039">
        <v>0</v>
      </c>
      <c r="F106" s="1039">
        <v>0</v>
      </c>
      <c r="G106" s="1039">
        <v>0</v>
      </c>
      <c r="H106" s="1039">
        <v>0</v>
      </c>
      <c r="I106" s="1039">
        <v>0</v>
      </c>
      <c r="J106" s="1039">
        <v>0</v>
      </c>
      <c r="K106" s="1039">
        <v>0</v>
      </c>
      <c r="L106" s="1039">
        <v>0</v>
      </c>
      <c r="M106" s="1039">
        <v>0</v>
      </c>
      <c r="N106" s="1039">
        <v>0</v>
      </c>
      <c r="O106" s="1039">
        <v>0</v>
      </c>
      <c r="P106" s="1039">
        <v>0</v>
      </c>
      <c r="Q106" s="1039">
        <v>0</v>
      </c>
      <c r="R106" s="1039">
        <v>0</v>
      </c>
      <c r="S106" s="1039">
        <v>0</v>
      </c>
    </row>
    <row r="107" spans="1:19" s="403" customFormat="1" ht="28.8" x14ac:dyDescent="0.3">
      <c r="A107" s="1034">
        <v>341</v>
      </c>
      <c r="B107" s="1034">
        <v>341</v>
      </c>
      <c r="C107" s="1034">
        <v>341</v>
      </c>
      <c r="D107" s="1036" t="s">
        <v>1385</v>
      </c>
      <c r="E107" s="1039">
        <v>1134805</v>
      </c>
      <c r="F107" s="1039">
        <v>2114145</v>
      </c>
      <c r="G107" s="1039">
        <v>5860</v>
      </c>
      <c r="H107" s="1039">
        <v>18621</v>
      </c>
      <c r="I107" s="1039">
        <v>2063829</v>
      </c>
      <c r="J107" s="1039">
        <v>73110488</v>
      </c>
      <c r="K107" s="1039">
        <v>104422</v>
      </c>
      <c r="L107" s="1039">
        <v>274</v>
      </c>
      <c r="M107" s="1039">
        <v>3082761</v>
      </c>
      <c r="N107" s="1039">
        <v>1075955</v>
      </c>
      <c r="O107" s="1039">
        <v>188296</v>
      </c>
      <c r="P107" s="1039">
        <v>287524</v>
      </c>
      <c r="Q107" s="1039">
        <v>38843</v>
      </c>
      <c r="R107" s="1039">
        <v>37058</v>
      </c>
      <c r="S107" s="1039">
        <v>610164</v>
      </c>
    </row>
    <row r="108" spans="1:19" s="403" customFormat="1" x14ac:dyDescent="0.3">
      <c r="A108" s="1034">
        <v>342</v>
      </c>
      <c r="B108" s="1029"/>
      <c r="C108" s="1034">
        <v>342</v>
      </c>
      <c r="D108" s="1036" t="s">
        <v>361</v>
      </c>
      <c r="E108" s="1039">
        <v>0</v>
      </c>
      <c r="F108" s="1039">
        <v>0</v>
      </c>
      <c r="G108" s="1039">
        <v>0</v>
      </c>
      <c r="H108" s="1039">
        <v>0</v>
      </c>
      <c r="I108" s="1039">
        <v>0</v>
      </c>
      <c r="J108" s="1039">
        <v>0</v>
      </c>
      <c r="K108" s="1039">
        <v>0</v>
      </c>
      <c r="L108" s="1039">
        <v>0</v>
      </c>
      <c r="M108" s="1039">
        <v>0</v>
      </c>
      <c r="N108" s="1039">
        <v>0</v>
      </c>
      <c r="O108" s="1039">
        <v>0</v>
      </c>
      <c r="P108" s="1039">
        <v>0</v>
      </c>
      <c r="Q108" s="1039">
        <v>0</v>
      </c>
      <c r="R108" s="1039">
        <v>0</v>
      </c>
      <c r="S108" s="1039">
        <v>0</v>
      </c>
    </row>
    <row r="109" spans="1:19" s="403" customFormat="1" x14ac:dyDescent="0.3">
      <c r="A109" s="1034">
        <v>343</v>
      </c>
      <c r="B109" s="1034"/>
      <c r="C109" s="1034">
        <v>343</v>
      </c>
      <c r="D109" s="1036" t="s">
        <v>1388</v>
      </c>
      <c r="E109" s="1039">
        <v>0</v>
      </c>
      <c r="F109" s="1039">
        <v>0</v>
      </c>
      <c r="G109" s="1039">
        <v>0</v>
      </c>
      <c r="H109" s="1039">
        <v>0</v>
      </c>
      <c r="I109" s="1039">
        <v>0</v>
      </c>
      <c r="J109" s="1039">
        <v>0</v>
      </c>
      <c r="K109" s="1039">
        <v>0</v>
      </c>
      <c r="L109" s="1039">
        <v>0</v>
      </c>
      <c r="M109" s="1039">
        <v>0</v>
      </c>
      <c r="N109" s="1039">
        <v>0</v>
      </c>
      <c r="O109" s="1039">
        <v>0</v>
      </c>
      <c r="P109" s="1039">
        <v>0</v>
      </c>
      <c r="Q109" s="1039">
        <v>0</v>
      </c>
      <c r="R109" s="1039">
        <v>0</v>
      </c>
      <c r="S109" s="1039">
        <v>0</v>
      </c>
    </row>
    <row r="110" spans="1:19" s="403" customFormat="1" x14ac:dyDescent="0.3">
      <c r="A110" s="1034">
        <v>344</v>
      </c>
      <c r="B110" s="1034"/>
      <c r="C110" s="1034">
        <v>344</v>
      </c>
      <c r="D110" s="1036" t="s">
        <v>1390</v>
      </c>
      <c r="E110" s="1039">
        <v>0</v>
      </c>
      <c r="F110" s="1039">
        <v>0</v>
      </c>
      <c r="G110" s="1039">
        <v>0</v>
      </c>
      <c r="H110" s="1039">
        <v>0</v>
      </c>
      <c r="I110" s="1039">
        <v>0</v>
      </c>
      <c r="J110" s="1039">
        <v>0</v>
      </c>
      <c r="K110" s="1039">
        <v>0</v>
      </c>
      <c r="L110" s="1039">
        <v>0</v>
      </c>
      <c r="M110" s="1039">
        <v>0</v>
      </c>
      <c r="N110" s="1039">
        <v>0</v>
      </c>
      <c r="O110" s="1039">
        <v>0</v>
      </c>
      <c r="P110" s="1039">
        <v>0</v>
      </c>
      <c r="Q110" s="1039">
        <v>0</v>
      </c>
      <c r="R110" s="1039">
        <v>0</v>
      </c>
      <c r="S110" s="1039">
        <v>0</v>
      </c>
    </row>
    <row r="111" spans="1:19" s="403" customFormat="1" x14ac:dyDescent="0.3">
      <c r="A111" s="1034">
        <v>346</v>
      </c>
      <c r="B111" s="1034"/>
      <c r="C111" s="1034">
        <v>367</v>
      </c>
      <c r="D111" s="1036" t="s">
        <v>362</v>
      </c>
      <c r="E111" s="1039">
        <v>0</v>
      </c>
      <c r="F111" s="1039">
        <v>0</v>
      </c>
      <c r="G111" s="1039">
        <v>0</v>
      </c>
      <c r="H111" s="1039">
        <v>0</v>
      </c>
      <c r="I111" s="1039">
        <v>0</v>
      </c>
      <c r="J111" s="1039">
        <v>0</v>
      </c>
      <c r="K111" s="1039">
        <v>0</v>
      </c>
      <c r="L111" s="1039">
        <v>0</v>
      </c>
      <c r="M111" s="1039">
        <v>0</v>
      </c>
      <c r="N111" s="1039">
        <v>0</v>
      </c>
      <c r="O111" s="1039">
        <v>0</v>
      </c>
      <c r="P111" s="1039">
        <v>0</v>
      </c>
      <c r="Q111" s="1039">
        <v>0</v>
      </c>
      <c r="R111" s="1039">
        <v>0</v>
      </c>
      <c r="S111" s="1039">
        <v>0</v>
      </c>
    </row>
    <row r="112" spans="1:19" s="403" customFormat="1" x14ac:dyDescent="0.3">
      <c r="A112" s="1034">
        <v>347</v>
      </c>
      <c r="B112" s="1034"/>
      <c r="C112" s="1034">
        <v>368</v>
      </c>
      <c r="D112" s="1036" t="s">
        <v>1393</v>
      </c>
      <c r="E112" s="1039">
        <v>0</v>
      </c>
      <c r="F112" s="1039">
        <v>0</v>
      </c>
      <c r="G112" s="1039">
        <v>0</v>
      </c>
      <c r="H112" s="1039">
        <v>0</v>
      </c>
      <c r="I112" s="1039">
        <v>0</v>
      </c>
      <c r="J112" s="1039">
        <v>0</v>
      </c>
      <c r="K112" s="1039">
        <v>0</v>
      </c>
      <c r="L112" s="1039">
        <v>0</v>
      </c>
      <c r="M112" s="1039">
        <v>0</v>
      </c>
      <c r="N112" s="1039">
        <v>0</v>
      </c>
      <c r="O112" s="1039">
        <v>0</v>
      </c>
      <c r="P112" s="1039">
        <v>0</v>
      </c>
      <c r="Q112" s="1039">
        <v>0</v>
      </c>
      <c r="R112" s="1039">
        <v>0</v>
      </c>
      <c r="S112" s="1039">
        <v>0</v>
      </c>
    </row>
    <row r="113" spans="1:20" s="403" customFormat="1" x14ac:dyDescent="0.3">
      <c r="A113" s="1034">
        <v>349</v>
      </c>
      <c r="B113" s="1034"/>
      <c r="C113" s="1034">
        <v>369</v>
      </c>
      <c r="D113" s="1036" t="s">
        <v>1395</v>
      </c>
      <c r="E113" s="1039">
        <v>0</v>
      </c>
      <c r="F113" s="1039">
        <v>0</v>
      </c>
      <c r="G113" s="1039">
        <v>0</v>
      </c>
      <c r="H113" s="1039">
        <v>0</v>
      </c>
      <c r="I113" s="1039">
        <v>0</v>
      </c>
      <c r="J113" s="1039">
        <v>0</v>
      </c>
      <c r="K113" s="1039">
        <v>0</v>
      </c>
      <c r="L113" s="1039">
        <v>0</v>
      </c>
      <c r="M113" s="1039">
        <v>0</v>
      </c>
      <c r="N113" s="1039">
        <v>0</v>
      </c>
      <c r="O113" s="1039">
        <v>0</v>
      </c>
      <c r="P113" s="1039">
        <v>0</v>
      </c>
      <c r="Q113" s="1039">
        <v>0</v>
      </c>
      <c r="R113" s="1039">
        <v>0</v>
      </c>
      <c r="S113" s="1039">
        <v>0</v>
      </c>
      <c r="T113" s="1029"/>
    </row>
    <row r="114" spans="1:20" s="403" customFormat="1" x14ac:dyDescent="0.3">
      <c r="A114" s="1034">
        <v>350</v>
      </c>
      <c r="B114" s="1034"/>
      <c r="C114" s="1034">
        <v>370</v>
      </c>
      <c r="D114" s="1036" t="s">
        <v>1397</v>
      </c>
      <c r="E114" s="1039">
        <v>0</v>
      </c>
      <c r="F114" s="1039">
        <v>0</v>
      </c>
      <c r="G114" s="1039">
        <v>0</v>
      </c>
      <c r="H114" s="1039">
        <v>0</v>
      </c>
      <c r="I114" s="1039">
        <v>0</v>
      </c>
      <c r="J114" s="1039">
        <v>0</v>
      </c>
      <c r="K114" s="1039">
        <v>0</v>
      </c>
      <c r="L114" s="1039">
        <v>0</v>
      </c>
      <c r="M114" s="1039">
        <v>0</v>
      </c>
      <c r="N114" s="1039">
        <v>0</v>
      </c>
      <c r="O114" s="1039">
        <v>0</v>
      </c>
      <c r="P114" s="1039">
        <v>0</v>
      </c>
      <c r="Q114" s="1039">
        <v>0</v>
      </c>
      <c r="R114" s="1039">
        <v>0</v>
      </c>
      <c r="S114" s="1039">
        <v>0</v>
      </c>
      <c r="T114" s="1029"/>
    </row>
    <row r="115" spans="1:20" s="403" customFormat="1" x14ac:dyDescent="0.3">
      <c r="A115" s="1034">
        <v>351</v>
      </c>
      <c r="B115" s="1034"/>
      <c r="C115" s="1034">
        <v>371</v>
      </c>
      <c r="D115" s="1036" t="s">
        <v>1399</v>
      </c>
      <c r="E115" s="1039">
        <v>0</v>
      </c>
      <c r="F115" s="1039">
        <v>0</v>
      </c>
      <c r="G115" s="1039">
        <v>0</v>
      </c>
      <c r="H115" s="1039">
        <v>0</v>
      </c>
      <c r="I115" s="1039">
        <v>0</v>
      </c>
      <c r="J115" s="1039">
        <v>0</v>
      </c>
      <c r="K115" s="1039">
        <v>0</v>
      </c>
      <c r="L115" s="1039">
        <v>0</v>
      </c>
      <c r="M115" s="1039">
        <v>0</v>
      </c>
      <c r="N115" s="1039">
        <v>0</v>
      </c>
      <c r="O115" s="1039">
        <v>0</v>
      </c>
      <c r="P115" s="1039">
        <v>0</v>
      </c>
      <c r="Q115" s="1039">
        <v>0</v>
      </c>
      <c r="R115" s="1039">
        <v>0</v>
      </c>
      <c r="S115" s="1039">
        <v>0</v>
      </c>
      <c r="T115" s="1029"/>
    </row>
    <row r="116" spans="1:20" s="403" customFormat="1" x14ac:dyDescent="0.3">
      <c r="A116" s="1034">
        <v>352</v>
      </c>
      <c r="B116" s="1034"/>
      <c r="C116" s="1034">
        <v>372</v>
      </c>
      <c r="D116" s="1036" t="s">
        <v>1401</v>
      </c>
      <c r="E116" s="1039">
        <v>0</v>
      </c>
      <c r="F116" s="1039">
        <v>0</v>
      </c>
      <c r="G116" s="1039">
        <v>0</v>
      </c>
      <c r="H116" s="1039">
        <v>0</v>
      </c>
      <c r="I116" s="1039">
        <v>0</v>
      </c>
      <c r="J116" s="1039">
        <v>0</v>
      </c>
      <c r="K116" s="1039">
        <v>0</v>
      </c>
      <c r="L116" s="1039">
        <v>0</v>
      </c>
      <c r="M116" s="1039">
        <v>0</v>
      </c>
      <c r="N116" s="1039">
        <v>0</v>
      </c>
      <c r="O116" s="1039">
        <v>0</v>
      </c>
      <c r="P116" s="1039">
        <v>0</v>
      </c>
      <c r="Q116" s="1039">
        <v>0</v>
      </c>
      <c r="R116" s="1039">
        <v>0</v>
      </c>
      <c r="S116" s="1039">
        <v>0</v>
      </c>
      <c r="T116" s="1029"/>
    </row>
    <row r="117" spans="1:20" s="403" customFormat="1" x14ac:dyDescent="0.3">
      <c r="A117" s="1034">
        <v>353</v>
      </c>
      <c r="B117" s="1034"/>
      <c r="C117" s="1034">
        <v>373</v>
      </c>
      <c r="D117" s="1036" t="s">
        <v>1403</v>
      </c>
      <c r="E117" s="1039">
        <v>0</v>
      </c>
      <c r="F117" s="1039">
        <v>0</v>
      </c>
      <c r="G117" s="1039">
        <v>0</v>
      </c>
      <c r="H117" s="1039">
        <v>0</v>
      </c>
      <c r="I117" s="1039">
        <v>0</v>
      </c>
      <c r="J117" s="1039">
        <v>0</v>
      </c>
      <c r="K117" s="1039">
        <v>0</v>
      </c>
      <c r="L117" s="1039">
        <v>0</v>
      </c>
      <c r="M117" s="1039">
        <v>0</v>
      </c>
      <c r="N117" s="1039">
        <v>0</v>
      </c>
      <c r="O117" s="1039">
        <v>0</v>
      </c>
      <c r="P117" s="1039">
        <v>0</v>
      </c>
      <c r="Q117" s="1039">
        <v>0</v>
      </c>
      <c r="R117" s="1039">
        <v>0</v>
      </c>
      <c r="S117" s="1039">
        <v>0</v>
      </c>
      <c r="T117" s="1029"/>
    </row>
    <row r="118" spans="1:20" s="403" customFormat="1" x14ac:dyDescent="0.3">
      <c r="A118" s="1034">
        <v>356</v>
      </c>
      <c r="B118" s="1029"/>
      <c r="C118" s="1029"/>
      <c r="D118" s="1029"/>
      <c r="E118" s="1029"/>
      <c r="F118" s="1029"/>
      <c r="G118" s="1029"/>
      <c r="H118" s="1029"/>
      <c r="I118" s="1029"/>
      <c r="J118" s="1029"/>
      <c r="K118" s="1029"/>
      <c r="L118" s="1029"/>
      <c r="M118" s="1029"/>
      <c r="N118" s="1029"/>
      <c r="O118" s="1029"/>
      <c r="P118" s="1029"/>
      <c r="Q118" s="1029"/>
      <c r="R118" s="1029"/>
      <c r="S118" s="1029"/>
      <c r="T118" s="1029"/>
    </row>
    <row r="119" spans="1:20" s="403" customFormat="1" x14ac:dyDescent="0.3">
      <c r="A119" s="1040">
        <v>357</v>
      </c>
      <c r="B119" s="1034"/>
      <c r="C119" s="1034"/>
      <c r="D119" s="1036"/>
      <c r="E119" s="1039"/>
      <c r="F119" s="1039"/>
      <c r="G119" s="1039"/>
      <c r="H119" s="1039"/>
      <c r="I119" s="1039"/>
      <c r="J119" s="1039"/>
      <c r="K119" s="1039"/>
      <c r="L119" s="1039"/>
      <c r="M119" s="1039"/>
      <c r="N119" s="1039"/>
      <c r="O119" s="1039"/>
      <c r="P119" s="1039"/>
      <c r="Q119" s="1039"/>
      <c r="R119" s="1039"/>
      <c r="S119" s="1039"/>
      <c r="T119" s="1029"/>
    </row>
    <row r="120" spans="1:20" s="403" customFormat="1" x14ac:dyDescent="0.3">
      <c r="A120" s="1034">
        <v>359</v>
      </c>
      <c r="B120" s="1034"/>
      <c r="C120" s="1029"/>
      <c r="D120" s="1029"/>
      <c r="E120" s="1039"/>
      <c r="F120" s="1039"/>
      <c r="G120" s="1039"/>
      <c r="H120" s="1039"/>
      <c r="I120" s="1039"/>
      <c r="J120" s="1039"/>
      <c r="K120" s="1039"/>
      <c r="L120" s="1039"/>
      <c r="M120" s="1039"/>
      <c r="N120" s="1039"/>
      <c r="O120" s="1039"/>
      <c r="P120" s="1039"/>
      <c r="Q120" s="1039"/>
      <c r="R120" s="1039"/>
      <c r="S120" s="1039"/>
      <c r="T120" s="1029"/>
    </row>
    <row r="121" spans="1:20" s="403" customFormat="1" x14ac:dyDescent="0.3">
      <c r="A121" s="1034">
        <v>360</v>
      </c>
      <c r="B121" s="1034"/>
      <c r="C121" s="1029"/>
      <c r="D121" s="1029"/>
      <c r="E121" s="1039"/>
      <c r="F121" s="1039"/>
      <c r="G121" s="1039"/>
      <c r="H121" s="1039"/>
      <c r="I121" s="1039"/>
      <c r="J121" s="1039"/>
      <c r="K121" s="1039"/>
      <c r="L121" s="1039"/>
      <c r="M121" s="1039"/>
      <c r="N121" s="1039"/>
      <c r="O121" s="1039"/>
      <c r="P121" s="1039"/>
      <c r="Q121" s="1039"/>
      <c r="R121" s="1039"/>
      <c r="S121" s="1039"/>
      <c r="T121" s="1029"/>
    </row>
    <row r="122" spans="1:20" s="403" customFormat="1" x14ac:dyDescent="0.3">
      <c r="A122" s="1034">
        <v>361</v>
      </c>
      <c r="B122" s="1034"/>
      <c r="C122" s="1029"/>
      <c r="D122" s="1029"/>
      <c r="E122" s="1039"/>
      <c r="F122" s="1039"/>
      <c r="G122" s="1039"/>
      <c r="H122" s="1039"/>
      <c r="I122" s="1039"/>
      <c r="J122" s="1039"/>
      <c r="K122" s="1039"/>
      <c r="L122" s="1039"/>
      <c r="M122" s="1039"/>
      <c r="N122" s="1039"/>
      <c r="O122" s="1039"/>
      <c r="P122" s="1039"/>
      <c r="Q122" s="1039"/>
      <c r="R122" s="1039"/>
      <c r="S122" s="1039"/>
      <c r="T122" s="1029"/>
    </row>
    <row r="123" spans="1:20" s="403" customFormat="1" x14ac:dyDescent="0.3">
      <c r="A123" s="1034">
        <v>362</v>
      </c>
      <c r="B123" s="1034"/>
      <c r="C123" s="1029"/>
      <c r="D123" s="1029"/>
      <c r="E123" s="1039"/>
      <c r="F123" s="1039"/>
      <c r="G123" s="1039"/>
      <c r="H123" s="1039"/>
      <c r="I123" s="1039"/>
      <c r="J123" s="1039"/>
      <c r="K123" s="1039"/>
      <c r="L123" s="1039"/>
      <c r="M123" s="1039"/>
      <c r="N123" s="1039"/>
      <c r="O123" s="1039"/>
      <c r="P123" s="1039"/>
      <c r="Q123" s="1039"/>
      <c r="R123" s="1039"/>
      <c r="S123" s="1039"/>
      <c r="T123" s="1029"/>
    </row>
    <row r="124" spans="1:20" s="403" customFormat="1" x14ac:dyDescent="0.3">
      <c r="A124" s="1034">
        <v>363</v>
      </c>
      <c r="B124" s="1034"/>
      <c r="C124" s="1029"/>
      <c r="D124" s="1029"/>
      <c r="E124" s="1039"/>
      <c r="F124" s="1039"/>
      <c r="G124" s="1039"/>
      <c r="H124" s="1039"/>
      <c r="I124" s="1039"/>
      <c r="J124" s="1039"/>
      <c r="K124" s="1039"/>
      <c r="L124" s="1039"/>
      <c r="M124" s="1039"/>
      <c r="N124" s="1039"/>
      <c r="O124" s="1039"/>
      <c r="P124" s="1039"/>
      <c r="Q124" s="1039"/>
      <c r="R124" s="1039"/>
      <c r="S124" s="1039"/>
      <c r="T124" s="1029"/>
    </row>
    <row r="125" spans="1:20" s="403" customFormat="1" x14ac:dyDescent="0.3">
      <c r="A125" s="1034">
        <v>364</v>
      </c>
      <c r="B125" s="1034"/>
      <c r="C125" s="1029"/>
      <c r="D125" s="1029"/>
      <c r="E125" s="1039"/>
      <c r="F125" s="1039"/>
      <c r="G125" s="1039"/>
      <c r="H125" s="1039"/>
      <c r="I125" s="1039"/>
      <c r="J125" s="1039"/>
      <c r="K125" s="1039"/>
      <c r="L125" s="1039"/>
      <c r="M125" s="1039"/>
      <c r="N125" s="1039"/>
      <c r="O125" s="1039"/>
      <c r="P125" s="1039"/>
      <c r="Q125" s="1039"/>
      <c r="R125" s="1039"/>
      <c r="S125" s="1039"/>
      <c r="T125" s="1029"/>
    </row>
    <row r="126" spans="1:20" s="403" customFormat="1" x14ac:dyDescent="0.3">
      <c r="A126" s="1034">
        <v>365</v>
      </c>
      <c r="B126" s="1034"/>
      <c r="C126" s="1029"/>
      <c r="D126" s="1029"/>
      <c r="E126" s="1039"/>
      <c r="F126" s="1039"/>
      <c r="G126" s="1039"/>
      <c r="H126" s="1039"/>
      <c r="I126" s="1039"/>
      <c r="J126" s="1039"/>
      <c r="K126" s="1039"/>
      <c r="L126" s="1039"/>
      <c r="M126" s="1039"/>
      <c r="N126" s="1039"/>
      <c r="O126" s="1039"/>
      <c r="P126" s="1039"/>
      <c r="Q126" s="1039"/>
      <c r="R126" s="1039"/>
      <c r="S126" s="1039"/>
      <c r="T126" s="1041"/>
    </row>
    <row r="127" spans="1:20" s="403" customFormat="1" x14ac:dyDescent="0.3">
      <c r="A127" s="1034">
        <v>366</v>
      </c>
      <c r="B127" s="1034"/>
      <c r="C127" s="1029"/>
      <c r="D127" s="1029"/>
      <c r="E127" s="1039"/>
      <c r="F127" s="1039"/>
      <c r="G127" s="1039"/>
      <c r="H127" s="1039"/>
      <c r="I127" s="1039"/>
      <c r="J127" s="1039"/>
      <c r="K127" s="1039"/>
      <c r="L127" s="1039"/>
      <c r="M127" s="1039"/>
      <c r="N127" s="1039"/>
      <c r="O127" s="1039"/>
      <c r="P127" s="1039"/>
      <c r="Q127" s="1039"/>
      <c r="R127" s="1039"/>
      <c r="S127" s="1039"/>
      <c r="T127" s="1029"/>
    </row>
    <row r="128" spans="1:20" s="403" customFormat="1" x14ac:dyDescent="0.3">
      <c r="A128" s="1034">
        <v>367</v>
      </c>
      <c r="B128" s="1034"/>
      <c r="C128" s="1029"/>
      <c r="D128" s="1029"/>
      <c r="E128" s="1039"/>
      <c r="F128" s="1039"/>
      <c r="G128" s="1039"/>
      <c r="H128" s="1039"/>
      <c r="I128" s="1039"/>
      <c r="J128" s="1039"/>
      <c r="K128" s="1039"/>
      <c r="L128" s="1039"/>
      <c r="M128" s="1039"/>
      <c r="N128" s="1039"/>
      <c r="O128" s="1039"/>
      <c r="P128" s="1039"/>
      <c r="Q128" s="1039"/>
      <c r="R128" s="1039"/>
      <c r="S128" s="1039"/>
      <c r="T128" s="1029"/>
    </row>
    <row r="129" spans="1:19" s="403" customFormat="1" x14ac:dyDescent="0.3">
      <c r="A129" s="1034">
        <v>368</v>
      </c>
      <c r="B129" s="1034">
        <v>368</v>
      </c>
      <c r="C129" s="1029"/>
      <c r="D129" s="1029"/>
      <c r="E129" s="1039">
        <v>0</v>
      </c>
      <c r="F129" s="1039">
        <v>0</v>
      </c>
      <c r="G129" s="1039">
        <v>0</v>
      </c>
      <c r="H129" s="1039">
        <v>0</v>
      </c>
      <c r="I129" s="1039">
        <v>0</v>
      </c>
      <c r="J129" s="1039">
        <v>0</v>
      </c>
      <c r="K129" s="1039">
        <v>0</v>
      </c>
      <c r="L129" s="1039">
        <v>0</v>
      </c>
      <c r="M129" s="1039">
        <v>0</v>
      </c>
      <c r="N129" s="1039">
        <v>0</v>
      </c>
      <c r="O129" s="1039">
        <v>0</v>
      </c>
      <c r="P129" s="1039">
        <v>0</v>
      </c>
      <c r="Q129" s="1039">
        <v>0</v>
      </c>
      <c r="R129" s="1039">
        <v>0</v>
      </c>
      <c r="S129" s="1039">
        <v>0</v>
      </c>
    </row>
    <row r="130" spans="1:19" s="403" customFormat="1" x14ac:dyDescent="0.3">
      <c r="A130" s="1034">
        <v>369</v>
      </c>
      <c r="B130" s="1034"/>
      <c r="C130" s="1029"/>
      <c r="D130" s="1029"/>
      <c r="E130" s="1039"/>
      <c r="F130" s="1039"/>
      <c r="G130" s="1039"/>
      <c r="H130" s="1039"/>
      <c r="I130" s="1039"/>
      <c r="J130" s="1039"/>
      <c r="K130" s="1039"/>
      <c r="L130" s="1039"/>
      <c r="M130" s="1039"/>
      <c r="N130" s="1039"/>
      <c r="O130" s="1039"/>
      <c r="P130" s="1039"/>
      <c r="Q130" s="1039"/>
      <c r="R130" s="1039"/>
      <c r="S130" s="1039"/>
    </row>
    <row r="131" spans="1:19" s="403" customFormat="1" x14ac:dyDescent="0.3">
      <c r="A131" s="1034">
        <v>370</v>
      </c>
      <c r="B131" s="1034"/>
      <c r="C131" s="1029"/>
      <c r="D131" s="1029"/>
      <c r="E131" s="1039"/>
      <c r="F131" s="1039"/>
      <c r="G131" s="1039"/>
      <c r="H131" s="1039"/>
      <c r="I131" s="1039"/>
      <c r="J131" s="1039"/>
      <c r="K131" s="1039"/>
      <c r="L131" s="1039"/>
      <c r="M131" s="1039"/>
      <c r="N131" s="1039"/>
      <c r="O131" s="1039"/>
      <c r="P131" s="1039"/>
      <c r="Q131" s="1039"/>
      <c r="R131" s="1039"/>
      <c r="S131" s="1039"/>
    </row>
    <row r="132" spans="1:19" s="403" customFormat="1" x14ac:dyDescent="0.3">
      <c r="A132" s="1034">
        <v>371</v>
      </c>
      <c r="B132" s="1034"/>
      <c r="C132" s="1029"/>
      <c r="D132" s="1029"/>
      <c r="E132" s="1039"/>
      <c r="F132" s="1039"/>
      <c r="G132" s="1039"/>
      <c r="H132" s="1039"/>
      <c r="I132" s="1039"/>
      <c r="J132" s="1039"/>
      <c r="K132" s="1039"/>
      <c r="L132" s="1039"/>
      <c r="M132" s="1039"/>
      <c r="N132" s="1039"/>
      <c r="O132" s="1039"/>
      <c r="P132" s="1039"/>
      <c r="Q132" s="1039"/>
      <c r="R132" s="1039"/>
      <c r="S132" s="1039"/>
    </row>
    <row r="133" spans="1:19" s="403" customFormat="1" x14ac:dyDescent="0.3">
      <c r="A133" s="1034">
        <v>373</v>
      </c>
      <c r="B133" s="1034"/>
      <c r="C133" s="1029"/>
      <c r="D133" s="1029"/>
      <c r="E133" s="1039"/>
      <c r="F133" s="1039"/>
      <c r="G133" s="1039"/>
      <c r="H133" s="1039"/>
      <c r="I133" s="1039"/>
      <c r="J133" s="1039"/>
      <c r="K133" s="1039"/>
      <c r="L133" s="1039"/>
      <c r="M133" s="1039"/>
      <c r="N133" s="1039"/>
      <c r="O133" s="1039"/>
      <c r="P133" s="1039"/>
      <c r="Q133" s="1039"/>
      <c r="R133" s="1039"/>
      <c r="S133" s="1039"/>
    </row>
    <row r="134" spans="1:19" s="403" customFormat="1" x14ac:dyDescent="0.3">
      <c r="A134" s="1034">
        <v>375</v>
      </c>
      <c r="B134" s="1034"/>
      <c r="C134" s="1029"/>
      <c r="D134" s="1029"/>
      <c r="E134" s="1039"/>
      <c r="F134" s="1039"/>
      <c r="G134" s="1039"/>
      <c r="H134" s="1039"/>
      <c r="I134" s="1039"/>
      <c r="J134" s="1039"/>
      <c r="K134" s="1039"/>
      <c r="L134" s="1039"/>
      <c r="M134" s="1039"/>
      <c r="N134" s="1039"/>
      <c r="O134" s="1039"/>
      <c r="P134" s="1039"/>
      <c r="Q134" s="1039"/>
      <c r="R134" s="1039"/>
      <c r="S134" s="1039"/>
    </row>
    <row r="135" spans="1:19" s="403" customFormat="1" x14ac:dyDescent="0.3">
      <c r="A135" s="1034">
        <v>376</v>
      </c>
      <c r="B135" s="1034">
        <v>376</v>
      </c>
      <c r="C135" s="1034">
        <v>376</v>
      </c>
      <c r="D135" s="1036" t="s">
        <v>1405</v>
      </c>
      <c r="E135" s="1039">
        <v>0</v>
      </c>
      <c r="F135" s="1039">
        <v>0</v>
      </c>
      <c r="G135" s="1039">
        <v>0</v>
      </c>
      <c r="H135" s="1039">
        <v>38611</v>
      </c>
      <c r="I135" s="1039">
        <v>1</v>
      </c>
      <c r="J135" s="1039">
        <v>0</v>
      </c>
      <c r="K135" s="1039">
        <v>0</v>
      </c>
      <c r="L135" s="1039">
        <v>0</v>
      </c>
      <c r="M135" s="1039">
        <v>82710</v>
      </c>
      <c r="N135" s="1039">
        <v>0</v>
      </c>
      <c r="O135" s="1039">
        <v>0</v>
      </c>
      <c r="P135" s="1039">
        <v>0</v>
      </c>
      <c r="Q135" s="1039">
        <v>0</v>
      </c>
      <c r="R135" s="1039">
        <v>0</v>
      </c>
      <c r="S135" s="1039">
        <v>0</v>
      </c>
    </row>
    <row r="136" spans="1:19" s="403" customFormat="1" x14ac:dyDescent="0.3">
      <c r="A136" s="1034">
        <v>377</v>
      </c>
      <c r="B136" s="1034"/>
      <c r="C136" s="1029"/>
      <c r="D136" s="1029"/>
      <c r="E136" s="1039"/>
      <c r="F136" s="1039"/>
      <c r="G136" s="1039"/>
      <c r="H136" s="1039"/>
      <c r="I136" s="1039"/>
      <c r="J136" s="1039"/>
      <c r="K136" s="1039"/>
      <c r="L136" s="1039"/>
      <c r="M136" s="1039"/>
      <c r="N136" s="1039"/>
      <c r="O136" s="1039"/>
      <c r="P136" s="1039"/>
      <c r="Q136" s="1039"/>
      <c r="R136" s="1039"/>
      <c r="S136" s="1039"/>
    </row>
    <row r="137" spans="1:19" s="403" customFormat="1" x14ac:dyDescent="0.3">
      <c r="A137" s="1034">
        <v>378</v>
      </c>
      <c r="B137" s="1034"/>
      <c r="C137" s="1029"/>
      <c r="D137" s="1029"/>
      <c r="E137" s="1039"/>
      <c r="F137" s="1039"/>
      <c r="G137" s="1039"/>
      <c r="H137" s="1039"/>
      <c r="I137" s="1039"/>
      <c r="J137" s="1039"/>
      <c r="K137" s="1039"/>
      <c r="L137" s="1039"/>
      <c r="M137" s="1039"/>
      <c r="N137" s="1039"/>
      <c r="O137" s="1039"/>
      <c r="P137" s="1039"/>
      <c r="Q137" s="1039"/>
      <c r="R137" s="1039"/>
      <c r="S137" s="1039"/>
    </row>
    <row r="138" spans="1:19" s="403" customFormat="1" x14ac:dyDescent="0.3">
      <c r="A138" s="1034">
        <v>379</v>
      </c>
      <c r="B138" s="1034">
        <v>379</v>
      </c>
      <c r="C138" s="1034">
        <v>379</v>
      </c>
      <c r="D138" s="1036" t="s">
        <v>1407</v>
      </c>
      <c r="E138" s="1039">
        <v>2099041</v>
      </c>
      <c r="F138" s="1039">
        <v>1202126</v>
      </c>
      <c r="G138" s="1039">
        <v>1461892</v>
      </c>
      <c r="H138" s="1039">
        <v>700418</v>
      </c>
      <c r="I138" s="1039">
        <v>1077328</v>
      </c>
      <c r="J138" s="1039">
        <v>11148053</v>
      </c>
      <c r="K138" s="1039">
        <v>1344835</v>
      </c>
      <c r="L138" s="1039">
        <v>212275</v>
      </c>
      <c r="M138" s="1039">
        <v>1876612</v>
      </c>
      <c r="N138" s="1039">
        <v>1441592</v>
      </c>
      <c r="O138" s="1039">
        <v>1683369</v>
      </c>
      <c r="P138" s="1039">
        <v>1172962</v>
      </c>
      <c r="Q138" s="1039">
        <v>587620</v>
      </c>
      <c r="R138" s="1039">
        <v>651602</v>
      </c>
      <c r="S138" s="1039">
        <v>386311</v>
      </c>
    </row>
    <row r="139" spans="1:19" s="403" customFormat="1" x14ac:dyDescent="0.3">
      <c r="A139" s="1034">
        <v>380</v>
      </c>
      <c r="B139" s="1034">
        <v>380</v>
      </c>
      <c r="C139" s="1034">
        <v>380</v>
      </c>
      <c r="D139" s="1036" t="s">
        <v>1409</v>
      </c>
      <c r="E139" s="1039">
        <v>0</v>
      </c>
      <c r="F139" s="1039">
        <v>0</v>
      </c>
      <c r="G139" s="1039">
        <v>0</v>
      </c>
      <c r="H139" s="1039">
        <v>0</v>
      </c>
      <c r="I139" s="1039">
        <v>0</v>
      </c>
      <c r="J139" s="1039">
        <v>0</v>
      </c>
      <c r="K139" s="1039">
        <v>0</v>
      </c>
      <c r="L139" s="1039">
        <v>0</v>
      </c>
      <c r="M139" s="1039">
        <v>0</v>
      </c>
      <c r="N139" s="1039">
        <v>0</v>
      </c>
      <c r="O139" s="1039">
        <v>0</v>
      </c>
      <c r="P139" s="1039">
        <v>0</v>
      </c>
      <c r="Q139" s="1039">
        <v>0</v>
      </c>
      <c r="R139" s="1039">
        <v>0</v>
      </c>
      <c r="S139" s="1039">
        <v>0</v>
      </c>
    </row>
    <row r="140" spans="1:19" s="403" customFormat="1" x14ac:dyDescent="0.3">
      <c r="A140" s="1034">
        <v>381</v>
      </c>
      <c r="B140" s="1034"/>
      <c r="C140" s="1029"/>
      <c r="D140" s="1029"/>
      <c r="E140" s="1039"/>
      <c r="F140" s="1039"/>
      <c r="G140" s="1039"/>
      <c r="H140" s="1039"/>
      <c r="I140" s="1039"/>
      <c r="J140" s="1039"/>
      <c r="K140" s="1039"/>
      <c r="L140" s="1039"/>
      <c r="M140" s="1039"/>
      <c r="N140" s="1039"/>
      <c r="O140" s="1039"/>
      <c r="P140" s="1039"/>
      <c r="Q140" s="1039"/>
      <c r="R140" s="1039"/>
      <c r="S140" s="1039"/>
    </row>
    <row r="141" spans="1:19" s="403" customFormat="1" x14ac:dyDescent="0.3">
      <c r="A141" s="1034">
        <v>382</v>
      </c>
      <c r="B141" s="1034"/>
      <c r="C141" s="1029"/>
      <c r="D141" s="1029"/>
      <c r="E141" s="1039"/>
      <c r="F141" s="1039"/>
      <c r="G141" s="1039"/>
      <c r="H141" s="1039"/>
      <c r="I141" s="1039"/>
      <c r="J141" s="1039"/>
      <c r="K141" s="1039"/>
      <c r="L141" s="1039"/>
      <c r="M141" s="1039"/>
      <c r="N141" s="1039"/>
      <c r="O141" s="1039"/>
      <c r="P141" s="1039"/>
      <c r="Q141" s="1039"/>
      <c r="R141" s="1039"/>
      <c r="S141" s="1039"/>
    </row>
    <row r="142" spans="1:19" s="403" customFormat="1" x14ac:dyDescent="0.3">
      <c r="A142" s="1034">
        <v>383</v>
      </c>
      <c r="B142" s="1034"/>
      <c r="C142" s="1029"/>
      <c r="D142" s="1029"/>
      <c r="E142" s="1039"/>
      <c r="F142" s="1039"/>
      <c r="G142" s="1039"/>
      <c r="H142" s="1039"/>
      <c r="I142" s="1039"/>
      <c r="J142" s="1039"/>
      <c r="K142" s="1039"/>
      <c r="L142" s="1039"/>
      <c r="M142" s="1039"/>
      <c r="N142" s="1039"/>
      <c r="O142" s="1039"/>
      <c r="P142" s="1039"/>
      <c r="Q142" s="1039"/>
      <c r="R142" s="1039"/>
      <c r="S142" s="1039"/>
    </row>
    <row r="143" spans="1:19" s="403" customFormat="1" x14ac:dyDescent="0.3">
      <c r="A143" s="1034">
        <v>384</v>
      </c>
      <c r="B143" s="1034"/>
      <c r="C143" s="1029"/>
      <c r="D143" s="1029"/>
      <c r="E143" s="1039"/>
      <c r="F143" s="1039"/>
      <c r="G143" s="1039"/>
      <c r="H143" s="1039"/>
      <c r="I143" s="1039"/>
      <c r="J143" s="1039"/>
      <c r="K143" s="1039"/>
      <c r="L143" s="1039"/>
      <c r="M143" s="1039"/>
      <c r="N143" s="1039"/>
      <c r="O143" s="1039"/>
      <c r="P143" s="1039"/>
      <c r="Q143" s="1039"/>
      <c r="R143" s="1039"/>
      <c r="S143" s="1039"/>
    </row>
    <row r="144" spans="1:19" s="403" customFormat="1" x14ac:dyDescent="0.3">
      <c r="A144" s="1034">
        <v>385</v>
      </c>
      <c r="B144" s="1034">
        <v>385</v>
      </c>
      <c r="C144" s="1034">
        <v>385</v>
      </c>
      <c r="D144" s="1036" t="s">
        <v>1411</v>
      </c>
      <c r="E144" s="1039">
        <v>2527178</v>
      </c>
      <c r="F144" s="1039">
        <v>1959151</v>
      </c>
      <c r="G144" s="1039">
        <v>1594051</v>
      </c>
      <c r="H144" s="1039">
        <v>1544815</v>
      </c>
      <c r="I144" s="1039">
        <v>1423542</v>
      </c>
      <c r="J144" s="1039">
        <v>152041002</v>
      </c>
      <c r="K144" s="1039">
        <v>3043576</v>
      </c>
      <c r="L144" s="1039">
        <v>310467</v>
      </c>
      <c r="M144" s="1039">
        <v>3258844</v>
      </c>
      <c r="N144" s="1039">
        <v>2265034</v>
      </c>
      <c r="O144" s="1039">
        <v>5033333</v>
      </c>
      <c r="P144" s="1039">
        <v>2124197</v>
      </c>
      <c r="Q144" s="1039">
        <v>993586</v>
      </c>
      <c r="R144" s="1039">
        <v>920085</v>
      </c>
      <c r="S144" s="1039">
        <v>723842</v>
      </c>
    </row>
    <row r="145" spans="1:21" s="403" customFormat="1" x14ac:dyDescent="0.3">
      <c r="A145" s="1034">
        <v>386</v>
      </c>
      <c r="B145" s="1034">
        <v>386</v>
      </c>
      <c r="C145" s="1034">
        <v>386</v>
      </c>
      <c r="D145" s="1036" t="s">
        <v>1413</v>
      </c>
      <c r="E145" s="1039">
        <v>0</v>
      </c>
      <c r="F145" s="1039">
        <v>0</v>
      </c>
      <c r="G145" s="1039">
        <v>0</v>
      </c>
      <c r="H145" s="1039">
        <v>0</v>
      </c>
      <c r="I145" s="1039">
        <v>0</v>
      </c>
      <c r="J145" s="1039">
        <v>0</v>
      </c>
      <c r="K145" s="1039">
        <v>0</v>
      </c>
      <c r="L145" s="1039">
        <v>0</v>
      </c>
      <c r="M145" s="1039">
        <v>0</v>
      </c>
      <c r="N145" s="1039">
        <v>0</v>
      </c>
      <c r="O145" s="1039">
        <v>0</v>
      </c>
      <c r="P145" s="1039">
        <v>0</v>
      </c>
      <c r="Q145" s="1039">
        <v>0</v>
      </c>
      <c r="R145" s="1039">
        <v>0</v>
      </c>
      <c r="S145" s="1039">
        <v>0</v>
      </c>
      <c r="T145" s="1029"/>
      <c r="U145" s="1029"/>
    </row>
    <row r="146" spans="1:21" s="403" customFormat="1" x14ac:dyDescent="0.3">
      <c r="A146" s="1034">
        <v>387</v>
      </c>
      <c r="B146" s="1034">
        <v>387</v>
      </c>
      <c r="C146" s="1034">
        <v>387</v>
      </c>
      <c r="D146" s="1036" t="s">
        <v>1415</v>
      </c>
      <c r="E146" s="1039">
        <v>0</v>
      </c>
      <c r="F146" s="1039">
        <v>0</v>
      </c>
      <c r="G146" s="1039">
        <v>0</v>
      </c>
      <c r="H146" s="1039">
        <v>0</v>
      </c>
      <c r="I146" s="1039">
        <v>0</v>
      </c>
      <c r="J146" s="1039">
        <v>0</v>
      </c>
      <c r="K146" s="1039">
        <v>0</v>
      </c>
      <c r="L146" s="1039">
        <v>0</v>
      </c>
      <c r="M146" s="1039">
        <v>0</v>
      </c>
      <c r="N146" s="1039">
        <v>0</v>
      </c>
      <c r="O146" s="1039">
        <v>0</v>
      </c>
      <c r="P146" s="1039">
        <v>0</v>
      </c>
      <c r="Q146" s="1039">
        <v>0</v>
      </c>
      <c r="R146" s="1039">
        <v>0</v>
      </c>
      <c r="S146" s="1039">
        <v>0</v>
      </c>
      <c r="T146" s="1029"/>
      <c r="U146" s="1029"/>
    </row>
    <row r="147" spans="1:21" s="403" customFormat="1" x14ac:dyDescent="0.3">
      <c r="A147" s="1034">
        <v>388</v>
      </c>
      <c r="B147" s="1034">
        <v>388</v>
      </c>
      <c r="C147" s="1034">
        <v>388</v>
      </c>
      <c r="D147" s="1036" t="s">
        <v>1417</v>
      </c>
      <c r="E147" s="1039">
        <v>1369701</v>
      </c>
      <c r="F147" s="1039">
        <v>2753708</v>
      </c>
      <c r="G147" s="1039">
        <v>883317</v>
      </c>
      <c r="H147" s="1039">
        <v>857083</v>
      </c>
      <c r="I147" s="1039">
        <v>2089208</v>
      </c>
      <c r="J147" s="1039">
        <v>51611445</v>
      </c>
      <c r="K147" s="1039">
        <v>3595611</v>
      </c>
      <c r="L147" s="1039">
        <v>448197</v>
      </c>
      <c r="M147" s="1039">
        <v>3311704</v>
      </c>
      <c r="N147" s="1039">
        <v>1165873</v>
      </c>
      <c r="O147" s="1039">
        <v>2056439</v>
      </c>
      <c r="P147" s="1039">
        <v>2692970</v>
      </c>
      <c r="Q147" s="1039">
        <v>1227027</v>
      </c>
      <c r="R147" s="1039">
        <v>1379584</v>
      </c>
      <c r="S147" s="1039">
        <v>930897</v>
      </c>
      <c r="T147" s="1029"/>
      <c r="U147" s="1029"/>
    </row>
    <row r="148" spans="1:21" s="403" customFormat="1" x14ac:dyDescent="0.3">
      <c r="A148" s="1034">
        <v>389</v>
      </c>
      <c r="B148" s="1034">
        <v>389</v>
      </c>
      <c r="C148" s="1034">
        <v>389</v>
      </c>
      <c r="D148" s="1036" t="s">
        <v>1419</v>
      </c>
      <c r="E148" s="1039">
        <v>0</v>
      </c>
      <c r="F148" s="1039">
        <v>0</v>
      </c>
      <c r="G148" s="1039">
        <v>0</v>
      </c>
      <c r="H148" s="1039">
        <v>0</v>
      </c>
      <c r="I148" s="1039">
        <v>-32903</v>
      </c>
      <c r="J148" s="1039">
        <v>0</v>
      </c>
      <c r="K148" s="1039">
        <v>0</v>
      </c>
      <c r="L148" s="1039">
        <v>0</v>
      </c>
      <c r="M148" s="1039">
        <v>0</v>
      </c>
      <c r="N148" s="1039">
        <v>0</v>
      </c>
      <c r="O148" s="1039">
        <v>0</v>
      </c>
      <c r="P148" s="1039">
        <v>0</v>
      </c>
      <c r="Q148" s="1039">
        <v>0</v>
      </c>
      <c r="R148" s="1039">
        <v>0</v>
      </c>
      <c r="S148" s="1039">
        <v>0</v>
      </c>
      <c r="T148" s="1029"/>
      <c r="U148" s="1029"/>
    </row>
    <row r="149" spans="1:21" s="403" customFormat="1" x14ac:dyDescent="0.3">
      <c r="A149" s="1034">
        <v>391</v>
      </c>
      <c r="B149" s="1040">
        <v>391</v>
      </c>
      <c r="C149" s="1034">
        <v>391</v>
      </c>
      <c r="D149" s="1036" t="s">
        <v>1423</v>
      </c>
      <c r="E149" s="1039">
        <v>0</v>
      </c>
      <c r="F149" s="1039">
        <v>33610</v>
      </c>
      <c r="G149" s="1039">
        <v>11875</v>
      </c>
      <c r="H149" s="1039">
        <v>3004</v>
      </c>
      <c r="I149" s="1039">
        <v>107680</v>
      </c>
      <c r="J149" s="1039">
        <v>2335607</v>
      </c>
      <c r="K149" s="1039">
        <v>98391</v>
      </c>
      <c r="L149" s="1039">
        <v>84143</v>
      </c>
      <c r="M149" s="1039">
        <v>202787</v>
      </c>
      <c r="N149" s="1039">
        <v>5872</v>
      </c>
      <c r="O149" s="1039">
        <v>55463</v>
      </c>
      <c r="P149" s="1039">
        <v>88926</v>
      </c>
      <c r="Q149" s="1039">
        <v>20893</v>
      </c>
      <c r="R149" s="1039">
        <v>0</v>
      </c>
      <c r="S149" s="1039">
        <v>48255</v>
      </c>
      <c r="T149" s="1029"/>
      <c r="U149" s="1029"/>
    </row>
    <row r="150" spans="1:21" s="403" customFormat="1" x14ac:dyDescent="0.3">
      <c r="A150" s="1034">
        <v>500</v>
      </c>
      <c r="B150" s="1040">
        <v>500</v>
      </c>
      <c r="C150" s="1034">
        <v>500</v>
      </c>
      <c r="D150" s="1036" t="s">
        <v>183</v>
      </c>
      <c r="E150" s="1039">
        <v>103577</v>
      </c>
      <c r="F150" s="1039">
        <v>83660</v>
      </c>
      <c r="G150" s="1039">
        <v>1384272</v>
      </c>
      <c r="H150" s="1039">
        <v>0</v>
      </c>
      <c r="I150" s="1039">
        <v>103181</v>
      </c>
      <c r="J150" s="1039">
        <v>15135006</v>
      </c>
      <c r="K150" s="1039">
        <v>0</v>
      </c>
      <c r="L150" s="1039">
        <v>49375</v>
      </c>
      <c r="M150" s="1039">
        <v>0</v>
      </c>
      <c r="N150" s="1039">
        <v>1291177</v>
      </c>
      <c r="O150" s="1039">
        <v>0</v>
      </c>
      <c r="P150" s="1039">
        <v>0</v>
      </c>
      <c r="Q150" s="1039">
        <v>149501</v>
      </c>
      <c r="R150" s="1039">
        <v>163642</v>
      </c>
      <c r="S150" s="1039">
        <v>0</v>
      </c>
      <c r="T150" s="1029"/>
      <c r="U150" s="1029"/>
    </row>
    <row r="151" spans="1:21" s="403" customFormat="1" x14ac:dyDescent="0.3">
      <c r="A151" s="1034">
        <v>501</v>
      </c>
      <c r="B151" s="1040"/>
      <c r="C151" s="1034">
        <v>501</v>
      </c>
      <c r="D151" s="1036" t="s">
        <v>185</v>
      </c>
      <c r="E151" s="1039">
        <v>0</v>
      </c>
      <c r="F151" s="1039">
        <v>0</v>
      </c>
      <c r="G151" s="1039">
        <v>0</v>
      </c>
      <c r="H151" s="1039">
        <v>0</v>
      </c>
      <c r="I151" s="1039">
        <v>0</v>
      </c>
      <c r="J151" s="1039">
        <v>0</v>
      </c>
      <c r="K151" s="1039">
        <v>0</v>
      </c>
      <c r="L151" s="1039">
        <v>0</v>
      </c>
      <c r="M151" s="1039">
        <v>0</v>
      </c>
      <c r="N151" s="1039">
        <v>0</v>
      </c>
      <c r="O151" s="1039">
        <v>0</v>
      </c>
      <c r="P151" s="1039">
        <v>0</v>
      </c>
      <c r="Q151" s="1039">
        <v>0</v>
      </c>
      <c r="R151" s="1039">
        <v>0</v>
      </c>
      <c r="S151" s="1039">
        <v>0</v>
      </c>
      <c r="T151" s="1029"/>
      <c r="U151" s="1029"/>
    </row>
    <row r="152" spans="1:21" s="403" customFormat="1" x14ac:dyDescent="0.3">
      <c r="A152" s="1034">
        <v>502</v>
      </c>
      <c r="B152" s="1040">
        <v>502</v>
      </c>
      <c r="C152" s="1034">
        <v>502</v>
      </c>
      <c r="D152" s="1036" t="s">
        <v>186</v>
      </c>
      <c r="E152" s="1039">
        <v>0</v>
      </c>
      <c r="F152" s="1039">
        <v>0</v>
      </c>
      <c r="G152" s="1039">
        <v>0</v>
      </c>
      <c r="H152" s="1039">
        <v>0</v>
      </c>
      <c r="I152" s="1039">
        <v>0</v>
      </c>
      <c r="J152" s="1039">
        <v>0</v>
      </c>
      <c r="K152" s="1039">
        <v>0</v>
      </c>
      <c r="L152" s="1039">
        <v>0</v>
      </c>
      <c r="M152" s="1039">
        <v>0</v>
      </c>
      <c r="N152" s="1039">
        <v>0</v>
      </c>
      <c r="O152" s="1039">
        <v>0</v>
      </c>
      <c r="P152" s="1039">
        <v>0</v>
      </c>
      <c r="Q152" s="1039">
        <v>0</v>
      </c>
      <c r="R152" s="1039">
        <v>0</v>
      </c>
      <c r="S152" s="1039">
        <v>0</v>
      </c>
      <c r="T152" s="1029"/>
      <c r="U152" s="1029"/>
    </row>
    <row r="153" spans="1:21" s="403" customFormat="1" x14ac:dyDescent="0.3">
      <c r="A153" s="1034">
        <v>503</v>
      </c>
      <c r="B153" s="1040">
        <v>503</v>
      </c>
      <c r="C153" s="1034">
        <v>503</v>
      </c>
      <c r="D153" s="1036" t="s">
        <v>187</v>
      </c>
      <c r="E153" s="1039">
        <v>0</v>
      </c>
      <c r="F153" s="1039">
        <v>0</v>
      </c>
      <c r="G153" s="1039">
        <v>0</v>
      </c>
      <c r="H153" s="1039">
        <v>0</v>
      </c>
      <c r="I153" s="1039">
        <v>0</v>
      </c>
      <c r="J153" s="1039">
        <v>0</v>
      </c>
      <c r="K153" s="1039">
        <v>0</v>
      </c>
      <c r="L153" s="1039">
        <v>0</v>
      </c>
      <c r="M153" s="1039">
        <v>0</v>
      </c>
      <c r="N153" s="1039">
        <v>0</v>
      </c>
      <c r="O153" s="1039">
        <v>0</v>
      </c>
      <c r="P153" s="1039">
        <v>0</v>
      </c>
      <c r="Q153" s="1039">
        <v>0</v>
      </c>
      <c r="R153" s="1039">
        <v>0</v>
      </c>
      <c r="S153" s="1039">
        <v>0</v>
      </c>
      <c r="T153" s="1029"/>
      <c r="U153" s="1029"/>
    </row>
    <row r="154" spans="1:21" s="403" customFormat="1" x14ac:dyDescent="0.3">
      <c r="A154" s="1034">
        <v>504</v>
      </c>
      <c r="B154" s="1040">
        <v>504</v>
      </c>
      <c r="C154" s="1034">
        <v>504</v>
      </c>
      <c r="D154" s="1036" t="s">
        <v>191</v>
      </c>
      <c r="E154" s="1039">
        <v>31690</v>
      </c>
      <c r="F154" s="1039">
        <v>377580</v>
      </c>
      <c r="G154" s="1039">
        <v>812262</v>
      </c>
      <c r="H154" s="1039">
        <v>784823</v>
      </c>
      <c r="I154" s="1039">
        <v>34871</v>
      </c>
      <c r="J154" s="1039">
        <v>902481</v>
      </c>
      <c r="K154" s="1039">
        <v>3180327</v>
      </c>
      <c r="L154" s="1039">
        <v>447526</v>
      </c>
      <c r="M154" s="1039">
        <v>167507</v>
      </c>
      <c r="N154" s="1039">
        <v>30852</v>
      </c>
      <c r="O154" s="1039">
        <v>1646078</v>
      </c>
      <c r="P154" s="1039">
        <v>2399546</v>
      </c>
      <c r="Q154" s="1039">
        <v>1265186</v>
      </c>
      <c r="R154" s="1039">
        <v>1216667</v>
      </c>
      <c r="S154" s="1039">
        <v>69131</v>
      </c>
      <c r="T154" s="1029"/>
      <c r="U154" s="1029"/>
    </row>
    <row r="155" spans="1:21" s="403" customFormat="1" x14ac:dyDescent="0.3">
      <c r="A155" s="1034">
        <v>505</v>
      </c>
      <c r="B155" s="1040">
        <v>505</v>
      </c>
      <c r="C155" s="1034">
        <v>505</v>
      </c>
      <c r="D155" s="1036" t="s">
        <v>192</v>
      </c>
      <c r="E155" s="1039">
        <v>0</v>
      </c>
      <c r="F155" s="1039">
        <v>30448</v>
      </c>
      <c r="G155" s="1039">
        <v>0</v>
      </c>
      <c r="H155" s="1039">
        <v>0</v>
      </c>
      <c r="I155" s="1039">
        <v>0</v>
      </c>
      <c r="J155" s="1039">
        <v>0</v>
      </c>
      <c r="K155" s="1039">
        <v>0</v>
      </c>
      <c r="L155" s="1039">
        <v>0</v>
      </c>
      <c r="M155" s="1039">
        <v>30158</v>
      </c>
      <c r="N155" s="1039">
        <v>0</v>
      </c>
      <c r="O155" s="1039">
        <v>0</v>
      </c>
      <c r="P155" s="1039">
        <v>0</v>
      </c>
      <c r="Q155" s="1039">
        <v>0</v>
      </c>
      <c r="R155" s="1039">
        <v>0</v>
      </c>
      <c r="S155" s="1039">
        <v>0</v>
      </c>
      <c r="T155" s="1029"/>
      <c r="U155" s="1029"/>
    </row>
    <row r="156" spans="1:21" s="403" customFormat="1" x14ac:dyDescent="0.3">
      <c r="A156" s="1034">
        <v>506</v>
      </c>
      <c r="B156" s="1034">
        <v>506</v>
      </c>
      <c r="C156" s="1034">
        <v>506</v>
      </c>
      <c r="D156" s="1036" t="s">
        <v>198</v>
      </c>
      <c r="E156" s="1039">
        <v>1990975</v>
      </c>
      <c r="F156" s="1039">
        <v>1084856</v>
      </c>
      <c r="G156" s="1039">
        <v>65745</v>
      </c>
      <c r="H156" s="1039">
        <v>700418</v>
      </c>
      <c r="I156" s="1039">
        <v>929826</v>
      </c>
      <c r="J156" s="1039">
        <v>10275688</v>
      </c>
      <c r="K156" s="1039">
        <v>1169874</v>
      </c>
      <c r="L156" s="1039">
        <v>61541</v>
      </c>
      <c r="M156" s="1039">
        <v>1698929</v>
      </c>
      <c r="N156" s="1039">
        <v>144543</v>
      </c>
      <c r="O156" s="1039">
        <v>1627906</v>
      </c>
      <c r="P156" s="1039">
        <v>1084036</v>
      </c>
      <c r="Q156" s="1039">
        <v>417226</v>
      </c>
      <c r="R156" s="1039">
        <v>487960</v>
      </c>
      <c r="S156" s="1039">
        <v>338056</v>
      </c>
      <c r="T156" s="1029"/>
      <c r="U156" s="1029"/>
    </row>
    <row r="157" spans="1:21" s="403" customFormat="1" x14ac:dyDescent="0.3">
      <c r="A157" s="1034">
        <v>507</v>
      </c>
      <c r="B157" s="1031">
        <v>507</v>
      </c>
      <c r="C157" s="1034">
        <v>507</v>
      </c>
      <c r="D157" s="1036" t="s">
        <v>216</v>
      </c>
      <c r="E157" s="1039">
        <v>-1</v>
      </c>
      <c r="F157" s="1039">
        <v>0</v>
      </c>
      <c r="G157" s="1039">
        <v>0</v>
      </c>
      <c r="H157" s="1039">
        <v>38612</v>
      </c>
      <c r="I157" s="1039">
        <v>1</v>
      </c>
      <c r="J157" s="1039">
        <v>0</v>
      </c>
      <c r="K157" s="1039">
        <v>0</v>
      </c>
      <c r="L157" s="1039">
        <v>0</v>
      </c>
      <c r="M157" s="1039">
        <v>0</v>
      </c>
      <c r="N157" s="1039">
        <v>0</v>
      </c>
      <c r="O157" s="1039">
        <v>0</v>
      </c>
      <c r="P157" s="1039">
        <v>0</v>
      </c>
      <c r="Q157" s="1039">
        <v>0</v>
      </c>
      <c r="R157" s="1039">
        <v>0</v>
      </c>
      <c r="S157" s="1039">
        <v>0</v>
      </c>
      <c r="T157" s="1029"/>
      <c r="U157" s="1029"/>
    </row>
    <row r="158" spans="1:21" s="403" customFormat="1" x14ac:dyDescent="0.3">
      <c r="A158" s="1034">
        <v>508</v>
      </c>
      <c r="B158" s="1031"/>
      <c r="C158" s="1034">
        <v>508</v>
      </c>
      <c r="D158" s="1036" t="s">
        <v>213</v>
      </c>
      <c r="E158" s="1039">
        <v>0</v>
      </c>
      <c r="F158" s="1039">
        <v>0</v>
      </c>
      <c r="G158" s="1039">
        <v>0</v>
      </c>
      <c r="H158" s="1039">
        <v>0</v>
      </c>
      <c r="I158" s="1039">
        <v>0</v>
      </c>
      <c r="J158" s="1039">
        <v>0</v>
      </c>
      <c r="K158" s="1039">
        <v>0</v>
      </c>
      <c r="L158" s="1039">
        <v>0</v>
      </c>
      <c r="M158" s="1039">
        <v>0</v>
      </c>
      <c r="N158" s="1039">
        <v>0</v>
      </c>
      <c r="O158" s="1039">
        <v>0</v>
      </c>
      <c r="P158" s="1039">
        <v>0</v>
      </c>
      <c r="Q158" s="1039">
        <v>0</v>
      </c>
      <c r="R158" s="1039">
        <v>0</v>
      </c>
      <c r="S158" s="1039">
        <v>0</v>
      </c>
      <c r="T158" s="1029"/>
      <c r="U158" s="1029"/>
    </row>
    <row r="159" spans="1:21" s="403" customFormat="1" x14ac:dyDescent="0.3">
      <c r="A159" s="1034">
        <v>509</v>
      </c>
      <c r="B159" s="1031"/>
      <c r="C159" s="1034">
        <v>509</v>
      </c>
      <c r="D159" s="1036" t="s">
        <v>214</v>
      </c>
      <c r="E159" s="1039">
        <v>0</v>
      </c>
      <c r="F159" s="1039">
        <v>0</v>
      </c>
      <c r="G159" s="1039">
        <v>0</v>
      </c>
      <c r="H159" s="1039">
        <v>0</v>
      </c>
      <c r="I159" s="1039">
        <v>0</v>
      </c>
      <c r="J159" s="1039">
        <v>0</v>
      </c>
      <c r="K159" s="1039">
        <v>0</v>
      </c>
      <c r="L159" s="1039">
        <v>0</v>
      </c>
      <c r="M159" s="1039">
        <v>0</v>
      </c>
      <c r="N159" s="1039">
        <v>0</v>
      </c>
      <c r="O159" s="1039">
        <v>0</v>
      </c>
      <c r="P159" s="1039">
        <v>0</v>
      </c>
      <c r="Q159" s="1039">
        <v>0</v>
      </c>
      <c r="R159" s="1039">
        <v>0</v>
      </c>
      <c r="S159" s="1039">
        <v>0</v>
      </c>
      <c r="T159" s="1029"/>
      <c r="U159" s="1029"/>
    </row>
    <row r="160" spans="1:21" s="403" customFormat="1" x14ac:dyDescent="0.3">
      <c r="A160" s="1034">
        <v>510</v>
      </c>
      <c r="B160" s="1031"/>
      <c r="C160" s="1034">
        <v>510</v>
      </c>
      <c r="D160" s="1036" t="s">
        <v>220</v>
      </c>
      <c r="E160" s="1039">
        <v>0</v>
      </c>
      <c r="F160" s="1039">
        <v>0</v>
      </c>
      <c r="G160" s="1039">
        <v>0</v>
      </c>
      <c r="H160" s="1039">
        <v>0</v>
      </c>
      <c r="I160" s="1039">
        <v>0</v>
      </c>
      <c r="J160" s="1039">
        <v>0</v>
      </c>
      <c r="K160" s="1039">
        <v>0</v>
      </c>
      <c r="L160" s="1039">
        <v>0</v>
      </c>
      <c r="M160" s="1039">
        <v>0</v>
      </c>
      <c r="N160" s="1039">
        <v>0</v>
      </c>
      <c r="O160" s="1039">
        <v>0</v>
      </c>
      <c r="P160" s="1039">
        <v>0</v>
      </c>
      <c r="Q160" s="1039">
        <v>0</v>
      </c>
      <c r="R160" s="1039">
        <v>0</v>
      </c>
      <c r="S160" s="1039">
        <v>0</v>
      </c>
      <c r="T160" s="1029"/>
      <c r="U160" s="1029"/>
    </row>
    <row r="161" spans="1:19" s="403" customFormat="1" x14ac:dyDescent="0.3">
      <c r="A161" s="1034">
        <v>511</v>
      </c>
      <c r="B161" s="1031"/>
      <c r="C161" s="1034">
        <v>511</v>
      </c>
      <c r="D161" s="1036" t="s">
        <v>225</v>
      </c>
      <c r="E161" s="1039">
        <v>0</v>
      </c>
      <c r="F161" s="1039">
        <v>0</v>
      </c>
      <c r="G161" s="1039">
        <v>0</v>
      </c>
      <c r="H161" s="1039">
        <v>0</v>
      </c>
      <c r="I161" s="1039">
        <v>0</v>
      </c>
      <c r="J161" s="1039">
        <v>0</v>
      </c>
      <c r="K161" s="1039">
        <v>0</v>
      </c>
      <c r="L161" s="1039">
        <v>0</v>
      </c>
      <c r="M161" s="1039">
        <v>0</v>
      </c>
      <c r="N161" s="1039">
        <v>0</v>
      </c>
      <c r="O161" s="1039">
        <v>0</v>
      </c>
      <c r="P161" s="1039">
        <v>0</v>
      </c>
      <c r="Q161" s="1039">
        <v>0</v>
      </c>
      <c r="R161" s="1039">
        <v>0</v>
      </c>
      <c r="S161" s="1039">
        <v>0</v>
      </c>
    </row>
    <row r="162" spans="1:19" s="403" customFormat="1" x14ac:dyDescent="0.3">
      <c r="A162" s="1034">
        <v>512</v>
      </c>
      <c r="B162" s="1034">
        <v>512</v>
      </c>
      <c r="C162" s="1034">
        <v>512</v>
      </c>
      <c r="D162" s="1036" t="s">
        <v>252</v>
      </c>
      <c r="E162" s="1039">
        <v>85787</v>
      </c>
      <c r="F162" s="1039">
        <v>0</v>
      </c>
      <c r="G162" s="1039">
        <v>0</v>
      </c>
      <c r="H162" s="1039">
        <v>0</v>
      </c>
      <c r="I162" s="1039">
        <v>0</v>
      </c>
      <c r="J162" s="1039">
        <v>0</v>
      </c>
      <c r="K162" s="1039">
        <v>0</v>
      </c>
      <c r="L162" s="1039">
        <v>0</v>
      </c>
      <c r="M162" s="1039">
        <v>0</v>
      </c>
      <c r="N162" s="1039">
        <v>0</v>
      </c>
      <c r="O162" s="1039">
        <v>0</v>
      </c>
      <c r="P162" s="1039">
        <v>0</v>
      </c>
      <c r="Q162" s="1039">
        <v>0</v>
      </c>
      <c r="R162" s="1039">
        <v>0</v>
      </c>
      <c r="S162" s="1039">
        <v>0</v>
      </c>
    </row>
    <row r="163" spans="1:19" s="403" customFormat="1" x14ac:dyDescent="0.3">
      <c r="A163" s="1034">
        <v>513</v>
      </c>
      <c r="B163" s="1034"/>
      <c r="C163" s="1034">
        <v>513</v>
      </c>
      <c r="D163" s="1036" t="s">
        <v>259</v>
      </c>
      <c r="E163" s="1039">
        <v>0</v>
      </c>
      <c r="F163" s="1039">
        <v>0</v>
      </c>
      <c r="G163" s="1039">
        <v>0</v>
      </c>
      <c r="H163" s="1039">
        <v>0</v>
      </c>
      <c r="I163" s="1039">
        <v>0</v>
      </c>
      <c r="J163" s="1039">
        <v>0</v>
      </c>
      <c r="K163" s="1039">
        <v>0</v>
      </c>
      <c r="L163" s="1039">
        <v>0</v>
      </c>
      <c r="M163" s="1039">
        <v>0</v>
      </c>
      <c r="N163" s="1039">
        <v>0</v>
      </c>
      <c r="O163" s="1039">
        <v>0</v>
      </c>
      <c r="P163" s="1039">
        <v>0</v>
      </c>
      <c r="Q163" s="1039">
        <v>0</v>
      </c>
      <c r="R163" s="1039">
        <v>0</v>
      </c>
      <c r="S163" s="1039">
        <v>0</v>
      </c>
    </row>
    <row r="164" spans="1:19" s="403" customFormat="1" x14ac:dyDescent="0.3">
      <c r="A164" s="1034">
        <v>514</v>
      </c>
      <c r="B164" s="1034"/>
      <c r="C164" s="1034">
        <v>514</v>
      </c>
      <c r="D164" s="1036" t="s">
        <v>260</v>
      </c>
      <c r="E164" s="1039">
        <v>0</v>
      </c>
      <c r="F164" s="1039">
        <v>0</v>
      </c>
      <c r="G164" s="1039">
        <v>0</v>
      </c>
      <c r="H164" s="1039">
        <v>0</v>
      </c>
      <c r="I164" s="1039">
        <v>0</v>
      </c>
      <c r="J164" s="1039">
        <v>0</v>
      </c>
      <c r="K164" s="1039">
        <v>0</v>
      </c>
      <c r="L164" s="1039">
        <v>0</v>
      </c>
      <c r="M164" s="1039">
        <v>0</v>
      </c>
      <c r="N164" s="1039">
        <v>0</v>
      </c>
      <c r="O164" s="1039">
        <v>0</v>
      </c>
      <c r="P164" s="1039">
        <v>0</v>
      </c>
      <c r="Q164" s="1039">
        <v>0</v>
      </c>
      <c r="R164" s="1039">
        <v>0</v>
      </c>
      <c r="S164" s="1039">
        <v>0</v>
      </c>
    </row>
    <row r="165" spans="1:19" s="403" customFormat="1" x14ac:dyDescent="0.3">
      <c r="A165" s="1034">
        <v>515</v>
      </c>
      <c r="B165" s="1034"/>
      <c r="C165" s="1034">
        <v>515</v>
      </c>
      <c r="D165" s="1036" t="s">
        <v>273</v>
      </c>
      <c r="E165" s="1039">
        <v>0</v>
      </c>
      <c r="F165" s="1039">
        <v>0</v>
      </c>
      <c r="G165" s="1039">
        <v>0</v>
      </c>
      <c r="H165" s="1039">
        <v>0</v>
      </c>
      <c r="I165" s="1039">
        <v>0</v>
      </c>
      <c r="J165" s="1039">
        <v>0</v>
      </c>
      <c r="K165" s="1039">
        <v>0</v>
      </c>
      <c r="L165" s="1039">
        <v>0</v>
      </c>
      <c r="M165" s="1039">
        <v>0</v>
      </c>
      <c r="N165" s="1039">
        <v>0</v>
      </c>
      <c r="O165" s="1039">
        <v>0</v>
      </c>
      <c r="P165" s="1039">
        <v>0</v>
      </c>
      <c r="Q165" s="1039">
        <v>0</v>
      </c>
      <c r="R165" s="1039">
        <v>0</v>
      </c>
      <c r="S165" s="1039">
        <v>0</v>
      </c>
    </row>
    <row r="166" spans="1:19" s="403" customFormat="1" x14ac:dyDescent="0.3">
      <c r="A166" s="1034">
        <v>516</v>
      </c>
      <c r="B166" s="1034"/>
      <c r="C166" s="1034">
        <v>516</v>
      </c>
      <c r="D166" s="1036" t="s">
        <v>274</v>
      </c>
      <c r="E166" s="1039">
        <v>0</v>
      </c>
      <c r="F166" s="1039">
        <v>0</v>
      </c>
      <c r="G166" s="1039">
        <v>0</v>
      </c>
      <c r="H166" s="1039">
        <v>0</v>
      </c>
      <c r="I166" s="1039">
        <v>0</v>
      </c>
      <c r="J166" s="1039">
        <v>0</v>
      </c>
      <c r="K166" s="1039">
        <v>0</v>
      </c>
      <c r="L166" s="1039">
        <v>0</v>
      </c>
      <c r="M166" s="1039">
        <v>0</v>
      </c>
      <c r="N166" s="1039">
        <v>0</v>
      </c>
      <c r="O166" s="1039">
        <v>0</v>
      </c>
      <c r="P166" s="1039">
        <v>0</v>
      </c>
      <c r="Q166" s="1039">
        <v>0</v>
      </c>
      <c r="R166" s="1039">
        <v>0</v>
      </c>
      <c r="S166" s="1039">
        <v>0</v>
      </c>
    </row>
    <row r="167" spans="1:19" s="403" customFormat="1" x14ac:dyDescent="0.3">
      <c r="A167" s="1034">
        <v>517</v>
      </c>
      <c r="B167" s="1034"/>
      <c r="C167" s="1034">
        <v>517</v>
      </c>
      <c r="D167" s="1036" t="s">
        <v>275</v>
      </c>
      <c r="E167" s="1039">
        <v>0</v>
      </c>
      <c r="F167" s="1039">
        <v>0</v>
      </c>
      <c r="G167" s="1039">
        <v>0</v>
      </c>
      <c r="H167" s="1039">
        <v>0</v>
      </c>
      <c r="I167" s="1039">
        <v>0</v>
      </c>
      <c r="J167" s="1039">
        <v>0</v>
      </c>
      <c r="K167" s="1039">
        <v>0</v>
      </c>
      <c r="L167" s="1039">
        <v>0</v>
      </c>
      <c r="M167" s="1039">
        <v>0</v>
      </c>
      <c r="N167" s="1039">
        <v>0</v>
      </c>
      <c r="O167" s="1039">
        <v>0</v>
      </c>
      <c r="P167" s="1039">
        <v>0</v>
      </c>
      <c r="Q167" s="1039">
        <v>0</v>
      </c>
      <c r="R167" s="1039">
        <v>0</v>
      </c>
      <c r="S167" s="1039">
        <v>0</v>
      </c>
    </row>
    <row r="168" spans="1:19" s="403" customFormat="1" x14ac:dyDescent="0.3">
      <c r="A168" s="1034">
        <v>518</v>
      </c>
      <c r="B168" s="1034"/>
      <c r="C168" s="1034">
        <v>518</v>
      </c>
      <c r="D168" s="1036" t="s">
        <v>276</v>
      </c>
      <c r="E168" s="1039">
        <v>0</v>
      </c>
      <c r="F168" s="1039">
        <v>0</v>
      </c>
      <c r="G168" s="1039">
        <v>0</v>
      </c>
      <c r="H168" s="1039">
        <v>0</v>
      </c>
      <c r="I168" s="1039">
        <v>0</v>
      </c>
      <c r="J168" s="1039">
        <v>0</v>
      </c>
      <c r="K168" s="1039">
        <v>0</v>
      </c>
      <c r="L168" s="1039">
        <v>0</v>
      </c>
      <c r="M168" s="1039">
        <v>0</v>
      </c>
      <c r="N168" s="1039">
        <v>0</v>
      </c>
      <c r="O168" s="1039">
        <v>0</v>
      </c>
      <c r="P168" s="1039">
        <v>0</v>
      </c>
      <c r="Q168" s="1039">
        <v>0</v>
      </c>
      <c r="R168" s="1039">
        <v>0</v>
      </c>
      <c r="S168" s="1039">
        <v>0</v>
      </c>
    </row>
    <row r="169" spans="1:19" s="403" customFormat="1" x14ac:dyDescent="0.3">
      <c r="A169" s="1034">
        <v>519</v>
      </c>
      <c r="B169" s="1034"/>
      <c r="C169" s="1034">
        <v>519</v>
      </c>
      <c r="D169" s="1036" t="s">
        <v>277</v>
      </c>
      <c r="E169" s="1039">
        <v>0</v>
      </c>
      <c r="F169" s="1039">
        <v>0</v>
      </c>
      <c r="G169" s="1039">
        <v>0</v>
      </c>
      <c r="H169" s="1039">
        <v>0</v>
      </c>
      <c r="I169" s="1039">
        <v>0</v>
      </c>
      <c r="J169" s="1039">
        <v>0</v>
      </c>
      <c r="K169" s="1039">
        <v>0</v>
      </c>
      <c r="L169" s="1039">
        <v>0</v>
      </c>
      <c r="M169" s="1039">
        <v>0</v>
      </c>
      <c r="N169" s="1039">
        <v>0</v>
      </c>
      <c r="O169" s="1039">
        <v>0</v>
      </c>
      <c r="P169" s="1039">
        <v>0</v>
      </c>
      <c r="Q169" s="1039">
        <v>0</v>
      </c>
      <c r="R169" s="1039">
        <v>0</v>
      </c>
      <c r="S169" s="1039">
        <v>0</v>
      </c>
    </row>
    <row r="170" spans="1:19" s="403" customFormat="1" x14ac:dyDescent="0.3">
      <c r="A170" s="1034">
        <v>520</v>
      </c>
      <c r="B170" s="1034"/>
      <c r="C170" s="1034">
        <v>520</v>
      </c>
      <c r="D170" s="1036" t="s">
        <v>278</v>
      </c>
      <c r="E170" s="1039">
        <v>0</v>
      </c>
      <c r="F170" s="1039">
        <v>0</v>
      </c>
      <c r="G170" s="1039">
        <v>0</v>
      </c>
      <c r="H170" s="1039">
        <v>0</v>
      </c>
      <c r="I170" s="1039">
        <v>0</v>
      </c>
      <c r="J170" s="1039">
        <v>0</v>
      </c>
      <c r="K170" s="1039">
        <v>0</v>
      </c>
      <c r="L170" s="1039">
        <v>0</v>
      </c>
      <c r="M170" s="1039">
        <v>0</v>
      </c>
      <c r="N170" s="1039">
        <v>0</v>
      </c>
      <c r="O170" s="1039">
        <v>0</v>
      </c>
      <c r="P170" s="1039">
        <v>0</v>
      </c>
      <c r="Q170" s="1039">
        <v>0</v>
      </c>
      <c r="R170" s="1039">
        <v>0</v>
      </c>
      <c r="S170" s="1039">
        <v>0</v>
      </c>
    </row>
    <row r="171" spans="1:19" s="403" customFormat="1" x14ac:dyDescent="0.3">
      <c r="A171" s="1034">
        <v>521</v>
      </c>
      <c r="B171" s="1034"/>
      <c r="C171" s="1034">
        <v>521</v>
      </c>
      <c r="D171" s="1036" t="s">
        <v>279</v>
      </c>
      <c r="E171" s="1039">
        <v>0</v>
      </c>
      <c r="F171" s="1039">
        <v>0</v>
      </c>
      <c r="G171" s="1039">
        <v>0</v>
      </c>
      <c r="H171" s="1039">
        <v>0</v>
      </c>
      <c r="I171" s="1039">
        <v>0</v>
      </c>
      <c r="J171" s="1039">
        <v>0</v>
      </c>
      <c r="K171" s="1039">
        <v>0</v>
      </c>
      <c r="L171" s="1039">
        <v>0</v>
      </c>
      <c r="M171" s="1039">
        <v>0</v>
      </c>
      <c r="N171" s="1039">
        <v>0</v>
      </c>
      <c r="O171" s="1039">
        <v>0</v>
      </c>
      <c r="P171" s="1039">
        <v>0</v>
      </c>
      <c r="Q171" s="1039">
        <v>0</v>
      </c>
      <c r="R171" s="1039">
        <v>0</v>
      </c>
      <c r="S171" s="1039">
        <v>0</v>
      </c>
    </row>
    <row r="172" spans="1:19" s="403" customFormat="1" x14ac:dyDescent="0.3">
      <c r="A172" s="1034">
        <v>522</v>
      </c>
      <c r="B172" s="1034"/>
      <c r="C172" s="1034">
        <v>522</v>
      </c>
      <c r="D172" s="1036" t="s">
        <v>280</v>
      </c>
      <c r="E172" s="1039">
        <v>0</v>
      </c>
      <c r="F172" s="1039">
        <v>0</v>
      </c>
      <c r="G172" s="1039">
        <v>0</v>
      </c>
      <c r="H172" s="1039">
        <v>0</v>
      </c>
      <c r="I172" s="1039">
        <v>0</v>
      </c>
      <c r="J172" s="1039">
        <v>0</v>
      </c>
      <c r="K172" s="1039">
        <v>0</v>
      </c>
      <c r="L172" s="1039">
        <v>0</v>
      </c>
      <c r="M172" s="1039">
        <v>0</v>
      </c>
      <c r="N172" s="1039">
        <v>0</v>
      </c>
      <c r="O172" s="1039">
        <v>0</v>
      </c>
      <c r="P172" s="1039">
        <v>0</v>
      </c>
      <c r="Q172" s="1039">
        <v>0</v>
      </c>
      <c r="R172" s="1039">
        <v>0</v>
      </c>
      <c r="S172" s="1039">
        <v>0</v>
      </c>
    </row>
    <row r="173" spans="1:19" s="403" customFormat="1" x14ac:dyDescent="0.3">
      <c r="A173" s="1034">
        <v>523</v>
      </c>
      <c r="B173" s="1034"/>
      <c r="C173" s="1034">
        <v>523</v>
      </c>
      <c r="D173" s="1036" t="s">
        <v>281</v>
      </c>
      <c r="E173" s="1039">
        <v>0</v>
      </c>
      <c r="F173" s="1039">
        <v>0</v>
      </c>
      <c r="G173" s="1039">
        <v>0</v>
      </c>
      <c r="H173" s="1039">
        <v>0</v>
      </c>
      <c r="I173" s="1039">
        <v>0</v>
      </c>
      <c r="J173" s="1039">
        <v>0</v>
      </c>
      <c r="K173" s="1039">
        <v>0</v>
      </c>
      <c r="L173" s="1039">
        <v>0</v>
      </c>
      <c r="M173" s="1039">
        <v>0</v>
      </c>
      <c r="N173" s="1039">
        <v>0</v>
      </c>
      <c r="O173" s="1039">
        <v>0</v>
      </c>
      <c r="P173" s="1039">
        <v>0</v>
      </c>
      <c r="Q173" s="1039">
        <v>0</v>
      </c>
      <c r="R173" s="1039">
        <v>0</v>
      </c>
      <c r="S173" s="1039">
        <v>0</v>
      </c>
    </row>
    <row r="174" spans="1:19" s="403" customFormat="1" x14ac:dyDescent="0.3">
      <c r="A174" s="1034">
        <v>524</v>
      </c>
      <c r="B174" s="1034"/>
      <c r="C174" s="1034">
        <v>524</v>
      </c>
      <c r="D174" s="1036" t="s">
        <v>282</v>
      </c>
      <c r="E174" s="1039">
        <v>0</v>
      </c>
      <c r="F174" s="1039">
        <v>0</v>
      </c>
      <c r="G174" s="1039">
        <v>0</v>
      </c>
      <c r="H174" s="1039">
        <v>0</v>
      </c>
      <c r="I174" s="1039">
        <v>0</v>
      </c>
      <c r="J174" s="1039">
        <v>0</v>
      </c>
      <c r="K174" s="1039">
        <v>0</v>
      </c>
      <c r="L174" s="1039">
        <v>0</v>
      </c>
      <c r="M174" s="1039">
        <v>0</v>
      </c>
      <c r="N174" s="1039">
        <v>0</v>
      </c>
      <c r="O174" s="1039">
        <v>0</v>
      </c>
      <c r="P174" s="1039">
        <v>0</v>
      </c>
      <c r="Q174" s="1039">
        <v>0</v>
      </c>
      <c r="R174" s="1039">
        <v>0</v>
      </c>
      <c r="S174" s="1039">
        <v>0</v>
      </c>
    </row>
    <row r="175" spans="1:19" s="403" customFormat="1" x14ac:dyDescent="0.3">
      <c r="A175" s="1034">
        <v>525</v>
      </c>
      <c r="B175" s="1034"/>
      <c r="C175" s="1034">
        <v>525</v>
      </c>
      <c r="D175" s="1036" t="s">
        <v>283</v>
      </c>
      <c r="E175" s="1039">
        <v>0</v>
      </c>
      <c r="F175" s="1039">
        <v>0</v>
      </c>
      <c r="G175" s="1039">
        <v>0</v>
      </c>
      <c r="H175" s="1039">
        <v>0</v>
      </c>
      <c r="I175" s="1039">
        <v>0</v>
      </c>
      <c r="J175" s="1039">
        <v>0</v>
      </c>
      <c r="K175" s="1039">
        <v>0</v>
      </c>
      <c r="L175" s="1039">
        <v>0</v>
      </c>
      <c r="M175" s="1039">
        <v>0</v>
      </c>
      <c r="N175" s="1039">
        <v>0</v>
      </c>
      <c r="O175" s="1039">
        <v>0</v>
      </c>
      <c r="P175" s="1039">
        <v>0</v>
      </c>
      <c r="Q175" s="1039">
        <v>0</v>
      </c>
      <c r="R175" s="1039">
        <v>0</v>
      </c>
      <c r="S175" s="1039">
        <v>0</v>
      </c>
    </row>
    <row r="176" spans="1:19" s="403" customFormat="1" x14ac:dyDescent="0.3">
      <c r="A176" s="1034">
        <v>526</v>
      </c>
      <c r="B176" s="1034"/>
      <c r="C176" s="1034">
        <v>526</v>
      </c>
      <c r="D176" s="1036" t="s">
        <v>284</v>
      </c>
      <c r="E176" s="1039">
        <v>0</v>
      </c>
      <c r="F176" s="1039">
        <v>0</v>
      </c>
      <c r="G176" s="1039">
        <v>0</v>
      </c>
      <c r="H176" s="1039">
        <v>0</v>
      </c>
      <c r="I176" s="1039">
        <v>0</v>
      </c>
      <c r="J176" s="1039">
        <v>0</v>
      </c>
      <c r="K176" s="1039">
        <v>0</v>
      </c>
      <c r="L176" s="1039">
        <v>0</v>
      </c>
      <c r="M176" s="1039">
        <v>0</v>
      </c>
      <c r="N176" s="1039">
        <v>0</v>
      </c>
      <c r="O176" s="1039">
        <v>0</v>
      </c>
      <c r="P176" s="1039">
        <v>0</v>
      </c>
      <c r="Q176" s="1039">
        <v>0</v>
      </c>
      <c r="R176" s="1039">
        <v>0</v>
      </c>
      <c r="S176" s="1039">
        <v>0</v>
      </c>
    </row>
    <row r="177" spans="1:19" s="403" customFormat="1" x14ac:dyDescent="0.3">
      <c r="A177" s="1034">
        <v>527</v>
      </c>
      <c r="B177" s="1034"/>
      <c r="C177" s="1034">
        <v>527</v>
      </c>
      <c r="D177" s="1036" t="s">
        <v>285</v>
      </c>
      <c r="E177" s="1039">
        <v>0</v>
      </c>
      <c r="F177" s="1039">
        <v>0</v>
      </c>
      <c r="G177" s="1039">
        <v>0</v>
      </c>
      <c r="H177" s="1039">
        <v>0</v>
      </c>
      <c r="I177" s="1039">
        <v>0</v>
      </c>
      <c r="J177" s="1039">
        <v>0</v>
      </c>
      <c r="K177" s="1039">
        <v>0</v>
      </c>
      <c r="L177" s="1039">
        <v>0</v>
      </c>
      <c r="M177" s="1039">
        <v>0</v>
      </c>
      <c r="N177" s="1039">
        <v>0</v>
      </c>
      <c r="O177" s="1039">
        <v>0</v>
      </c>
      <c r="P177" s="1039">
        <v>0</v>
      </c>
      <c r="Q177" s="1039">
        <v>0</v>
      </c>
      <c r="R177" s="1039">
        <v>0</v>
      </c>
      <c r="S177" s="1039">
        <v>0</v>
      </c>
    </row>
    <row r="178" spans="1:19" s="403" customFormat="1" x14ac:dyDescent="0.3">
      <c r="A178" s="1034">
        <v>528</v>
      </c>
      <c r="B178" s="1034"/>
      <c r="C178" s="1034">
        <v>528</v>
      </c>
      <c r="D178" s="1036" t="s">
        <v>267</v>
      </c>
      <c r="E178" s="1039">
        <v>0</v>
      </c>
      <c r="F178" s="1039">
        <v>0</v>
      </c>
      <c r="G178" s="1039">
        <v>0</v>
      </c>
      <c r="H178" s="1039">
        <v>0</v>
      </c>
      <c r="I178" s="1039">
        <v>0</v>
      </c>
      <c r="J178" s="1039">
        <v>0</v>
      </c>
      <c r="K178" s="1039">
        <v>0</v>
      </c>
      <c r="L178" s="1039">
        <v>0</v>
      </c>
      <c r="M178" s="1039">
        <v>0</v>
      </c>
      <c r="N178" s="1039">
        <v>0</v>
      </c>
      <c r="O178" s="1039">
        <v>0</v>
      </c>
      <c r="P178" s="1039">
        <v>0</v>
      </c>
      <c r="Q178" s="1039">
        <v>0</v>
      </c>
      <c r="R178" s="1039">
        <v>0</v>
      </c>
      <c r="S178" s="1039">
        <v>0</v>
      </c>
    </row>
    <row r="179" spans="1:19" s="403" customFormat="1" x14ac:dyDescent="0.3">
      <c r="A179" s="1034">
        <v>529</v>
      </c>
      <c r="B179" s="1034"/>
      <c r="C179" s="1034">
        <v>529</v>
      </c>
      <c r="D179" s="1036" t="s">
        <v>268</v>
      </c>
      <c r="E179" s="1039">
        <v>0</v>
      </c>
      <c r="F179" s="1039">
        <v>0</v>
      </c>
      <c r="G179" s="1039">
        <v>0</v>
      </c>
      <c r="H179" s="1039">
        <v>0</v>
      </c>
      <c r="I179" s="1039">
        <v>0</v>
      </c>
      <c r="J179" s="1039">
        <v>0</v>
      </c>
      <c r="K179" s="1039">
        <v>0</v>
      </c>
      <c r="L179" s="1039">
        <v>0</v>
      </c>
      <c r="M179" s="1039">
        <v>0</v>
      </c>
      <c r="N179" s="1039">
        <v>0</v>
      </c>
      <c r="O179" s="1039">
        <v>0</v>
      </c>
      <c r="P179" s="1039">
        <v>0</v>
      </c>
      <c r="Q179" s="1039">
        <v>0</v>
      </c>
      <c r="R179" s="1039">
        <v>0</v>
      </c>
      <c r="S179" s="1039">
        <v>0</v>
      </c>
    </row>
    <row r="180" spans="1:19" s="403" customFormat="1" x14ac:dyDescent="0.3">
      <c r="A180" s="1034">
        <v>530</v>
      </c>
      <c r="B180" s="1034"/>
      <c r="C180" s="1034">
        <v>530</v>
      </c>
      <c r="D180" s="1036" t="s">
        <v>269</v>
      </c>
      <c r="E180" s="1039">
        <v>0</v>
      </c>
      <c r="F180" s="1039">
        <v>0</v>
      </c>
      <c r="G180" s="1039">
        <v>0</v>
      </c>
      <c r="H180" s="1039">
        <v>0</v>
      </c>
      <c r="I180" s="1039">
        <v>0</v>
      </c>
      <c r="J180" s="1039">
        <v>0</v>
      </c>
      <c r="K180" s="1039">
        <v>0</v>
      </c>
      <c r="L180" s="1039">
        <v>0</v>
      </c>
      <c r="M180" s="1039">
        <v>0</v>
      </c>
      <c r="N180" s="1039">
        <v>0</v>
      </c>
      <c r="O180" s="1039">
        <v>0</v>
      </c>
      <c r="P180" s="1039">
        <v>0</v>
      </c>
      <c r="Q180" s="1039">
        <v>0</v>
      </c>
      <c r="R180" s="1039">
        <v>0</v>
      </c>
      <c r="S180" s="1039">
        <v>0</v>
      </c>
    </row>
    <row r="181" spans="1:19" s="403" customFormat="1" x14ac:dyDescent="0.3">
      <c r="A181" s="1034">
        <v>531</v>
      </c>
      <c r="B181" s="1034"/>
      <c r="C181" s="1034">
        <v>531</v>
      </c>
      <c r="D181" s="1036" t="s">
        <v>270</v>
      </c>
      <c r="E181" s="1039">
        <v>0</v>
      </c>
      <c r="F181" s="1039">
        <v>0</v>
      </c>
      <c r="G181" s="1039">
        <v>0</v>
      </c>
      <c r="H181" s="1039">
        <v>0</v>
      </c>
      <c r="I181" s="1039">
        <v>0</v>
      </c>
      <c r="J181" s="1039">
        <v>0</v>
      </c>
      <c r="K181" s="1039">
        <v>0</v>
      </c>
      <c r="L181" s="1039">
        <v>0</v>
      </c>
      <c r="M181" s="1039">
        <v>0</v>
      </c>
      <c r="N181" s="1039">
        <v>0</v>
      </c>
      <c r="O181" s="1039">
        <v>0</v>
      </c>
      <c r="P181" s="1039">
        <v>0</v>
      </c>
      <c r="Q181" s="1039">
        <v>0</v>
      </c>
      <c r="R181" s="1039">
        <v>0</v>
      </c>
      <c r="S181" s="1039">
        <v>0</v>
      </c>
    </row>
    <row r="182" spans="1:19" s="403" customFormat="1" x14ac:dyDescent="0.3">
      <c r="A182" s="1034">
        <v>532</v>
      </c>
      <c r="B182" s="1031">
        <v>532</v>
      </c>
      <c r="C182" s="1034">
        <v>532</v>
      </c>
      <c r="D182" s="1036" t="s">
        <v>1461</v>
      </c>
      <c r="E182" s="1039">
        <v>1296310</v>
      </c>
      <c r="F182" s="1039">
        <v>2609393</v>
      </c>
      <c r="G182" s="1039">
        <v>842828</v>
      </c>
      <c r="H182" s="1039">
        <v>828467</v>
      </c>
      <c r="I182" s="1039">
        <v>2185021</v>
      </c>
      <c r="J182" s="1039">
        <v>42366486</v>
      </c>
      <c r="K182" s="1039">
        <v>3553723</v>
      </c>
      <c r="L182" s="1039">
        <v>454181</v>
      </c>
      <c r="M182" s="1039">
        <v>3119401</v>
      </c>
      <c r="N182" s="1039">
        <v>1127370</v>
      </c>
      <c r="O182" s="1039">
        <v>1863783</v>
      </c>
      <c r="P182" s="1039">
        <v>2599860</v>
      </c>
      <c r="Q182" s="1039">
        <v>1133758</v>
      </c>
      <c r="R182" s="1039">
        <v>1298865</v>
      </c>
      <c r="S182" s="1039">
        <v>896039</v>
      </c>
    </row>
    <row r="183" spans="1:19" s="403" customFormat="1" x14ac:dyDescent="0.3">
      <c r="A183" s="1034">
        <v>533</v>
      </c>
      <c r="B183" s="1031">
        <v>533</v>
      </c>
      <c r="C183" s="1034">
        <v>533</v>
      </c>
      <c r="D183" s="1036" t="s">
        <v>1463</v>
      </c>
      <c r="E183" s="1039">
        <v>0</v>
      </c>
      <c r="F183" s="1039">
        <v>0</v>
      </c>
      <c r="G183" s="1039">
        <v>0</v>
      </c>
      <c r="H183" s="1039">
        <v>0</v>
      </c>
      <c r="I183" s="1039">
        <v>0</v>
      </c>
      <c r="J183" s="1039">
        <v>0</v>
      </c>
      <c r="K183" s="1039">
        <v>0</v>
      </c>
      <c r="L183" s="1039">
        <v>0</v>
      </c>
      <c r="M183" s="1039">
        <v>0</v>
      </c>
      <c r="N183" s="1039">
        <v>0</v>
      </c>
      <c r="O183" s="1039">
        <v>0</v>
      </c>
      <c r="P183" s="1039">
        <v>0</v>
      </c>
      <c r="Q183" s="1039">
        <v>0</v>
      </c>
      <c r="R183" s="1039">
        <v>0</v>
      </c>
      <c r="S183" s="1039">
        <v>0</v>
      </c>
    </row>
    <row r="184" spans="1:19" s="403" customFormat="1" x14ac:dyDescent="0.3">
      <c r="A184" s="1034">
        <v>534</v>
      </c>
      <c r="B184" s="1031"/>
      <c r="C184" s="1034">
        <v>534</v>
      </c>
      <c r="D184" s="1036" t="s">
        <v>271</v>
      </c>
      <c r="E184" s="1039">
        <v>0</v>
      </c>
      <c r="F184" s="1039">
        <v>0</v>
      </c>
      <c r="G184" s="1039">
        <v>0</v>
      </c>
      <c r="H184" s="1039">
        <v>0</v>
      </c>
      <c r="I184" s="1039">
        <v>0</v>
      </c>
      <c r="J184" s="1039">
        <v>0</v>
      </c>
      <c r="K184" s="1039">
        <v>0</v>
      </c>
      <c r="L184" s="1039">
        <v>0</v>
      </c>
      <c r="M184" s="1039">
        <v>0</v>
      </c>
      <c r="N184" s="1039">
        <v>0</v>
      </c>
      <c r="O184" s="1039">
        <v>0</v>
      </c>
      <c r="P184" s="1039">
        <v>0</v>
      </c>
      <c r="Q184" s="1039">
        <v>0</v>
      </c>
      <c r="R184" s="1039">
        <v>0</v>
      </c>
      <c r="S184" s="1039">
        <v>0</v>
      </c>
    </row>
    <row r="185" spans="1:19" s="403" customFormat="1" x14ac:dyDescent="0.3">
      <c r="A185" s="1034">
        <v>535</v>
      </c>
      <c r="B185" s="1031"/>
      <c r="C185" s="1034">
        <v>535</v>
      </c>
      <c r="D185" s="1036" t="s">
        <v>253</v>
      </c>
      <c r="E185" s="1039">
        <v>0</v>
      </c>
      <c r="F185" s="1039">
        <v>0</v>
      </c>
      <c r="G185" s="1039">
        <v>0</v>
      </c>
      <c r="H185" s="1039">
        <v>0</v>
      </c>
      <c r="I185" s="1039">
        <v>0</v>
      </c>
      <c r="J185" s="1039">
        <v>0</v>
      </c>
      <c r="K185" s="1039">
        <v>0</v>
      </c>
      <c r="L185" s="1039">
        <v>0</v>
      </c>
      <c r="M185" s="1039">
        <v>0</v>
      </c>
      <c r="N185" s="1039">
        <v>0</v>
      </c>
      <c r="O185" s="1039">
        <v>0</v>
      </c>
      <c r="P185" s="1039">
        <v>0</v>
      </c>
      <c r="Q185" s="1039">
        <v>0</v>
      </c>
      <c r="R185" s="1039">
        <v>0</v>
      </c>
      <c r="S185" s="1039">
        <v>0</v>
      </c>
    </row>
    <row r="186" spans="1:19" s="403" customFormat="1" x14ac:dyDescent="0.3">
      <c r="A186" s="1034">
        <v>536</v>
      </c>
      <c r="B186" s="1034">
        <v>536</v>
      </c>
      <c r="C186" s="1034">
        <v>536</v>
      </c>
      <c r="D186" s="1036" t="s">
        <v>199</v>
      </c>
      <c r="E186" s="1039">
        <v>106577</v>
      </c>
      <c r="F186" s="1039">
        <v>83660</v>
      </c>
      <c r="G186" s="1039">
        <v>1384272</v>
      </c>
      <c r="H186" s="1039">
        <v>0</v>
      </c>
      <c r="I186" s="1039">
        <v>103181</v>
      </c>
      <c r="J186" s="1039">
        <v>0</v>
      </c>
      <c r="K186" s="1039">
        <v>0</v>
      </c>
      <c r="L186" s="1039">
        <v>49375</v>
      </c>
      <c r="M186" s="1039">
        <v>0</v>
      </c>
      <c r="N186" s="1039">
        <v>1291177</v>
      </c>
      <c r="O186" s="1039">
        <v>0</v>
      </c>
      <c r="P186" s="1039">
        <v>0</v>
      </c>
      <c r="Q186" s="1039">
        <v>149501</v>
      </c>
      <c r="R186" s="1039">
        <v>163642</v>
      </c>
      <c r="S186" s="1039">
        <v>0</v>
      </c>
    </row>
    <row r="187" spans="1:19" s="403" customFormat="1" x14ac:dyDescent="0.3">
      <c r="A187" s="1034">
        <v>537</v>
      </c>
      <c r="B187" s="1034"/>
      <c r="C187" s="1029"/>
      <c r="D187" s="1029"/>
      <c r="E187" s="1029"/>
      <c r="F187" s="1029"/>
      <c r="G187" s="1029"/>
      <c r="H187" s="1029"/>
      <c r="I187" s="1029"/>
      <c r="J187" s="1029"/>
      <c r="K187" s="1029"/>
      <c r="L187" s="1029"/>
      <c r="M187" s="1029"/>
      <c r="N187" s="1029"/>
      <c r="O187" s="1029"/>
      <c r="P187" s="1029"/>
      <c r="Q187" s="1029"/>
      <c r="R187" s="1029"/>
      <c r="S187" s="1029"/>
    </row>
    <row r="188" spans="1:19" s="403" customFormat="1" x14ac:dyDescent="0.3">
      <c r="A188" s="1034">
        <v>538</v>
      </c>
      <c r="B188" s="1034"/>
      <c r="C188" s="1042"/>
      <c r="D188" s="1043"/>
      <c r="E188" s="1044"/>
      <c r="F188" s="1044"/>
      <c r="G188" s="1044"/>
      <c r="H188" s="1044"/>
      <c r="I188" s="1044"/>
      <c r="J188" s="1044"/>
      <c r="K188" s="1044"/>
      <c r="L188" s="1044"/>
      <c r="M188" s="1044"/>
      <c r="N188" s="1044"/>
      <c r="O188" s="1044"/>
      <c r="P188" s="1044"/>
      <c r="Q188" s="1044"/>
      <c r="R188" s="1044"/>
      <c r="S188" s="1044"/>
    </row>
    <row r="189" spans="1:19" s="403" customFormat="1" x14ac:dyDescent="0.3">
      <c r="A189" s="1034">
        <v>539</v>
      </c>
      <c r="B189" s="1034"/>
      <c r="C189" s="1042"/>
      <c r="D189" s="1043"/>
      <c r="E189" s="1044"/>
      <c r="F189" s="1044"/>
      <c r="G189" s="1044"/>
      <c r="H189" s="1044"/>
      <c r="I189" s="1044"/>
      <c r="J189" s="1044"/>
      <c r="K189" s="1044"/>
      <c r="L189" s="1044"/>
      <c r="M189" s="1044"/>
      <c r="N189" s="1044"/>
      <c r="O189" s="1044"/>
      <c r="P189" s="1044"/>
      <c r="Q189" s="1044"/>
      <c r="R189" s="1044"/>
      <c r="S189" s="1044"/>
    </row>
    <row r="190" spans="1:19" s="403" customFormat="1" x14ac:dyDescent="0.3">
      <c r="A190" s="1034">
        <v>540</v>
      </c>
      <c r="B190" s="1034"/>
      <c r="C190" s="1042"/>
      <c r="D190" s="1043"/>
      <c r="E190" s="1044"/>
      <c r="F190" s="1044"/>
      <c r="G190" s="1044"/>
      <c r="H190" s="1044"/>
      <c r="I190" s="1044"/>
      <c r="J190" s="1044"/>
      <c r="K190" s="1044"/>
      <c r="L190" s="1044"/>
      <c r="M190" s="1044"/>
      <c r="N190" s="1044"/>
      <c r="O190" s="1044"/>
      <c r="P190" s="1044"/>
      <c r="Q190" s="1044"/>
      <c r="R190" s="1044"/>
      <c r="S190" s="1044"/>
    </row>
    <row r="191" spans="1:19" s="403" customFormat="1" x14ac:dyDescent="0.3">
      <c r="A191" s="1034">
        <v>541</v>
      </c>
      <c r="B191" s="1034"/>
      <c r="C191" s="1042"/>
      <c r="D191" s="1043"/>
      <c r="E191" s="1044"/>
      <c r="F191" s="1044"/>
      <c r="G191" s="1044"/>
      <c r="H191" s="1044"/>
      <c r="I191" s="1044"/>
      <c r="J191" s="1044"/>
      <c r="K191" s="1044"/>
      <c r="L191" s="1044"/>
      <c r="M191" s="1044"/>
      <c r="N191" s="1044"/>
      <c r="O191" s="1044"/>
      <c r="P191" s="1044"/>
      <c r="Q191" s="1044"/>
      <c r="R191" s="1044"/>
      <c r="S191" s="1044"/>
    </row>
    <row r="192" spans="1:19" s="403" customFormat="1" x14ac:dyDescent="0.3">
      <c r="A192" s="1034">
        <v>542</v>
      </c>
      <c r="B192" s="1034"/>
      <c r="C192" s="1042"/>
      <c r="D192" s="1043"/>
      <c r="E192" s="1044"/>
      <c r="F192" s="1044"/>
      <c r="G192" s="1044"/>
      <c r="H192" s="1044"/>
      <c r="I192" s="1044"/>
      <c r="J192" s="1044"/>
      <c r="K192" s="1044"/>
      <c r="L192" s="1044"/>
      <c r="M192" s="1044"/>
      <c r="N192" s="1044"/>
      <c r="O192" s="1044"/>
      <c r="P192" s="1044"/>
      <c r="Q192" s="1044"/>
      <c r="R192" s="1044"/>
      <c r="S192" s="1044"/>
    </row>
    <row r="193" spans="1:19" s="403" customFormat="1" x14ac:dyDescent="0.3">
      <c r="A193" s="1034">
        <v>543</v>
      </c>
      <c r="B193" s="1034"/>
      <c r="C193" s="1042"/>
      <c r="D193" s="1043"/>
      <c r="E193" s="1044"/>
      <c r="F193" s="1044"/>
      <c r="G193" s="1044"/>
      <c r="H193" s="1044"/>
      <c r="I193" s="1044"/>
      <c r="J193" s="1044"/>
      <c r="K193" s="1044"/>
      <c r="L193" s="1044"/>
      <c r="M193" s="1044"/>
      <c r="N193" s="1044"/>
      <c r="O193" s="1044"/>
      <c r="P193" s="1044"/>
      <c r="Q193" s="1044"/>
      <c r="R193" s="1044"/>
      <c r="S193" s="1044"/>
    </row>
    <row r="194" spans="1:19" s="403" customFormat="1" x14ac:dyDescent="0.3">
      <c r="A194" s="1034">
        <v>544</v>
      </c>
      <c r="B194" s="1034"/>
      <c r="C194" s="1042"/>
      <c r="D194" s="1043"/>
      <c r="E194" s="1044"/>
      <c r="F194" s="1044"/>
      <c r="G194" s="1044"/>
      <c r="H194" s="1044"/>
      <c r="I194" s="1044"/>
      <c r="J194" s="1044"/>
      <c r="K194" s="1044"/>
      <c r="L194" s="1044"/>
      <c r="M194" s="1044"/>
      <c r="N194" s="1044"/>
      <c r="O194" s="1044"/>
      <c r="P194" s="1044"/>
      <c r="Q194" s="1044"/>
      <c r="R194" s="1044"/>
      <c r="S194" s="1044"/>
    </row>
    <row r="195" spans="1:19" s="403" customFormat="1" x14ac:dyDescent="0.3">
      <c r="A195" s="1034">
        <v>545</v>
      </c>
      <c r="B195" s="1034"/>
      <c r="C195" s="1042"/>
      <c r="D195" s="1043"/>
      <c r="E195" s="1044"/>
      <c r="F195" s="1044"/>
      <c r="G195" s="1044"/>
      <c r="H195" s="1044"/>
      <c r="I195" s="1044"/>
      <c r="J195" s="1044"/>
      <c r="K195" s="1044"/>
      <c r="L195" s="1044"/>
      <c r="M195" s="1044"/>
      <c r="N195" s="1044"/>
      <c r="O195" s="1044"/>
      <c r="P195" s="1044"/>
      <c r="Q195" s="1044"/>
      <c r="R195" s="1044"/>
      <c r="S195" s="1044"/>
    </row>
    <row r="196" spans="1:19" s="403" customFormat="1" x14ac:dyDescent="0.3">
      <c r="A196" s="1034">
        <v>546</v>
      </c>
      <c r="B196" s="1034"/>
      <c r="C196" s="1042"/>
      <c r="D196" s="1043"/>
      <c r="E196" s="1044"/>
      <c r="F196" s="1044"/>
      <c r="G196" s="1044"/>
      <c r="H196" s="1044"/>
      <c r="I196" s="1044"/>
      <c r="J196" s="1044"/>
      <c r="K196" s="1044"/>
      <c r="L196" s="1044"/>
      <c r="M196" s="1044"/>
      <c r="N196" s="1044"/>
      <c r="O196" s="1044"/>
      <c r="P196" s="1044"/>
      <c r="Q196" s="1044"/>
      <c r="R196" s="1044"/>
      <c r="S196" s="1044"/>
    </row>
    <row r="197" spans="1:19" s="403" customFormat="1" x14ac:dyDescent="0.3">
      <c r="A197" s="1034">
        <v>547</v>
      </c>
      <c r="B197" s="1031">
        <v>547</v>
      </c>
      <c r="C197" s="1045">
        <v>547</v>
      </c>
      <c r="D197" s="1036" t="s">
        <v>1474</v>
      </c>
      <c r="E197" s="1039">
        <v>2</v>
      </c>
      <c r="F197" s="1039">
        <v>2</v>
      </c>
      <c r="G197" s="1039">
        <v>2</v>
      </c>
      <c r="H197" s="1039">
        <v>0</v>
      </c>
      <c r="I197" s="1039">
        <v>2</v>
      </c>
      <c r="J197" s="1039">
        <v>3</v>
      </c>
      <c r="K197" s="1039">
        <v>2</v>
      </c>
      <c r="L197" s="1039">
        <v>2</v>
      </c>
      <c r="M197" s="1039">
        <v>2</v>
      </c>
      <c r="N197" s="1039">
        <v>3</v>
      </c>
      <c r="O197" s="1039">
        <v>0</v>
      </c>
      <c r="P197" s="1039">
        <v>2</v>
      </c>
      <c r="Q197" s="1039">
        <v>2</v>
      </c>
      <c r="R197" s="1039">
        <v>2</v>
      </c>
      <c r="S197" s="1039">
        <v>2</v>
      </c>
    </row>
    <row r="198" spans="1:19" s="403" customFormat="1" x14ac:dyDescent="0.3">
      <c r="A198" s="1034">
        <v>548</v>
      </c>
      <c r="B198" s="1031"/>
      <c r="C198" s="1045"/>
      <c r="D198" s="1046"/>
      <c r="E198" s="1039"/>
      <c r="F198" s="1039"/>
      <c r="G198" s="1039"/>
      <c r="H198" s="1039"/>
      <c r="I198" s="1039"/>
      <c r="J198" s="1039"/>
      <c r="K198" s="1039"/>
      <c r="L198" s="1039"/>
      <c r="M198" s="1039"/>
      <c r="N198" s="1039"/>
      <c r="O198" s="1039"/>
      <c r="P198" s="1039"/>
      <c r="Q198" s="1039"/>
      <c r="R198" s="1039"/>
      <c r="S198" s="1039"/>
    </row>
    <row r="199" spans="1:19" s="403" customFormat="1" x14ac:dyDescent="0.3">
      <c r="A199" s="1034">
        <v>549</v>
      </c>
      <c r="B199" s="1031"/>
      <c r="C199" s="1045"/>
      <c r="D199" s="1047"/>
      <c r="E199" s="1039"/>
      <c r="F199" s="1039"/>
      <c r="G199" s="1039"/>
      <c r="H199" s="1039"/>
      <c r="I199" s="1039"/>
      <c r="J199" s="1039"/>
      <c r="K199" s="1039"/>
      <c r="L199" s="1039"/>
      <c r="M199" s="1039"/>
      <c r="N199" s="1039"/>
      <c r="O199" s="1039"/>
      <c r="P199" s="1039"/>
      <c r="Q199" s="1039"/>
      <c r="R199" s="1039"/>
      <c r="S199" s="1039"/>
    </row>
    <row r="200" spans="1:19" s="403" customFormat="1" x14ac:dyDescent="0.3">
      <c r="A200" s="1034">
        <v>550</v>
      </c>
      <c r="B200" s="1031"/>
      <c r="C200" s="1045"/>
      <c r="D200" s="1048"/>
      <c r="E200" s="1039"/>
      <c r="F200" s="1039"/>
      <c r="G200" s="1039"/>
      <c r="H200" s="1039"/>
      <c r="I200" s="1039"/>
      <c r="J200" s="1039"/>
      <c r="K200" s="1039"/>
      <c r="L200" s="1039"/>
      <c r="M200" s="1039"/>
      <c r="N200" s="1039"/>
      <c r="O200" s="1039"/>
      <c r="P200" s="1039"/>
      <c r="Q200" s="1039"/>
      <c r="R200" s="1039"/>
      <c r="S200" s="1039"/>
    </row>
    <row r="201" spans="1:19" s="403" customFormat="1" x14ac:dyDescent="0.3">
      <c r="A201" s="1034">
        <v>551</v>
      </c>
      <c r="B201" s="1031"/>
      <c r="C201" s="1045"/>
      <c r="D201" s="1048"/>
      <c r="E201" s="1039"/>
      <c r="F201" s="1039"/>
      <c r="G201" s="1039"/>
      <c r="H201" s="1039"/>
      <c r="I201" s="1039"/>
      <c r="J201" s="1039"/>
      <c r="K201" s="1039"/>
      <c r="L201" s="1039"/>
      <c r="M201" s="1039"/>
      <c r="N201" s="1039"/>
      <c r="O201" s="1039"/>
      <c r="P201" s="1039"/>
      <c r="Q201" s="1039"/>
      <c r="R201" s="1039"/>
      <c r="S201" s="1039"/>
    </row>
    <row r="202" spans="1:19" s="403" customFormat="1" x14ac:dyDescent="0.3">
      <c r="A202" s="1034">
        <v>552</v>
      </c>
      <c r="B202" s="1031"/>
      <c r="C202" s="1045"/>
      <c r="D202" s="1048"/>
      <c r="E202" s="1039"/>
      <c r="F202" s="1039"/>
      <c r="G202" s="1039"/>
      <c r="H202" s="1039"/>
      <c r="I202" s="1039"/>
      <c r="J202" s="1039"/>
      <c r="K202" s="1039"/>
      <c r="L202" s="1039"/>
      <c r="M202" s="1039"/>
      <c r="N202" s="1039"/>
      <c r="O202" s="1039"/>
      <c r="P202" s="1039"/>
      <c r="Q202" s="1039"/>
      <c r="R202" s="1039"/>
      <c r="S202" s="1039"/>
    </row>
    <row r="203" spans="1:19" s="403" customFormat="1" x14ac:dyDescent="0.3">
      <c r="A203" s="1034">
        <v>553</v>
      </c>
      <c r="B203" s="1031"/>
      <c r="C203" s="1045"/>
      <c r="D203" s="1048"/>
      <c r="E203" s="1039"/>
      <c r="F203" s="1039"/>
      <c r="G203" s="1039"/>
      <c r="H203" s="1039"/>
      <c r="I203" s="1039"/>
      <c r="J203" s="1039"/>
      <c r="K203" s="1039"/>
      <c r="L203" s="1039"/>
      <c r="M203" s="1039"/>
      <c r="N203" s="1039"/>
      <c r="O203" s="1039"/>
      <c r="P203" s="1039"/>
      <c r="Q203" s="1039"/>
      <c r="R203" s="1039"/>
      <c r="S203" s="1039"/>
    </row>
    <row r="204" spans="1:19" s="403" customFormat="1" ht="28.8" x14ac:dyDescent="0.3">
      <c r="A204" s="1034">
        <v>554</v>
      </c>
      <c r="B204" s="1031">
        <v>554</v>
      </c>
      <c r="C204" s="1049">
        <v>554</v>
      </c>
      <c r="D204" s="1050" t="s">
        <v>340</v>
      </c>
      <c r="E204" s="1044">
        <v>0</v>
      </c>
      <c r="F204" s="1044">
        <v>0</v>
      </c>
      <c r="G204" s="1044">
        <v>0</v>
      </c>
      <c r="H204" s="1044">
        <v>0</v>
      </c>
      <c r="I204" s="1044">
        <v>0</v>
      </c>
      <c r="J204" s="1044">
        <v>0</v>
      </c>
      <c r="K204" s="1044">
        <v>0</v>
      </c>
      <c r="L204" s="1044">
        <v>0</v>
      </c>
      <c r="M204" s="1044">
        <v>0</v>
      </c>
      <c r="N204" s="1044">
        <v>0</v>
      </c>
      <c r="O204" s="1044">
        <v>0</v>
      </c>
      <c r="P204" s="1044">
        <v>0</v>
      </c>
      <c r="Q204" s="1044">
        <v>0</v>
      </c>
      <c r="R204" s="1044">
        <v>0</v>
      </c>
      <c r="S204" s="1044">
        <v>29112</v>
      </c>
    </row>
    <row r="205" spans="1:19" s="403" customFormat="1" ht="28.8" x14ac:dyDescent="0.3">
      <c r="A205" s="1034">
        <v>555</v>
      </c>
      <c r="B205" s="1034">
        <v>555</v>
      </c>
      <c r="C205" s="1049">
        <v>555</v>
      </c>
      <c r="D205" s="1051" t="s">
        <v>341</v>
      </c>
      <c r="E205" s="1044">
        <v>0</v>
      </c>
      <c r="F205" s="1044">
        <v>0</v>
      </c>
      <c r="G205" s="1044">
        <v>0</v>
      </c>
      <c r="H205" s="1044">
        <v>0</v>
      </c>
      <c r="I205" s="1044">
        <v>0</v>
      </c>
      <c r="J205" s="1044">
        <v>0</v>
      </c>
      <c r="K205" s="1044">
        <v>0</v>
      </c>
      <c r="L205" s="1044">
        <v>0</v>
      </c>
      <c r="M205" s="1044">
        <v>0</v>
      </c>
      <c r="N205" s="1044">
        <v>0</v>
      </c>
      <c r="O205" s="1044">
        <v>0</v>
      </c>
      <c r="P205" s="1044">
        <v>0</v>
      </c>
      <c r="Q205" s="1044">
        <v>0</v>
      </c>
      <c r="R205" s="1044">
        <v>0</v>
      </c>
      <c r="S205" s="1044">
        <v>0</v>
      </c>
    </row>
    <row r="206" spans="1:19" s="403" customFormat="1" ht="28.8" x14ac:dyDescent="0.3">
      <c r="A206" s="1034">
        <v>556</v>
      </c>
      <c r="B206" s="1031">
        <v>556</v>
      </c>
      <c r="C206" s="1049">
        <v>556</v>
      </c>
      <c r="D206" s="1052" t="s">
        <v>342</v>
      </c>
      <c r="E206" s="1044">
        <v>0</v>
      </c>
      <c r="F206" s="1044">
        <v>0</v>
      </c>
      <c r="G206" s="1044">
        <v>0</v>
      </c>
      <c r="H206" s="1044">
        <v>0</v>
      </c>
      <c r="I206" s="1044">
        <v>0</v>
      </c>
      <c r="J206" s="1044">
        <v>771940</v>
      </c>
      <c r="K206" s="1044">
        <v>0</v>
      </c>
      <c r="L206" s="1044">
        <v>0</v>
      </c>
      <c r="M206" s="1044">
        <v>0</v>
      </c>
      <c r="N206" s="1044">
        <v>0</v>
      </c>
      <c r="O206" s="1044">
        <v>0</v>
      </c>
      <c r="P206" s="1044">
        <v>0</v>
      </c>
      <c r="Q206" s="1044">
        <v>0</v>
      </c>
      <c r="R206" s="1044">
        <v>0</v>
      </c>
      <c r="S206" s="1044">
        <v>550523</v>
      </c>
    </row>
    <row r="207" spans="1:19" s="403" customFormat="1" ht="28.8" x14ac:dyDescent="0.3">
      <c r="A207" s="1034">
        <v>557</v>
      </c>
      <c r="B207" s="1034">
        <v>557</v>
      </c>
      <c r="C207" s="1049">
        <v>557</v>
      </c>
      <c r="D207" s="1050" t="s">
        <v>343</v>
      </c>
      <c r="E207" s="1044">
        <v>0</v>
      </c>
      <c r="F207" s="1044">
        <v>0</v>
      </c>
      <c r="G207" s="1044">
        <v>0</v>
      </c>
      <c r="H207" s="1044">
        <v>0</v>
      </c>
      <c r="I207" s="1044">
        <v>0</v>
      </c>
      <c r="J207" s="1044">
        <v>771940</v>
      </c>
      <c r="K207" s="1044">
        <v>0</v>
      </c>
      <c r="L207" s="1044">
        <v>0</v>
      </c>
      <c r="M207" s="1044">
        <v>0</v>
      </c>
      <c r="N207" s="1044">
        <v>0</v>
      </c>
      <c r="O207" s="1044">
        <v>0</v>
      </c>
      <c r="P207" s="1044">
        <v>0</v>
      </c>
      <c r="Q207" s="1044">
        <v>0</v>
      </c>
      <c r="R207" s="1044">
        <v>0</v>
      </c>
      <c r="S207" s="1044">
        <v>550523</v>
      </c>
    </row>
    <row r="208" spans="1:19" s="403" customFormat="1" x14ac:dyDescent="0.3">
      <c r="A208" s="1034">
        <v>558</v>
      </c>
      <c r="B208" s="1034"/>
      <c r="C208" s="1049"/>
      <c r="D208" s="1050"/>
      <c r="E208" s="1044"/>
      <c r="F208" s="1044"/>
      <c r="G208" s="1044"/>
      <c r="H208" s="1044"/>
      <c r="I208" s="1044"/>
      <c r="J208" s="1044"/>
      <c r="K208" s="1044"/>
      <c r="L208" s="1044"/>
      <c r="M208" s="1044"/>
      <c r="N208" s="1044"/>
      <c r="O208" s="1044"/>
      <c r="P208" s="1044"/>
      <c r="Q208" s="1044"/>
      <c r="R208" s="1044"/>
      <c r="S208" s="1044"/>
    </row>
    <row r="209" spans="1:19" s="403" customFormat="1" x14ac:dyDescent="0.3">
      <c r="A209" s="1034">
        <v>559</v>
      </c>
      <c r="B209" s="1034"/>
      <c r="C209" s="1049"/>
      <c r="D209" s="1050"/>
      <c r="E209" s="1044"/>
      <c r="F209" s="1044"/>
      <c r="G209" s="1044"/>
      <c r="H209" s="1044"/>
      <c r="I209" s="1044"/>
      <c r="J209" s="1044"/>
      <c r="K209" s="1044"/>
      <c r="L209" s="1044"/>
      <c r="M209" s="1044"/>
      <c r="N209" s="1044"/>
      <c r="O209" s="1044"/>
      <c r="P209" s="1044"/>
      <c r="Q209" s="1044"/>
      <c r="R209" s="1044"/>
      <c r="S209" s="1044"/>
    </row>
    <row r="210" spans="1:19" s="403" customFormat="1" x14ac:dyDescent="0.3">
      <c r="A210" s="1034">
        <v>560</v>
      </c>
      <c r="B210" s="1034"/>
      <c r="C210" s="1049"/>
      <c r="D210" s="1050"/>
      <c r="E210" s="1044"/>
      <c r="F210" s="1044"/>
      <c r="G210" s="1044"/>
      <c r="H210" s="1044"/>
      <c r="I210" s="1044"/>
      <c r="J210" s="1044"/>
      <c r="K210" s="1044"/>
      <c r="L210" s="1044"/>
      <c r="M210" s="1044"/>
      <c r="N210" s="1044"/>
      <c r="O210" s="1044"/>
      <c r="P210" s="1044"/>
      <c r="Q210" s="1044"/>
      <c r="R210" s="1044"/>
      <c r="S210" s="1044"/>
    </row>
    <row r="211" spans="1:19" s="403" customFormat="1" x14ac:dyDescent="0.3">
      <c r="A211" s="1034">
        <v>561</v>
      </c>
      <c r="B211" s="1034"/>
      <c r="C211" s="1049"/>
      <c r="D211" s="1050"/>
      <c r="E211" s="1044"/>
      <c r="F211" s="1044"/>
      <c r="G211" s="1044"/>
      <c r="H211" s="1044"/>
      <c r="I211" s="1044"/>
      <c r="J211" s="1044"/>
      <c r="K211" s="1044"/>
      <c r="L211" s="1044"/>
      <c r="M211" s="1044"/>
      <c r="N211" s="1044"/>
      <c r="O211" s="1044"/>
      <c r="P211" s="1044"/>
      <c r="Q211" s="1044"/>
      <c r="R211" s="1044"/>
      <c r="S211" s="1044"/>
    </row>
    <row r="212" spans="1:19" s="403" customFormat="1" x14ac:dyDescent="0.3">
      <c r="A212" s="1034">
        <v>562</v>
      </c>
      <c r="B212" s="1034"/>
      <c r="C212" s="1049"/>
      <c r="D212" s="1050"/>
      <c r="E212" s="1044"/>
      <c r="F212" s="1044"/>
      <c r="G212" s="1044"/>
      <c r="H212" s="1044"/>
      <c r="I212" s="1044"/>
      <c r="J212" s="1044"/>
      <c r="K212" s="1044"/>
      <c r="L212" s="1044"/>
      <c r="M212" s="1044"/>
      <c r="N212" s="1044"/>
      <c r="O212" s="1044"/>
      <c r="P212" s="1044"/>
      <c r="Q212" s="1044"/>
      <c r="R212" s="1044"/>
      <c r="S212" s="1044"/>
    </row>
    <row r="213" spans="1:19" s="403" customFormat="1" x14ac:dyDescent="0.3">
      <c r="A213" s="1034">
        <v>563</v>
      </c>
      <c r="B213" s="1034"/>
      <c r="C213" s="1049"/>
      <c r="D213" s="1050"/>
      <c r="E213" s="1044"/>
      <c r="F213" s="1044"/>
      <c r="G213" s="1044"/>
      <c r="H213" s="1044"/>
      <c r="I213" s="1044"/>
      <c r="J213" s="1044"/>
      <c r="K213" s="1044"/>
      <c r="L213" s="1044"/>
      <c r="M213" s="1044"/>
      <c r="N213" s="1044"/>
      <c r="O213" s="1044"/>
      <c r="P213" s="1044"/>
      <c r="Q213" s="1044"/>
      <c r="R213" s="1044"/>
      <c r="S213" s="1044"/>
    </row>
    <row r="214" spans="1:19" s="403" customFormat="1" x14ac:dyDescent="0.3">
      <c r="A214" s="1034">
        <v>564</v>
      </c>
      <c r="B214" s="1034"/>
      <c r="C214" s="1049"/>
      <c r="D214" s="1050"/>
      <c r="E214" s="1044"/>
      <c r="F214" s="1044"/>
      <c r="G214" s="1044"/>
      <c r="H214" s="1044"/>
      <c r="I214" s="1044"/>
      <c r="J214" s="1044"/>
      <c r="K214" s="1044"/>
      <c r="L214" s="1044"/>
      <c r="M214" s="1044"/>
      <c r="N214" s="1044"/>
      <c r="O214" s="1044"/>
      <c r="P214" s="1044"/>
      <c r="Q214" s="1044"/>
      <c r="R214" s="1044"/>
      <c r="S214" s="1044"/>
    </row>
    <row r="215" spans="1:19" s="403" customFormat="1" x14ac:dyDescent="0.3">
      <c r="A215" s="1034">
        <v>565</v>
      </c>
      <c r="B215" s="1034"/>
      <c r="C215" s="1049"/>
      <c r="D215" s="1050"/>
      <c r="E215" s="1044"/>
      <c r="F215" s="1044"/>
      <c r="G215" s="1044"/>
      <c r="H215" s="1044"/>
      <c r="I215" s="1044"/>
      <c r="J215" s="1044"/>
      <c r="K215" s="1044"/>
      <c r="L215" s="1044"/>
      <c r="M215" s="1044"/>
      <c r="N215" s="1044"/>
      <c r="O215" s="1044"/>
      <c r="P215" s="1044"/>
      <c r="Q215" s="1044"/>
      <c r="R215" s="1044"/>
      <c r="S215" s="1044"/>
    </row>
    <row r="216" spans="1:19" s="403" customFormat="1" x14ac:dyDescent="0.3">
      <c r="A216" s="1034">
        <v>566</v>
      </c>
      <c r="B216" s="1034"/>
      <c r="C216" s="1049"/>
      <c r="D216" s="1050"/>
      <c r="E216" s="1044"/>
      <c r="F216" s="1044"/>
      <c r="G216" s="1044"/>
      <c r="H216" s="1044"/>
      <c r="I216" s="1044"/>
      <c r="J216" s="1044"/>
      <c r="K216" s="1044"/>
      <c r="L216" s="1044"/>
      <c r="M216" s="1044"/>
      <c r="N216" s="1044"/>
      <c r="O216" s="1044"/>
      <c r="P216" s="1044"/>
      <c r="Q216" s="1044"/>
      <c r="R216" s="1044"/>
      <c r="S216" s="1044"/>
    </row>
    <row r="217" spans="1:19" s="403" customFormat="1" x14ac:dyDescent="0.3">
      <c r="A217" s="1034">
        <v>567</v>
      </c>
      <c r="B217" s="1034"/>
      <c r="C217" s="1049"/>
      <c r="D217" s="1050"/>
      <c r="E217" s="1044"/>
      <c r="F217" s="1044"/>
      <c r="G217" s="1044"/>
      <c r="H217" s="1044"/>
      <c r="I217" s="1044"/>
      <c r="J217" s="1044"/>
      <c r="K217" s="1044"/>
      <c r="L217" s="1044"/>
      <c r="M217" s="1044"/>
      <c r="N217" s="1044"/>
      <c r="O217" s="1044"/>
      <c r="P217" s="1044"/>
      <c r="Q217" s="1044"/>
      <c r="R217" s="1044"/>
      <c r="S217" s="1044"/>
    </row>
    <row r="218" spans="1:19" s="403" customFormat="1" x14ac:dyDescent="0.3">
      <c r="A218" s="1034">
        <v>568</v>
      </c>
      <c r="B218" s="1034"/>
      <c r="C218" s="1049"/>
      <c r="D218" s="1050"/>
      <c r="E218" s="1044"/>
      <c r="F218" s="1044"/>
      <c r="G218" s="1044"/>
      <c r="H218" s="1044"/>
      <c r="I218" s="1044"/>
      <c r="J218" s="1044"/>
      <c r="K218" s="1044"/>
      <c r="L218" s="1044"/>
      <c r="M218" s="1044"/>
      <c r="N218" s="1044"/>
      <c r="O218" s="1044"/>
      <c r="P218" s="1044"/>
      <c r="Q218" s="1044"/>
      <c r="R218" s="1044"/>
      <c r="S218" s="1044"/>
    </row>
    <row r="219" spans="1:19" s="403" customFormat="1" x14ac:dyDescent="0.3">
      <c r="A219" s="1034">
        <v>569</v>
      </c>
      <c r="B219" s="1034"/>
      <c r="C219" s="1049"/>
      <c r="D219" s="1050"/>
      <c r="E219" s="1044"/>
      <c r="F219" s="1044"/>
      <c r="G219" s="1044"/>
      <c r="H219" s="1044"/>
      <c r="I219" s="1044"/>
      <c r="J219" s="1044"/>
      <c r="K219" s="1044"/>
      <c r="L219" s="1044"/>
      <c r="M219" s="1044"/>
      <c r="N219" s="1044"/>
      <c r="O219" s="1044"/>
      <c r="P219" s="1044"/>
      <c r="Q219" s="1044"/>
      <c r="R219" s="1044"/>
      <c r="S219" s="1044"/>
    </row>
    <row r="220" spans="1:19" s="403" customFormat="1" x14ac:dyDescent="0.3">
      <c r="A220" s="1034">
        <v>570</v>
      </c>
      <c r="B220" s="1034"/>
      <c r="C220" s="1049"/>
      <c r="D220" s="1050"/>
      <c r="E220" s="1044"/>
      <c r="F220" s="1044"/>
      <c r="G220" s="1044"/>
      <c r="H220" s="1044"/>
      <c r="I220" s="1044"/>
      <c r="J220" s="1044"/>
      <c r="K220" s="1044"/>
      <c r="L220" s="1044"/>
      <c r="M220" s="1044"/>
      <c r="N220" s="1044"/>
      <c r="O220" s="1044"/>
      <c r="P220" s="1044"/>
      <c r="Q220" s="1044"/>
      <c r="R220" s="1044"/>
      <c r="S220" s="1044"/>
    </row>
    <row r="221" spans="1:19" s="403" customFormat="1" x14ac:dyDescent="0.3">
      <c r="A221" s="1034">
        <v>571</v>
      </c>
      <c r="B221" s="1034"/>
      <c r="C221" s="1049"/>
      <c r="D221" s="1050"/>
      <c r="E221" s="1044"/>
      <c r="F221" s="1044"/>
      <c r="G221" s="1044"/>
      <c r="H221" s="1044"/>
      <c r="I221" s="1044"/>
      <c r="J221" s="1044"/>
      <c r="K221" s="1044"/>
      <c r="L221" s="1044"/>
      <c r="M221" s="1044"/>
      <c r="N221" s="1044"/>
      <c r="O221" s="1044"/>
      <c r="P221" s="1044"/>
      <c r="Q221" s="1044"/>
      <c r="R221" s="1044"/>
      <c r="S221" s="1044"/>
    </row>
    <row r="222" spans="1:19" s="403" customFormat="1" x14ac:dyDescent="0.3">
      <c r="A222" s="1034">
        <v>572</v>
      </c>
      <c r="B222" s="1034"/>
      <c r="C222" s="1049"/>
      <c r="D222" s="1050"/>
      <c r="E222" s="1044"/>
      <c r="F222" s="1044"/>
      <c r="G222" s="1044"/>
      <c r="H222" s="1044"/>
      <c r="I222" s="1044"/>
      <c r="J222" s="1044"/>
      <c r="K222" s="1044"/>
      <c r="L222" s="1044"/>
      <c r="M222" s="1044"/>
      <c r="N222" s="1044"/>
      <c r="O222" s="1044"/>
      <c r="P222" s="1044"/>
      <c r="Q222" s="1044"/>
      <c r="R222" s="1044"/>
      <c r="S222" s="1044"/>
    </row>
    <row r="223" spans="1:19" s="403" customFormat="1" x14ac:dyDescent="0.3">
      <c r="A223" s="1034">
        <v>573</v>
      </c>
      <c r="B223" s="1034"/>
      <c r="C223" s="1049"/>
      <c r="D223" s="1050"/>
      <c r="E223" s="1044"/>
      <c r="F223" s="1044"/>
      <c r="G223" s="1044"/>
      <c r="H223" s="1044"/>
      <c r="I223" s="1044"/>
      <c r="J223" s="1044"/>
      <c r="K223" s="1044"/>
      <c r="L223" s="1044"/>
      <c r="M223" s="1044"/>
      <c r="N223" s="1044"/>
      <c r="O223" s="1044"/>
      <c r="P223" s="1044"/>
      <c r="Q223" s="1044"/>
      <c r="R223" s="1044"/>
      <c r="S223" s="1044"/>
    </row>
    <row r="224" spans="1:19" s="403" customFormat="1" x14ac:dyDescent="0.3">
      <c r="A224" s="1034">
        <v>574</v>
      </c>
      <c r="B224" s="1034"/>
      <c r="C224" s="1049"/>
      <c r="D224" s="1050"/>
      <c r="E224" s="1044"/>
      <c r="F224" s="1044"/>
      <c r="G224" s="1044"/>
      <c r="H224" s="1044"/>
      <c r="I224" s="1044"/>
      <c r="J224" s="1044"/>
      <c r="K224" s="1044"/>
      <c r="L224" s="1044"/>
      <c r="M224" s="1044"/>
      <c r="N224" s="1044"/>
      <c r="O224" s="1044"/>
      <c r="P224" s="1044"/>
      <c r="Q224" s="1044"/>
      <c r="R224" s="1044"/>
      <c r="S224" s="1044"/>
    </row>
    <row r="225" spans="1:19" s="403" customFormat="1" x14ac:dyDescent="0.3">
      <c r="A225" s="1034">
        <v>575</v>
      </c>
      <c r="B225" s="1034">
        <v>575</v>
      </c>
      <c r="C225" s="1053">
        <v>575</v>
      </c>
      <c r="D225" s="1054" t="s">
        <v>320</v>
      </c>
      <c r="E225" s="1039">
        <v>0</v>
      </c>
      <c r="F225" s="1039">
        <v>0</v>
      </c>
      <c r="G225" s="1039">
        <v>0</v>
      </c>
      <c r="H225" s="1039">
        <v>0</v>
      </c>
      <c r="I225" s="1039">
        <v>0</v>
      </c>
      <c r="J225" s="1039">
        <v>0</v>
      </c>
      <c r="K225" s="1039">
        <v>0</v>
      </c>
      <c r="L225" s="1039">
        <v>0</v>
      </c>
      <c r="M225" s="1039">
        <v>0</v>
      </c>
      <c r="N225" s="1039">
        <v>0</v>
      </c>
      <c r="O225" s="1039">
        <v>0</v>
      </c>
      <c r="P225" s="1039">
        <v>0</v>
      </c>
      <c r="Q225" s="1039">
        <v>0</v>
      </c>
      <c r="R225" s="1039">
        <v>0</v>
      </c>
      <c r="S225" s="1039">
        <v>0</v>
      </c>
    </row>
    <row r="226" spans="1:19" s="403" customFormat="1" x14ac:dyDescent="0.3">
      <c r="A226" s="1034">
        <v>576</v>
      </c>
      <c r="B226" s="1034">
        <v>576</v>
      </c>
      <c r="C226" s="1053">
        <v>576</v>
      </c>
      <c r="D226" s="1054" t="s">
        <v>321</v>
      </c>
      <c r="E226" s="1039">
        <v>0</v>
      </c>
      <c r="F226" s="1039">
        <v>0</v>
      </c>
      <c r="G226" s="1039">
        <v>0</v>
      </c>
      <c r="H226" s="1039">
        <v>0</v>
      </c>
      <c r="I226" s="1039">
        <v>0</v>
      </c>
      <c r="J226" s="1039">
        <v>0</v>
      </c>
      <c r="K226" s="1039">
        <v>0</v>
      </c>
      <c r="L226" s="1039">
        <v>0</v>
      </c>
      <c r="M226" s="1039">
        <v>0</v>
      </c>
      <c r="N226" s="1039">
        <v>0</v>
      </c>
      <c r="O226" s="1039">
        <v>0</v>
      </c>
      <c r="P226" s="1039">
        <v>0</v>
      </c>
      <c r="Q226" s="1039">
        <v>0</v>
      </c>
      <c r="R226" s="1039">
        <v>0</v>
      </c>
      <c r="S226" s="1039">
        <v>0</v>
      </c>
    </row>
    <row r="227" spans="1:19" s="403" customFormat="1" ht="55.2" x14ac:dyDescent="0.3">
      <c r="A227" s="1034">
        <v>577</v>
      </c>
      <c r="B227" s="1034">
        <v>577</v>
      </c>
      <c r="C227" s="1055">
        <v>577</v>
      </c>
      <c r="D227" s="1056" t="s">
        <v>1479</v>
      </c>
      <c r="E227" s="1044">
        <v>0</v>
      </c>
      <c r="F227" s="1044">
        <v>0</v>
      </c>
      <c r="G227" s="1044">
        <v>0</v>
      </c>
      <c r="H227" s="1044">
        <v>0</v>
      </c>
      <c r="I227" s="1044">
        <v>0</v>
      </c>
      <c r="J227" s="1044">
        <v>0</v>
      </c>
      <c r="K227" s="1044">
        <v>0</v>
      </c>
      <c r="L227" s="1044">
        <v>0</v>
      </c>
      <c r="M227" s="1044">
        <v>0</v>
      </c>
      <c r="N227" s="1044">
        <v>0</v>
      </c>
      <c r="O227" s="1044">
        <v>0</v>
      </c>
      <c r="P227" s="1044">
        <v>0</v>
      </c>
      <c r="Q227" s="1044">
        <v>0</v>
      </c>
      <c r="R227" s="1044">
        <v>0</v>
      </c>
      <c r="S227" s="1044">
        <v>0</v>
      </c>
    </row>
    <row r="228" spans="1:19" s="403" customFormat="1" x14ac:dyDescent="0.3">
      <c r="A228" s="1034">
        <v>578</v>
      </c>
      <c r="B228" s="1034"/>
      <c r="C228" s="1055"/>
      <c r="D228" s="1057"/>
      <c r="E228" s="1044"/>
      <c r="F228" s="1044"/>
      <c r="G228" s="1044"/>
      <c r="H228" s="1044"/>
      <c r="I228" s="1044"/>
      <c r="J228" s="1044"/>
      <c r="K228" s="1044"/>
      <c r="L228" s="1044"/>
      <c r="M228" s="1044"/>
      <c r="N228" s="1044"/>
      <c r="O228" s="1044"/>
      <c r="P228" s="1044"/>
      <c r="Q228" s="1044"/>
      <c r="R228" s="1044"/>
      <c r="S228" s="1044"/>
    </row>
    <row r="229" spans="1:19" s="403" customFormat="1" x14ac:dyDescent="0.3">
      <c r="A229" s="1034">
        <v>579</v>
      </c>
      <c r="B229" s="1034"/>
      <c r="C229" s="1055"/>
      <c r="D229" s="1057"/>
      <c r="E229" s="1044"/>
      <c r="F229" s="1044"/>
      <c r="G229" s="1044"/>
      <c r="H229" s="1044"/>
      <c r="I229" s="1044"/>
      <c r="J229" s="1044"/>
      <c r="K229" s="1044"/>
      <c r="L229" s="1044"/>
      <c r="M229" s="1044"/>
      <c r="N229" s="1044"/>
      <c r="O229" s="1044"/>
      <c r="P229" s="1044"/>
      <c r="Q229" s="1044"/>
      <c r="R229" s="1044"/>
      <c r="S229" s="1044"/>
    </row>
    <row r="230" spans="1:19" s="403" customFormat="1" x14ac:dyDescent="0.3">
      <c r="A230" s="1034">
        <v>580</v>
      </c>
      <c r="B230" s="1034"/>
      <c r="C230" s="1055"/>
      <c r="D230" s="1057"/>
      <c r="E230" s="1044"/>
      <c r="F230" s="1044"/>
      <c r="G230" s="1044"/>
      <c r="H230" s="1044"/>
      <c r="I230" s="1044"/>
      <c r="J230" s="1044"/>
      <c r="K230" s="1044"/>
      <c r="L230" s="1044"/>
      <c r="M230" s="1044"/>
      <c r="N230" s="1044"/>
      <c r="O230" s="1044"/>
      <c r="P230" s="1044"/>
      <c r="Q230" s="1044"/>
      <c r="R230" s="1044"/>
      <c r="S230" s="1044"/>
    </row>
    <row r="231" spans="1:19" s="403" customFormat="1" x14ac:dyDescent="0.3">
      <c r="A231" s="1034">
        <v>581</v>
      </c>
      <c r="B231" s="1034"/>
      <c r="C231" s="1055"/>
      <c r="D231" s="1057"/>
      <c r="E231" s="1044"/>
      <c r="F231" s="1044"/>
      <c r="G231" s="1044"/>
      <c r="H231" s="1044"/>
      <c r="I231" s="1044"/>
      <c r="J231" s="1044"/>
      <c r="K231" s="1044"/>
      <c r="L231" s="1044"/>
      <c r="M231" s="1044"/>
      <c r="N231" s="1044"/>
      <c r="O231" s="1044"/>
      <c r="P231" s="1044"/>
      <c r="Q231" s="1044"/>
      <c r="R231" s="1044"/>
      <c r="S231" s="1044"/>
    </row>
    <row r="232" spans="1:19" s="403" customFormat="1" x14ac:dyDescent="0.3">
      <c r="A232" s="1034">
        <v>582</v>
      </c>
      <c r="B232" s="1034"/>
      <c r="C232" s="1055"/>
      <c r="D232" s="1057"/>
      <c r="E232" s="1044"/>
      <c r="F232" s="1044"/>
      <c r="G232" s="1044"/>
      <c r="H232" s="1044"/>
      <c r="I232" s="1044"/>
      <c r="J232" s="1044"/>
      <c r="K232" s="1044"/>
      <c r="L232" s="1044"/>
      <c r="M232" s="1044"/>
      <c r="N232" s="1044"/>
      <c r="O232" s="1044"/>
      <c r="P232" s="1044"/>
      <c r="Q232" s="1044"/>
      <c r="R232" s="1044"/>
      <c r="S232" s="1044"/>
    </row>
    <row r="233" spans="1:19" s="403" customFormat="1" x14ac:dyDescent="0.3">
      <c r="A233" s="1034">
        <v>583</v>
      </c>
      <c r="B233" s="1034"/>
      <c r="C233" s="1055"/>
      <c r="D233" s="1057"/>
      <c r="E233" s="1044"/>
      <c r="F233" s="1044"/>
      <c r="G233" s="1044"/>
      <c r="H233" s="1044"/>
      <c r="I233" s="1044"/>
      <c r="J233" s="1044"/>
      <c r="K233" s="1044"/>
      <c r="L233" s="1044"/>
      <c r="M233" s="1044"/>
      <c r="N233" s="1044"/>
      <c r="O233" s="1044"/>
      <c r="P233" s="1044"/>
      <c r="Q233" s="1044"/>
      <c r="R233" s="1044"/>
      <c r="S233" s="1044"/>
    </row>
    <row r="234" spans="1:19" s="403" customFormat="1" x14ac:dyDescent="0.3">
      <c r="A234" s="1034">
        <v>584</v>
      </c>
      <c r="B234" s="1034"/>
      <c r="C234" s="1055"/>
      <c r="D234" s="1057"/>
      <c r="E234" s="1044"/>
      <c r="F234" s="1044"/>
      <c r="G234" s="1044"/>
      <c r="H234" s="1044"/>
      <c r="I234" s="1044"/>
      <c r="J234" s="1044"/>
      <c r="K234" s="1044"/>
      <c r="L234" s="1044"/>
      <c r="M234" s="1044"/>
      <c r="N234" s="1044"/>
      <c r="O234" s="1044"/>
      <c r="P234" s="1044"/>
      <c r="Q234" s="1044"/>
      <c r="R234" s="1044"/>
      <c r="S234" s="1044"/>
    </row>
    <row r="235" spans="1:19" s="403" customFormat="1" x14ac:dyDescent="0.3">
      <c r="A235" s="1034">
        <v>585</v>
      </c>
      <c r="B235" s="1034"/>
      <c r="C235" s="1055"/>
      <c r="D235" s="1057"/>
      <c r="E235" s="1044"/>
      <c r="F235" s="1044"/>
      <c r="G235" s="1044"/>
      <c r="H235" s="1044"/>
      <c r="I235" s="1044"/>
      <c r="J235" s="1044"/>
      <c r="K235" s="1044"/>
      <c r="L235" s="1044"/>
      <c r="M235" s="1044"/>
      <c r="N235" s="1044"/>
      <c r="O235" s="1044"/>
      <c r="P235" s="1044"/>
      <c r="Q235" s="1044"/>
      <c r="R235" s="1044"/>
      <c r="S235" s="1044"/>
    </row>
    <row r="236" spans="1:19" s="403" customFormat="1" x14ac:dyDescent="0.3">
      <c r="A236" s="1034">
        <v>586</v>
      </c>
      <c r="B236" s="1031">
        <v>586</v>
      </c>
      <c r="C236" s="1058">
        <v>586</v>
      </c>
      <c r="D236" s="1059" t="s">
        <v>335</v>
      </c>
      <c r="E236" s="1039">
        <v>0</v>
      </c>
      <c r="F236" s="1039">
        <v>0</v>
      </c>
      <c r="G236" s="1039">
        <v>0</v>
      </c>
      <c r="H236" s="1039">
        <v>0</v>
      </c>
      <c r="I236" s="1039">
        <v>0</v>
      </c>
      <c r="J236" s="1039">
        <v>0</v>
      </c>
      <c r="K236" s="1039">
        <v>0</v>
      </c>
      <c r="L236" s="1039">
        <v>0</v>
      </c>
      <c r="M236" s="1039">
        <v>0</v>
      </c>
      <c r="N236" s="1039">
        <v>0</v>
      </c>
      <c r="O236" s="1039">
        <v>0</v>
      </c>
      <c r="P236" s="1039">
        <v>0</v>
      </c>
      <c r="Q236" s="1039">
        <v>0</v>
      </c>
      <c r="R236" s="1039">
        <v>0</v>
      </c>
      <c r="S236" s="1039">
        <v>0</v>
      </c>
    </row>
    <row r="237" spans="1:19" s="403" customFormat="1" x14ac:dyDescent="0.3">
      <c r="A237" s="1034">
        <v>587</v>
      </c>
      <c r="B237" s="1029"/>
      <c r="C237" s="1029"/>
      <c r="D237" s="1029"/>
      <c r="E237" s="1029"/>
      <c r="F237" s="1029"/>
      <c r="G237" s="1029"/>
      <c r="H237" s="1029"/>
      <c r="I237" s="1029"/>
      <c r="J237" s="1029"/>
      <c r="K237" s="1029"/>
      <c r="L237" s="1029"/>
      <c r="M237" s="1029"/>
      <c r="N237" s="1029"/>
      <c r="O237" s="1029"/>
      <c r="P237" s="1029"/>
      <c r="Q237" s="1029"/>
      <c r="R237" s="1029"/>
      <c r="S237" s="1029"/>
    </row>
    <row r="238" spans="1:19" s="403" customFormat="1" x14ac:dyDescent="0.3">
      <c r="A238" s="1034">
        <v>588</v>
      </c>
      <c r="B238" s="1029"/>
      <c r="C238" s="1029"/>
      <c r="D238" s="1029"/>
      <c r="E238" s="1029"/>
      <c r="F238" s="1029"/>
      <c r="G238" s="1029"/>
      <c r="H238" s="1029"/>
      <c r="I238" s="1029"/>
      <c r="J238" s="1029"/>
      <c r="K238" s="1029"/>
      <c r="L238" s="1029"/>
      <c r="M238" s="1029"/>
      <c r="N238" s="1029"/>
      <c r="O238" s="1029"/>
      <c r="P238" s="1029"/>
      <c r="Q238" s="1029"/>
      <c r="R238" s="1029"/>
      <c r="S238" s="1029"/>
    </row>
    <row r="239" spans="1:19" s="403" customFormat="1" x14ac:dyDescent="0.3">
      <c r="A239" s="1034">
        <v>589</v>
      </c>
      <c r="B239" s="1034"/>
      <c r="C239" s="1029"/>
      <c r="D239" s="1029"/>
      <c r="E239" s="1039"/>
      <c r="F239" s="1039"/>
      <c r="G239" s="1039"/>
      <c r="H239" s="1039"/>
      <c r="I239" s="1039"/>
      <c r="J239" s="1039"/>
      <c r="K239" s="1039"/>
      <c r="L239" s="1039"/>
      <c r="M239" s="1039"/>
      <c r="N239" s="1039"/>
      <c r="O239" s="1039"/>
      <c r="P239" s="1039"/>
      <c r="Q239" s="1039"/>
      <c r="R239" s="1039"/>
      <c r="S239" s="1039"/>
    </row>
    <row r="240" spans="1:19" s="403" customFormat="1" x14ac:dyDescent="0.3">
      <c r="A240" s="1034">
        <v>590</v>
      </c>
      <c r="B240" s="1034"/>
      <c r="C240" s="1035"/>
      <c r="D240" s="1060"/>
      <c r="E240" s="1039"/>
      <c r="F240" s="1039"/>
      <c r="G240" s="1039"/>
      <c r="H240" s="1039"/>
      <c r="I240" s="1039"/>
      <c r="J240" s="1039"/>
      <c r="K240" s="1039"/>
      <c r="L240" s="1039"/>
      <c r="M240" s="1039"/>
      <c r="N240" s="1039"/>
      <c r="O240" s="1039"/>
      <c r="P240" s="1039"/>
      <c r="Q240" s="1039"/>
      <c r="R240" s="1039"/>
      <c r="S240" s="1039"/>
    </row>
    <row r="241" spans="1:19" s="403" customFormat="1" x14ac:dyDescent="0.3">
      <c r="A241" s="1034">
        <v>992</v>
      </c>
      <c r="B241" s="1034"/>
      <c r="C241" s="1035"/>
      <c r="D241" s="1060"/>
      <c r="E241" s="1039"/>
      <c r="F241" s="1039"/>
      <c r="G241" s="1039"/>
      <c r="H241" s="1039"/>
      <c r="I241" s="1039"/>
      <c r="J241" s="1039"/>
      <c r="K241" s="1039"/>
      <c r="L241" s="1039"/>
      <c r="M241" s="1039"/>
      <c r="N241" s="1039"/>
      <c r="O241" s="1039"/>
      <c r="P241" s="1039"/>
      <c r="Q241" s="1039"/>
      <c r="R241" s="1039"/>
      <c r="S241" s="1039"/>
    </row>
    <row r="242" spans="1:19" s="407" customFormat="1" x14ac:dyDescent="0.3">
      <c r="A242" s="1034">
        <v>993</v>
      </c>
      <c r="B242" s="1034"/>
      <c r="C242" s="1035"/>
      <c r="D242" s="1061"/>
      <c r="E242" s="1044"/>
      <c r="F242" s="1044"/>
      <c r="G242" s="1044"/>
      <c r="H242" s="1044"/>
      <c r="I242" s="1044"/>
      <c r="J242" s="1044"/>
      <c r="K242" s="1044"/>
      <c r="L242" s="1044"/>
      <c r="M242" s="1044"/>
      <c r="N242" s="1044"/>
      <c r="O242" s="1044"/>
      <c r="P242" s="1044"/>
      <c r="Q242" s="1044"/>
      <c r="R242" s="1044"/>
      <c r="S242" s="1044"/>
    </row>
    <row r="243" spans="1:19" s="407" customFormat="1" x14ac:dyDescent="0.3">
      <c r="A243" s="1034">
        <v>994</v>
      </c>
      <c r="B243" s="1034"/>
      <c r="C243" s="1035"/>
      <c r="D243" s="1061"/>
      <c r="E243" s="1044"/>
      <c r="F243" s="1044"/>
      <c r="G243" s="1044"/>
      <c r="H243" s="1044"/>
      <c r="I243" s="1044"/>
      <c r="J243" s="1044"/>
      <c r="K243" s="1044"/>
      <c r="L243" s="1044"/>
      <c r="M243" s="1044"/>
      <c r="N243" s="1044"/>
      <c r="O243" s="1044"/>
      <c r="P243" s="1044"/>
      <c r="Q243" s="1044"/>
      <c r="R243" s="1044"/>
      <c r="S243" s="1044"/>
    </row>
    <row r="244" spans="1:19" s="407" customFormat="1" x14ac:dyDescent="0.3">
      <c r="A244" s="1034">
        <v>995</v>
      </c>
      <c r="B244" s="1034"/>
      <c r="C244" s="1035"/>
      <c r="D244" s="1061"/>
      <c r="E244" s="1044"/>
      <c r="F244" s="1044"/>
      <c r="G244" s="1044"/>
      <c r="H244" s="1044"/>
      <c r="I244" s="1044"/>
      <c r="J244" s="1044"/>
      <c r="K244" s="1044"/>
      <c r="L244" s="1044"/>
      <c r="M244" s="1044"/>
      <c r="N244" s="1044"/>
      <c r="O244" s="1044"/>
      <c r="P244" s="1044"/>
      <c r="Q244" s="1044"/>
      <c r="R244" s="1044"/>
      <c r="S244" s="1044"/>
    </row>
    <row r="245" spans="1:19" s="407" customFormat="1" x14ac:dyDescent="0.3">
      <c r="A245" s="1034">
        <v>996</v>
      </c>
      <c r="B245" s="1034"/>
      <c r="C245" s="1035"/>
      <c r="D245" s="1061"/>
      <c r="E245" s="1044"/>
      <c r="F245" s="1044"/>
      <c r="G245" s="1044"/>
      <c r="H245" s="1044"/>
      <c r="I245" s="1044"/>
      <c r="J245" s="1044"/>
      <c r="K245" s="1044"/>
      <c r="L245" s="1044"/>
      <c r="M245" s="1044"/>
      <c r="N245" s="1044"/>
      <c r="O245" s="1044"/>
      <c r="P245" s="1044"/>
      <c r="Q245" s="1044"/>
      <c r="R245" s="1044"/>
      <c r="S245" s="1044"/>
    </row>
    <row r="246" spans="1:19" s="403" customFormat="1" x14ac:dyDescent="0.3">
      <c r="A246" s="1034">
        <v>997</v>
      </c>
      <c r="B246" s="1034"/>
      <c r="C246" s="1035"/>
      <c r="D246" s="1061"/>
      <c r="E246" s="1044"/>
      <c r="F246" s="1044"/>
      <c r="G246" s="1044"/>
      <c r="H246" s="1044"/>
      <c r="I246" s="1044"/>
      <c r="J246" s="1044"/>
      <c r="K246" s="1044"/>
      <c r="L246" s="1044"/>
      <c r="M246" s="1044"/>
      <c r="N246" s="1044"/>
      <c r="O246" s="1044"/>
      <c r="P246" s="1044"/>
      <c r="Q246" s="1044"/>
      <c r="R246" s="1044"/>
      <c r="S246" s="1044"/>
    </row>
    <row r="247" spans="1:19" s="403" customFormat="1" x14ac:dyDescent="0.3">
      <c r="A247" s="1034">
        <v>998</v>
      </c>
      <c r="B247" s="1034">
        <v>998</v>
      </c>
      <c r="C247" s="1040">
        <v>998</v>
      </c>
      <c r="D247" s="1043" t="s">
        <v>288</v>
      </c>
      <c r="E247" s="1044">
        <v>57</v>
      </c>
      <c r="F247" s="1044">
        <v>57</v>
      </c>
      <c r="G247" s="1044">
        <v>57</v>
      </c>
      <c r="H247" s="1044">
        <v>57</v>
      </c>
      <c r="I247" s="1044">
        <v>57</v>
      </c>
      <c r="J247" s="1044">
        <v>57</v>
      </c>
      <c r="K247" s="1044">
        <v>57</v>
      </c>
      <c r="L247" s="1044">
        <v>57</v>
      </c>
      <c r="M247" s="1044">
        <v>57</v>
      </c>
      <c r="N247" s="1044">
        <v>57</v>
      </c>
      <c r="O247" s="1044">
        <v>57</v>
      </c>
      <c r="P247" s="1044">
        <v>57</v>
      </c>
      <c r="Q247" s="1044">
        <v>57</v>
      </c>
      <c r="R247" s="1044">
        <v>57</v>
      </c>
      <c r="S247" s="1044">
        <v>57</v>
      </c>
    </row>
    <row r="248" spans="1:19" s="403" customFormat="1" x14ac:dyDescent="0.3">
      <c r="A248" s="1034">
        <v>999</v>
      </c>
      <c r="B248" s="1034">
        <v>999</v>
      </c>
      <c r="C248" s="1040">
        <v>999</v>
      </c>
      <c r="D248" s="1043" t="s">
        <v>289</v>
      </c>
      <c r="E248" s="1062">
        <v>571300</v>
      </c>
      <c r="F248" s="1062">
        <v>571301</v>
      </c>
      <c r="G248" s="1062">
        <v>571302</v>
      </c>
      <c r="H248" s="1062">
        <v>571303</v>
      </c>
      <c r="I248" s="1062">
        <v>572177</v>
      </c>
      <c r="J248" s="1062">
        <v>571304</v>
      </c>
      <c r="K248" s="1062">
        <v>571305</v>
      </c>
      <c r="L248" s="1062">
        <v>571306</v>
      </c>
      <c r="M248" s="1062">
        <v>571307</v>
      </c>
      <c r="N248" s="1062">
        <v>571309</v>
      </c>
      <c r="O248" s="1062">
        <v>571310</v>
      </c>
      <c r="P248" s="1062">
        <v>571311</v>
      </c>
      <c r="Q248" s="1062">
        <v>571313</v>
      </c>
      <c r="R248" s="1062">
        <v>571315</v>
      </c>
      <c r="S248" s="1062">
        <v>571316</v>
      </c>
    </row>
    <row r="249" spans="1:19" x14ac:dyDescent="0.3">
      <c r="A249" s="1034">
        <v>1000</v>
      </c>
      <c r="B249" s="1034"/>
      <c r="C249" s="1035"/>
      <c r="D249" s="1061"/>
      <c r="E249" s="1044"/>
      <c r="F249" s="1044"/>
      <c r="G249" s="1044"/>
      <c r="H249" s="1044"/>
      <c r="I249" s="1044"/>
      <c r="J249" s="1044"/>
      <c r="K249" s="1044"/>
      <c r="L249" s="1044"/>
      <c r="M249" s="1044"/>
      <c r="N249" s="1044"/>
      <c r="O249" s="1044"/>
      <c r="P249" s="1044"/>
      <c r="Q249" s="1044"/>
      <c r="R249" s="1044"/>
      <c r="S249" s="1044"/>
    </row>
    <row r="250" spans="1:19" x14ac:dyDescent="0.3">
      <c r="A250" s="1034">
        <v>537</v>
      </c>
      <c r="B250" s="1034"/>
      <c r="C250" s="1035"/>
      <c r="D250" s="1061"/>
      <c r="E250" s="1044"/>
      <c r="F250" s="1044"/>
      <c r="G250" s="1044"/>
      <c r="H250" s="1044"/>
      <c r="I250" s="1044"/>
      <c r="J250" s="1044"/>
      <c r="K250" s="1044"/>
      <c r="L250" s="1044"/>
      <c r="M250" s="1044"/>
      <c r="N250" s="1044"/>
      <c r="O250" s="1044"/>
      <c r="P250" s="1044"/>
      <c r="Q250" s="1044"/>
      <c r="R250" s="1044"/>
      <c r="S250" s="1044"/>
    </row>
    <row r="251" spans="1:19" x14ac:dyDescent="0.3">
      <c r="A251" s="1034">
        <v>538</v>
      </c>
      <c r="B251" s="1034"/>
      <c r="C251" s="1035"/>
      <c r="D251" s="1061"/>
      <c r="E251" s="1044"/>
      <c r="F251" s="1044"/>
      <c r="G251" s="1044"/>
      <c r="H251" s="1044"/>
      <c r="I251" s="1044"/>
      <c r="J251" s="1044"/>
      <c r="K251" s="1044"/>
      <c r="L251" s="1044"/>
      <c r="M251" s="1044"/>
      <c r="N251" s="1044"/>
      <c r="O251" s="1044"/>
      <c r="P251" s="1044"/>
      <c r="Q251" s="1044"/>
      <c r="R251" s="1044"/>
      <c r="S251" s="1044"/>
    </row>
    <row r="252" spans="1:19" s="403" customFormat="1" x14ac:dyDescent="0.3">
      <c r="A252" s="1034">
        <v>591</v>
      </c>
      <c r="B252" s="1034">
        <v>591</v>
      </c>
      <c r="C252" s="1063">
        <v>591</v>
      </c>
      <c r="D252" s="1064" t="s">
        <v>350</v>
      </c>
      <c r="E252" s="1039">
        <v>0</v>
      </c>
      <c r="F252" s="1039">
        <v>0</v>
      </c>
      <c r="G252" s="1039">
        <v>0</v>
      </c>
      <c r="H252" s="1039">
        <v>0</v>
      </c>
      <c r="I252" s="1039">
        <v>0</v>
      </c>
      <c r="J252" s="1039">
        <v>0</v>
      </c>
      <c r="K252" s="1039">
        <v>0</v>
      </c>
      <c r="L252" s="1039">
        <v>0</v>
      </c>
      <c r="M252" s="1039">
        <v>0</v>
      </c>
      <c r="N252" s="1039">
        <v>0</v>
      </c>
      <c r="O252" s="1039">
        <v>0</v>
      </c>
      <c r="P252" s="1039">
        <v>0</v>
      </c>
      <c r="Q252" s="1039">
        <v>0</v>
      </c>
      <c r="R252" s="1039">
        <v>0</v>
      </c>
      <c r="S252" s="1039">
        <v>0</v>
      </c>
    </row>
    <row r="253" spans="1:19" s="403" customFormat="1" x14ac:dyDescent="0.3">
      <c r="A253" s="1034">
        <v>592</v>
      </c>
      <c r="B253" s="1034">
        <v>592</v>
      </c>
      <c r="C253" s="1034">
        <v>592</v>
      </c>
      <c r="D253" s="1064" t="s">
        <v>351</v>
      </c>
      <c r="E253" s="1039">
        <v>0</v>
      </c>
      <c r="F253" s="1039">
        <v>0</v>
      </c>
      <c r="G253" s="1039">
        <v>0</v>
      </c>
      <c r="H253" s="1039">
        <v>0</v>
      </c>
      <c r="I253" s="1039">
        <v>0</v>
      </c>
      <c r="J253" s="1039">
        <v>0</v>
      </c>
      <c r="K253" s="1039">
        <v>0</v>
      </c>
      <c r="L253" s="1039">
        <v>0</v>
      </c>
      <c r="M253" s="1039">
        <v>0</v>
      </c>
      <c r="N253" s="1039">
        <v>0</v>
      </c>
      <c r="O253" s="1039">
        <v>0</v>
      </c>
      <c r="P253" s="1039">
        <v>0</v>
      </c>
      <c r="Q253" s="1039">
        <v>0</v>
      </c>
      <c r="R253" s="1039">
        <v>0</v>
      </c>
      <c r="S253" s="1039">
        <v>0</v>
      </c>
    </row>
    <row r="254" spans="1:19" s="403" customFormat="1" x14ac:dyDescent="0.3">
      <c r="A254" s="1034">
        <v>595</v>
      </c>
      <c r="B254" s="1034"/>
      <c r="C254" s="1053">
        <v>595</v>
      </c>
      <c r="D254" s="1065" t="s">
        <v>1480</v>
      </c>
      <c r="E254" s="1044"/>
      <c r="F254" s="1044"/>
      <c r="G254" s="1044"/>
      <c r="H254" s="1044"/>
      <c r="I254" s="1044"/>
      <c r="J254" s="1044"/>
      <c r="K254" s="1044"/>
      <c r="L254" s="1044"/>
      <c r="M254" s="1044"/>
      <c r="N254" s="1044"/>
      <c r="O254" s="1044"/>
      <c r="P254" s="1044"/>
      <c r="Q254" s="1044"/>
      <c r="R254" s="1044"/>
      <c r="S254" s="1044"/>
    </row>
    <row r="255" spans="1:19" s="403" customFormat="1" x14ac:dyDescent="0.3">
      <c r="A255" s="1034">
        <v>596</v>
      </c>
      <c r="B255" s="1034"/>
      <c r="C255" s="1035"/>
      <c r="D255" s="1061"/>
      <c r="E255" s="1044"/>
      <c r="F255" s="1044"/>
      <c r="G255" s="1044"/>
      <c r="H255" s="1044"/>
      <c r="I255" s="1044"/>
      <c r="J255" s="1044"/>
      <c r="K255" s="1044"/>
      <c r="L255" s="1044"/>
      <c r="M255" s="1044"/>
      <c r="N255" s="1044"/>
      <c r="O255" s="1044"/>
      <c r="P255" s="1044"/>
      <c r="Q255" s="1044"/>
      <c r="R255" s="1044"/>
      <c r="S255" s="1044"/>
    </row>
    <row r="256" spans="1:19" s="403" customFormat="1" x14ac:dyDescent="0.3">
      <c r="A256" s="1034">
        <v>597</v>
      </c>
      <c r="B256" s="1034"/>
      <c r="C256" s="1035"/>
      <c r="D256" s="1061"/>
      <c r="E256" s="1044"/>
      <c r="F256" s="1044"/>
      <c r="G256" s="1044"/>
      <c r="H256" s="1044"/>
      <c r="I256" s="1044"/>
      <c r="J256" s="1044"/>
      <c r="K256" s="1044"/>
      <c r="L256" s="1044"/>
      <c r="M256" s="1044"/>
      <c r="N256" s="1044"/>
      <c r="O256" s="1044"/>
      <c r="P256" s="1044"/>
      <c r="Q256" s="1044"/>
      <c r="R256" s="1044"/>
      <c r="S256" s="1044"/>
    </row>
    <row r="257" spans="1:19" s="403" customFormat="1" x14ac:dyDescent="0.3">
      <c r="A257" s="1034" t="s">
        <v>746</v>
      </c>
      <c r="B257" s="1034"/>
      <c r="C257" s="1035"/>
      <c r="D257" s="1061"/>
      <c r="E257" s="1044"/>
      <c r="F257" s="1044"/>
      <c r="G257" s="1044"/>
      <c r="H257" s="1044"/>
      <c r="I257" s="1044"/>
      <c r="J257" s="1044"/>
      <c r="K257" s="1044"/>
      <c r="L257" s="1044"/>
      <c r="M257" s="1044"/>
      <c r="N257" s="1044"/>
      <c r="O257" s="1044"/>
      <c r="P257" s="1044"/>
      <c r="Q257" s="1044"/>
      <c r="R257" s="1044"/>
      <c r="S257" s="1044"/>
    </row>
    <row r="258" spans="1:19" s="403" customFormat="1" x14ac:dyDescent="0.3">
      <c r="A258" s="1034">
        <v>598</v>
      </c>
      <c r="B258" s="1034"/>
      <c r="C258" s="1035"/>
      <c r="D258" s="1061"/>
      <c r="E258" s="1044"/>
      <c r="F258" s="1044"/>
      <c r="G258" s="1044"/>
      <c r="H258" s="1044"/>
      <c r="I258" s="1044"/>
      <c r="J258" s="1044"/>
      <c r="K258" s="1044"/>
      <c r="L258" s="1044"/>
      <c r="M258" s="1044"/>
      <c r="N258" s="1044"/>
      <c r="O258" s="1044"/>
      <c r="P258" s="1044"/>
      <c r="Q258" s="1044"/>
      <c r="R258" s="1044"/>
      <c r="S258" s="1044"/>
    </row>
    <row r="259" spans="1:19" s="403" customFormat="1" x14ac:dyDescent="0.3">
      <c r="A259" s="1034">
        <v>599</v>
      </c>
      <c r="B259" s="1034"/>
      <c r="C259" s="1035"/>
      <c r="D259" s="1061"/>
      <c r="E259" s="1044"/>
      <c r="F259" s="1044"/>
      <c r="G259" s="1044"/>
      <c r="H259" s="1044"/>
      <c r="I259" s="1044"/>
      <c r="J259" s="1044"/>
      <c r="K259" s="1044"/>
      <c r="L259" s="1044"/>
      <c r="M259" s="1044"/>
      <c r="N259" s="1044"/>
      <c r="O259" s="1044"/>
      <c r="P259" s="1044"/>
      <c r="Q259" s="1044"/>
      <c r="R259" s="1044"/>
      <c r="S259" s="1044"/>
    </row>
    <row r="260" spans="1:19" s="403" customFormat="1" ht="83.4" x14ac:dyDescent="0.3">
      <c r="A260" s="1034">
        <v>600</v>
      </c>
      <c r="B260" s="1034"/>
      <c r="C260" s="1035">
        <v>600</v>
      </c>
      <c r="D260" s="1060" t="s">
        <v>515</v>
      </c>
      <c r="E260" s="1039"/>
      <c r="F260" s="1039"/>
      <c r="G260" s="1039"/>
      <c r="H260" s="1039"/>
      <c r="I260" s="1039"/>
      <c r="J260" s="1039"/>
      <c r="K260" s="1039"/>
      <c r="L260" s="1039"/>
      <c r="M260" s="1039"/>
      <c r="N260" s="1039"/>
      <c r="O260" s="1039"/>
      <c r="P260" s="1039"/>
      <c r="Q260" s="1039"/>
      <c r="R260" s="1039"/>
      <c r="S260" s="1039"/>
    </row>
    <row r="261" spans="1:19" s="403" customFormat="1" ht="152.4" x14ac:dyDescent="0.3">
      <c r="A261" s="1034">
        <v>601</v>
      </c>
      <c r="B261" s="1034"/>
      <c r="C261" s="1035">
        <v>601</v>
      </c>
      <c r="D261" s="1060" t="s">
        <v>516</v>
      </c>
      <c r="E261" s="1039"/>
      <c r="F261" s="1039"/>
      <c r="G261" s="1039"/>
      <c r="H261" s="1039"/>
      <c r="I261" s="1039"/>
      <c r="J261" s="1039"/>
      <c r="K261" s="1039"/>
      <c r="L261" s="1039"/>
      <c r="M261" s="1039"/>
      <c r="N261" s="1039"/>
      <c r="O261" s="1039"/>
      <c r="P261" s="1039"/>
      <c r="Q261" s="1039"/>
      <c r="R261" s="1039"/>
      <c r="S261" s="1039"/>
    </row>
    <row r="262" spans="1:19" s="403" customFormat="1" x14ac:dyDescent="0.3">
      <c r="A262" s="1034">
        <v>602</v>
      </c>
      <c r="B262" s="1034"/>
      <c r="C262" s="1029"/>
      <c r="D262" s="1029"/>
      <c r="E262" s="1029"/>
      <c r="F262" s="1029"/>
      <c r="G262" s="1029"/>
      <c r="H262" s="1029"/>
      <c r="I262" s="1029"/>
      <c r="J262" s="1029"/>
      <c r="K262" s="1029"/>
      <c r="L262" s="1029"/>
      <c r="M262" s="1029"/>
      <c r="N262" s="1029"/>
      <c r="O262" s="1029"/>
      <c r="P262" s="1029"/>
      <c r="Q262" s="1029"/>
      <c r="R262" s="1029"/>
      <c r="S262" s="1029"/>
    </row>
    <row r="263" spans="1:19" s="403" customFormat="1" ht="144" x14ac:dyDescent="0.3">
      <c r="A263" s="1034">
        <v>603</v>
      </c>
      <c r="B263" s="1066" t="s">
        <v>1490</v>
      </c>
      <c r="C263" s="1035">
        <v>603</v>
      </c>
      <c r="D263" s="1061" t="s">
        <v>384</v>
      </c>
      <c r="E263" s="1044"/>
      <c r="F263" s="1044"/>
      <c r="G263" s="1044"/>
      <c r="H263" s="1044"/>
      <c r="I263" s="1044"/>
      <c r="J263" s="1044"/>
      <c r="K263" s="1044"/>
      <c r="L263" s="1044"/>
      <c r="M263" s="1044"/>
      <c r="N263" s="1044"/>
      <c r="O263" s="1044"/>
      <c r="P263" s="1044"/>
      <c r="Q263" s="1044"/>
      <c r="R263" s="1044"/>
      <c r="S263" s="1044"/>
    </row>
    <row r="264" spans="1:19" s="403" customFormat="1" ht="115.2" x14ac:dyDescent="0.3">
      <c r="A264" s="1034">
        <v>604</v>
      </c>
      <c r="B264" s="1034"/>
      <c r="C264" s="1035">
        <v>604</v>
      </c>
      <c r="D264" s="1061" t="s">
        <v>385</v>
      </c>
      <c r="E264" s="1044"/>
      <c r="F264" s="1044"/>
      <c r="G264" s="1044"/>
      <c r="H264" s="1044"/>
      <c r="I264" s="1044"/>
      <c r="J264" s="1044"/>
      <c r="K264" s="1044"/>
      <c r="L264" s="1044"/>
      <c r="M264" s="1044"/>
      <c r="N264" s="1044"/>
      <c r="O264" s="1044"/>
      <c r="P264" s="1044"/>
      <c r="Q264" s="1044"/>
      <c r="R264" s="1044"/>
      <c r="S264" s="1044"/>
    </row>
    <row r="265" spans="1:19" s="403" customFormat="1" ht="28.8" x14ac:dyDescent="0.3">
      <c r="A265" s="1034">
        <v>605</v>
      </c>
      <c r="B265" s="1034"/>
      <c r="C265" s="1035">
        <v>605</v>
      </c>
      <c r="D265" s="1061" t="s">
        <v>387</v>
      </c>
      <c r="E265" s="1044"/>
      <c r="F265" s="1044"/>
      <c r="G265" s="1044"/>
      <c r="H265" s="1044"/>
      <c r="I265" s="1044"/>
      <c r="J265" s="1044"/>
      <c r="K265" s="1044"/>
      <c r="L265" s="1044"/>
      <c r="M265" s="1044"/>
      <c r="N265" s="1044"/>
      <c r="O265" s="1044"/>
      <c r="P265" s="1044"/>
      <c r="Q265" s="1044"/>
      <c r="R265" s="1044"/>
      <c r="S265" s="1044"/>
    </row>
    <row r="266" spans="1:19" s="403" customFormat="1" ht="28.8" x14ac:dyDescent="0.3">
      <c r="A266" s="1034">
        <v>606</v>
      </c>
      <c r="B266" s="1034">
        <v>606</v>
      </c>
      <c r="C266" s="1035">
        <v>606</v>
      </c>
      <c r="D266" s="1061" t="s">
        <v>397</v>
      </c>
      <c r="E266" s="1044">
        <v>0</v>
      </c>
      <c r="F266" s="1044">
        <v>0</v>
      </c>
      <c r="G266" s="1044">
        <v>0</v>
      </c>
      <c r="H266" s="1044">
        <v>0</v>
      </c>
      <c r="I266" s="1044">
        <v>0</v>
      </c>
      <c r="J266" s="1044">
        <v>1</v>
      </c>
      <c r="K266" s="1044">
        <v>0</v>
      </c>
      <c r="L266" s="1044">
        <v>0</v>
      </c>
      <c r="M266" s="1044">
        <v>0</v>
      </c>
      <c r="N266" s="1044">
        <v>0</v>
      </c>
      <c r="O266" s="1044">
        <v>0</v>
      </c>
      <c r="P266" s="1044">
        <v>0</v>
      </c>
      <c r="Q266" s="1044">
        <v>0</v>
      </c>
      <c r="R266" s="1044">
        <v>0</v>
      </c>
      <c r="S266" s="1044">
        <v>1</v>
      </c>
    </row>
    <row r="267" spans="1:19" s="403" customFormat="1" x14ac:dyDescent="0.3">
      <c r="A267" s="1034">
        <v>607</v>
      </c>
      <c r="B267" s="1034"/>
      <c r="C267" s="1035">
        <v>607</v>
      </c>
      <c r="D267" s="1061" t="s">
        <v>377</v>
      </c>
      <c r="E267" s="1044"/>
      <c r="F267" s="1044"/>
      <c r="G267" s="1044"/>
      <c r="H267" s="1044"/>
      <c r="I267" s="1044"/>
      <c r="J267" s="1044"/>
      <c r="K267" s="1044"/>
      <c r="L267" s="1044"/>
      <c r="M267" s="1044"/>
      <c r="N267" s="1044"/>
      <c r="O267" s="1044"/>
      <c r="P267" s="1044"/>
      <c r="Q267" s="1044"/>
      <c r="R267" s="1044"/>
      <c r="S267" s="1044"/>
    </row>
    <row r="268" spans="1:19" s="403" customFormat="1" x14ac:dyDescent="0.3">
      <c r="A268" s="1034">
        <v>608</v>
      </c>
      <c r="B268" s="1034"/>
      <c r="C268" s="1035">
        <v>608</v>
      </c>
      <c r="D268" s="1061" t="s">
        <v>378</v>
      </c>
      <c r="E268" s="1044"/>
      <c r="F268" s="1044"/>
      <c r="G268" s="1044"/>
      <c r="H268" s="1044"/>
      <c r="I268" s="1044"/>
      <c r="J268" s="1044"/>
      <c r="K268" s="1044"/>
      <c r="L268" s="1044"/>
      <c r="M268" s="1044"/>
      <c r="N268" s="1044"/>
      <c r="O268" s="1044"/>
      <c r="P268" s="1044"/>
      <c r="Q268" s="1044"/>
      <c r="R268" s="1044"/>
      <c r="S268" s="1044"/>
    </row>
    <row r="269" spans="1:19" s="403" customFormat="1" ht="28.8" x14ac:dyDescent="0.3">
      <c r="A269" s="1034">
        <v>609</v>
      </c>
      <c r="B269" s="1031"/>
      <c r="C269" s="1035">
        <v>609</v>
      </c>
      <c r="D269" s="1061" t="s">
        <v>1483</v>
      </c>
      <c r="E269" s="1067"/>
      <c r="F269" s="1067"/>
      <c r="G269" s="1067"/>
      <c r="H269" s="1067"/>
      <c r="I269" s="1067"/>
      <c r="J269" s="1067"/>
      <c r="K269" s="1067"/>
      <c r="L269" s="1067"/>
      <c r="M269" s="1067"/>
      <c r="N269" s="1067"/>
      <c r="O269" s="1067"/>
      <c r="P269" s="1067"/>
      <c r="Q269" s="1067"/>
      <c r="R269" s="1067"/>
      <c r="S269" s="1067"/>
    </row>
    <row r="270" spans="1:19" s="403" customFormat="1" x14ac:dyDescent="0.3">
      <c r="A270" s="1034">
        <v>610</v>
      </c>
      <c r="B270" s="1031"/>
      <c r="C270" s="1035">
        <v>610</v>
      </c>
      <c r="D270" s="1061" t="s">
        <v>379</v>
      </c>
      <c r="E270" s="1044"/>
      <c r="F270" s="1044"/>
      <c r="G270" s="1044"/>
      <c r="H270" s="1044"/>
      <c r="I270" s="1044"/>
      <c r="J270" s="1044"/>
      <c r="K270" s="1044"/>
      <c r="L270" s="1044"/>
      <c r="M270" s="1044"/>
      <c r="N270" s="1044"/>
      <c r="O270" s="1044"/>
      <c r="P270" s="1044"/>
      <c r="Q270" s="1044"/>
      <c r="R270" s="1044"/>
      <c r="S270" s="1044"/>
    </row>
    <row r="271" spans="1:19" s="403" customFormat="1" x14ac:dyDescent="0.3">
      <c r="A271" s="1034">
        <v>611</v>
      </c>
      <c r="B271" s="1031"/>
      <c r="C271" s="1035">
        <v>611</v>
      </c>
      <c r="D271" s="1061" t="s">
        <v>380</v>
      </c>
      <c r="E271" s="1044"/>
      <c r="F271" s="1044"/>
      <c r="G271" s="1044"/>
      <c r="H271" s="1044"/>
      <c r="I271" s="1044"/>
      <c r="J271" s="1044"/>
      <c r="K271" s="1044"/>
      <c r="L271" s="1044"/>
      <c r="M271" s="1044"/>
      <c r="N271" s="1044"/>
      <c r="O271" s="1044"/>
      <c r="P271" s="1044"/>
      <c r="Q271" s="1044"/>
      <c r="R271" s="1044"/>
      <c r="S271" s="1044"/>
    </row>
    <row r="272" spans="1:19" s="403" customFormat="1" ht="28.8" x14ac:dyDescent="0.3">
      <c r="A272" s="1034">
        <v>612</v>
      </c>
      <c r="B272" s="1031"/>
      <c r="C272" s="1035">
        <v>612</v>
      </c>
      <c r="D272" s="1061" t="s">
        <v>1484</v>
      </c>
      <c r="E272" s="1067"/>
      <c r="F272" s="1067"/>
      <c r="G272" s="1067"/>
      <c r="H272" s="1067"/>
      <c r="I272" s="1067"/>
      <c r="J272" s="1067"/>
      <c r="K272" s="1067"/>
      <c r="L272" s="1067"/>
      <c r="M272" s="1067"/>
      <c r="N272" s="1067"/>
      <c r="O272" s="1067"/>
      <c r="P272" s="1067"/>
      <c r="Q272" s="1067"/>
      <c r="R272" s="1067"/>
      <c r="S272" s="1067"/>
    </row>
    <row r="273" spans="1:19" s="403" customFormat="1" x14ac:dyDescent="0.3">
      <c r="A273" s="1034">
        <v>613</v>
      </c>
      <c r="B273" s="1031"/>
      <c r="C273" s="1035">
        <v>613</v>
      </c>
      <c r="D273" s="1061" t="s">
        <v>388</v>
      </c>
      <c r="E273" s="1044"/>
      <c r="F273" s="1044"/>
      <c r="G273" s="1044"/>
      <c r="H273" s="1044"/>
      <c r="I273" s="1044"/>
      <c r="J273" s="1044"/>
      <c r="K273" s="1044"/>
      <c r="L273" s="1044"/>
      <c r="M273" s="1044"/>
      <c r="N273" s="1044"/>
      <c r="O273" s="1044"/>
      <c r="P273" s="1044"/>
      <c r="Q273" s="1044"/>
      <c r="R273" s="1044"/>
      <c r="S273" s="1044"/>
    </row>
    <row r="274" spans="1:19" s="403" customFormat="1" x14ac:dyDescent="0.3">
      <c r="A274" s="1034">
        <v>614</v>
      </c>
      <c r="B274" s="1031"/>
      <c r="C274" s="1035">
        <v>614</v>
      </c>
      <c r="D274" s="1061" t="s">
        <v>381</v>
      </c>
      <c r="E274" s="1044"/>
      <c r="F274" s="1044"/>
      <c r="G274" s="1044"/>
      <c r="H274" s="1044"/>
      <c r="I274" s="1044"/>
      <c r="J274" s="1044"/>
      <c r="K274" s="1044"/>
      <c r="L274" s="1044"/>
      <c r="M274" s="1044"/>
      <c r="N274" s="1044"/>
      <c r="O274" s="1044"/>
      <c r="P274" s="1044"/>
      <c r="Q274" s="1044"/>
      <c r="R274" s="1044"/>
      <c r="S274" s="1044"/>
    </row>
    <row r="275" spans="1:19" s="403" customFormat="1" ht="28.8" x14ac:dyDescent="0.3">
      <c r="A275" s="1034">
        <v>615</v>
      </c>
      <c r="B275" s="1031"/>
      <c r="C275" s="1035">
        <v>615</v>
      </c>
      <c r="D275" s="1061" t="s">
        <v>1485</v>
      </c>
      <c r="E275" s="1067"/>
      <c r="F275" s="1067"/>
      <c r="G275" s="1067"/>
      <c r="H275" s="1067"/>
      <c r="I275" s="1067"/>
      <c r="J275" s="1067"/>
      <c r="K275" s="1067"/>
      <c r="L275" s="1067"/>
      <c r="M275" s="1067"/>
      <c r="N275" s="1067"/>
      <c r="O275" s="1067"/>
      <c r="P275" s="1067"/>
      <c r="Q275" s="1067"/>
      <c r="R275" s="1067"/>
      <c r="S275" s="1067"/>
    </row>
    <row r="276" spans="1:19" s="403" customFormat="1" x14ac:dyDescent="0.3">
      <c r="A276" s="1034">
        <v>616</v>
      </c>
      <c r="B276" s="1031"/>
      <c r="C276" s="1035">
        <v>616</v>
      </c>
      <c r="D276" s="1061" t="s">
        <v>382</v>
      </c>
      <c r="E276" s="1044"/>
      <c r="F276" s="1044"/>
      <c r="G276" s="1044"/>
      <c r="H276" s="1044"/>
      <c r="I276" s="1044"/>
      <c r="J276" s="1044"/>
      <c r="K276" s="1044"/>
      <c r="L276" s="1044"/>
      <c r="M276" s="1044"/>
      <c r="N276" s="1044"/>
      <c r="O276" s="1044"/>
      <c r="P276" s="1044"/>
      <c r="Q276" s="1044"/>
      <c r="R276" s="1044"/>
      <c r="S276" s="1044"/>
    </row>
    <row r="277" spans="1:19" s="403" customFormat="1" x14ac:dyDescent="0.3">
      <c r="A277" s="1034">
        <v>617</v>
      </c>
      <c r="B277" s="1034"/>
      <c r="C277" s="1035">
        <v>617</v>
      </c>
      <c r="D277" s="1061" t="s">
        <v>383</v>
      </c>
      <c r="E277" s="1044"/>
      <c r="F277" s="1044"/>
      <c r="G277" s="1044"/>
      <c r="H277" s="1044"/>
      <c r="I277" s="1044"/>
      <c r="J277" s="1044"/>
      <c r="K277" s="1044"/>
      <c r="L277" s="1044"/>
      <c r="M277" s="1044"/>
      <c r="N277" s="1044"/>
      <c r="O277" s="1044"/>
      <c r="P277" s="1044"/>
      <c r="Q277" s="1044"/>
      <c r="R277" s="1044"/>
      <c r="S277" s="1044"/>
    </row>
    <row r="278" spans="1:19" s="403" customFormat="1" ht="28.8" x14ac:dyDescent="0.3">
      <c r="A278" s="1034">
        <v>618</v>
      </c>
      <c r="B278" s="1031"/>
      <c r="C278" s="1035">
        <v>618</v>
      </c>
      <c r="D278" s="1061" t="s">
        <v>1486</v>
      </c>
      <c r="E278" s="1067"/>
      <c r="F278" s="1067"/>
      <c r="G278" s="1067"/>
      <c r="H278" s="1067"/>
      <c r="I278" s="1067"/>
      <c r="J278" s="1067"/>
      <c r="K278" s="1067"/>
      <c r="L278" s="1067"/>
      <c r="M278" s="1067"/>
      <c r="N278" s="1067"/>
      <c r="O278" s="1067"/>
      <c r="P278" s="1067"/>
      <c r="Q278" s="1067"/>
      <c r="R278" s="1067"/>
      <c r="S278" s="1067"/>
    </row>
    <row r="279" spans="1:19" s="403" customFormat="1" x14ac:dyDescent="0.3">
      <c r="A279" s="1034">
        <v>619</v>
      </c>
      <c r="B279" s="1031"/>
      <c r="C279" s="1035"/>
      <c r="D279" s="1061"/>
      <c r="E279" s="1067"/>
      <c r="F279" s="1067"/>
      <c r="G279" s="1067"/>
      <c r="H279" s="1067"/>
      <c r="I279" s="1067"/>
      <c r="J279" s="1067"/>
      <c r="K279" s="1067"/>
      <c r="L279" s="1067"/>
      <c r="M279" s="1067"/>
      <c r="N279" s="1067"/>
      <c r="O279" s="1067"/>
      <c r="P279" s="1067"/>
      <c r="Q279" s="1067"/>
      <c r="R279" s="1067"/>
      <c r="S279" s="1067"/>
    </row>
    <row r="280" spans="1:19" s="403" customFormat="1" x14ac:dyDescent="0.3">
      <c r="A280" s="1034">
        <v>620</v>
      </c>
      <c r="B280" s="1031"/>
      <c r="C280" s="1035"/>
      <c r="D280" s="1061"/>
      <c r="E280" s="1067"/>
      <c r="F280" s="1067"/>
      <c r="G280" s="1067"/>
      <c r="H280" s="1067"/>
      <c r="I280" s="1067"/>
      <c r="J280" s="1067"/>
      <c r="K280" s="1067"/>
      <c r="L280" s="1067"/>
      <c r="M280" s="1067"/>
      <c r="N280" s="1067"/>
      <c r="O280" s="1067"/>
      <c r="P280" s="1067"/>
      <c r="Q280" s="1067"/>
      <c r="R280" s="1067"/>
      <c r="S280" s="1067"/>
    </row>
    <row r="281" spans="1:19" s="403" customFormat="1" x14ac:dyDescent="0.3">
      <c r="A281" s="1034">
        <v>621</v>
      </c>
      <c r="B281" s="1031"/>
      <c r="C281" s="1035"/>
      <c r="D281" s="1061"/>
      <c r="E281" s="1067"/>
      <c r="F281" s="1067"/>
      <c r="G281" s="1067"/>
      <c r="H281" s="1067"/>
      <c r="I281" s="1067"/>
      <c r="J281" s="1067"/>
      <c r="K281" s="1067"/>
      <c r="L281" s="1067"/>
      <c r="M281" s="1067"/>
      <c r="N281" s="1067"/>
      <c r="O281" s="1067"/>
      <c r="P281" s="1067"/>
      <c r="Q281" s="1067"/>
      <c r="R281" s="1067"/>
      <c r="S281" s="1067"/>
    </row>
    <row r="282" spans="1:19" s="403" customFormat="1" ht="21" x14ac:dyDescent="0.3">
      <c r="A282" s="1034">
        <v>622</v>
      </c>
      <c r="B282" s="1031">
        <v>622</v>
      </c>
      <c r="C282" s="1068">
        <v>622</v>
      </c>
      <c r="D282" s="1069" t="s">
        <v>404</v>
      </c>
      <c r="E282" s="1067">
        <v>179968</v>
      </c>
      <c r="F282" s="1067">
        <v>424112</v>
      </c>
      <c r="G282" s="1067">
        <v>136000</v>
      </c>
      <c r="H282" s="1067">
        <v>112514</v>
      </c>
      <c r="I282" s="1067">
        <v>397895</v>
      </c>
      <c r="J282" s="1067">
        <v>6681749</v>
      </c>
      <c r="K282" s="1067">
        <v>466715</v>
      </c>
      <c r="L282" s="1067">
        <v>54892</v>
      </c>
      <c r="M282" s="1067">
        <v>513960</v>
      </c>
      <c r="N282" s="1067">
        <v>96402</v>
      </c>
      <c r="O282" s="1067">
        <v>261076</v>
      </c>
      <c r="P282" s="1067">
        <v>383421</v>
      </c>
      <c r="Q282" s="1067">
        <v>163309</v>
      </c>
      <c r="R282" s="1067">
        <v>236225</v>
      </c>
      <c r="S282" s="1067">
        <v>86570</v>
      </c>
    </row>
    <row r="283" spans="1:19" s="403" customFormat="1" ht="21" x14ac:dyDescent="0.3">
      <c r="A283" s="1034">
        <v>624</v>
      </c>
      <c r="B283" s="1034"/>
      <c r="C283" s="1068"/>
      <c r="D283" s="1069"/>
      <c r="E283" s="1067"/>
      <c r="F283" s="1067"/>
      <c r="G283" s="1067"/>
      <c r="H283" s="1067"/>
      <c r="I283" s="1067"/>
      <c r="J283" s="1067"/>
      <c r="K283" s="1067"/>
      <c r="L283" s="1067"/>
      <c r="M283" s="1067"/>
      <c r="N283" s="1067"/>
      <c r="O283" s="1067"/>
      <c r="P283" s="1067"/>
      <c r="Q283" s="1067"/>
      <c r="R283" s="1067"/>
      <c r="S283" s="1067"/>
    </row>
    <row r="284" spans="1:19" s="403" customFormat="1" ht="147" x14ac:dyDescent="0.3">
      <c r="A284" s="1034">
        <v>625</v>
      </c>
      <c r="B284" s="1034"/>
      <c r="C284" s="1068">
        <v>625</v>
      </c>
      <c r="D284" s="1069" t="s">
        <v>485</v>
      </c>
      <c r="E284" s="1067"/>
      <c r="F284" s="1067"/>
      <c r="G284" s="1067"/>
      <c r="H284" s="1067"/>
      <c r="I284" s="1067"/>
      <c r="J284" s="1067"/>
      <c r="K284" s="1067"/>
      <c r="L284" s="1067"/>
      <c r="M284" s="1067"/>
      <c r="N284" s="1067"/>
      <c r="O284" s="1067"/>
      <c r="P284" s="1067"/>
      <c r="Q284" s="1067"/>
      <c r="R284" s="1067"/>
      <c r="S284" s="1067"/>
    </row>
    <row r="285" spans="1:19" s="403" customFormat="1" ht="72" x14ac:dyDescent="0.3">
      <c r="A285" s="1034">
        <v>626</v>
      </c>
      <c r="B285" s="1031">
        <v>626</v>
      </c>
      <c r="C285" s="1031">
        <v>626</v>
      </c>
      <c r="D285" s="1036" t="s">
        <v>1491</v>
      </c>
      <c r="E285" s="1067">
        <v>0</v>
      </c>
      <c r="F285" s="1067">
        <v>39809</v>
      </c>
      <c r="G285" s="1067">
        <v>221142</v>
      </c>
      <c r="H285" s="1067">
        <v>0</v>
      </c>
      <c r="I285" s="1067">
        <v>213851</v>
      </c>
      <c r="J285" s="1067">
        <v>6466814</v>
      </c>
      <c r="K285" s="1067">
        <v>67900</v>
      </c>
      <c r="L285" s="1067">
        <v>27596</v>
      </c>
      <c r="M285" s="1067">
        <v>102587</v>
      </c>
      <c r="N285" s="1067">
        <v>23201</v>
      </c>
      <c r="O285" s="1067">
        <v>35100</v>
      </c>
      <c r="P285" s="1067">
        <v>99287</v>
      </c>
      <c r="Q285" s="1067">
        <v>8107</v>
      </c>
      <c r="R285" s="1067">
        <v>7754</v>
      </c>
      <c r="S285" s="1067">
        <v>3081</v>
      </c>
    </row>
    <row r="286" spans="1:19" s="403" customFormat="1" ht="43.2" x14ac:dyDescent="0.3">
      <c r="A286" s="1034">
        <v>627</v>
      </c>
      <c r="B286" s="1031">
        <v>627</v>
      </c>
      <c r="C286" s="1031">
        <v>627</v>
      </c>
      <c r="D286" s="1036" t="s">
        <v>1492</v>
      </c>
      <c r="E286" s="1067">
        <v>0</v>
      </c>
      <c r="F286" s="1067">
        <v>0</v>
      </c>
      <c r="G286" s="1067">
        <v>0</v>
      </c>
      <c r="H286" s="1067">
        <v>0</v>
      </c>
      <c r="I286" s="1067">
        <v>0</v>
      </c>
      <c r="J286" s="1067">
        <v>0</v>
      </c>
      <c r="K286" s="1067">
        <v>0</v>
      </c>
      <c r="L286" s="1067">
        <v>0</v>
      </c>
      <c r="M286" s="1067">
        <v>0</v>
      </c>
      <c r="N286" s="1067">
        <v>0</v>
      </c>
      <c r="O286" s="1067">
        <v>0</v>
      </c>
      <c r="P286" s="1067">
        <v>0</v>
      </c>
      <c r="Q286" s="1067">
        <v>0</v>
      </c>
      <c r="R286" s="1067">
        <v>0</v>
      </c>
      <c r="S286" s="1067">
        <v>0</v>
      </c>
    </row>
    <row r="287" spans="1:19" s="403" customFormat="1" ht="43.2" x14ac:dyDescent="0.3">
      <c r="A287" s="1034">
        <v>628</v>
      </c>
      <c r="B287" s="1031">
        <v>628</v>
      </c>
      <c r="C287" s="1031">
        <v>628</v>
      </c>
      <c r="D287" s="1070" t="s">
        <v>1493</v>
      </c>
      <c r="E287" s="1067">
        <v>0</v>
      </c>
      <c r="F287" s="1067">
        <v>20250</v>
      </c>
      <c r="G287" s="1067">
        <v>85142</v>
      </c>
      <c r="H287" s="1067">
        <v>0</v>
      </c>
      <c r="I287" s="1067">
        <v>0</v>
      </c>
      <c r="J287" s="1067">
        <v>1805090</v>
      </c>
      <c r="K287" s="1067">
        <v>43308</v>
      </c>
      <c r="L287" s="1067">
        <v>0</v>
      </c>
      <c r="M287" s="1067">
        <v>0</v>
      </c>
      <c r="N287" s="1067">
        <v>8900</v>
      </c>
      <c r="O287" s="1067">
        <v>35091</v>
      </c>
      <c r="P287" s="1067">
        <v>0</v>
      </c>
      <c r="Q287" s="1067">
        <v>6658</v>
      </c>
      <c r="R287" s="1067">
        <v>0</v>
      </c>
      <c r="S287" s="1067">
        <v>0</v>
      </c>
    </row>
    <row r="288" spans="1:19" s="403" customFormat="1" ht="43.2" x14ac:dyDescent="0.3">
      <c r="A288" s="1034">
        <v>629</v>
      </c>
      <c r="B288" s="1031">
        <v>629</v>
      </c>
      <c r="C288" s="1031">
        <v>629</v>
      </c>
      <c r="D288" s="1070" t="s">
        <v>1494</v>
      </c>
      <c r="E288" s="1067">
        <v>0</v>
      </c>
      <c r="F288" s="1067">
        <v>0</v>
      </c>
      <c r="G288" s="1067">
        <v>136000</v>
      </c>
      <c r="H288" s="1067">
        <v>0</v>
      </c>
      <c r="I288" s="1067">
        <v>0</v>
      </c>
      <c r="J288" s="1067">
        <v>0</v>
      </c>
      <c r="K288" s="1067">
        <v>0</v>
      </c>
      <c r="L288" s="1067">
        <v>0</v>
      </c>
      <c r="M288" s="1067">
        <v>0</v>
      </c>
      <c r="N288" s="1067">
        <v>0</v>
      </c>
      <c r="O288" s="1067">
        <v>0</v>
      </c>
      <c r="P288" s="1067">
        <v>0</v>
      </c>
      <c r="Q288" s="1067">
        <v>0</v>
      </c>
      <c r="R288" s="1067">
        <v>0</v>
      </c>
      <c r="S288" s="1067">
        <v>0</v>
      </c>
    </row>
    <row r="289" spans="1:19" s="403" customFormat="1" x14ac:dyDescent="0.3">
      <c r="A289" s="1034">
        <v>630</v>
      </c>
      <c r="B289" s="1031">
        <v>630</v>
      </c>
      <c r="C289" s="1031">
        <v>630</v>
      </c>
      <c r="D289" s="1029" t="s">
        <v>1495</v>
      </c>
      <c r="E289" s="1067">
        <v>0</v>
      </c>
      <c r="F289" s="1067">
        <v>0</v>
      </c>
      <c r="G289" s="1067">
        <v>0</v>
      </c>
      <c r="H289" s="1067">
        <v>0</v>
      </c>
      <c r="I289" s="1067">
        <v>0</v>
      </c>
      <c r="J289" s="1067">
        <v>0</v>
      </c>
      <c r="K289" s="1067">
        <v>0</v>
      </c>
      <c r="L289" s="1067">
        <v>0</v>
      </c>
      <c r="M289" s="1067">
        <v>0</v>
      </c>
      <c r="N289" s="1067">
        <v>0</v>
      </c>
      <c r="O289" s="1067">
        <v>0</v>
      </c>
      <c r="P289" s="1067">
        <v>0</v>
      </c>
      <c r="Q289" s="1067">
        <v>0</v>
      </c>
      <c r="R289" s="1067">
        <v>0</v>
      </c>
      <c r="S289" s="1067">
        <v>0</v>
      </c>
    </row>
    <row r="290" spans="1:19" s="403" customFormat="1" x14ac:dyDescent="0.3">
      <c r="A290" s="1034">
        <v>631</v>
      </c>
      <c r="B290" s="1031">
        <v>631</v>
      </c>
      <c r="C290" s="1031">
        <v>631</v>
      </c>
      <c r="D290" s="1029" t="s">
        <v>1496</v>
      </c>
      <c r="E290" s="1067">
        <v>0</v>
      </c>
      <c r="F290" s="1067">
        <v>0</v>
      </c>
      <c r="G290" s="1067">
        <v>0</v>
      </c>
      <c r="H290" s="1067">
        <v>0</v>
      </c>
      <c r="I290" s="1067">
        <v>0</v>
      </c>
      <c r="J290" s="1067">
        <v>0</v>
      </c>
      <c r="K290" s="1067">
        <v>0</v>
      </c>
      <c r="L290" s="1067">
        <v>0</v>
      </c>
      <c r="M290" s="1067">
        <v>0</v>
      </c>
      <c r="N290" s="1067">
        <v>0</v>
      </c>
      <c r="O290" s="1067">
        <v>0</v>
      </c>
      <c r="P290" s="1067">
        <v>0</v>
      </c>
      <c r="Q290" s="1067">
        <v>0</v>
      </c>
      <c r="R290" s="1067">
        <v>0</v>
      </c>
      <c r="S290" s="1067">
        <v>0</v>
      </c>
    </row>
    <row r="291" spans="1:19" s="403" customFormat="1" x14ac:dyDescent="0.3">
      <c r="A291" s="1034">
        <v>632</v>
      </c>
      <c r="B291" s="1031"/>
      <c r="C291" s="1029"/>
      <c r="D291" s="1029"/>
      <c r="E291" s="1067"/>
      <c r="F291" s="1067"/>
      <c r="G291" s="1067"/>
      <c r="H291" s="1067"/>
      <c r="I291" s="1067"/>
      <c r="J291" s="1067"/>
      <c r="K291" s="1067"/>
      <c r="L291" s="1067"/>
      <c r="M291" s="1067"/>
      <c r="N291" s="1067"/>
      <c r="O291" s="1067"/>
      <c r="P291" s="1067"/>
      <c r="Q291" s="1067"/>
      <c r="R291" s="1067"/>
      <c r="S291" s="1067"/>
    </row>
    <row r="292" spans="1:19" s="403" customFormat="1" x14ac:dyDescent="0.3">
      <c r="A292" s="1034">
        <v>633</v>
      </c>
      <c r="B292" s="1031"/>
      <c r="C292" s="1029"/>
      <c r="D292" s="1029"/>
      <c r="E292" s="1067"/>
      <c r="F292" s="1067"/>
      <c r="G292" s="1067"/>
      <c r="H292" s="1067"/>
      <c r="I292" s="1067"/>
      <c r="J292" s="1067"/>
      <c r="K292" s="1067"/>
      <c r="L292" s="1067"/>
      <c r="M292" s="1067"/>
      <c r="N292" s="1067"/>
      <c r="O292" s="1067"/>
      <c r="P292" s="1067"/>
      <c r="Q292" s="1067"/>
      <c r="R292" s="1067"/>
      <c r="S292" s="1067"/>
    </row>
    <row r="293" spans="1:19" s="403" customFormat="1" x14ac:dyDescent="0.3">
      <c r="A293" s="1034">
        <v>634</v>
      </c>
      <c r="B293" s="1031"/>
      <c r="C293" s="1029"/>
      <c r="D293" s="1029"/>
      <c r="E293" s="1067"/>
      <c r="F293" s="1067"/>
      <c r="G293" s="1067"/>
      <c r="H293" s="1067"/>
      <c r="I293" s="1067"/>
      <c r="J293" s="1067"/>
      <c r="K293" s="1067"/>
      <c r="L293" s="1067"/>
      <c r="M293" s="1067"/>
      <c r="N293" s="1067"/>
      <c r="O293" s="1067"/>
      <c r="P293" s="1067"/>
      <c r="Q293" s="1067"/>
      <c r="R293" s="1067"/>
      <c r="S293" s="1067"/>
    </row>
    <row r="294" spans="1:19" s="403" customFormat="1" x14ac:dyDescent="0.3">
      <c r="A294" s="1034">
        <v>635</v>
      </c>
      <c r="B294" s="1031"/>
      <c r="C294" s="1029"/>
      <c r="D294" s="1029"/>
      <c r="E294" s="1067"/>
      <c r="F294" s="1067"/>
      <c r="G294" s="1067"/>
      <c r="H294" s="1067"/>
      <c r="I294" s="1067"/>
      <c r="J294" s="1067"/>
      <c r="K294" s="1067"/>
      <c r="L294" s="1067"/>
      <c r="M294" s="1067"/>
      <c r="N294" s="1067"/>
      <c r="O294" s="1067"/>
      <c r="P294" s="1067"/>
      <c r="Q294" s="1067"/>
      <c r="R294" s="1067"/>
      <c r="S294" s="1067"/>
    </row>
    <row r="295" spans="1:19" s="403" customFormat="1" x14ac:dyDescent="0.3">
      <c r="A295" s="1034">
        <v>636</v>
      </c>
      <c r="B295" s="1031"/>
      <c r="C295" s="1029"/>
      <c r="D295" s="1029"/>
      <c r="E295" s="1067"/>
      <c r="F295" s="1067"/>
      <c r="G295" s="1067"/>
      <c r="H295" s="1067"/>
      <c r="I295" s="1067"/>
      <c r="J295" s="1067"/>
      <c r="K295" s="1067"/>
      <c r="L295" s="1067"/>
      <c r="M295" s="1067"/>
      <c r="N295" s="1067"/>
      <c r="O295" s="1067"/>
      <c r="P295" s="1067"/>
      <c r="Q295" s="1067"/>
      <c r="R295" s="1067"/>
      <c r="S295" s="1067"/>
    </row>
    <row r="296" spans="1:19" s="403" customFormat="1" x14ac:dyDescent="0.3">
      <c r="A296" s="1034">
        <v>637</v>
      </c>
      <c r="B296" s="1031"/>
      <c r="C296" s="1029"/>
      <c r="D296" s="1029"/>
      <c r="E296" s="1067"/>
      <c r="F296" s="1067"/>
      <c r="G296" s="1067"/>
      <c r="H296" s="1067"/>
      <c r="I296" s="1067"/>
      <c r="J296" s="1067"/>
      <c r="K296" s="1067"/>
      <c r="L296" s="1067"/>
      <c r="M296" s="1067"/>
      <c r="N296" s="1067"/>
      <c r="O296" s="1067"/>
      <c r="P296" s="1067"/>
      <c r="Q296" s="1067"/>
      <c r="R296" s="1067"/>
      <c r="S296" s="1067"/>
    </row>
    <row r="297" spans="1:19" s="403" customFormat="1" x14ac:dyDescent="0.3">
      <c r="A297" s="1034">
        <v>638</v>
      </c>
      <c r="B297" s="1031"/>
      <c r="C297" s="1029"/>
      <c r="D297" s="1029"/>
      <c r="E297" s="1067"/>
      <c r="F297" s="1067"/>
      <c r="G297" s="1067"/>
      <c r="H297" s="1067"/>
      <c r="I297" s="1067"/>
      <c r="J297" s="1067"/>
      <c r="K297" s="1067"/>
      <c r="L297" s="1067"/>
      <c r="M297" s="1067"/>
      <c r="N297" s="1067"/>
      <c r="O297" s="1067"/>
      <c r="P297" s="1067"/>
      <c r="Q297" s="1067"/>
      <c r="R297" s="1067"/>
      <c r="S297" s="1067"/>
    </row>
    <row r="298" spans="1:19" s="403" customFormat="1" x14ac:dyDescent="0.3">
      <c r="A298" s="1034">
        <v>639</v>
      </c>
      <c r="B298" s="1031"/>
      <c r="C298" s="1029"/>
      <c r="D298" s="1029"/>
      <c r="E298" s="1067"/>
      <c r="F298" s="1067"/>
      <c r="G298" s="1067"/>
      <c r="H298" s="1067"/>
      <c r="I298" s="1067"/>
      <c r="J298" s="1067"/>
      <c r="K298" s="1067"/>
      <c r="L298" s="1067"/>
      <c r="M298" s="1067"/>
      <c r="N298" s="1067"/>
      <c r="O298" s="1067"/>
      <c r="P298" s="1067"/>
      <c r="Q298" s="1067"/>
      <c r="R298" s="1067"/>
      <c r="S298" s="1067"/>
    </row>
    <row r="299" spans="1:19" s="403" customFormat="1" x14ac:dyDescent="0.3">
      <c r="A299" s="1034">
        <v>640</v>
      </c>
      <c r="B299" s="1031"/>
      <c r="C299" s="1029"/>
      <c r="D299" s="1029"/>
      <c r="E299" s="1067"/>
      <c r="F299" s="1067"/>
      <c r="G299" s="1067"/>
      <c r="H299" s="1067"/>
      <c r="I299" s="1067"/>
      <c r="J299" s="1067"/>
      <c r="K299" s="1067"/>
      <c r="L299" s="1067"/>
      <c r="M299" s="1067"/>
      <c r="N299" s="1067"/>
      <c r="O299" s="1067"/>
      <c r="P299" s="1067"/>
      <c r="Q299" s="1067"/>
      <c r="R299" s="1067"/>
      <c r="S299" s="1067"/>
    </row>
    <row r="300" spans="1:19" s="403" customFormat="1" x14ac:dyDescent="0.3">
      <c r="A300" s="1034">
        <v>641</v>
      </c>
      <c r="B300" s="1031"/>
      <c r="C300" s="1029"/>
      <c r="D300" s="1029"/>
      <c r="E300" s="1067"/>
      <c r="F300" s="1067"/>
      <c r="G300" s="1067"/>
      <c r="H300" s="1067"/>
      <c r="I300" s="1067"/>
      <c r="J300" s="1067"/>
      <c r="K300" s="1067"/>
      <c r="L300" s="1067"/>
      <c r="M300" s="1067"/>
      <c r="N300" s="1067"/>
      <c r="O300" s="1067"/>
      <c r="P300" s="1067"/>
      <c r="Q300" s="1067"/>
      <c r="R300" s="1067"/>
      <c r="S300" s="1067"/>
    </row>
    <row r="301" spans="1:19" s="403" customFormat="1" x14ac:dyDescent="0.3">
      <c r="A301" s="1034">
        <v>642</v>
      </c>
      <c r="B301" s="1031"/>
      <c r="C301" s="1029"/>
      <c r="D301" s="1029"/>
      <c r="E301" s="1067"/>
      <c r="F301" s="1067"/>
      <c r="G301" s="1067"/>
      <c r="H301" s="1067"/>
      <c r="I301" s="1067"/>
      <c r="J301" s="1067"/>
      <c r="K301" s="1067"/>
      <c r="L301" s="1067"/>
      <c r="M301" s="1067"/>
      <c r="N301" s="1067"/>
      <c r="O301" s="1067"/>
      <c r="P301" s="1067"/>
      <c r="Q301" s="1067"/>
      <c r="R301" s="1067"/>
      <c r="S301" s="1067"/>
    </row>
    <row r="302" spans="1:19" s="403" customFormat="1" x14ac:dyDescent="0.3">
      <c r="A302" s="1034">
        <v>643</v>
      </c>
      <c r="B302" s="1031"/>
      <c r="C302" s="1029"/>
      <c r="D302" s="1029"/>
      <c r="E302" s="1067"/>
      <c r="F302" s="1067"/>
      <c r="G302" s="1067"/>
      <c r="H302" s="1067"/>
      <c r="I302" s="1067"/>
      <c r="J302" s="1067"/>
      <c r="K302" s="1067"/>
      <c r="L302" s="1067"/>
      <c r="M302" s="1067"/>
      <c r="N302" s="1067"/>
      <c r="O302" s="1067"/>
      <c r="P302" s="1067"/>
      <c r="Q302" s="1067"/>
      <c r="R302" s="1067"/>
      <c r="S302" s="1067"/>
    </row>
    <row r="303" spans="1:19" s="403" customFormat="1" x14ac:dyDescent="0.3">
      <c r="A303" s="1034">
        <v>644</v>
      </c>
      <c r="B303" s="1031"/>
      <c r="C303" s="1029"/>
      <c r="D303" s="1029"/>
      <c r="E303" s="1067"/>
      <c r="F303" s="1067"/>
      <c r="G303" s="1067"/>
      <c r="H303" s="1067"/>
      <c r="I303" s="1067"/>
      <c r="J303" s="1067"/>
      <c r="K303" s="1067"/>
      <c r="L303" s="1067"/>
      <c r="M303" s="1067"/>
      <c r="N303" s="1067"/>
      <c r="O303" s="1067"/>
      <c r="P303" s="1067"/>
      <c r="Q303" s="1067"/>
      <c r="R303" s="1067"/>
      <c r="S303" s="1067"/>
    </row>
    <row r="304" spans="1:19" s="403" customFormat="1" x14ac:dyDescent="0.3">
      <c r="A304" s="1034">
        <v>645</v>
      </c>
      <c r="B304" s="1034">
        <v>645</v>
      </c>
      <c r="C304" s="1034">
        <v>645</v>
      </c>
      <c r="D304" s="1036" t="s">
        <v>1497</v>
      </c>
      <c r="E304" s="1067">
        <v>1161040</v>
      </c>
      <c r="F304" s="1067">
        <v>0</v>
      </c>
      <c r="G304" s="1067">
        <v>0</v>
      </c>
      <c r="H304" s="1067">
        <v>0</v>
      </c>
      <c r="I304" s="1067">
        <v>0</v>
      </c>
      <c r="J304" s="1067">
        <v>0</v>
      </c>
      <c r="K304" s="1067">
        <v>0</v>
      </c>
      <c r="L304" s="1067">
        <v>0</v>
      </c>
      <c r="M304" s="1067">
        <v>99086</v>
      </c>
      <c r="N304" s="1067">
        <v>109648</v>
      </c>
      <c r="O304" s="1067">
        <v>463395</v>
      </c>
      <c r="P304" s="1067">
        <v>224052</v>
      </c>
      <c r="Q304" s="1067">
        <v>25677</v>
      </c>
      <c r="R304" s="1067">
        <v>158265</v>
      </c>
      <c r="S304" s="1067">
        <v>140376</v>
      </c>
    </row>
    <row r="305" spans="1:19" s="403" customFormat="1" x14ac:dyDescent="0.3">
      <c r="A305" s="1034">
        <v>646</v>
      </c>
      <c r="B305" s="1034">
        <v>646</v>
      </c>
      <c r="C305" s="1034">
        <v>646</v>
      </c>
      <c r="D305" s="1036" t="s">
        <v>406</v>
      </c>
      <c r="E305" s="1067">
        <v>829935</v>
      </c>
      <c r="F305" s="1067">
        <v>1045047</v>
      </c>
      <c r="G305" s="1067">
        <v>65745</v>
      </c>
      <c r="H305" s="1067">
        <v>0</v>
      </c>
      <c r="I305" s="1067">
        <v>746461</v>
      </c>
      <c r="J305" s="1067">
        <v>4057412</v>
      </c>
      <c r="K305" s="1067">
        <v>678500</v>
      </c>
      <c r="L305" s="1067">
        <v>33945</v>
      </c>
      <c r="M305" s="1067">
        <v>1173890</v>
      </c>
      <c r="N305" s="1067">
        <v>81108</v>
      </c>
      <c r="O305" s="1067">
        <v>36656</v>
      </c>
      <c r="P305" s="1067">
        <v>760697</v>
      </c>
      <c r="Q305" s="1067">
        <v>300100</v>
      </c>
      <c r="R305" s="1067">
        <v>217266</v>
      </c>
      <c r="S305" s="1067">
        <v>166516</v>
      </c>
    </row>
    <row r="306" spans="1:19" s="403" customFormat="1" x14ac:dyDescent="0.3">
      <c r="A306" s="1034">
        <v>647</v>
      </c>
      <c r="B306" s="1034"/>
      <c r="C306" s="1029"/>
      <c r="D306" s="1029"/>
      <c r="E306" s="1067"/>
      <c r="F306" s="1067"/>
      <c r="G306" s="1067"/>
      <c r="H306" s="1067"/>
      <c r="I306" s="1067"/>
      <c r="J306" s="1067"/>
      <c r="K306" s="1067"/>
      <c r="L306" s="1067"/>
      <c r="M306" s="1067"/>
      <c r="N306" s="1067"/>
      <c r="O306" s="1067"/>
      <c r="P306" s="1067"/>
      <c r="Q306" s="1067"/>
      <c r="R306" s="1067"/>
      <c r="S306" s="1067"/>
    </row>
    <row r="307" spans="1:19" s="403" customFormat="1" x14ac:dyDescent="0.3">
      <c r="A307" s="1034">
        <v>654</v>
      </c>
      <c r="B307" s="1034"/>
      <c r="C307" s="1029"/>
      <c r="D307" s="1029"/>
      <c r="E307" s="1067"/>
      <c r="F307" s="1067"/>
      <c r="G307" s="1067"/>
      <c r="H307" s="1067"/>
      <c r="I307" s="1067"/>
      <c r="J307" s="1067"/>
      <c r="K307" s="1067"/>
      <c r="L307" s="1067"/>
      <c r="M307" s="1067"/>
      <c r="N307" s="1067"/>
      <c r="O307" s="1067"/>
      <c r="P307" s="1067"/>
      <c r="Q307" s="1067"/>
      <c r="R307" s="1067"/>
      <c r="S307" s="1067"/>
    </row>
    <row r="308" spans="1:19" s="403" customFormat="1" x14ac:dyDescent="0.3">
      <c r="A308" s="1034">
        <v>655</v>
      </c>
      <c r="B308" s="1034"/>
      <c r="C308" s="1029"/>
      <c r="D308" s="1029"/>
      <c r="E308" s="1067"/>
      <c r="F308" s="1067"/>
      <c r="G308" s="1067"/>
      <c r="H308" s="1067"/>
      <c r="I308" s="1067"/>
      <c r="J308" s="1067"/>
      <c r="K308" s="1067"/>
      <c r="L308" s="1067"/>
      <c r="M308" s="1067"/>
      <c r="N308" s="1067"/>
      <c r="O308" s="1067"/>
      <c r="P308" s="1067"/>
      <c r="Q308" s="1067"/>
      <c r="R308" s="1067"/>
      <c r="S308" s="1067"/>
    </row>
    <row r="309" spans="1:19" s="403" customFormat="1" x14ac:dyDescent="0.3">
      <c r="A309" s="1034">
        <v>656</v>
      </c>
      <c r="B309" s="1034"/>
      <c r="C309" s="1029"/>
      <c r="D309" s="1029"/>
      <c r="E309" s="1067"/>
      <c r="F309" s="1067"/>
      <c r="G309" s="1067"/>
      <c r="H309" s="1067"/>
      <c r="I309" s="1067"/>
      <c r="J309" s="1067"/>
      <c r="K309" s="1067"/>
      <c r="L309" s="1067"/>
      <c r="M309" s="1067"/>
      <c r="N309" s="1067"/>
      <c r="O309" s="1067"/>
      <c r="P309" s="1067"/>
      <c r="Q309" s="1067"/>
      <c r="R309" s="1067"/>
      <c r="S309" s="1067"/>
    </row>
    <row r="310" spans="1:19" s="403" customFormat="1" x14ac:dyDescent="0.3">
      <c r="A310" s="1034">
        <v>657</v>
      </c>
      <c r="B310" s="1034"/>
      <c r="C310" s="1029"/>
      <c r="D310" s="1029"/>
      <c r="E310" s="1067"/>
      <c r="F310" s="1067"/>
      <c r="G310" s="1067"/>
      <c r="H310" s="1067"/>
      <c r="I310" s="1067"/>
      <c r="J310" s="1067"/>
      <c r="K310" s="1067"/>
      <c r="L310" s="1067"/>
      <c r="M310" s="1067"/>
      <c r="N310" s="1067"/>
      <c r="O310" s="1067"/>
      <c r="P310" s="1067"/>
      <c r="Q310" s="1067"/>
      <c r="R310" s="1067"/>
      <c r="S310" s="1067"/>
    </row>
    <row r="311" spans="1:19" s="403" customFormat="1" x14ac:dyDescent="0.3">
      <c r="A311" s="1034">
        <v>658</v>
      </c>
      <c r="B311" s="1034"/>
      <c r="C311" s="1029"/>
      <c r="D311" s="1029"/>
      <c r="E311" s="1067"/>
      <c r="F311" s="1067"/>
      <c r="G311" s="1067"/>
      <c r="H311" s="1067"/>
      <c r="I311" s="1067"/>
      <c r="J311" s="1067"/>
      <c r="K311" s="1067"/>
      <c r="L311" s="1067"/>
      <c r="M311" s="1067"/>
      <c r="N311" s="1067"/>
      <c r="O311" s="1067"/>
      <c r="P311" s="1067"/>
      <c r="Q311" s="1067"/>
      <c r="R311" s="1067"/>
      <c r="S311" s="1067"/>
    </row>
    <row r="312" spans="1:19" s="403" customFormat="1" ht="28.8" x14ac:dyDescent="0.3">
      <c r="A312" s="1034">
        <v>659</v>
      </c>
      <c r="B312" s="1034">
        <v>659</v>
      </c>
      <c r="C312" s="1034">
        <v>659</v>
      </c>
      <c r="D312" s="1036" t="s">
        <v>482</v>
      </c>
      <c r="E312" s="1067">
        <v>0</v>
      </c>
      <c r="F312" s="1067">
        <v>0</v>
      </c>
      <c r="G312" s="1067">
        <v>0</v>
      </c>
      <c r="H312" s="1067">
        <v>0</v>
      </c>
      <c r="I312" s="1067">
        <v>0</v>
      </c>
      <c r="J312" s="1067">
        <v>67672131</v>
      </c>
      <c r="K312" s="1067">
        <v>0</v>
      </c>
      <c r="L312" s="1067">
        <v>0</v>
      </c>
      <c r="M312" s="1067">
        <v>0</v>
      </c>
      <c r="N312" s="1067">
        <v>0</v>
      </c>
      <c r="O312" s="1067">
        <v>0</v>
      </c>
      <c r="P312" s="1067">
        <v>0</v>
      </c>
      <c r="Q312" s="1067">
        <v>0</v>
      </c>
      <c r="R312" s="1067">
        <v>0</v>
      </c>
      <c r="S312" s="1067">
        <v>0</v>
      </c>
    </row>
    <row r="313" spans="1:19" s="403" customFormat="1" ht="28.8" x14ac:dyDescent="0.3">
      <c r="A313" s="1034">
        <v>660</v>
      </c>
      <c r="B313" s="1034">
        <v>660</v>
      </c>
      <c r="C313" s="1034">
        <v>660</v>
      </c>
      <c r="D313" s="1036" t="s">
        <v>483</v>
      </c>
      <c r="E313" s="1067">
        <v>0</v>
      </c>
      <c r="F313" s="1067">
        <v>0</v>
      </c>
      <c r="G313" s="1067">
        <v>0</v>
      </c>
      <c r="H313" s="1067">
        <v>0</v>
      </c>
      <c r="I313" s="1067">
        <v>0</v>
      </c>
      <c r="J313" s="1067">
        <v>0</v>
      </c>
      <c r="K313" s="1067">
        <v>0</v>
      </c>
      <c r="L313" s="1067">
        <v>0</v>
      </c>
      <c r="M313" s="1067">
        <v>0</v>
      </c>
      <c r="N313" s="1067">
        <v>0</v>
      </c>
      <c r="O313" s="1067">
        <v>0</v>
      </c>
      <c r="P313" s="1067">
        <v>0</v>
      </c>
      <c r="Q313" s="1067">
        <v>0</v>
      </c>
      <c r="R313" s="1067">
        <v>0</v>
      </c>
      <c r="S313" s="1067">
        <v>0</v>
      </c>
    </row>
    <row r="314" spans="1:19" s="403" customFormat="1" ht="57.6" x14ac:dyDescent="0.3">
      <c r="A314" s="1034">
        <v>661</v>
      </c>
      <c r="B314" s="1031">
        <v>661</v>
      </c>
      <c r="C314" s="1031">
        <v>661</v>
      </c>
      <c r="D314" s="1036" t="s">
        <v>1498</v>
      </c>
      <c r="E314" s="1067">
        <v>0</v>
      </c>
      <c r="F314" s="1067">
        <v>0</v>
      </c>
      <c r="G314" s="1067">
        <v>0</v>
      </c>
      <c r="H314" s="1067">
        <v>0</v>
      </c>
      <c r="I314" s="1067">
        <v>0</v>
      </c>
      <c r="J314" s="1067">
        <v>0</v>
      </c>
      <c r="K314" s="1067">
        <v>0</v>
      </c>
      <c r="L314" s="1067">
        <v>0</v>
      </c>
      <c r="M314" s="1067">
        <v>0</v>
      </c>
      <c r="N314" s="1067">
        <v>0</v>
      </c>
      <c r="O314" s="1067">
        <v>0</v>
      </c>
      <c r="P314" s="1067">
        <v>0</v>
      </c>
      <c r="Q314" s="1067">
        <v>0</v>
      </c>
      <c r="R314" s="1067">
        <v>0</v>
      </c>
      <c r="S314" s="1067">
        <v>0</v>
      </c>
    </row>
    <row r="315" spans="1:19" s="403" customFormat="1" x14ac:dyDescent="0.3">
      <c r="A315" s="1034">
        <v>662</v>
      </c>
      <c r="B315" s="1031">
        <v>662</v>
      </c>
      <c r="C315" s="1031">
        <v>662</v>
      </c>
      <c r="D315" s="1036" t="s">
        <v>523</v>
      </c>
      <c r="E315" s="1067">
        <v>0</v>
      </c>
      <c r="F315" s="1067">
        <v>0</v>
      </c>
      <c r="G315" s="1067">
        <v>0</v>
      </c>
      <c r="H315" s="1067">
        <v>0</v>
      </c>
      <c r="I315" s="1067">
        <v>0</v>
      </c>
      <c r="J315" s="1067">
        <v>0</v>
      </c>
      <c r="K315" s="1067">
        <v>0</v>
      </c>
      <c r="L315" s="1067">
        <v>0</v>
      </c>
      <c r="M315" s="1067">
        <v>0</v>
      </c>
      <c r="N315" s="1067">
        <v>0</v>
      </c>
      <c r="O315" s="1067">
        <v>0</v>
      </c>
      <c r="P315" s="1067">
        <v>0</v>
      </c>
      <c r="Q315" s="1067">
        <v>0</v>
      </c>
      <c r="R315" s="1067">
        <v>0</v>
      </c>
      <c r="S315" s="1067">
        <v>0</v>
      </c>
    </row>
    <row r="316" spans="1:19" s="403" customFormat="1" x14ac:dyDescent="0.3">
      <c r="A316" s="1034">
        <v>663</v>
      </c>
      <c r="B316" s="1034">
        <v>663</v>
      </c>
      <c r="C316" s="1034">
        <v>663</v>
      </c>
      <c r="D316" s="1036" t="s">
        <v>524</v>
      </c>
      <c r="E316" s="1067">
        <v>0</v>
      </c>
      <c r="F316" s="1067">
        <v>0</v>
      </c>
      <c r="G316" s="1067">
        <v>0</v>
      </c>
      <c r="H316" s="1067">
        <v>0</v>
      </c>
      <c r="I316" s="1067">
        <v>0</v>
      </c>
      <c r="J316" s="1067">
        <v>0</v>
      </c>
      <c r="K316" s="1067">
        <v>0</v>
      </c>
      <c r="L316" s="1067">
        <v>0</v>
      </c>
      <c r="M316" s="1067">
        <v>0</v>
      </c>
      <c r="N316" s="1067">
        <v>0</v>
      </c>
      <c r="O316" s="1067">
        <v>0</v>
      </c>
      <c r="P316" s="1067">
        <v>0</v>
      </c>
      <c r="Q316" s="1067">
        <v>0</v>
      </c>
      <c r="R316" s="1067">
        <v>0</v>
      </c>
      <c r="S316" s="1067">
        <v>8704</v>
      </c>
    </row>
    <row r="317" spans="1:19" s="403" customFormat="1" x14ac:dyDescent="0.3">
      <c r="A317" s="1034">
        <v>906</v>
      </c>
      <c r="B317" s="1034">
        <v>906</v>
      </c>
      <c r="C317" s="1034" t="s">
        <v>955</v>
      </c>
      <c r="D317" s="1029"/>
      <c r="E317" s="1067">
        <v>1</v>
      </c>
      <c r="F317" s="1067">
        <v>1</v>
      </c>
      <c r="G317" s="1067">
        <v>1</v>
      </c>
      <c r="H317" s="1067">
        <v>1</v>
      </c>
      <c r="I317" s="1067">
        <v>1</v>
      </c>
      <c r="J317" s="1067">
        <v>1</v>
      </c>
      <c r="K317" s="1067">
        <v>1</v>
      </c>
      <c r="L317" s="1067">
        <v>1</v>
      </c>
      <c r="M317" s="1067">
        <v>1</v>
      </c>
      <c r="N317" s="1067">
        <v>1</v>
      </c>
      <c r="O317" s="1067">
        <v>1</v>
      </c>
      <c r="P317" s="1067">
        <v>1</v>
      </c>
      <c r="Q317" s="1067">
        <v>1</v>
      </c>
      <c r="R317" s="1067">
        <v>1</v>
      </c>
      <c r="S317" s="1067">
        <v>1</v>
      </c>
    </row>
    <row r="318" spans="1:19" s="403" customFormat="1" x14ac:dyDescent="0.3">
      <c r="A318" s="1034">
        <v>907</v>
      </c>
      <c r="B318" s="1034">
        <v>907</v>
      </c>
      <c r="C318" s="1034" t="s">
        <v>955</v>
      </c>
      <c r="D318" s="1029"/>
      <c r="E318" s="1067">
        <v>2</v>
      </c>
      <c r="F318" s="1067">
        <v>2</v>
      </c>
      <c r="G318" s="1067">
        <v>2</v>
      </c>
      <c r="H318" s="1067">
        <v>2</v>
      </c>
      <c r="I318" s="1067">
        <v>2</v>
      </c>
      <c r="J318" s="1067">
        <v>2</v>
      </c>
      <c r="K318" s="1067">
        <v>2</v>
      </c>
      <c r="L318" s="1067">
        <v>2</v>
      </c>
      <c r="M318" s="1067">
        <v>2</v>
      </c>
      <c r="N318" s="1067">
        <v>2</v>
      </c>
      <c r="O318" s="1067">
        <v>2</v>
      </c>
      <c r="P318" s="1067">
        <v>2</v>
      </c>
      <c r="Q318" s="1067">
        <v>2</v>
      </c>
      <c r="R318" s="1067">
        <v>2</v>
      </c>
      <c r="S318" s="1067">
        <v>2</v>
      </c>
    </row>
    <row r="319" spans="1:19" s="403" customFormat="1" x14ac:dyDescent="0.3">
      <c r="A319" s="1034">
        <v>951</v>
      </c>
      <c r="B319" s="1034">
        <v>951</v>
      </c>
      <c r="C319" s="1034" t="s">
        <v>955</v>
      </c>
      <c r="D319" s="1029"/>
      <c r="E319" s="1067">
        <v>2</v>
      </c>
      <c r="F319" s="1067">
        <v>2</v>
      </c>
      <c r="G319" s="1067">
        <v>2</v>
      </c>
      <c r="H319" s="1067">
        <v>2</v>
      </c>
      <c r="I319" s="1067">
        <v>2</v>
      </c>
      <c r="J319" s="1067">
        <v>2</v>
      </c>
      <c r="K319" s="1067">
        <v>2</v>
      </c>
      <c r="L319" s="1067">
        <v>2</v>
      </c>
      <c r="M319" s="1067">
        <v>2</v>
      </c>
      <c r="N319" s="1067">
        <v>2</v>
      </c>
      <c r="O319" s="1067">
        <v>2</v>
      </c>
      <c r="P319" s="1067">
        <v>2</v>
      </c>
      <c r="Q319" s="1067">
        <v>2</v>
      </c>
      <c r="R319" s="1067">
        <v>2</v>
      </c>
      <c r="S319" s="1067">
        <v>2</v>
      </c>
    </row>
    <row r="320" spans="1:19" s="403" customFormat="1" x14ac:dyDescent="0.3">
      <c r="A320" s="1034">
        <v>953</v>
      </c>
      <c r="B320" s="1034">
        <v>953</v>
      </c>
      <c r="C320" s="1034" t="s">
        <v>955</v>
      </c>
      <c r="D320" s="1029"/>
      <c r="E320" s="1067">
        <v>2</v>
      </c>
      <c r="F320" s="1067">
        <v>2</v>
      </c>
      <c r="G320" s="1067">
        <v>2</v>
      </c>
      <c r="H320" s="1067">
        <v>2</v>
      </c>
      <c r="I320" s="1067">
        <v>2</v>
      </c>
      <c r="J320" s="1067">
        <v>2</v>
      </c>
      <c r="K320" s="1067">
        <v>2</v>
      </c>
      <c r="L320" s="1067">
        <v>2</v>
      </c>
      <c r="M320" s="1067">
        <v>2</v>
      </c>
      <c r="N320" s="1067">
        <v>2</v>
      </c>
      <c r="O320" s="1067">
        <v>2</v>
      </c>
      <c r="P320" s="1067">
        <v>2</v>
      </c>
      <c r="Q320" s="1067">
        <v>2</v>
      </c>
      <c r="R320" s="1067">
        <v>2</v>
      </c>
      <c r="S320" s="1067">
        <v>2</v>
      </c>
    </row>
    <row r="321" spans="1:19" s="403" customFormat="1" x14ac:dyDescent="0.3">
      <c r="A321" s="1034">
        <v>955</v>
      </c>
      <c r="B321" s="1034">
        <v>955</v>
      </c>
      <c r="C321" s="1034" t="s">
        <v>955</v>
      </c>
      <c r="D321" s="1029"/>
      <c r="E321" s="1067">
        <v>0</v>
      </c>
      <c r="F321" s="1067">
        <v>0</v>
      </c>
      <c r="G321" s="1067">
        <v>0</v>
      </c>
      <c r="H321" s="1067">
        <v>0</v>
      </c>
      <c r="I321" s="1067">
        <v>0</v>
      </c>
      <c r="J321" s="1067">
        <v>0</v>
      </c>
      <c r="K321" s="1067">
        <v>0</v>
      </c>
      <c r="L321" s="1067">
        <v>0</v>
      </c>
      <c r="M321" s="1067">
        <v>0</v>
      </c>
      <c r="N321" s="1067">
        <v>0</v>
      </c>
      <c r="O321" s="1067">
        <v>0</v>
      </c>
      <c r="P321" s="1067">
        <v>0</v>
      </c>
      <c r="Q321" s="1067">
        <v>0</v>
      </c>
      <c r="R321" s="1067">
        <v>0</v>
      </c>
      <c r="S321" s="1067">
        <v>0</v>
      </c>
    </row>
    <row r="322" spans="1:19" s="403" customFormat="1" x14ac:dyDescent="0.3">
      <c r="A322" s="1034">
        <v>957</v>
      </c>
      <c r="B322" s="1034">
        <v>957</v>
      </c>
      <c r="C322" s="1034" t="s">
        <v>955</v>
      </c>
      <c r="D322" s="1029"/>
      <c r="E322" s="1067">
        <v>0</v>
      </c>
      <c r="F322" s="1067">
        <v>0</v>
      </c>
      <c r="G322" s="1067">
        <v>0</v>
      </c>
      <c r="H322" s="1067">
        <v>0</v>
      </c>
      <c r="I322" s="1067">
        <v>0</v>
      </c>
      <c r="J322" s="1067">
        <v>0</v>
      </c>
      <c r="K322" s="1067">
        <v>0</v>
      </c>
      <c r="L322" s="1067">
        <v>0</v>
      </c>
      <c r="M322" s="1067">
        <v>3</v>
      </c>
      <c r="N322" s="1067">
        <v>0</v>
      </c>
      <c r="O322" s="1067">
        <v>0</v>
      </c>
      <c r="P322" s="1067">
        <v>0</v>
      </c>
      <c r="Q322" s="1067">
        <v>0</v>
      </c>
      <c r="R322" s="1067">
        <v>0</v>
      </c>
      <c r="S322" s="1067">
        <v>0</v>
      </c>
    </row>
    <row r="323" spans="1:19" s="403" customFormat="1" x14ac:dyDescent="0.3">
      <c r="A323" s="1034">
        <v>959</v>
      </c>
      <c r="B323" s="1034">
        <v>959</v>
      </c>
      <c r="C323" s="1034" t="s">
        <v>955</v>
      </c>
      <c r="D323" s="1029"/>
      <c r="E323" s="1067">
        <v>3</v>
      </c>
      <c r="F323" s="1067">
        <v>3</v>
      </c>
      <c r="G323" s="1067">
        <v>3</v>
      </c>
      <c r="H323" s="1067">
        <v>3</v>
      </c>
      <c r="I323" s="1067">
        <v>3</v>
      </c>
      <c r="J323" s="1067">
        <v>2</v>
      </c>
      <c r="K323" s="1067">
        <v>2</v>
      </c>
      <c r="L323" s="1067">
        <v>3</v>
      </c>
      <c r="M323" s="1067">
        <v>3</v>
      </c>
      <c r="N323" s="1067">
        <v>2</v>
      </c>
      <c r="O323" s="1067">
        <v>3</v>
      </c>
      <c r="P323" s="1067">
        <v>3</v>
      </c>
      <c r="Q323" s="1067">
        <v>2</v>
      </c>
      <c r="R323" s="1067">
        <v>2</v>
      </c>
      <c r="S323" s="1067">
        <v>2</v>
      </c>
    </row>
    <row r="324" spans="1:19" s="403" customFormat="1" x14ac:dyDescent="0.3">
      <c r="A324" s="1034">
        <v>961</v>
      </c>
      <c r="B324" s="1034">
        <v>961</v>
      </c>
      <c r="C324" s="1034" t="s">
        <v>955</v>
      </c>
      <c r="D324" s="1029"/>
      <c r="E324" s="1067">
        <v>3</v>
      </c>
      <c r="F324" s="1067">
        <v>3</v>
      </c>
      <c r="G324" s="1067">
        <v>3</v>
      </c>
      <c r="H324" s="1067">
        <v>3</v>
      </c>
      <c r="I324" s="1067">
        <v>3</v>
      </c>
      <c r="J324" s="1067">
        <v>2</v>
      </c>
      <c r="K324" s="1067">
        <v>2</v>
      </c>
      <c r="L324" s="1067">
        <v>3</v>
      </c>
      <c r="M324" s="1067">
        <v>3</v>
      </c>
      <c r="N324" s="1067">
        <v>2</v>
      </c>
      <c r="O324" s="1067">
        <v>3</v>
      </c>
      <c r="P324" s="1067">
        <v>3</v>
      </c>
      <c r="Q324" s="1067">
        <v>2</v>
      </c>
      <c r="R324" s="1067">
        <v>2</v>
      </c>
      <c r="S324" s="1067">
        <v>3</v>
      </c>
    </row>
    <row r="325" spans="1:19" s="403" customFormat="1" x14ac:dyDescent="0.3">
      <c r="A325" s="1034">
        <v>963</v>
      </c>
      <c r="B325" s="1034">
        <v>963</v>
      </c>
      <c r="C325" s="1034" t="s">
        <v>955</v>
      </c>
      <c r="D325" s="1029"/>
      <c r="E325" s="1067">
        <v>3</v>
      </c>
      <c r="F325" s="1067">
        <v>3</v>
      </c>
      <c r="G325" s="1067">
        <v>3</v>
      </c>
      <c r="H325" s="1067">
        <v>3</v>
      </c>
      <c r="I325" s="1067">
        <v>3</v>
      </c>
      <c r="J325" s="1067">
        <v>3</v>
      </c>
      <c r="K325" s="1067">
        <v>3</v>
      </c>
      <c r="L325" s="1067">
        <v>3</v>
      </c>
      <c r="M325" s="1067">
        <v>3</v>
      </c>
      <c r="N325" s="1067">
        <v>3</v>
      </c>
      <c r="O325" s="1067">
        <v>3</v>
      </c>
      <c r="P325" s="1067">
        <v>3</v>
      </c>
      <c r="Q325" s="1067">
        <v>3</v>
      </c>
      <c r="R325" s="1067">
        <v>3</v>
      </c>
      <c r="S325" s="1067">
        <v>3</v>
      </c>
    </row>
    <row r="326" spans="1:19" s="403" customFormat="1" x14ac:dyDescent="0.3">
      <c r="A326" s="1034">
        <v>965</v>
      </c>
      <c r="B326" s="1034">
        <v>965</v>
      </c>
      <c r="C326" s="1034" t="s">
        <v>955</v>
      </c>
      <c r="D326" s="1029"/>
      <c r="E326" s="1067">
        <v>1</v>
      </c>
      <c r="F326" s="1067">
        <v>1</v>
      </c>
      <c r="G326" s="1067">
        <v>1</v>
      </c>
      <c r="H326" s="1067">
        <v>1</v>
      </c>
      <c r="I326" s="1067">
        <v>1</v>
      </c>
      <c r="J326" s="1067">
        <v>1</v>
      </c>
      <c r="K326" s="1067">
        <v>1</v>
      </c>
      <c r="L326" s="1067">
        <v>1</v>
      </c>
      <c r="M326" s="1067">
        <v>1</v>
      </c>
      <c r="N326" s="1067">
        <v>1</v>
      </c>
      <c r="O326" s="1067">
        <v>1</v>
      </c>
      <c r="P326" s="1067">
        <v>1</v>
      </c>
      <c r="Q326" s="1067">
        <v>1</v>
      </c>
      <c r="R326" s="1067">
        <v>1</v>
      </c>
      <c r="S326" s="1067">
        <v>1</v>
      </c>
    </row>
    <row r="327" spans="1:19" s="403" customFormat="1" x14ac:dyDescent="0.3">
      <c r="A327" s="1034">
        <v>603</v>
      </c>
      <c r="B327" s="1034">
        <v>603</v>
      </c>
      <c r="C327" s="1034" t="s">
        <v>955</v>
      </c>
      <c r="D327" s="1029"/>
      <c r="E327" s="1067">
        <v>0</v>
      </c>
      <c r="F327" s="1067">
        <v>0</v>
      </c>
      <c r="G327" s="1067">
        <v>0</v>
      </c>
      <c r="H327" s="1067">
        <v>0</v>
      </c>
      <c r="I327" s="1067">
        <v>0</v>
      </c>
      <c r="J327" s="1067">
        <v>0</v>
      </c>
      <c r="K327" s="1067">
        <v>0</v>
      </c>
      <c r="L327" s="1067">
        <v>0</v>
      </c>
      <c r="M327" s="1067">
        <v>2</v>
      </c>
      <c r="N327" s="1067">
        <v>0</v>
      </c>
      <c r="O327" s="1067">
        <v>0</v>
      </c>
      <c r="P327" s="1067">
        <v>0</v>
      </c>
      <c r="Q327" s="1067">
        <v>0</v>
      </c>
      <c r="R327" s="1067">
        <v>0</v>
      </c>
      <c r="S327" s="1067">
        <v>0</v>
      </c>
    </row>
    <row r="328" spans="1:19" s="403" customFormat="1" x14ac:dyDescent="0.3">
      <c r="A328" s="1034">
        <v>929</v>
      </c>
      <c r="B328" s="1034">
        <v>929</v>
      </c>
      <c r="C328" s="1034" t="s">
        <v>955</v>
      </c>
      <c r="D328" s="1029"/>
      <c r="E328" s="1067">
        <v>0</v>
      </c>
      <c r="F328" s="1067">
        <v>0</v>
      </c>
      <c r="G328" s="1067">
        <v>0</v>
      </c>
      <c r="H328" s="1067">
        <v>0</v>
      </c>
      <c r="I328" s="1067">
        <v>0</v>
      </c>
      <c r="J328" s="1067">
        <v>0</v>
      </c>
      <c r="K328" s="1067">
        <v>0</v>
      </c>
      <c r="L328" s="1067">
        <v>0</v>
      </c>
      <c r="M328" s="1067">
        <v>1</v>
      </c>
      <c r="N328" s="1067">
        <v>0</v>
      </c>
      <c r="O328" s="1067">
        <v>0</v>
      </c>
      <c r="P328" s="1067">
        <v>0</v>
      </c>
      <c r="Q328" s="1067">
        <v>0</v>
      </c>
      <c r="R328" s="1067">
        <v>0</v>
      </c>
      <c r="S328" s="1067">
        <v>0</v>
      </c>
    </row>
    <row r="329" spans="1:19" s="403" customFormat="1" x14ac:dyDescent="0.3">
      <c r="A329" s="1034">
        <v>930</v>
      </c>
      <c r="B329" s="1034">
        <v>930</v>
      </c>
      <c r="C329" s="1034" t="s">
        <v>955</v>
      </c>
      <c r="D329" s="1029"/>
      <c r="E329" s="1067">
        <v>0</v>
      </c>
      <c r="F329" s="1067">
        <v>0</v>
      </c>
      <c r="G329" s="1067">
        <v>0</v>
      </c>
      <c r="H329" s="1067">
        <v>0</v>
      </c>
      <c r="I329" s="1067">
        <v>0</v>
      </c>
      <c r="J329" s="1067">
        <v>0</v>
      </c>
      <c r="K329" s="1067">
        <v>0</v>
      </c>
      <c r="L329" s="1067">
        <v>0</v>
      </c>
      <c r="M329" s="1067">
        <v>2</v>
      </c>
      <c r="N329" s="1067">
        <v>0</v>
      </c>
      <c r="O329" s="1067">
        <v>0</v>
      </c>
      <c r="P329" s="1067">
        <v>0</v>
      </c>
      <c r="Q329" s="1067">
        <v>0</v>
      </c>
      <c r="R329" s="1067">
        <v>0</v>
      </c>
      <c r="S329" s="1067">
        <v>0</v>
      </c>
    </row>
    <row r="330" spans="1:19" s="403" customFormat="1" x14ac:dyDescent="0.3">
      <c r="A330" s="1034">
        <v>931</v>
      </c>
      <c r="B330" s="1034">
        <v>931</v>
      </c>
      <c r="C330" s="1034" t="s">
        <v>955</v>
      </c>
      <c r="D330" s="1029"/>
      <c r="E330" s="1067">
        <v>0</v>
      </c>
      <c r="F330" s="1067">
        <v>0</v>
      </c>
      <c r="G330" s="1067">
        <v>0</v>
      </c>
      <c r="H330" s="1067">
        <v>0</v>
      </c>
      <c r="I330" s="1067">
        <v>0</v>
      </c>
      <c r="J330" s="1067">
        <v>0</v>
      </c>
      <c r="K330" s="1067">
        <v>0</v>
      </c>
      <c r="L330" s="1067">
        <v>0</v>
      </c>
      <c r="M330" s="1067">
        <v>2</v>
      </c>
      <c r="N330" s="1067">
        <v>0</v>
      </c>
      <c r="O330" s="1067">
        <v>0</v>
      </c>
      <c r="P330" s="1067">
        <v>0</v>
      </c>
      <c r="Q330" s="1067">
        <v>0</v>
      </c>
      <c r="R330" s="1067">
        <v>0</v>
      </c>
      <c r="S330" s="1067">
        <v>0</v>
      </c>
    </row>
    <row r="331" spans="1:19" s="403" customFormat="1" x14ac:dyDescent="0.3">
      <c r="A331" s="1034">
        <v>932</v>
      </c>
      <c r="B331" s="1034">
        <v>932</v>
      </c>
      <c r="C331" s="1034" t="s">
        <v>955</v>
      </c>
      <c r="D331" s="1029"/>
      <c r="E331" s="1067">
        <v>0</v>
      </c>
      <c r="F331" s="1067">
        <v>0</v>
      </c>
      <c r="G331" s="1067">
        <v>0</v>
      </c>
      <c r="H331" s="1067">
        <v>0</v>
      </c>
      <c r="I331" s="1067">
        <v>0</v>
      </c>
      <c r="J331" s="1067">
        <v>0</v>
      </c>
      <c r="K331" s="1067">
        <v>0</v>
      </c>
      <c r="L331" s="1067">
        <v>0</v>
      </c>
      <c r="M331" s="1067">
        <v>2</v>
      </c>
      <c r="N331" s="1067">
        <v>0</v>
      </c>
      <c r="O331" s="1067">
        <v>0</v>
      </c>
      <c r="P331" s="1067">
        <v>0</v>
      </c>
      <c r="Q331" s="1067">
        <v>0</v>
      </c>
      <c r="R331" s="1067">
        <v>0</v>
      </c>
      <c r="S331" s="1067">
        <v>0</v>
      </c>
    </row>
    <row r="332" spans="1:19" s="403" customFormat="1" x14ac:dyDescent="0.3">
      <c r="B332" s="404"/>
    </row>
    <row r="333" spans="1:19" s="403" customFormat="1" x14ac:dyDescent="0.3">
      <c r="B333" s="404"/>
    </row>
    <row r="334" spans="1:19" s="403" customFormat="1" ht="28.8" x14ac:dyDescent="0.3">
      <c r="A334" s="1036" t="s">
        <v>1499</v>
      </c>
      <c r="B334" s="1029"/>
      <c r="C334" s="1034" t="s">
        <v>1500</v>
      </c>
      <c r="D334" s="1029"/>
      <c r="E334" s="1071">
        <v>1296310</v>
      </c>
      <c r="F334" s="1071">
        <v>2609393</v>
      </c>
      <c r="G334" s="1071">
        <v>842828</v>
      </c>
      <c r="H334" s="1071">
        <v>828467</v>
      </c>
      <c r="I334" s="1071">
        <v>2185021</v>
      </c>
      <c r="J334" s="1071">
        <v>42366486</v>
      </c>
      <c r="K334" s="1071">
        <v>3553723</v>
      </c>
      <c r="L334" s="1071">
        <v>454181</v>
      </c>
      <c r="M334" s="1071">
        <v>3119401</v>
      </c>
      <c r="N334" s="1071">
        <v>1127370</v>
      </c>
      <c r="O334" s="1071">
        <v>1863783</v>
      </c>
      <c r="P334" s="1071">
        <v>2599860</v>
      </c>
      <c r="Q334" s="1071">
        <v>1133758</v>
      </c>
      <c r="R334" s="1071">
        <v>1298865</v>
      </c>
      <c r="S334" s="1071">
        <v>896039</v>
      </c>
    </row>
    <row r="335" spans="1:19" s="403" customFormat="1" ht="57.6" x14ac:dyDescent="0.3">
      <c r="A335" s="1036" t="s">
        <v>1501</v>
      </c>
      <c r="B335" s="1029"/>
      <c r="C335" s="1029"/>
      <c r="D335" s="1029"/>
      <c r="E335" s="1029" t="s">
        <v>899</v>
      </c>
      <c r="F335" s="1036" t="s">
        <v>899</v>
      </c>
      <c r="G335" s="1036" t="s">
        <v>901</v>
      </c>
      <c r="H335" s="1036" t="s">
        <v>901</v>
      </c>
      <c r="I335" s="1036" t="s">
        <v>899</v>
      </c>
      <c r="J335" s="1036" t="s">
        <v>900</v>
      </c>
      <c r="K335" s="1036" t="s">
        <v>899</v>
      </c>
      <c r="L335" s="1036" t="s">
        <v>901</v>
      </c>
      <c r="M335" s="1036" t="s">
        <v>899</v>
      </c>
      <c r="N335" s="1036" t="s">
        <v>899</v>
      </c>
      <c r="O335" s="1036" t="s">
        <v>899</v>
      </c>
      <c r="P335" s="1036" t="s">
        <v>899</v>
      </c>
      <c r="Q335" s="1036" t="s">
        <v>899</v>
      </c>
      <c r="R335" s="1036" t="s">
        <v>899</v>
      </c>
      <c r="S335" s="1036" t="s">
        <v>901</v>
      </c>
    </row>
    <row r="336" spans="1:19" s="407" customFormat="1" x14ac:dyDescent="0.3">
      <c r="A336" s="1036" t="s">
        <v>1502</v>
      </c>
      <c r="B336" s="1029"/>
      <c r="C336" s="1029"/>
      <c r="D336" s="1029"/>
      <c r="E336" s="1029" t="s">
        <v>1503</v>
      </c>
      <c r="F336" s="1029" t="s">
        <v>1503</v>
      </c>
      <c r="G336" s="1029" t="s">
        <v>1504</v>
      </c>
      <c r="H336" s="1029" t="s">
        <v>1504</v>
      </c>
      <c r="I336" s="1029" t="s">
        <v>1503</v>
      </c>
      <c r="J336" s="1029" t="s">
        <v>1505</v>
      </c>
      <c r="K336" s="1029" t="s">
        <v>1503</v>
      </c>
      <c r="L336" s="1029" t="s">
        <v>1504</v>
      </c>
      <c r="M336" s="1029" t="s">
        <v>1503</v>
      </c>
      <c r="N336" s="1029" t="s">
        <v>1503</v>
      </c>
      <c r="O336" s="1029" t="s">
        <v>1503</v>
      </c>
      <c r="P336" s="1029" t="s">
        <v>1503</v>
      </c>
      <c r="Q336" s="1029" t="s">
        <v>1503</v>
      </c>
      <c r="R336" s="1029" t="s">
        <v>1503</v>
      </c>
      <c r="S336" s="1029" t="s">
        <v>1504</v>
      </c>
    </row>
    <row r="337" spans="1:19" s="403" customFormat="1" ht="28.8" x14ac:dyDescent="0.3">
      <c r="A337" s="1036" t="s">
        <v>1506</v>
      </c>
      <c r="B337" s="1029"/>
      <c r="C337" s="1034" t="s">
        <v>1507</v>
      </c>
      <c r="D337" s="1029"/>
      <c r="E337" s="1072">
        <v>2097552</v>
      </c>
      <c r="F337" s="1072">
        <v>1128707</v>
      </c>
      <c r="G337" s="1072">
        <v>1450017</v>
      </c>
      <c r="H337" s="1072">
        <v>679290</v>
      </c>
      <c r="I337" s="1072">
        <v>950905</v>
      </c>
      <c r="J337" s="1072">
        <v>4057412</v>
      </c>
      <c r="K337" s="1072">
        <v>1135489</v>
      </c>
      <c r="L337" s="1072">
        <v>83320</v>
      </c>
      <c r="M337" s="1072">
        <v>1571238</v>
      </c>
      <c r="N337" s="1072">
        <v>1429523</v>
      </c>
      <c r="O337" s="1072">
        <v>1627897</v>
      </c>
      <c r="P337" s="1072">
        <v>984749</v>
      </c>
      <c r="Q337" s="1072">
        <v>565278</v>
      </c>
      <c r="R337" s="1072">
        <v>643848</v>
      </c>
      <c r="S337" s="1072">
        <v>334975</v>
      </c>
    </row>
    <row r="338" spans="1:19" s="403" customFormat="1" x14ac:dyDescent="0.3">
      <c r="A338" s="1036" t="s">
        <v>1508</v>
      </c>
      <c r="B338" s="1029"/>
      <c r="C338" s="1034" t="s">
        <v>1509</v>
      </c>
      <c r="D338" s="1029"/>
      <c r="E338" s="1071">
        <v>1296310</v>
      </c>
      <c r="F338" s="1071">
        <v>2609393</v>
      </c>
      <c r="G338" s="1071">
        <v>842828</v>
      </c>
      <c r="H338" s="1071">
        <v>828467</v>
      </c>
      <c r="I338" s="1071">
        <v>2185021</v>
      </c>
      <c r="J338" s="1071">
        <v>42366486</v>
      </c>
      <c r="K338" s="1071">
        <v>3553723</v>
      </c>
      <c r="L338" s="1071">
        <v>454181</v>
      </c>
      <c r="M338" s="1071">
        <v>3119401</v>
      </c>
      <c r="N338" s="1071">
        <v>1127370</v>
      </c>
      <c r="O338" s="1071">
        <v>1863783</v>
      </c>
      <c r="P338" s="1071">
        <v>2599860</v>
      </c>
      <c r="Q338" s="1071">
        <v>1133758</v>
      </c>
      <c r="R338" s="1071">
        <v>1298865</v>
      </c>
      <c r="S338" s="1071">
        <v>896039</v>
      </c>
    </row>
    <row r="339" spans="1:19" s="407" customFormat="1" ht="28.8" x14ac:dyDescent="0.3">
      <c r="A339" s="1036" t="s">
        <v>1510</v>
      </c>
      <c r="B339" s="1029"/>
      <c r="C339" s="1034" t="s">
        <v>1511</v>
      </c>
      <c r="D339" s="1029"/>
      <c r="E339" s="1029">
        <v>1.6180944372873773</v>
      </c>
      <c r="F339" s="1029">
        <v>0.43255538740235755</v>
      </c>
      <c r="G339" s="1029">
        <v>1.7204186382037616</v>
      </c>
      <c r="H339" s="1029">
        <v>0.81993609884280239</v>
      </c>
      <c r="I339" s="1029">
        <v>0.43519261370943346</v>
      </c>
      <c r="J339" s="1029">
        <v>9.576937771048559E-2</v>
      </c>
      <c r="K339" s="1029">
        <v>0.31952096435203309</v>
      </c>
      <c r="L339" s="1029">
        <v>0.18345109108483182</v>
      </c>
      <c r="M339" s="1029">
        <v>0.50369862675558541</v>
      </c>
      <c r="N339" s="1029">
        <v>1.2680158244409554</v>
      </c>
      <c r="O339" s="1029">
        <v>0.87343698273887038</v>
      </c>
      <c r="P339" s="1029">
        <v>0.37877001069288346</v>
      </c>
      <c r="Q339" s="1029">
        <v>0.49858788207007138</v>
      </c>
      <c r="R339" s="1029">
        <v>0.49570047695487984</v>
      </c>
      <c r="S339" s="1029">
        <v>0.37383975474281811</v>
      </c>
    </row>
    <row r="340" spans="1:19" s="403" customFormat="1" x14ac:dyDescent="0.3">
      <c r="A340" s="1036" t="s">
        <v>1512</v>
      </c>
      <c r="B340" s="1029"/>
      <c r="C340" s="1034" t="s">
        <v>1513</v>
      </c>
      <c r="D340" s="1029"/>
      <c r="E340" s="1071">
        <v>0</v>
      </c>
      <c r="F340" s="1071">
        <v>0</v>
      </c>
      <c r="G340" s="1071">
        <v>0</v>
      </c>
      <c r="H340" s="1071">
        <v>0</v>
      </c>
      <c r="I340" s="1071">
        <v>0</v>
      </c>
      <c r="J340" s="1071">
        <v>0</v>
      </c>
      <c r="K340" s="1071">
        <v>0</v>
      </c>
      <c r="L340" s="1071">
        <v>0</v>
      </c>
      <c r="M340" s="1071">
        <v>0</v>
      </c>
      <c r="N340" s="1071">
        <v>0</v>
      </c>
      <c r="O340" s="1071">
        <v>0</v>
      </c>
      <c r="P340" s="1071">
        <v>0</v>
      </c>
      <c r="Q340" s="1071">
        <v>0</v>
      </c>
      <c r="R340" s="1071">
        <v>0</v>
      </c>
      <c r="S340" s="1071">
        <v>0</v>
      </c>
    </row>
    <row r="341" spans="1:19" s="403" customFormat="1" ht="28.8" x14ac:dyDescent="0.3">
      <c r="A341" s="1036" t="s">
        <v>1514</v>
      </c>
      <c r="B341" s="1029"/>
      <c r="C341" s="1034" t="s">
        <v>1515</v>
      </c>
      <c r="D341" s="1029"/>
      <c r="E341" s="1029"/>
      <c r="F341" s="1029"/>
      <c r="G341" s="1029"/>
      <c r="H341" s="1029"/>
      <c r="I341" s="1029"/>
      <c r="J341" s="1029"/>
      <c r="K341" s="1029"/>
      <c r="L341" s="1029"/>
      <c r="M341" s="1029"/>
      <c r="N341" s="1029"/>
      <c r="O341" s="1029"/>
      <c r="P341" s="1029"/>
      <c r="Q341" s="1029"/>
      <c r="R341" s="1029"/>
      <c r="S341" s="1029"/>
    </row>
    <row r="342" spans="1:19" s="403" customFormat="1" x14ac:dyDescent="0.3">
      <c r="A342" s="1036" t="s">
        <v>1516</v>
      </c>
      <c r="B342" s="1029"/>
      <c r="C342" s="1034" t="s">
        <v>1517</v>
      </c>
      <c r="D342" s="1029"/>
      <c r="E342" s="1029"/>
      <c r="F342" s="1029"/>
      <c r="G342" s="1029"/>
      <c r="H342" s="1029"/>
      <c r="I342" s="1029"/>
      <c r="J342" s="1029"/>
      <c r="K342" s="1029"/>
      <c r="L342" s="1029"/>
      <c r="M342" s="1029"/>
      <c r="N342" s="1029"/>
      <c r="O342" s="1029"/>
      <c r="P342" s="1029"/>
      <c r="Q342" s="1029"/>
      <c r="R342" s="1029"/>
      <c r="S342" s="1029"/>
    </row>
    <row r="343" spans="1:19" s="403" customFormat="1" x14ac:dyDescent="0.3">
      <c r="A343" s="1036" t="s">
        <v>1518</v>
      </c>
      <c r="B343" s="1029"/>
      <c r="C343" s="1034" t="s">
        <v>1519</v>
      </c>
      <c r="D343" s="1029"/>
      <c r="E343" s="1029"/>
      <c r="F343" s="1029"/>
      <c r="G343" s="1029"/>
      <c r="H343" s="1029"/>
      <c r="I343" s="1029"/>
      <c r="J343" s="1029"/>
      <c r="K343" s="1029"/>
      <c r="L343" s="1029"/>
      <c r="M343" s="1029"/>
      <c r="N343" s="1029"/>
      <c r="O343" s="1029"/>
      <c r="P343" s="1029"/>
      <c r="Q343" s="1029"/>
      <c r="R343" s="1029"/>
      <c r="S343" s="1029"/>
    </row>
    <row r="344" spans="1:19" s="403" customFormat="1" x14ac:dyDescent="0.3">
      <c r="A344" s="1036" t="s">
        <v>1520</v>
      </c>
      <c r="B344" s="1029"/>
      <c r="C344" s="1034" t="s">
        <v>1521</v>
      </c>
      <c r="D344" s="1029"/>
      <c r="E344" s="1029"/>
      <c r="F344" s="1029"/>
      <c r="G344" s="1029"/>
      <c r="H344" s="1029"/>
      <c r="I344" s="1029"/>
      <c r="J344" s="1029"/>
      <c r="K344" s="1029"/>
      <c r="L344" s="1029"/>
      <c r="M344" s="1029"/>
      <c r="N344" s="1029"/>
      <c r="O344" s="1029"/>
      <c r="P344" s="1029"/>
      <c r="Q344" s="1029"/>
      <c r="R344" s="1029"/>
      <c r="S344" s="1029"/>
    </row>
    <row r="345" spans="1:19" s="403" customFormat="1" x14ac:dyDescent="0.3">
      <c r="A345" s="1036" t="s">
        <v>1522</v>
      </c>
      <c r="B345" s="1029"/>
      <c r="C345" s="1034" t="s">
        <v>1507</v>
      </c>
      <c r="D345" s="1029"/>
      <c r="E345" s="1029"/>
      <c r="F345" s="1029"/>
      <c r="G345" s="1029"/>
      <c r="H345" s="1029"/>
      <c r="I345" s="1029"/>
      <c r="J345" s="1029"/>
      <c r="K345" s="1029"/>
      <c r="L345" s="1029"/>
      <c r="M345" s="1029"/>
      <c r="N345" s="1029"/>
      <c r="O345" s="1029"/>
      <c r="P345" s="1029"/>
      <c r="Q345" s="1029"/>
      <c r="R345" s="1029"/>
      <c r="S345" s="1029"/>
    </row>
    <row r="346" spans="1:19" s="403" customFormat="1" ht="28.8" x14ac:dyDescent="0.3">
      <c r="A346" s="1036" t="s">
        <v>1523</v>
      </c>
      <c r="B346" s="1029"/>
      <c r="C346" s="1034" t="s">
        <v>1511</v>
      </c>
      <c r="D346" s="1029"/>
      <c r="E346" s="1029"/>
      <c r="F346" s="1029"/>
      <c r="G346" s="1029"/>
      <c r="H346" s="1029"/>
      <c r="I346" s="1029"/>
      <c r="J346" s="1029"/>
      <c r="K346" s="1029"/>
      <c r="L346" s="1029"/>
      <c r="M346" s="1029"/>
      <c r="N346" s="1029"/>
      <c r="O346" s="1029"/>
      <c r="P346" s="1029"/>
      <c r="Q346" s="1029"/>
      <c r="R346" s="1029"/>
      <c r="S346" s="1029"/>
    </row>
    <row r="347" spans="1:19" s="403" customFormat="1" x14ac:dyDescent="0.3">
      <c r="A347" s="1036" t="s">
        <v>1524</v>
      </c>
      <c r="B347" s="1029"/>
      <c r="C347" s="1034" t="s">
        <v>1525</v>
      </c>
      <c r="D347" s="1029"/>
      <c r="E347" s="1029" t="e">
        <v>#DIV/0!</v>
      </c>
      <c r="F347" s="1029" t="e">
        <v>#DIV/0!</v>
      </c>
      <c r="G347" s="1029" t="e">
        <v>#DIV/0!</v>
      </c>
      <c r="H347" s="1029" t="e">
        <v>#DIV/0!</v>
      </c>
      <c r="I347" s="1029" t="e">
        <v>#DIV/0!</v>
      </c>
      <c r="J347" s="1029" t="e">
        <v>#DIV/0!</v>
      </c>
      <c r="K347" s="1029" t="e">
        <v>#DIV/0!</v>
      </c>
      <c r="L347" s="1029" t="e">
        <v>#DIV/0!</v>
      </c>
      <c r="M347" s="1029" t="e">
        <v>#DIV/0!</v>
      </c>
      <c r="N347" s="1029" t="e">
        <v>#DIV/0!</v>
      </c>
      <c r="O347" s="1029" t="e">
        <v>#DIV/0!</v>
      </c>
      <c r="P347" s="1029" t="e">
        <v>#DIV/0!</v>
      </c>
      <c r="Q347" s="1029" t="e">
        <v>#DIV/0!</v>
      </c>
      <c r="R347" s="1029" t="e">
        <v>#DIV/0!</v>
      </c>
      <c r="S347" s="1029" t="e">
        <v>#DIV/0!</v>
      </c>
    </row>
    <row r="348" spans="1:19" s="403" customFormat="1" ht="57.6" x14ac:dyDescent="0.3">
      <c r="A348" s="1036" t="s">
        <v>1526</v>
      </c>
      <c r="B348" s="1029"/>
      <c r="C348" s="1034" t="s">
        <v>1527</v>
      </c>
      <c r="D348" s="1029"/>
      <c r="E348" s="1071">
        <v>0</v>
      </c>
      <c r="F348" s="1071">
        <v>0</v>
      </c>
      <c r="G348" s="1071">
        <v>0</v>
      </c>
      <c r="H348" s="1071">
        <v>0</v>
      </c>
      <c r="I348" s="1071">
        <v>0</v>
      </c>
      <c r="J348" s="1071">
        <v>0</v>
      </c>
      <c r="K348" s="1071">
        <v>0</v>
      </c>
      <c r="L348" s="1071">
        <v>0</v>
      </c>
      <c r="M348" s="1071">
        <v>0</v>
      </c>
      <c r="N348" s="1071">
        <v>0</v>
      </c>
      <c r="O348" s="1071">
        <v>0</v>
      </c>
      <c r="P348" s="1071">
        <v>0</v>
      </c>
      <c r="Q348" s="1071">
        <v>0</v>
      </c>
      <c r="R348" s="1071">
        <v>0</v>
      </c>
      <c r="S348" s="1071">
        <v>0</v>
      </c>
    </row>
    <row r="349" spans="1:19" s="403" customFormat="1" ht="57.6" x14ac:dyDescent="0.3">
      <c r="A349" s="1036" t="s">
        <v>1528</v>
      </c>
      <c r="B349" s="1029"/>
      <c r="C349" s="1034" t="s">
        <v>1529</v>
      </c>
      <c r="D349" s="1029"/>
      <c r="E349" s="1029" t="e">
        <v>#DIV/0!</v>
      </c>
      <c r="F349" s="1029" t="e">
        <v>#DIV/0!</v>
      </c>
      <c r="G349" s="1029" t="e">
        <v>#DIV/0!</v>
      </c>
      <c r="H349" s="1029" t="e">
        <v>#DIV/0!</v>
      </c>
      <c r="I349" s="1029" t="e">
        <v>#DIV/0!</v>
      </c>
      <c r="J349" s="1029" t="e">
        <v>#DIV/0!</v>
      </c>
      <c r="K349" s="1029" t="e">
        <v>#DIV/0!</v>
      </c>
      <c r="L349" s="1029" t="e">
        <v>#DIV/0!</v>
      </c>
      <c r="M349" s="1029" t="e">
        <v>#DIV/0!</v>
      </c>
      <c r="N349" s="1029" t="e">
        <v>#DIV/0!</v>
      </c>
      <c r="O349" s="1029" t="e">
        <v>#DIV/0!</v>
      </c>
      <c r="P349" s="1029" t="e">
        <v>#DIV/0!</v>
      </c>
      <c r="Q349" s="1029" t="e">
        <v>#DIV/0!</v>
      </c>
      <c r="R349" s="1029" t="e">
        <v>#DIV/0!</v>
      </c>
      <c r="S349" s="1029" t="e">
        <v>#DIV/0!</v>
      </c>
    </row>
    <row r="350" spans="1:19" s="403" customFormat="1" x14ac:dyDescent="0.3">
      <c r="A350" s="1036" t="s">
        <v>1530</v>
      </c>
      <c r="B350" s="1029"/>
      <c r="C350" s="1034" t="s">
        <v>1531</v>
      </c>
      <c r="D350" s="1029"/>
      <c r="E350" s="1029" t="e">
        <v>#DIV/0!</v>
      </c>
      <c r="F350" s="1029" t="e">
        <v>#DIV/0!</v>
      </c>
      <c r="G350" s="1029" t="e">
        <v>#DIV/0!</v>
      </c>
      <c r="H350" s="1029" t="e">
        <v>#DIV/0!</v>
      </c>
      <c r="I350" s="1029" t="e">
        <v>#DIV/0!</v>
      </c>
      <c r="J350" s="1029" t="e">
        <v>#DIV/0!</v>
      </c>
      <c r="K350" s="1029" t="e">
        <v>#DIV/0!</v>
      </c>
      <c r="L350" s="1029" t="e">
        <v>#DIV/0!</v>
      </c>
      <c r="M350" s="1029" t="e">
        <v>#DIV/0!</v>
      </c>
      <c r="N350" s="1029" t="e">
        <v>#DIV/0!</v>
      </c>
      <c r="O350" s="1029" t="e">
        <v>#DIV/0!</v>
      </c>
      <c r="P350" s="1029" t="e">
        <v>#DIV/0!</v>
      </c>
      <c r="Q350" s="1029" t="e">
        <v>#DIV/0!</v>
      </c>
      <c r="R350" s="1029" t="e">
        <v>#DIV/0!</v>
      </c>
      <c r="S350" s="1029" t="e">
        <v>#DIV/0!</v>
      </c>
    </row>
    <row r="351" spans="1:19" s="403" customFormat="1" ht="57.6" x14ac:dyDescent="0.3">
      <c r="A351" s="1036" t="s">
        <v>1532</v>
      </c>
      <c r="B351" s="1029"/>
      <c r="C351" s="1034" t="s">
        <v>1533</v>
      </c>
      <c r="D351" s="1029"/>
      <c r="E351" s="1071">
        <v>0</v>
      </c>
      <c r="F351" s="1071">
        <v>0</v>
      </c>
      <c r="G351" s="1071">
        <v>0</v>
      </c>
      <c r="H351" s="1071">
        <v>0</v>
      </c>
      <c r="I351" s="1071">
        <v>0</v>
      </c>
      <c r="J351" s="1071">
        <v>0</v>
      </c>
      <c r="K351" s="1071">
        <v>0</v>
      </c>
      <c r="L351" s="1071">
        <v>0</v>
      </c>
      <c r="M351" s="1071">
        <v>0</v>
      </c>
      <c r="N351" s="1071">
        <v>0</v>
      </c>
      <c r="O351" s="1071">
        <v>0</v>
      </c>
      <c r="P351" s="1071">
        <v>0</v>
      </c>
      <c r="Q351" s="1071">
        <v>0</v>
      </c>
      <c r="R351" s="1071">
        <v>0</v>
      </c>
      <c r="S351" s="1071">
        <v>0</v>
      </c>
    </row>
    <row r="352" spans="1:19" s="403" customFormat="1" ht="57.6" x14ac:dyDescent="0.3">
      <c r="A352" s="1036" t="s">
        <v>1534</v>
      </c>
      <c r="B352" s="1029"/>
      <c r="C352" s="1034" t="s">
        <v>1535</v>
      </c>
      <c r="D352" s="1029"/>
      <c r="E352" s="1029" t="e">
        <v>#DIV/0!</v>
      </c>
      <c r="F352" s="1029" t="e">
        <v>#DIV/0!</v>
      </c>
      <c r="G352" s="1029" t="e">
        <v>#DIV/0!</v>
      </c>
      <c r="H352" s="1029" t="e">
        <v>#DIV/0!</v>
      </c>
      <c r="I352" s="1029" t="e">
        <v>#DIV/0!</v>
      </c>
      <c r="J352" s="1029" t="e">
        <v>#DIV/0!</v>
      </c>
      <c r="K352" s="1029" t="e">
        <v>#DIV/0!</v>
      </c>
      <c r="L352" s="1029" t="e">
        <v>#DIV/0!</v>
      </c>
      <c r="M352" s="1029" t="e">
        <v>#DIV/0!</v>
      </c>
      <c r="N352" s="1029" t="e">
        <v>#DIV/0!</v>
      </c>
      <c r="O352" s="1029" t="e">
        <v>#DIV/0!</v>
      </c>
      <c r="P352" s="1029" t="e">
        <v>#DIV/0!</v>
      </c>
      <c r="Q352" s="1029" t="e">
        <v>#DIV/0!</v>
      </c>
      <c r="R352" s="1029" t="e">
        <v>#DIV/0!</v>
      </c>
      <c r="S352" s="1029" t="e">
        <v>#DIV/0!</v>
      </c>
    </row>
    <row r="353" spans="1:19" s="403" customFormat="1" ht="28.8" x14ac:dyDescent="0.3">
      <c r="A353" s="1036" t="s">
        <v>1536</v>
      </c>
      <c r="B353" s="1029"/>
      <c r="C353" s="1034" t="s">
        <v>1537</v>
      </c>
      <c r="D353" s="1029"/>
      <c r="E353" s="1071">
        <v>0</v>
      </c>
      <c r="F353" s="1071">
        <v>0</v>
      </c>
      <c r="G353" s="1071">
        <v>0</v>
      </c>
      <c r="H353" s="1071">
        <v>0</v>
      </c>
      <c r="I353" s="1071">
        <v>0</v>
      </c>
      <c r="J353" s="1071">
        <v>0</v>
      </c>
      <c r="K353" s="1071">
        <v>0</v>
      </c>
      <c r="L353" s="1071">
        <v>0</v>
      </c>
      <c r="M353" s="1071">
        <v>0</v>
      </c>
      <c r="N353" s="1071">
        <v>0</v>
      </c>
      <c r="O353" s="1071">
        <v>0</v>
      </c>
      <c r="P353" s="1071">
        <v>0</v>
      </c>
      <c r="Q353" s="1071">
        <v>0</v>
      </c>
      <c r="R353" s="1071">
        <v>0</v>
      </c>
      <c r="S353" s="1071">
        <v>0</v>
      </c>
    </row>
    <row r="354" spans="1:19" s="403" customFormat="1" ht="28.8" x14ac:dyDescent="0.3">
      <c r="A354" s="1036" t="s">
        <v>1538</v>
      </c>
      <c r="B354" s="1029"/>
      <c r="C354" s="1029"/>
      <c r="D354" s="1029"/>
      <c r="E354" s="1029"/>
      <c r="F354" s="1029"/>
      <c r="G354" s="1029"/>
      <c r="H354" s="1029"/>
      <c r="I354" s="1029"/>
      <c r="J354" s="1029"/>
      <c r="K354" s="1029"/>
      <c r="L354" s="1029"/>
      <c r="M354" s="1029"/>
      <c r="N354" s="1029"/>
      <c r="O354" s="1029"/>
      <c r="P354" s="1029"/>
      <c r="Q354" s="1029"/>
      <c r="R354" s="1029"/>
      <c r="S354" s="1029"/>
    </row>
    <row r="355" spans="1:19" s="403" customFormat="1" ht="43.2" x14ac:dyDescent="0.3">
      <c r="A355" s="1036" t="s">
        <v>1539</v>
      </c>
      <c r="B355" s="1029"/>
      <c r="C355" s="1029"/>
      <c r="D355" s="1029"/>
      <c r="E355" s="1029"/>
      <c r="F355" s="1029"/>
      <c r="G355" s="1029"/>
      <c r="H355" s="1029"/>
      <c r="I355" s="1029"/>
      <c r="J355" s="1029"/>
      <c r="K355" s="1029"/>
      <c r="L355" s="1029"/>
      <c r="M355" s="1029"/>
      <c r="N355" s="1029"/>
      <c r="O355" s="1029"/>
      <c r="P355" s="1029"/>
      <c r="Q355" s="1029"/>
      <c r="R355" s="1029"/>
      <c r="S355" s="1029"/>
    </row>
    <row r="356" spans="1:19" s="403" customFormat="1" ht="43.2" x14ac:dyDescent="0.3">
      <c r="A356" s="1036" t="s">
        <v>1539</v>
      </c>
      <c r="B356" s="1029"/>
      <c r="C356" s="1029"/>
      <c r="D356" s="1029"/>
      <c r="E356" s="1029"/>
      <c r="F356" s="1029"/>
      <c r="G356" s="1029"/>
      <c r="H356" s="1029"/>
      <c r="I356" s="1029"/>
      <c r="J356" s="1029"/>
      <c r="K356" s="1029"/>
      <c r="L356" s="1029"/>
      <c r="M356" s="1029"/>
      <c r="N356" s="1029"/>
      <c r="O356" s="1029"/>
      <c r="P356" s="1029"/>
      <c r="Q356" s="1029"/>
      <c r="R356" s="1029"/>
      <c r="S356" s="1029"/>
    </row>
    <row r="360" spans="1:19" x14ac:dyDescent="0.3">
      <c r="A360" s="1029"/>
      <c r="B360" s="1029"/>
      <c r="C360" s="1029"/>
      <c r="D360" s="1029"/>
      <c r="E360" s="1071">
        <v>21136786</v>
      </c>
      <c r="F360" s="1071">
        <v>21131862</v>
      </c>
      <c r="G360" s="1071">
        <v>13585166</v>
      </c>
      <c r="H360" s="1071">
        <v>10034944</v>
      </c>
      <c r="I360" s="1071">
        <v>17602298</v>
      </c>
      <c r="J360" s="1071">
        <v>698186094</v>
      </c>
      <c r="K360" s="1071">
        <v>26589505</v>
      </c>
      <c r="L360" s="1071">
        <v>3875286</v>
      </c>
      <c r="M360" s="1071">
        <v>29778209</v>
      </c>
      <c r="N360" s="1071">
        <v>15636343</v>
      </c>
      <c r="O360" s="1071">
        <v>25484886</v>
      </c>
      <c r="P360" s="1071">
        <v>21892799</v>
      </c>
      <c r="Q360" s="1071">
        <v>10609560</v>
      </c>
      <c r="R360" s="1071">
        <v>10724159</v>
      </c>
      <c r="S360" s="1071">
        <v>8433339</v>
      </c>
    </row>
    <row r="361" spans="1:19" x14ac:dyDescent="0.3">
      <c r="A361" s="1029"/>
      <c r="B361" s="1031"/>
      <c r="C361" s="1029"/>
      <c r="D361" s="1036" t="s">
        <v>1540</v>
      </c>
      <c r="E361" s="1029">
        <v>0</v>
      </c>
      <c r="F361" s="1073">
        <v>21112303</v>
      </c>
      <c r="G361" s="1073">
        <v>13585166</v>
      </c>
      <c r="H361" s="1073">
        <v>10034944</v>
      </c>
      <c r="I361" s="1073">
        <v>17388447</v>
      </c>
      <c r="J361" s="1073">
        <v>693524370</v>
      </c>
      <c r="K361" s="1073">
        <v>26564913</v>
      </c>
      <c r="L361" s="1073">
        <v>3847690</v>
      </c>
      <c r="M361" s="1073">
        <v>29778209</v>
      </c>
      <c r="N361" s="1073">
        <v>15636343</v>
      </c>
      <c r="O361" s="1073">
        <v>25484877</v>
      </c>
      <c r="P361" s="1073">
        <v>21793512</v>
      </c>
      <c r="Q361" s="1073">
        <v>10608111</v>
      </c>
      <c r="R361" s="1073">
        <v>10716405</v>
      </c>
      <c r="S361" s="1073">
        <v>8430258</v>
      </c>
    </row>
    <row r="362" spans="1:19" x14ac:dyDescent="0.3">
      <c r="A362" s="1029"/>
      <c r="B362" s="1031"/>
      <c r="C362" s="1029"/>
      <c r="D362" s="1029"/>
      <c r="E362" s="1029"/>
      <c r="F362" s="1029"/>
      <c r="G362" s="1029"/>
      <c r="H362" s="1029"/>
      <c r="I362" s="1029"/>
      <c r="J362" s="1029"/>
      <c r="K362" s="1029"/>
      <c r="L362" s="1029"/>
      <c r="M362" s="1029"/>
      <c r="N362" s="1029"/>
      <c r="O362" s="1029"/>
      <c r="P362" s="1029"/>
      <c r="Q362" s="1029"/>
      <c r="R362" s="1029"/>
      <c r="S362" s="1029"/>
    </row>
    <row r="363" spans="1:19" x14ac:dyDescent="0.3">
      <c r="A363" s="1029"/>
      <c r="B363" s="1031"/>
      <c r="C363" s="1029"/>
      <c r="D363" s="1029"/>
      <c r="E363" s="1071">
        <v>21136786</v>
      </c>
      <c r="F363" s="1071">
        <v>19559</v>
      </c>
      <c r="G363" s="1071">
        <v>0</v>
      </c>
      <c r="H363" s="1071">
        <v>0</v>
      </c>
      <c r="I363" s="1071">
        <v>213851</v>
      </c>
      <c r="J363" s="1071">
        <v>4661724</v>
      </c>
      <c r="K363" s="1071">
        <v>24592</v>
      </c>
      <c r="L363" s="1071">
        <v>27596</v>
      </c>
      <c r="M363" s="1071">
        <v>0</v>
      </c>
      <c r="N363" s="1071">
        <v>0</v>
      </c>
      <c r="O363" s="1071">
        <v>9</v>
      </c>
      <c r="P363" s="1071">
        <v>99287</v>
      </c>
      <c r="Q363" s="1071">
        <v>1449</v>
      </c>
      <c r="R363" s="1071">
        <v>7754</v>
      </c>
      <c r="S363" s="1071">
        <v>3081</v>
      </c>
    </row>
    <row r="364" spans="1:19" x14ac:dyDescent="0.3">
      <c r="A364" s="1029"/>
      <c r="B364" s="1034"/>
      <c r="C364" s="1029"/>
      <c r="D364" s="1029"/>
      <c r="E364" s="1029"/>
      <c r="F364" s="1029"/>
      <c r="G364" s="1029"/>
      <c r="H364" s="1029"/>
      <c r="I364" s="1029"/>
      <c r="J364" s="1029"/>
      <c r="K364" s="1029"/>
      <c r="L364" s="1029"/>
      <c r="M364" s="1029"/>
      <c r="N364" s="1029"/>
      <c r="O364" s="1029"/>
      <c r="P364" s="1029"/>
      <c r="Q364" s="1029"/>
      <c r="R364" s="1029"/>
      <c r="S364" s="1029"/>
    </row>
    <row r="365" spans="1:19" ht="97.2" x14ac:dyDescent="0.3">
      <c r="A365" s="1034">
        <v>336</v>
      </c>
      <c r="B365" s="1031" t="s">
        <v>1489</v>
      </c>
      <c r="C365" s="1034">
        <v>336</v>
      </c>
      <c r="D365" s="1036" t="s">
        <v>1375</v>
      </c>
      <c r="E365" s="1039">
        <v>0</v>
      </c>
      <c r="F365" s="1039">
        <v>19559</v>
      </c>
      <c r="G365" s="1039">
        <v>0</v>
      </c>
      <c r="H365" s="1039">
        <v>0</v>
      </c>
      <c r="I365" s="1039">
        <v>213851</v>
      </c>
      <c r="J365" s="1039">
        <v>4661724</v>
      </c>
      <c r="K365" s="1039">
        <v>24592</v>
      </c>
      <c r="L365" s="1039">
        <v>27596</v>
      </c>
      <c r="M365" s="1039">
        <v>0</v>
      </c>
      <c r="N365" s="1039">
        <v>0</v>
      </c>
      <c r="O365" s="1039">
        <v>9</v>
      </c>
      <c r="P365" s="1039">
        <v>99287</v>
      </c>
      <c r="Q365" s="1039">
        <v>1449</v>
      </c>
      <c r="R365" s="1039">
        <v>7754</v>
      </c>
      <c r="S365" s="1039">
        <v>3081</v>
      </c>
    </row>
    <row r="366" spans="1:19" ht="55.2" x14ac:dyDescent="0.3">
      <c r="A366" s="1034">
        <v>577</v>
      </c>
      <c r="B366" s="1034">
        <v>577</v>
      </c>
      <c r="C366" s="1055">
        <v>577</v>
      </c>
      <c r="D366" s="1056" t="s">
        <v>1479</v>
      </c>
      <c r="E366" s="1044">
        <v>0</v>
      </c>
      <c r="F366" s="1044">
        <v>0</v>
      </c>
      <c r="G366" s="1044">
        <v>0</v>
      </c>
      <c r="H366" s="1044">
        <v>0</v>
      </c>
      <c r="I366" s="1044">
        <v>0</v>
      </c>
      <c r="J366" s="1044">
        <v>0</v>
      </c>
      <c r="K366" s="1044">
        <v>0</v>
      </c>
      <c r="L366" s="1044">
        <v>0</v>
      </c>
      <c r="M366" s="1044">
        <v>0</v>
      </c>
      <c r="N366" s="1044">
        <v>0</v>
      </c>
      <c r="O366" s="1044">
        <v>0</v>
      </c>
      <c r="P366" s="1044">
        <v>0</v>
      </c>
      <c r="Q366" s="1044">
        <v>0</v>
      </c>
      <c r="R366" s="1044">
        <v>0</v>
      </c>
      <c r="S366" s="1044">
        <v>0</v>
      </c>
    </row>
    <row r="367" spans="1:19" ht="28.8" x14ac:dyDescent="0.3">
      <c r="A367" s="1034">
        <v>554</v>
      </c>
      <c r="B367" s="1031">
        <v>554</v>
      </c>
      <c r="C367" s="1049">
        <v>554</v>
      </c>
      <c r="D367" s="1050" t="s">
        <v>340</v>
      </c>
      <c r="E367" s="1044">
        <v>0</v>
      </c>
      <c r="F367" s="1044">
        <v>0</v>
      </c>
      <c r="G367" s="1044">
        <v>0</v>
      </c>
      <c r="H367" s="1044">
        <v>0</v>
      </c>
      <c r="I367" s="1044">
        <v>0</v>
      </c>
      <c r="J367" s="1044">
        <v>0</v>
      </c>
      <c r="K367" s="1044">
        <v>0</v>
      </c>
      <c r="L367" s="1044">
        <v>0</v>
      </c>
      <c r="M367" s="1044">
        <v>0</v>
      </c>
      <c r="N367" s="1044">
        <v>0</v>
      </c>
      <c r="O367" s="1044">
        <v>0</v>
      </c>
      <c r="P367" s="1044">
        <v>0</v>
      </c>
      <c r="Q367" s="1044">
        <v>0</v>
      </c>
      <c r="R367" s="1044">
        <v>0</v>
      </c>
      <c r="S367" s="1044">
        <v>29112</v>
      </c>
    </row>
    <row r="368" spans="1:19" ht="28.8" x14ac:dyDescent="0.3">
      <c r="A368" s="1034">
        <v>555</v>
      </c>
      <c r="B368" s="1034">
        <v>555</v>
      </c>
      <c r="C368" s="1049">
        <v>555</v>
      </c>
      <c r="D368" s="1051" t="s">
        <v>341</v>
      </c>
      <c r="E368" s="1044">
        <v>0</v>
      </c>
      <c r="F368" s="1044">
        <v>0</v>
      </c>
      <c r="G368" s="1044">
        <v>0</v>
      </c>
      <c r="H368" s="1044">
        <v>0</v>
      </c>
      <c r="I368" s="1044">
        <v>0</v>
      </c>
      <c r="J368" s="1044">
        <v>0</v>
      </c>
      <c r="K368" s="1044">
        <v>0</v>
      </c>
      <c r="L368" s="1044">
        <v>0</v>
      </c>
      <c r="M368" s="1044">
        <v>0</v>
      </c>
      <c r="N368" s="1044">
        <v>0</v>
      </c>
      <c r="O368" s="1044">
        <v>0</v>
      </c>
      <c r="P368" s="1044">
        <v>0</v>
      </c>
      <c r="Q368" s="1044">
        <v>0</v>
      </c>
      <c r="R368" s="1044">
        <v>0</v>
      </c>
      <c r="S368" s="1044">
        <v>0</v>
      </c>
    </row>
    <row r="369" spans="1:19" ht="28.8" x14ac:dyDescent="0.3">
      <c r="A369" s="1034">
        <v>556</v>
      </c>
      <c r="B369" s="1031">
        <v>556</v>
      </c>
      <c r="C369" s="1049">
        <v>556</v>
      </c>
      <c r="D369" s="1052" t="s">
        <v>342</v>
      </c>
      <c r="E369" s="1044">
        <v>0</v>
      </c>
      <c r="F369" s="1044">
        <v>0</v>
      </c>
      <c r="G369" s="1044">
        <v>0</v>
      </c>
      <c r="H369" s="1044">
        <v>0</v>
      </c>
      <c r="I369" s="1044">
        <v>0</v>
      </c>
      <c r="J369" s="1044">
        <v>771940</v>
      </c>
      <c r="K369" s="1044">
        <v>0</v>
      </c>
      <c r="L369" s="1044">
        <v>0</v>
      </c>
      <c r="M369" s="1044">
        <v>0</v>
      </c>
      <c r="N369" s="1044">
        <v>0</v>
      </c>
      <c r="O369" s="1044">
        <v>0</v>
      </c>
      <c r="P369" s="1044">
        <v>0</v>
      </c>
      <c r="Q369" s="1044">
        <v>0</v>
      </c>
      <c r="R369" s="1044">
        <v>0</v>
      </c>
      <c r="S369" s="1044">
        <v>550523</v>
      </c>
    </row>
    <row r="370" spans="1:19" ht="28.8" x14ac:dyDescent="0.3">
      <c r="A370" s="1034">
        <v>557</v>
      </c>
      <c r="B370" s="1034">
        <v>557</v>
      </c>
      <c r="C370" s="1049">
        <v>557</v>
      </c>
      <c r="D370" s="1050" t="s">
        <v>343</v>
      </c>
      <c r="E370" s="1044">
        <v>0</v>
      </c>
      <c r="F370" s="1044">
        <v>0</v>
      </c>
      <c r="G370" s="1044">
        <v>0</v>
      </c>
      <c r="H370" s="1044">
        <v>0</v>
      </c>
      <c r="I370" s="1044">
        <v>0</v>
      </c>
      <c r="J370" s="1044">
        <v>771940</v>
      </c>
      <c r="K370" s="1044">
        <v>0</v>
      </c>
      <c r="L370" s="1044">
        <v>0</v>
      </c>
      <c r="M370" s="1044">
        <v>0</v>
      </c>
      <c r="N370" s="1044">
        <v>0</v>
      </c>
      <c r="O370" s="1044">
        <v>0</v>
      </c>
      <c r="P370" s="1044">
        <v>0</v>
      </c>
      <c r="Q370" s="1044">
        <v>0</v>
      </c>
      <c r="R370" s="1044">
        <v>0</v>
      </c>
      <c r="S370" s="1044">
        <v>550523</v>
      </c>
    </row>
    <row r="371" spans="1:19" ht="28.8" x14ac:dyDescent="0.3">
      <c r="A371" s="1034">
        <v>606</v>
      </c>
      <c r="B371" s="1034">
        <v>606</v>
      </c>
      <c r="C371" s="1034">
        <v>606</v>
      </c>
      <c r="D371" s="1036" t="s">
        <v>397</v>
      </c>
      <c r="E371" s="1029">
        <v>0</v>
      </c>
      <c r="F371" s="1029">
        <v>0</v>
      </c>
      <c r="G371" s="1029">
        <v>0</v>
      </c>
      <c r="H371" s="1029">
        <v>0</v>
      </c>
      <c r="I371" s="1029">
        <v>0</v>
      </c>
      <c r="J371" s="1029">
        <v>1</v>
      </c>
      <c r="K371" s="1029">
        <v>0</v>
      </c>
      <c r="L371" s="1029">
        <v>0</v>
      </c>
      <c r="M371" s="1029">
        <v>0</v>
      </c>
      <c r="N371" s="1029">
        <v>0</v>
      </c>
      <c r="O371" s="1029">
        <v>0</v>
      </c>
      <c r="P371" s="1029">
        <v>0</v>
      </c>
      <c r="Q371" s="1029">
        <v>0</v>
      </c>
      <c r="R371" s="1029">
        <v>0</v>
      </c>
      <c r="S371" s="1029">
        <v>1</v>
      </c>
    </row>
    <row r="372" spans="1:19" x14ac:dyDescent="0.3">
      <c r="A372" s="1034">
        <v>662</v>
      </c>
      <c r="B372" s="1031">
        <v>662</v>
      </c>
      <c r="C372" s="1029"/>
      <c r="D372" s="1036" t="s">
        <v>523</v>
      </c>
      <c r="E372" s="1067">
        <v>0</v>
      </c>
      <c r="F372" s="1067">
        <v>0</v>
      </c>
      <c r="G372" s="1067">
        <v>0</v>
      </c>
      <c r="H372" s="1067">
        <v>0</v>
      </c>
      <c r="I372" s="1067">
        <v>0</v>
      </c>
      <c r="J372" s="1067">
        <v>0</v>
      </c>
      <c r="K372" s="1067">
        <v>0</v>
      </c>
      <c r="L372" s="1067">
        <v>0</v>
      </c>
      <c r="M372" s="1067">
        <v>0</v>
      </c>
      <c r="N372" s="1067">
        <v>0</v>
      </c>
      <c r="O372" s="1067">
        <v>0</v>
      </c>
      <c r="P372" s="1067">
        <v>0</v>
      </c>
      <c r="Q372" s="1067">
        <v>0</v>
      </c>
      <c r="R372" s="1067">
        <v>0</v>
      </c>
      <c r="S372" s="1067">
        <v>0</v>
      </c>
    </row>
    <row r="373" spans="1:19" x14ac:dyDescent="0.3">
      <c r="A373" s="1034">
        <v>663</v>
      </c>
      <c r="B373" s="1034">
        <v>663</v>
      </c>
      <c r="C373" s="1029"/>
      <c r="D373" s="1036" t="s">
        <v>524</v>
      </c>
      <c r="E373" s="1067">
        <v>0</v>
      </c>
      <c r="F373" s="1067">
        <v>0</v>
      </c>
      <c r="G373" s="1067">
        <v>0</v>
      </c>
      <c r="H373" s="1067">
        <v>0</v>
      </c>
      <c r="I373" s="1067">
        <v>0</v>
      </c>
      <c r="J373" s="1067">
        <v>0</v>
      </c>
      <c r="K373" s="1067">
        <v>0</v>
      </c>
      <c r="L373" s="1067">
        <v>0</v>
      </c>
      <c r="M373" s="1067">
        <v>0</v>
      </c>
      <c r="N373" s="1067">
        <v>0</v>
      </c>
      <c r="O373" s="1067">
        <v>0</v>
      </c>
      <c r="P373" s="1067">
        <v>0</v>
      </c>
      <c r="Q373" s="1067">
        <v>0</v>
      </c>
      <c r="R373" s="1067">
        <v>0</v>
      </c>
      <c r="S373" s="1067">
        <v>8704</v>
      </c>
    </row>
    <row r="374" spans="1:19" x14ac:dyDescent="0.3">
      <c r="A374" s="1034">
        <v>998</v>
      </c>
      <c r="B374" s="1034">
        <v>998</v>
      </c>
      <c r="C374" s="1040">
        <v>998</v>
      </c>
      <c r="D374" s="1043" t="s">
        <v>288</v>
      </c>
      <c r="E374" s="1044">
        <v>57</v>
      </c>
      <c r="F374" s="1044">
        <v>57</v>
      </c>
      <c r="G374" s="1044">
        <v>57</v>
      </c>
      <c r="H374" s="1044">
        <v>57</v>
      </c>
      <c r="I374" s="1044">
        <v>57</v>
      </c>
      <c r="J374" s="1044">
        <v>57</v>
      </c>
      <c r="K374" s="1044">
        <v>57</v>
      </c>
      <c r="L374" s="1044">
        <v>57</v>
      </c>
      <c r="M374" s="1044">
        <v>57</v>
      </c>
      <c r="N374" s="1044">
        <v>57</v>
      </c>
      <c r="O374" s="1044">
        <v>57</v>
      </c>
      <c r="P374" s="1044">
        <v>57</v>
      </c>
      <c r="Q374" s="1044">
        <v>57</v>
      </c>
      <c r="R374" s="1044">
        <v>57</v>
      </c>
      <c r="S374" s="1044">
        <v>57</v>
      </c>
    </row>
    <row r="375" spans="1:19" x14ac:dyDescent="0.3">
      <c r="A375" s="1034">
        <v>999</v>
      </c>
      <c r="B375" s="1034">
        <v>999</v>
      </c>
      <c r="C375" s="1040">
        <v>999</v>
      </c>
      <c r="D375" s="1043" t="s">
        <v>289</v>
      </c>
      <c r="E375" s="1062">
        <v>571300</v>
      </c>
      <c r="F375" s="1062">
        <v>571301</v>
      </c>
      <c r="G375" s="1062">
        <v>571302</v>
      </c>
      <c r="H375" s="1062">
        <v>571303</v>
      </c>
      <c r="I375" s="1062">
        <v>572177</v>
      </c>
      <c r="J375" s="1062">
        <v>571304</v>
      </c>
      <c r="K375" s="1062">
        <v>571305</v>
      </c>
      <c r="L375" s="1062">
        <v>571306</v>
      </c>
      <c r="M375" s="1062">
        <v>571307</v>
      </c>
      <c r="N375" s="1062">
        <v>571309</v>
      </c>
      <c r="O375" s="1062">
        <v>571310</v>
      </c>
      <c r="P375" s="1062">
        <v>571311</v>
      </c>
      <c r="Q375" s="1062">
        <v>571313</v>
      </c>
      <c r="R375" s="1062">
        <v>571315</v>
      </c>
      <c r="S375" s="1062">
        <v>571316</v>
      </c>
    </row>
    <row r="376" spans="1:19" x14ac:dyDescent="0.3">
      <c r="A376" s="1034">
        <v>906</v>
      </c>
      <c r="B376" s="1034">
        <v>906</v>
      </c>
      <c r="C376" s="1029"/>
      <c r="D376" s="1036" t="s">
        <v>571</v>
      </c>
      <c r="E376" s="1067">
        <v>1</v>
      </c>
      <c r="F376" s="1067">
        <v>1</v>
      </c>
      <c r="G376" s="1067">
        <v>1</v>
      </c>
      <c r="H376" s="1067">
        <v>1</v>
      </c>
      <c r="I376" s="1067">
        <v>1</v>
      </c>
      <c r="J376" s="1067">
        <v>1</v>
      </c>
      <c r="K376" s="1067">
        <v>1</v>
      </c>
      <c r="L376" s="1067">
        <v>1</v>
      </c>
      <c r="M376" s="1067">
        <v>1</v>
      </c>
      <c r="N376" s="1067">
        <v>1</v>
      </c>
      <c r="O376" s="1067">
        <v>1</v>
      </c>
      <c r="P376" s="1067">
        <v>1</v>
      </c>
      <c r="Q376" s="1067">
        <v>1</v>
      </c>
      <c r="R376" s="1067">
        <v>1</v>
      </c>
      <c r="S376" s="1067">
        <v>1</v>
      </c>
    </row>
    <row r="377" spans="1:19" x14ac:dyDescent="0.3">
      <c r="A377" s="1034">
        <v>907</v>
      </c>
      <c r="B377" s="1034">
        <v>907</v>
      </c>
      <c r="C377" s="1029"/>
      <c r="D377" s="1036" t="s">
        <v>572</v>
      </c>
      <c r="E377" s="1067">
        <v>2</v>
      </c>
      <c r="F377" s="1067">
        <v>2</v>
      </c>
      <c r="G377" s="1067">
        <v>2</v>
      </c>
      <c r="H377" s="1067">
        <v>2</v>
      </c>
      <c r="I377" s="1067">
        <v>2</v>
      </c>
      <c r="J377" s="1067">
        <v>2</v>
      </c>
      <c r="K377" s="1067">
        <v>2</v>
      </c>
      <c r="L377" s="1067">
        <v>2</v>
      </c>
      <c r="M377" s="1067">
        <v>2</v>
      </c>
      <c r="N377" s="1067">
        <v>2</v>
      </c>
      <c r="O377" s="1067">
        <v>2</v>
      </c>
      <c r="P377" s="1067">
        <v>2</v>
      </c>
      <c r="Q377" s="1067">
        <v>2</v>
      </c>
      <c r="R377" s="1067">
        <v>2</v>
      </c>
      <c r="S377" s="1067">
        <v>2</v>
      </c>
    </row>
    <row r="378" spans="1:19" ht="28.8" x14ac:dyDescent="0.3">
      <c r="A378" s="1034">
        <v>951</v>
      </c>
      <c r="B378" s="1034">
        <v>951</v>
      </c>
      <c r="C378" s="1029"/>
      <c r="D378" s="1036" t="s">
        <v>573</v>
      </c>
      <c r="E378" s="1067">
        <v>2</v>
      </c>
      <c r="F378" s="1067">
        <v>2</v>
      </c>
      <c r="G378" s="1067">
        <v>2</v>
      </c>
      <c r="H378" s="1067">
        <v>2</v>
      </c>
      <c r="I378" s="1067">
        <v>2</v>
      </c>
      <c r="J378" s="1067">
        <v>2</v>
      </c>
      <c r="K378" s="1067">
        <v>2</v>
      </c>
      <c r="L378" s="1067">
        <v>2</v>
      </c>
      <c r="M378" s="1067">
        <v>2</v>
      </c>
      <c r="N378" s="1067">
        <v>2</v>
      </c>
      <c r="O378" s="1067">
        <v>2</v>
      </c>
      <c r="P378" s="1067">
        <v>2</v>
      </c>
      <c r="Q378" s="1067">
        <v>2</v>
      </c>
      <c r="R378" s="1067">
        <v>2</v>
      </c>
      <c r="S378" s="1067">
        <v>2</v>
      </c>
    </row>
    <row r="379" spans="1:19" x14ac:dyDescent="0.3">
      <c r="A379" s="1034">
        <v>953</v>
      </c>
      <c r="B379" s="1034">
        <v>953</v>
      </c>
      <c r="C379" s="1029"/>
      <c r="D379" s="1036" t="s">
        <v>574</v>
      </c>
      <c r="E379" s="1067">
        <v>2</v>
      </c>
      <c r="F379" s="1067">
        <v>2</v>
      </c>
      <c r="G379" s="1067">
        <v>2</v>
      </c>
      <c r="H379" s="1067">
        <v>2</v>
      </c>
      <c r="I379" s="1067">
        <v>2</v>
      </c>
      <c r="J379" s="1067">
        <v>2</v>
      </c>
      <c r="K379" s="1067">
        <v>2</v>
      </c>
      <c r="L379" s="1067">
        <v>2</v>
      </c>
      <c r="M379" s="1067">
        <v>2</v>
      </c>
      <c r="N379" s="1067">
        <v>2</v>
      </c>
      <c r="O379" s="1067">
        <v>2</v>
      </c>
      <c r="P379" s="1067">
        <v>2</v>
      </c>
      <c r="Q379" s="1067">
        <v>2</v>
      </c>
      <c r="R379" s="1067">
        <v>2</v>
      </c>
      <c r="S379" s="1067">
        <v>2</v>
      </c>
    </row>
    <row r="380" spans="1:19" x14ac:dyDescent="0.3">
      <c r="A380" s="1034">
        <v>955</v>
      </c>
      <c r="B380" s="1034">
        <v>955</v>
      </c>
      <c r="C380" s="1029"/>
      <c r="D380" s="1036" t="s">
        <v>584</v>
      </c>
      <c r="E380" s="1067">
        <v>0</v>
      </c>
      <c r="F380" s="1067">
        <v>0</v>
      </c>
      <c r="G380" s="1067">
        <v>0</v>
      </c>
      <c r="H380" s="1067">
        <v>0</v>
      </c>
      <c r="I380" s="1067">
        <v>0</v>
      </c>
      <c r="J380" s="1067">
        <v>0</v>
      </c>
      <c r="K380" s="1067">
        <v>0</v>
      </c>
      <c r="L380" s="1067">
        <v>0</v>
      </c>
      <c r="M380" s="1067">
        <v>0</v>
      </c>
      <c r="N380" s="1067">
        <v>0</v>
      </c>
      <c r="O380" s="1067">
        <v>0</v>
      </c>
      <c r="P380" s="1067">
        <v>0</v>
      </c>
      <c r="Q380" s="1067">
        <v>0</v>
      </c>
      <c r="R380" s="1067">
        <v>0</v>
      </c>
      <c r="S380" s="1067">
        <v>0</v>
      </c>
    </row>
    <row r="381" spans="1:19" x14ac:dyDescent="0.3">
      <c r="A381" s="1034">
        <v>957</v>
      </c>
      <c r="B381" s="1034">
        <v>957</v>
      </c>
      <c r="C381" s="1029"/>
      <c r="D381" s="1036" t="s">
        <v>585</v>
      </c>
      <c r="E381" s="1067">
        <v>0</v>
      </c>
      <c r="F381" s="1067">
        <v>0</v>
      </c>
      <c r="G381" s="1067">
        <v>0</v>
      </c>
      <c r="H381" s="1067">
        <v>0</v>
      </c>
      <c r="I381" s="1067">
        <v>0</v>
      </c>
      <c r="J381" s="1067">
        <v>0</v>
      </c>
      <c r="K381" s="1067">
        <v>0</v>
      </c>
      <c r="L381" s="1067">
        <v>0</v>
      </c>
      <c r="M381" s="1067">
        <v>3</v>
      </c>
      <c r="N381" s="1067">
        <v>0</v>
      </c>
      <c r="O381" s="1067">
        <v>0</v>
      </c>
      <c r="P381" s="1067">
        <v>0</v>
      </c>
      <c r="Q381" s="1067">
        <v>0</v>
      </c>
      <c r="R381" s="1067">
        <v>0</v>
      </c>
      <c r="S381" s="1067">
        <v>0</v>
      </c>
    </row>
    <row r="382" spans="1:19" ht="43.2" x14ac:dyDescent="0.3">
      <c r="A382" s="1034">
        <v>959</v>
      </c>
      <c r="B382" s="1034">
        <v>959</v>
      </c>
      <c r="C382" s="1029"/>
      <c r="D382" s="1036" t="s">
        <v>575</v>
      </c>
      <c r="E382" s="1067">
        <v>3</v>
      </c>
      <c r="F382" s="1067">
        <v>3</v>
      </c>
      <c r="G382" s="1067">
        <v>3</v>
      </c>
      <c r="H382" s="1067">
        <v>3</v>
      </c>
      <c r="I382" s="1067">
        <v>3</v>
      </c>
      <c r="J382" s="1067">
        <v>2</v>
      </c>
      <c r="K382" s="1067">
        <v>2</v>
      </c>
      <c r="L382" s="1067">
        <v>3</v>
      </c>
      <c r="M382" s="1067">
        <v>3</v>
      </c>
      <c r="N382" s="1067">
        <v>2</v>
      </c>
      <c r="O382" s="1067">
        <v>3</v>
      </c>
      <c r="P382" s="1067">
        <v>3</v>
      </c>
      <c r="Q382" s="1067">
        <v>2</v>
      </c>
      <c r="R382" s="1067">
        <v>2</v>
      </c>
      <c r="S382" s="1067">
        <v>2</v>
      </c>
    </row>
    <row r="383" spans="1:19" ht="43.2" x14ac:dyDescent="0.3">
      <c r="A383" s="1034">
        <v>961</v>
      </c>
      <c r="B383" s="1034">
        <v>961</v>
      </c>
      <c r="C383" s="1029"/>
      <c r="D383" s="1036" t="s">
        <v>576</v>
      </c>
      <c r="E383" s="1067">
        <v>3</v>
      </c>
      <c r="F383" s="1067">
        <v>3</v>
      </c>
      <c r="G383" s="1067">
        <v>3</v>
      </c>
      <c r="H383" s="1067">
        <v>3</v>
      </c>
      <c r="I383" s="1067">
        <v>3</v>
      </c>
      <c r="J383" s="1067">
        <v>2</v>
      </c>
      <c r="K383" s="1067">
        <v>2</v>
      </c>
      <c r="L383" s="1067">
        <v>3</v>
      </c>
      <c r="M383" s="1067">
        <v>3</v>
      </c>
      <c r="N383" s="1067">
        <v>2</v>
      </c>
      <c r="O383" s="1067">
        <v>3</v>
      </c>
      <c r="P383" s="1067">
        <v>3</v>
      </c>
      <c r="Q383" s="1067">
        <v>2</v>
      </c>
      <c r="R383" s="1067">
        <v>2</v>
      </c>
      <c r="S383" s="1067">
        <v>3</v>
      </c>
    </row>
    <row r="384" spans="1:19" x14ac:dyDescent="0.3">
      <c r="A384" s="1034">
        <v>963</v>
      </c>
      <c r="B384" s="1034">
        <v>963</v>
      </c>
      <c r="C384" s="1029"/>
      <c r="D384" s="1036" t="s">
        <v>577</v>
      </c>
      <c r="E384" s="1067">
        <v>3</v>
      </c>
      <c r="F384" s="1067">
        <v>3</v>
      </c>
      <c r="G384" s="1067">
        <v>3</v>
      </c>
      <c r="H384" s="1067">
        <v>3</v>
      </c>
      <c r="I384" s="1067">
        <v>3</v>
      </c>
      <c r="J384" s="1067">
        <v>3</v>
      </c>
      <c r="K384" s="1067">
        <v>3</v>
      </c>
      <c r="L384" s="1067">
        <v>3</v>
      </c>
      <c r="M384" s="1067">
        <v>3</v>
      </c>
      <c r="N384" s="1067">
        <v>3</v>
      </c>
      <c r="O384" s="1067">
        <v>3</v>
      </c>
      <c r="P384" s="1067">
        <v>3</v>
      </c>
      <c r="Q384" s="1067">
        <v>3</v>
      </c>
      <c r="R384" s="1067">
        <v>3</v>
      </c>
      <c r="S384" s="1067">
        <v>3</v>
      </c>
    </row>
    <row r="385" spans="1:21" x14ac:dyDescent="0.3">
      <c r="A385" s="1034">
        <v>965</v>
      </c>
      <c r="B385" s="1034">
        <v>965</v>
      </c>
      <c r="C385" s="1029"/>
      <c r="D385" s="1036" t="s">
        <v>578</v>
      </c>
      <c r="E385" s="1067">
        <v>1</v>
      </c>
      <c r="F385" s="1067">
        <v>1</v>
      </c>
      <c r="G385" s="1067">
        <v>1</v>
      </c>
      <c r="H385" s="1067">
        <v>1</v>
      </c>
      <c r="I385" s="1067">
        <v>1</v>
      </c>
      <c r="J385" s="1067">
        <v>1</v>
      </c>
      <c r="K385" s="1067">
        <v>1</v>
      </c>
      <c r="L385" s="1067">
        <v>1</v>
      </c>
      <c r="M385" s="1067">
        <v>1</v>
      </c>
      <c r="N385" s="1067">
        <v>1</v>
      </c>
      <c r="O385" s="1067">
        <v>1</v>
      </c>
      <c r="P385" s="1067">
        <v>1</v>
      </c>
      <c r="Q385" s="1067">
        <v>1</v>
      </c>
      <c r="R385" s="1067">
        <v>1</v>
      </c>
      <c r="S385" s="1067">
        <v>1</v>
      </c>
    </row>
    <row r="386" spans="1:21" x14ac:dyDescent="0.3">
      <c r="A386" s="1034">
        <v>603</v>
      </c>
      <c r="B386" s="1034">
        <v>603</v>
      </c>
      <c r="C386" s="1029"/>
      <c r="D386" s="1036" t="s">
        <v>583</v>
      </c>
      <c r="E386" s="1067">
        <v>0</v>
      </c>
      <c r="F386" s="1067">
        <v>0</v>
      </c>
      <c r="G386" s="1067">
        <v>0</v>
      </c>
      <c r="H386" s="1067">
        <v>0</v>
      </c>
      <c r="I386" s="1067">
        <v>0</v>
      </c>
      <c r="J386" s="1067">
        <v>0</v>
      </c>
      <c r="K386" s="1067">
        <v>0</v>
      </c>
      <c r="L386" s="1067">
        <v>0</v>
      </c>
      <c r="M386" s="1067">
        <v>2</v>
      </c>
      <c r="N386" s="1067">
        <v>0</v>
      </c>
      <c r="O386" s="1067">
        <v>0</v>
      </c>
      <c r="P386" s="1067">
        <v>0</v>
      </c>
      <c r="Q386" s="1067">
        <v>0</v>
      </c>
      <c r="R386" s="1067">
        <v>0</v>
      </c>
      <c r="S386" s="1067">
        <v>0</v>
      </c>
    </row>
    <row r="387" spans="1:21" x14ac:dyDescent="0.3">
      <c r="A387" s="1034">
        <v>929</v>
      </c>
      <c r="B387" s="1034">
        <v>929</v>
      </c>
      <c r="C387" s="1029"/>
      <c r="D387" s="1036" t="s">
        <v>579</v>
      </c>
      <c r="E387" s="1067">
        <v>0</v>
      </c>
      <c r="F387" s="1067">
        <v>0</v>
      </c>
      <c r="G387" s="1067">
        <v>0</v>
      </c>
      <c r="H387" s="1067">
        <v>0</v>
      </c>
      <c r="I387" s="1067">
        <v>0</v>
      </c>
      <c r="J387" s="1067">
        <v>0</v>
      </c>
      <c r="K387" s="1067">
        <v>0</v>
      </c>
      <c r="L387" s="1067">
        <v>0</v>
      </c>
      <c r="M387" s="1067">
        <v>1</v>
      </c>
      <c r="N387" s="1067">
        <v>0</v>
      </c>
      <c r="O387" s="1067">
        <v>0</v>
      </c>
      <c r="P387" s="1067">
        <v>0</v>
      </c>
      <c r="Q387" s="1067">
        <v>0</v>
      </c>
      <c r="R387" s="1067">
        <v>0</v>
      </c>
      <c r="S387" s="1067">
        <v>0</v>
      </c>
    </row>
    <row r="388" spans="1:21" x14ac:dyDescent="0.3">
      <c r="A388" s="1034">
        <v>930</v>
      </c>
      <c r="B388" s="1034">
        <v>930</v>
      </c>
      <c r="C388" s="1029"/>
      <c r="D388" s="1036" t="s">
        <v>580</v>
      </c>
      <c r="E388" s="1067">
        <v>0</v>
      </c>
      <c r="F388" s="1067">
        <v>0</v>
      </c>
      <c r="G388" s="1067">
        <v>0</v>
      </c>
      <c r="H388" s="1067">
        <v>0</v>
      </c>
      <c r="I388" s="1067">
        <v>0</v>
      </c>
      <c r="J388" s="1067">
        <v>0</v>
      </c>
      <c r="K388" s="1067">
        <v>0</v>
      </c>
      <c r="L388" s="1067">
        <v>0</v>
      </c>
      <c r="M388" s="1067">
        <v>2</v>
      </c>
      <c r="N388" s="1067">
        <v>0</v>
      </c>
      <c r="O388" s="1067">
        <v>0</v>
      </c>
      <c r="P388" s="1067">
        <v>0</v>
      </c>
      <c r="Q388" s="1067">
        <v>0</v>
      </c>
      <c r="R388" s="1067">
        <v>0</v>
      </c>
      <c r="S388" s="1067">
        <v>0</v>
      </c>
    </row>
    <row r="389" spans="1:21" x14ac:dyDescent="0.3">
      <c r="A389" s="1034">
        <v>931</v>
      </c>
      <c r="B389" s="1034">
        <v>931</v>
      </c>
      <c r="C389" s="1029"/>
      <c r="D389" s="1036" t="s">
        <v>581</v>
      </c>
      <c r="E389" s="1067">
        <v>0</v>
      </c>
      <c r="F389" s="1067">
        <v>0</v>
      </c>
      <c r="G389" s="1067">
        <v>0</v>
      </c>
      <c r="H389" s="1067">
        <v>0</v>
      </c>
      <c r="I389" s="1067">
        <v>0</v>
      </c>
      <c r="J389" s="1067">
        <v>0</v>
      </c>
      <c r="K389" s="1067">
        <v>0</v>
      </c>
      <c r="L389" s="1067">
        <v>0</v>
      </c>
      <c r="M389" s="1067">
        <v>2</v>
      </c>
      <c r="N389" s="1067">
        <v>0</v>
      </c>
      <c r="O389" s="1067">
        <v>0</v>
      </c>
      <c r="P389" s="1067">
        <v>0</v>
      </c>
      <c r="Q389" s="1067">
        <v>0</v>
      </c>
      <c r="R389" s="1067">
        <v>0</v>
      </c>
      <c r="S389" s="1067">
        <v>0</v>
      </c>
    </row>
    <row r="390" spans="1:21" x14ac:dyDescent="0.3">
      <c r="A390" s="1034">
        <v>932</v>
      </c>
      <c r="B390" s="1034">
        <v>932</v>
      </c>
      <c r="C390" s="1029"/>
      <c r="D390" s="1036" t="s">
        <v>582</v>
      </c>
      <c r="E390" s="1067">
        <v>0</v>
      </c>
      <c r="F390" s="1067">
        <v>0</v>
      </c>
      <c r="G390" s="1067">
        <v>0</v>
      </c>
      <c r="H390" s="1067">
        <v>0</v>
      </c>
      <c r="I390" s="1067">
        <v>0</v>
      </c>
      <c r="J390" s="1067">
        <v>0</v>
      </c>
      <c r="K390" s="1067">
        <v>0</v>
      </c>
      <c r="L390" s="1067">
        <v>0</v>
      </c>
      <c r="M390" s="1067">
        <v>2</v>
      </c>
      <c r="N390" s="1067">
        <v>0</v>
      </c>
      <c r="O390" s="1067">
        <v>0</v>
      </c>
      <c r="P390" s="1067">
        <v>0</v>
      </c>
      <c r="Q390" s="1067">
        <v>0</v>
      </c>
      <c r="R390" s="1067">
        <v>0</v>
      </c>
      <c r="S390" s="1067">
        <v>0</v>
      </c>
    </row>
    <row r="391" spans="1:21" x14ac:dyDescent="0.3">
      <c r="A391" s="1029"/>
      <c r="B391" s="1035"/>
      <c r="C391" s="1029"/>
      <c r="D391" s="1029"/>
      <c r="E391" s="1071">
        <v>571374</v>
      </c>
      <c r="F391" s="1071">
        <v>590934</v>
      </c>
      <c r="G391" s="1071">
        <v>571376</v>
      </c>
      <c r="H391" s="1071">
        <v>571377</v>
      </c>
      <c r="I391" s="1071">
        <v>786102</v>
      </c>
      <c r="J391" s="1071">
        <v>6776981</v>
      </c>
      <c r="K391" s="1071">
        <v>595969</v>
      </c>
      <c r="L391" s="1071">
        <v>598976</v>
      </c>
      <c r="M391" s="1071">
        <v>571393</v>
      </c>
      <c r="N391" s="1071">
        <v>571381</v>
      </c>
      <c r="O391" s="1071">
        <v>571393</v>
      </c>
      <c r="P391" s="1071">
        <v>670672</v>
      </c>
      <c r="Q391" s="1071">
        <v>572834</v>
      </c>
      <c r="R391" s="1071">
        <v>579141</v>
      </c>
      <c r="S391" s="1071">
        <v>1713333</v>
      </c>
    </row>
    <row r="392" spans="1:21" x14ac:dyDescent="0.3">
      <c r="A392" s="1029"/>
      <c r="B392" s="1035"/>
      <c r="C392" s="1029"/>
      <c r="D392" s="1029"/>
      <c r="E392" s="1029"/>
      <c r="F392" s="1029"/>
      <c r="G392" s="1029"/>
      <c r="H392" s="1029"/>
      <c r="I392" s="1029"/>
      <c r="J392" s="1029"/>
      <c r="K392" s="1029"/>
      <c r="L392" s="1029"/>
      <c r="M392" s="1029"/>
      <c r="N392" s="1029"/>
      <c r="O392" s="1029"/>
      <c r="P392" s="1029"/>
      <c r="Q392" s="1029"/>
      <c r="R392" s="1029"/>
      <c r="S392" s="1029"/>
    </row>
    <row r="393" spans="1:21" x14ac:dyDescent="0.3">
      <c r="A393" s="1029"/>
      <c r="B393" s="1035"/>
      <c r="C393" s="1029"/>
      <c r="D393" s="1029"/>
      <c r="E393" s="1029"/>
      <c r="F393" s="1029"/>
      <c r="G393" s="1029"/>
      <c r="H393" s="1029"/>
      <c r="I393" s="1029"/>
      <c r="J393" s="1029"/>
      <c r="K393" s="1029"/>
      <c r="L393" s="1029"/>
      <c r="M393" s="1029"/>
      <c r="N393" s="1029"/>
      <c r="O393" s="1029"/>
      <c r="P393" s="1029"/>
      <c r="Q393" s="1029"/>
      <c r="R393" s="1029"/>
      <c r="S393" s="1029"/>
    </row>
    <row r="394" spans="1:21" x14ac:dyDescent="0.3">
      <c r="A394" s="1029"/>
      <c r="B394" s="1035"/>
      <c r="C394" s="1029"/>
      <c r="D394" s="1036" t="s">
        <v>1541</v>
      </c>
      <c r="E394" s="1071">
        <v>20565412</v>
      </c>
      <c r="F394" s="1071">
        <v>20540928</v>
      </c>
      <c r="G394" s="1071">
        <v>13013790</v>
      </c>
      <c r="H394" s="1071">
        <v>9463567</v>
      </c>
      <c r="I394" s="1071">
        <v>16816196</v>
      </c>
      <c r="J394" s="1071">
        <v>691409113</v>
      </c>
      <c r="K394" s="1071">
        <v>25993536</v>
      </c>
      <c r="L394" s="1071">
        <v>3276310</v>
      </c>
      <c r="M394" s="1071">
        <v>29206816</v>
      </c>
      <c r="N394" s="1071">
        <v>15064962</v>
      </c>
      <c r="O394" s="1071">
        <v>24913493</v>
      </c>
      <c r="P394" s="1071">
        <v>21222127</v>
      </c>
      <c r="Q394" s="1071">
        <v>10036726</v>
      </c>
      <c r="R394" s="1071">
        <v>10145018</v>
      </c>
      <c r="S394" s="1071">
        <v>6720006</v>
      </c>
    </row>
    <row r="395" spans="1:21" x14ac:dyDescent="0.3">
      <c r="A395" s="1029"/>
      <c r="B395" s="1035"/>
      <c r="C395" s="1029"/>
      <c r="D395" s="1029"/>
      <c r="E395" s="1029"/>
      <c r="F395" s="1029"/>
      <c r="G395" s="1029"/>
      <c r="H395" s="1029"/>
      <c r="I395" s="1029"/>
      <c r="J395" s="1029"/>
      <c r="K395" s="1029"/>
      <c r="L395" s="1029"/>
      <c r="M395" s="1029"/>
      <c r="N395" s="1029"/>
      <c r="O395" s="1029"/>
      <c r="P395" s="1029"/>
      <c r="Q395" s="1029"/>
      <c r="R395" s="1029"/>
      <c r="S395" s="1029"/>
    </row>
    <row r="396" spans="1:21" x14ac:dyDescent="0.3">
      <c r="A396" s="1029"/>
      <c r="B396" s="1035"/>
      <c r="C396" s="1029"/>
      <c r="D396" s="1029"/>
      <c r="E396" s="1029"/>
      <c r="F396" s="1029"/>
      <c r="G396" s="1029"/>
      <c r="H396" s="1029"/>
      <c r="I396" s="1029"/>
      <c r="J396" s="1029"/>
      <c r="K396" s="1029"/>
      <c r="L396" s="1029"/>
      <c r="M396" s="1029"/>
      <c r="N396" s="1029"/>
      <c r="O396" s="1029"/>
      <c r="P396" s="1029"/>
      <c r="Q396" s="1029"/>
      <c r="R396" s="1029"/>
      <c r="S396" s="1029"/>
      <c r="T396" s="402"/>
      <c r="U396" s="402"/>
    </row>
    <row r="397" spans="1:21" x14ac:dyDescent="0.3">
      <c r="A397" s="1029"/>
      <c r="B397" s="1035"/>
      <c r="C397" s="1029"/>
      <c r="D397" s="1029"/>
      <c r="E397" s="1029"/>
      <c r="F397" s="1029"/>
      <c r="G397" s="1029"/>
      <c r="H397" s="1029"/>
      <c r="I397" s="1029"/>
      <c r="J397" s="1029"/>
      <c r="K397" s="1029"/>
      <c r="L397" s="1029"/>
      <c r="M397" s="1029"/>
      <c r="N397" s="1029"/>
      <c r="O397" s="1029"/>
      <c r="P397" s="1029"/>
      <c r="Q397" s="1029"/>
      <c r="R397" s="1029"/>
      <c r="S397" s="1029"/>
      <c r="T397" s="402"/>
      <c r="U397" s="402"/>
    </row>
    <row r="398" spans="1:21" x14ac:dyDescent="0.3">
      <c r="A398" s="1029"/>
      <c r="B398" s="1035"/>
      <c r="C398" s="1029"/>
      <c r="D398" s="1029"/>
      <c r="E398" s="1029"/>
      <c r="F398" s="1029"/>
      <c r="G398" s="1029"/>
      <c r="H398" s="1029"/>
      <c r="I398" s="1029"/>
      <c r="J398" s="1029"/>
      <c r="K398" s="1029"/>
      <c r="L398" s="1029"/>
      <c r="M398" s="1029"/>
      <c r="N398" s="1029"/>
      <c r="O398" s="1029"/>
      <c r="P398" s="1029"/>
      <c r="Q398" s="1029"/>
      <c r="R398" s="1029"/>
      <c r="S398" s="1029"/>
      <c r="T398" s="402"/>
      <c r="U398" s="402"/>
    </row>
    <row r="399" spans="1:21" x14ac:dyDescent="0.3">
      <c r="A399" s="1029"/>
      <c r="B399" s="1035"/>
      <c r="C399" s="1029"/>
      <c r="D399" s="1029"/>
      <c r="E399" s="1029"/>
      <c r="F399" s="1029"/>
      <c r="G399" s="1029"/>
      <c r="H399" s="1029"/>
      <c r="I399" s="1029"/>
      <c r="J399" s="1029"/>
      <c r="K399" s="1029"/>
      <c r="L399" s="1029"/>
      <c r="M399" s="1029"/>
      <c r="N399" s="1029"/>
      <c r="O399" s="1029"/>
      <c r="P399" s="1029"/>
      <c r="Q399" s="1029"/>
      <c r="R399" s="1029"/>
      <c r="S399" s="1029"/>
    </row>
    <row r="400" spans="1:21" x14ac:dyDescent="0.3">
      <c r="A400" s="1029"/>
      <c r="B400" s="1035"/>
      <c r="C400" s="1029"/>
      <c r="D400" s="1029"/>
      <c r="E400" s="1029"/>
      <c r="F400" s="1029"/>
      <c r="G400" s="1029"/>
      <c r="H400" s="1029"/>
      <c r="I400" s="1029"/>
      <c r="J400" s="1029"/>
      <c r="K400" s="1029"/>
      <c r="L400" s="1029"/>
      <c r="M400" s="1029"/>
      <c r="N400" s="1029"/>
      <c r="O400" s="1029"/>
      <c r="P400" s="1029"/>
      <c r="Q400" s="1029"/>
      <c r="R400" s="1029"/>
      <c r="S400" s="1029"/>
    </row>
    <row r="401" spans="2:2" x14ac:dyDescent="0.3">
      <c r="B401" s="1035"/>
    </row>
    <row r="402" spans="2:2" x14ac:dyDescent="0.3">
      <c r="B402" s="1035"/>
    </row>
    <row r="403" spans="2:2" x14ac:dyDescent="0.3">
      <c r="B403" s="1035"/>
    </row>
    <row r="404" spans="2:2" x14ac:dyDescent="0.3">
      <c r="B404" s="1035"/>
    </row>
    <row r="405" spans="2:2" x14ac:dyDescent="0.3">
      <c r="B405" s="1035"/>
    </row>
    <row r="406" spans="2:2" x14ac:dyDescent="0.3">
      <c r="B406" s="1035"/>
    </row>
    <row r="407" spans="2:2" x14ac:dyDescent="0.3">
      <c r="B407" s="1031"/>
    </row>
    <row r="408" spans="2:2" x14ac:dyDescent="0.3">
      <c r="B408" s="1031"/>
    </row>
    <row r="409" spans="2:2" x14ac:dyDescent="0.3">
      <c r="B409" s="1031"/>
    </row>
    <row r="410" spans="2:2" x14ac:dyDescent="0.3">
      <c r="B410" s="1034"/>
    </row>
    <row r="411" spans="2:2" x14ac:dyDescent="0.3">
      <c r="B411" s="1035"/>
    </row>
    <row r="412" spans="2:2" x14ac:dyDescent="0.3">
      <c r="B412" s="1035"/>
    </row>
    <row r="413" spans="2:2" x14ac:dyDescent="0.3">
      <c r="B413" s="1074"/>
    </row>
    <row r="414" spans="2:2" x14ac:dyDescent="0.3">
      <c r="B414" s="1034"/>
    </row>
    <row r="415" spans="2:2" x14ac:dyDescent="0.3">
      <c r="B415" s="1034"/>
    </row>
    <row r="416" spans="2:2" x14ac:dyDescent="0.3">
      <c r="B416" s="1034"/>
    </row>
    <row r="417" spans="2:2" x14ac:dyDescent="0.3">
      <c r="B417" s="1034"/>
    </row>
    <row r="418" spans="2:2" x14ac:dyDescent="0.3">
      <c r="B418" s="1034"/>
    </row>
    <row r="419" spans="2:2" x14ac:dyDescent="0.3">
      <c r="B419" s="1034"/>
    </row>
    <row r="420" spans="2:2" x14ac:dyDescent="0.3">
      <c r="B420" s="1034"/>
    </row>
    <row r="421" spans="2:2" x14ac:dyDescent="0.3">
      <c r="B421" s="1034"/>
    </row>
    <row r="422" spans="2:2" x14ac:dyDescent="0.3">
      <c r="B422" s="1034"/>
    </row>
    <row r="423" spans="2:2" x14ac:dyDescent="0.3">
      <c r="B423" s="1034"/>
    </row>
    <row r="424" spans="2:2" x14ac:dyDescent="0.3">
      <c r="B424" s="1034"/>
    </row>
    <row r="425" spans="2:2" x14ac:dyDescent="0.3">
      <c r="B425" s="1034"/>
    </row>
    <row r="426" spans="2:2" x14ac:dyDescent="0.3">
      <c r="B426" s="1034"/>
    </row>
    <row r="427" spans="2:2" x14ac:dyDescent="0.3">
      <c r="B427" s="1034"/>
    </row>
    <row r="428" spans="2:2" x14ac:dyDescent="0.3">
      <c r="B428" s="1034"/>
    </row>
    <row r="429" spans="2:2" x14ac:dyDescent="0.3">
      <c r="B429" s="1034"/>
    </row>
    <row r="430" spans="2:2" x14ac:dyDescent="0.3">
      <c r="B430" s="1034"/>
    </row>
    <row r="431" spans="2:2" x14ac:dyDescent="0.3">
      <c r="B431" s="1034"/>
    </row>
    <row r="432" spans="2:2" x14ac:dyDescent="0.3">
      <c r="B432" s="1034"/>
    </row>
    <row r="433" spans="2:2" x14ac:dyDescent="0.3">
      <c r="B433" s="1034"/>
    </row>
    <row r="434" spans="2:2" x14ac:dyDescent="0.3">
      <c r="B434" s="1034"/>
    </row>
    <row r="435" spans="2:2" x14ac:dyDescent="0.3">
      <c r="B435" s="1034"/>
    </row>
    <row r="436" spans="2:2" x14ac:dyDescent="0.3">
      <c r="B436" s="1034"/>
    </row>
    <row r="437" spans="2:2" x14ac:dyDescent="0.3">
      <c r="B437" s="1075"/>
    </row>
    <row r="438" spans="2:2" x14ac:dyDescent="0.3">
      <c r="B438" s="1034"/>
    </row>
    <row r="439" spans="2:2" x14ac:dyDescent="0.3">
      <c r="B439" s="1034"/>
    </row>
    <row r="440" spans="2:2" x14ac:dyDescent="0.3">
      <c r="B440" s="1034"/>
    </row>
    <row r="441" spans="2:2" x14ac:dyDescent="0.3">
      <c r="B441" s="1034"/>
    </row>
    <row r="442" spans="2:2" x14ac:dyDescent="0.3">
      <c r="B442" s="1034"/>
    </row>
    <row r="443" spans="2:2" x14ac:dyDescent="0.3">
      <c r="B443" s="1034"/>
    </row>
    <row r="444" spans="2:2" x14ac:dyDescent="0.3">
      <c r="B444" s="1034"/>
    </row>
    <row r="445" spans="2:2" x14ac:dyDescent="0.3">
      <c r="B445" s="1034"/>
    </row>
    <row r="446" spans="2:2" x14ac:dyDescent="0.3">
      <c r="B446" s="1034"/>
    </row>
    <row r="447" spans="2:2" x14ac:dyDescent="0.3">
      <c r="B447" s="1034"/>
    </row>
    <row r="448" spans="2:2" x14ac:dyDescent="0.3">
      <c r="B448" s="1034"/>
    </row>
    <row r="449" spans="2:2" x14ac:dyDescent="0.3">
      <c r="B449" s="1034"/>
    </row>
    <row r="450" spans="2:2" x14ac:dyDescent="0.3">
      <c r="B450" s="1034"/>
    </row>
    <row r="451" spans="2:2" x14ac:dyDescent="0.3">
      <c r="B451" s="1034"/>
    </row>
    <row r="452" spans="2:2" x14ac:dyDescent="0.3">
      <c r="B452" s="1034"/>
    </row>
    <row r="453" spans="2:2" x14ac:dyDescent="0.3">
      <c r="B453" s="1034"/>
    </row>
    <row r="454" spans="2:2" x14ac:dyDescent="0.3">
      <c r="B454" s="1034"/>
    </row>
    <row r="455" spans="2:2" x14ac:dyDescent="0.3">
      <c r="B455" s="1034"/>
    </row>
    <row r="456" spans="2:2" x14ac:dyDescent="0.3">
      <c r="B456" s="1034"/>
    </row>
    <row r="457" spans="2:2" x14ac:dyDescent="0.3">
      <c r="B457" s="1034"/>
    </row>
    <row r="458" spans="2:2" x14ac:dyDescent="0.3">
      <c r="B458" s="1034"/>
    </row>
    <row r="459" spans="2:2" x14ac:dyDescent="0.3">
      <c r="B459" s="1034"/>
    </row>
    <row r="460" spans="2:2" x14ac:dyDescent="0.3">
      <c r="B460" s="1034"/>
    </row>
    <row r="461" spans="2:2" x14ac:dyDescent="0.3">
      <c r="B461" s="1034"/>
    </row>
    <row r="462" spans="2:2" x14ac:dyDescent="0.3">
      <c r="B462" s="1034"/>
    </row>
    <row r="463" spans="2:2" x14ac:dyDescent="0.3">
      <c r="B463" s="1034"/>
    </row>
    <row r="464" spans="2:2" x14ac:dyDescent="0.3">
      <c r="B464" s="1034"/>
    </row>
    <row r="465" spans="2:2" x14ac:dyDescent="0.3">
      <c r="B465" s="1034"/>
    </row>
    <row r="466" spans="2:2" x14ac:dyDescent="0.3">
      <c r="B466" s="1034"/>
    </row>
    <row r="467" spans="2:2" x14ac:dyDescent="0.3">
      <c r="B467" s="1034"/>
    </row>
    <row r="468" spans="2:2" x14ac:dyDescent="0.3">
      <c r="B468" s="1034"/>
    </row>
    <row r="469" spans="2:2" x14ac:dyDescent="0.3">
      <c r="B469" s="1034"/>
    </row>
    <row r="470" spans="2:2" x14ac:dyDescent="0.3">
      <c r="B470" s="1034"/>
    </row>
    <row r="471" spans="2:2" x14ac:dyDescent="0.3">
      <c r="B471" s="1034"/>
    </row>
    <row r="472" spans="2:2" x14ac:dyDescent="0.3">
      <c r="B472" s="1034"/>
    </row>
    <row r="473" spans="2:2" x14ac:dyDescent="0.3">
      <c r="B473" s="1034"/>
    </row>
    <row r="474" spans="2:2" x14ac:dyDescent="0.3">
      <c r="B474" s="1034"/>
    </row>
    <row r="475" spans="2:2" x14ac:dyDescent="0.3">
      <c r="B475" s="1034"/>
    </row>
    <row r="476" spans="2:2" x14ac:dyDescent="0.3">
      <c r="B476" s="1034"/>
    </row>
    <row r="477" spans="2:2" x14ac:dyDescent="0.3">
      <c r="B477" s="1034"/>
    </row>
    <row r="478" spans="2:2" x14ac:dyDescent="0.3">
      <c r="B478" s="1034"/>
    </row>
    <row r="479" spans="2:2" x14ac:dyDescent="0.3">
      <c r="B479" s="1034"/>
    </row>
    <row r="480" spans="2:2" x14ac:dyDescent="0.3">
      <c r="B480" s="1034"/>
    </row>
    <row r="481" spans="2:2" x14ac:dyDescent="0.3">
      <c r="B481" s="1034"/>
    </row>
    <row r="482" spans="2:2" x14ac:dyDescent="0.3">
      <c r="B482" s="1034"/>
    </row>
    <row r="483" spans="2:2" x14ac:dyDescent="0.3">
      <c r="B483" s="1034"/>
    </row>
    <row r="484" spans="2:2" x14ac:dyDescent="0.3">
      <c r="B484" s="1034"/>
    </row>
    <row r="485" spans="2:2" x14ac:dyDescent="0.3">
      <c r="B485" s="1034"/>
    </row>
    <row r="486" spans="2:2" x14ac:dyDescent="0.3">
      <c r="B486" s="1034"/>
    </row>
    <row r="487" spans="2:2" x14ac:dyDescent="0.3">
      <c r="B487" s="1034"/>
    </row>
    <row r="488" spans="2:2" x14ac:dyDescent="0.3">
      <c r="B488" s="1034"/>
    </row>
    <row r="489" spans="2:2" x14ac:dyDescent="0.3">
      <c r="B489" s="1034"/>
    </row>
    <row r="490" spans="2:2" x14ac:dyDescent="0.3">
      <c r="B490" s="1034"/>
    </row>
    <row r="491" spans="2:2" x14ac:dyDescent="0.3">
      <c r="B491" s="1034"/>
    </row>
    <row r="492" spans="2:2" x14ac:dyDescent="0.3">
      <c r="B492" s="1034"/>
    </row>
    <row r="493" spans="2:2" x14ac:dyDescent="0.3">
      <c r="B493" s="1034"/>
    </row>
    <row r="494" spans="2:2" x14ac:dyDescent="0.3">
      <c r="B494" s="1034"/>
    </row>
    <row r="495" spans="2:2" x14ac:dyDescent="0.3">
      <c r="B495" s="1034"/>
    </row>
    <row r="496" spans="2:2" x14ac:dyDescent="0.3">
      <c r="B496" s="1034"/>
    </row>
    <row r="497" spans="2:2" x14ac:dyDescent="0.3">
      <c r="B497" s="1034"/>
    </row>
    <row r="498" spans="2:2" x14ac:dyDescent="0.3">
      <c r="B498" s="1034"/>
    </row>
    <row r="499" spans="2:2" x14ac:dyDescent="0.3">
      <c r="B499" s="1034"/>
    </row>
    <row r="500" spans="2:2" x14ac:dyDescent="0.3">
      <c r="B500" s="1034"/>
    </row>
    <row r="501" spans="2:2" x14ac:dyDescent="0.3">
      <c r="B501" s="1034"/>
    </row>
    <row r="502" spans="2:2" x14ac:dyDescent="0.3">
      <c r="B502" s="1034"/>
    </row>
    <row r="503" spans="2:2" x14ac:dyDescent="0.3">
      <c r="B503" s="1034"/>
    </row>
    <row r="504" spans="2:2" x14ac:dyDescent="0.3">
      <c r="B504" s="1034"/>
    </row>
    <row r="505" spans="2:2" x14ac:dyDescent="0.3">
      <c r="B505" s="1034"/>
    </row>
    <row r="506" spans="2:2" x14ac:dyDescent="0.3">
      <c r="B506" s="1034"/>
    </row>
    <row r="507" spans="2:2" x14ac:dyDescent="0.3">
      <c r="B507" s="1034"/>
    </row>
    <row r="508" spans="2:2" x14ac:dyDescent="0.3">
      <c r="B508" s="1034"/>
    </row>
    <row r="509" spans="2:2" x14ac:dyDescent="0.3">
      <c r="B509" s="1034"/>
    </row>
    <row r="510" spans="2:2" x14ac:dyDescent="0.3">
      <c r="B510" s="1034"/>
    </row>
    <row r="511" spans="2:2" x14ac:dyDescent="0.3">
      <c r="B511" s="1034"/>
    </row>
    <row r="512" spans="2:2" x14ac:dyDescent="0.3">
      <c r="B512" s="1034"/>
    </row>
    <row r="513" spans="2:2" x14ac:dyDescent="0.3">
      <c r="B513" s="1034"/>
    </row>
    <row r="514" spans="2:2" x14ac:dyDescent="0.3">
      <c r="B514" s="1034"/>
    </row>
    <row r="515" spans="2:2" x14ac:dyDescent="0.3">
      <c r="B515" s="1034"/>
    </row>
    <row r="516" spans="2:2" x14ac:dyDescent="0.3">
      <c r="B516" s="1034"/>
    </row>
    <row r="517" spans="2:2" x14ac:dyDescent="0.3">
      <c r="B517" s="1034"/>
    </row>
    <row r="518" spans="2:2" x14ac:dyDescent="0.3">
      <c r="B518" s="1034"/>
    </row>
    <row r="519" spans="2:2" x14ac:dyDescent="0.3">
      <c r="B519" s="1034"/>
    </row>
    <row r="520" spans="2:2" x14ac:dyDescent="0.3">
      <c r="B520" s="1034"/>
    </row>
    <row r="521" spans="2:2" x14ac:dyDescent="0.3">
      <c r="B521" s="1034"/>
    </row>
    <row r="522" spans="2:2" x14ac:dyDescent="0.3">
      <c r="B522" s="1034"/>
    </row>
    <row r="523" spans="2:2" x14ac:dyDescent="0.3">
      <c r="B523" s="1034"/>
    </row>
    <row r="524" spans="2:2" x14ac:dyDescent="0.3">
      <c r="B524" s="1034"/>
    </row>
    <row r="525" spans="2:2" x14ac:dyDescent="0.3">
      <c r="B525" s="1034"/>
    </row>
    <row r="526" spans="2:2" x14ac:dyDescent="0.3">
      <c r="B526" s="1034"/>
    </row>
    <row r="527" spans="2:2" x14ac:dyDescent="0.3">
      <c r="B527" s="1034"/>
    </row>
    <row r="528" spans="2:2" x14ac:dyDescent="0.3">
      <c r="B528" s="1034"/>
    </row>
    <row r="529" spans="2:2" x14ac:dyDescent="0.3">
      <c r="B529" s="1034"/>
    </row>
    <row r="530" spans="2:2" x14ac:dyDescent="0.3">
      <c r="B530" s="1034"/>
    </row>
    <row r="531" spans="2:2" x14ac:dyDescent="0.3">
      <c r="B531" s="1034"/>
    </row>
    <row r="532" spans="2:2" x14ac:dyDescent="0.3">
      <c r="B532" s="1034"/>
    </row>
    <row r="533" spans="2:2" x14ac:dyDescent="0.3">
      <c r="B533" s="1034"/>
    </row>
    <row r="534" spans="2:2" x14ac:dyDescent="0.3">
      <c r="B534" s="1034"/>
    </row>
    <row r="535" spans="2:2" x14ac:dyDescent="0.3">
      <c r="B535" s="1034"/>
    </row>
    <row r="536" spans="2:2" x14ac:dyDescent="0.3">
      <c r="B536" s="1034"/>
    </row>
    <row r="537" spans="2:2" x14ac:dyDescent="0.3">
      <c r="B537" s="1034"/>
    </row>
    <row r="538" spans="2:2" x14ac:dyDescent="0.3">
      <c r="B538" s="1034"/>
    </row>
    <row r="539" spans="2:2" x14ac:dyDescent="0.3">
      <c r="B539" s="1034"/>
    </row>
    <row r="540" spans="2:2" x14ac:dyDescent="0.3">
      <c r="B540" s="1034"/>
    </row>
    <row r="541" spans="2:2" x14ac:dyDescent="0.3">
      <c r="B541" s="1034"/>
    </row>
    <row r="542" spans="2:2" x14ac:dyDescent="0.3">
      <c r="B542" s="1034"/>
    </row>
    <row r="543" spans="2:2" x14ac:dyDescent="0.3">
      <c r="B543" s="1034"/>
    </row>
    <row r="544" spans="2:2" x14ac:dyDescent="0.3">
      <c r="B544" s="1034"/>
    </row>
    <row r="545" spans="2:2" x14ac:dyDescent="0.3">
      <c r="B545" s="1034"/>
    </row>
    <row r="546" spans="2:2" x14ac:dyDescent="0.3">
      <c r="B546" s="1034"/>
    </row>
    <row r="547" spans="2:2" x14ac:dyDescent="0.3">
      <c r="B547" s="1034"/>
    </row>
    <row r="548" spans="2:2" x14ac:dyDescent="0.3">
      <c r="B548" s="1034"/>
    </row>
    <row r="549" spans="2:2" x14ac:dyDescent="0.3">
      <c r="B549" s="1034"/>
    </row>
    <row r="550" spans="2:2" x14ac:dyDescent="0.3">
      <c r="B550" s="1034"/>
    </row>
    <row r="551" spans="2:2" x14ac:dyDescent="0.3">
      <c r="B551" s="1034"/>
    </row>
    <row r="552" spans="2:2" x14ac:dyDescent="0.3">
      <c r="B552" s="1034"/>
    </row>
    <row r="553" spans="2:2" x14ac:dyDescent="0.3">
      <c r="B553" s="1034"/>
    </row>
    <row r="554" spans="2:2" x14ac:dyDescent="0.3">
      <c r="B554" s="1034"/>
    </row>
    <row r="555" spans="2:2" x14ac:dyDescent="0.3">
      <c r="B555" s="1034"/>
    </row>
    <row r="556" spans="2:2" x14ac:dyDescent="0.3">
      <c r="B556" s="1034"/>
    </row>
    <row r="557" spans="2:2" x14ac:dyDescent="0.3">
      <c r="B557" s="1034"/>
    </row>
    <row r="558" spans="2:2" x14ac:dyDescent="0.3">
      <c r="B558" s="1034"/>
    </row>
    <row r="559" spans="2:2" x14ac:dyDescent="0.3">
      <c r="B559" s="1034"/>
    </row>
    <row r="560" spans="2:2" x14ac:dyDescent="0.3">
      <c r="B560" s="1034"/>
    </row>
    <row r="561" spans="2:2" x14ac:dyDescent="0.3">
      <c r="B561" s="1034"/>
    </row>
    <row r="562" spans="2:2" x14ac:dyDescent="0.3">
      <c r="B562" s="1034"/>
    </row>
    <row r="563" spans="2:2" x14ac:dyDescent="0.3">
      <c r="B563" s="1034"/>
    </row>
    <row r="564" spans="2:2" x14ac:dyDescent="0.3">
      <c r="B564" s="1034"/>
    </row>
    <row r="565" spans="2:2" x14ac:dyDescent="0.3">
      <c r="B565" s="1034"/>
    </row>
    <row r="566" spans="2:2" x14ac:dyDescent="0.3">
      <c r="B566" s="1034"/>
    </row>
    <row r="567" spans="2:2" x14ac:dyDescent="0.3">
      <c r="B567" s="1034"/>
    </row>
    <row r="568" spans="2:2" x14ac:dyDescent="0.3">
      <c r="B568" s="1034"/>
    </row>
    <row r="569" spans="2:2" x14ac:dyDescent="0.3">
      <c r="B569" s="1034"/>
    </row>
    <row r="570" spans="2:2" x14ac:dyDescent="0.3">
      <c r="B570" s="1034"/>
    </row>
    <row r="571" spans="2:2" x14ac:dyDescent="0.3">
      <c r="B571" s="1034"/>
    </row>
    <row r="572" spans="2:2" x14ac:dyDescent="0.3">
      <c r="B572" s="1034"/>
    </row>
    <row r="573" spans="2:2" x14ac:dyDescent="0.3">
      <c r="B573" s="1034"/>
    </row>
    <row r="574" spans="2:2" x14ac:dyDescent="0.3">
      <c r="B574" s="1034"/>
    </row>
    <row r="575" spans="2:2" x14ac:dyDescent="0.3">
      <c r="B575" s="1034"/>
    </row>
    <row r="576" spans="2:2" x14ac:dyDescent="0.3">
      <c r="B576" s="1034"/>
    </row>
    <row r="577" spans="2:2" x14ac:dyDescent="0.3">
      <c r="B577" s="1034"/>
    </row>
    <row r="578" spans="2:2" x14ac:dyDescent="0.3">
      <c r="B578" s="1034"/>
    </row>
    <row r="579" spans="2:2" x14ac:dyDescent="0.3">
      <c r="B579" s="1034"/>
    </row>
    <row r="580" spans="2:2" x14ac:dyDescent="0.3">
      <c r="B580" s="1034"/>
    </row>
    <row r="581" spans="2:2" x14ac:dyDescent="0.3">
      <c r="B581" s="1034"/>
    </row>
    <row r="582" spans="2:2" x14ac:dyDescent="0.3">
      <c r="B582" s="1034"/>
    </row>
    <row r="583" spans="2:2" x14ac:dyDescent="0.3">
      <c r="B583" s="1034"/>
    </row>
    <row r="584" spans="2:2" x14ac:dyDescent="0.3">
      <c r="B584" s="1034"/>
    </row>
    <row r="585" spans="2:2" x14ac:dyDescent="0.3">
      <c r="B585" s="1034"/>
    </row>
    <row r="586" spans="2:2" x14ac:dyDescent="0.3">
      <c r="B586" s="1034"/>
    </row>
    <row r="587" spans="2:2" x14ac:dyDescent="0.3">
      <c r="B587" s="1034"/>
    </row>
    <row r="588" spans="2:2" x14ac:dyDescent="0.3">
      <c r="B588" s="1034"/>
    </row>
    <row r="589" spans="2:2" x14ac:dyDescent="0.3">
      <c r="B589" s="1034"/>
    </row>
    <row r="590" spans="2:2" x14ac:dyDescent="0.3">
      <c r="B590" s="1034"/>
    </row>
    <row r="591" spans="2:2" x14ac:dyDescent="0.3">
      <c r="B591" s="1034"/>
    </row>
    <row r="592" spans="2:2" x14ac:dyDescent="0.3">
      <c r="B592" s="1034"/>
    </row>
    <row r="593" spans="2:2" x14ac:dyDescent="0.3">
      <c r="B593" s="1034"/>
    </row>
    <row r="594" spans="2:2" x14ac:dyDescent="0.3">
      <c r="B594" s="1034"/>
    </row>
    <row r="595" spans="2:2" x14ac:dyDescent="0.3">
      <c r="B595" s="1034"/>
    </row>
    <row r="596" spans="2:2" x14ac:dyDescent="0.3">
      <c r="B596" s="1034"/>
    </row>
    <row r="597" spans="2:2" x14ac:dyDescent="0.3">
      <c r="B597" s="1034"/>
    </row>
    <row r="598" spans="2:2" x14ac:dyDescent="0.3">
      <c r="B598" s="1034"/>
    </row>
  </sheetData>
  <sheetProtection algorithmName="SHA-512" hashValue="wwYPmjCnDsWiqPBs6jtljckR6mJ31m7c8Jyoi+yUnm+Iwutb8LhiaD/gDgOoa8a5sLCNxMHUVY2cuZo2gSuGIg==" saltValue="SzA/g0GdnuFYHydv7v5QBQ=="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R291"/>
  <sheetViews>
    <sheetView zoomScale="120" zoomScaleNormal="120" workbookViewId="0">
      <selection activeCell="A2" sqref="A2:H2"/>
    </sheetView>
  </sheetViews>
  <sheetFormatPr defaultColWidth="9.109375" defaultRowHeight="14.4" x14ac:dyDescent="0.3"/>
  <cols>
    <col min="1" max="2" width="9.109375" style="270"/>
    <col min="3" max="3" width="52.44140625" style="270" customWidth="1"/>
    <col min="4" max="18" width="15.88671875" style="270" customWidth="1"/>
    <col min="19" max="16384" width="9.109375" style="270"/>
  </cols>
  <sheetData>
    <row r="1" spans="1:18" ht="42" x14ac:dyDescent="0.3">
      <c r="A1" s="990" t="s">
        <v>1302</v>
      </c>
      <c r="B1" s="991" t="s">
        <v>1303</v>
      </c>
      <c r="C1" s="992" t="s">
        <v>42</v>
      </c>
      <c r="D1" s="993" t="s">
        <v>1286</v>
      </c>
      <c r="E1" s="993" t="s">
        <v>1287</v>
      </c>
      <c r="F1" s="993" t="s">
        <v>1288</v>
      </c>
      <c r="G1" s="993" t="s">
        <v>1289</v>
      </c>
      <c r="H1" s="993" t="s">
        <v>1290</v>
      </c>
      <c r="I1" s="993" t="s">
        <v>1291</v>
      </c>
      <c r="J1" s="993" t="s">
        <v>1292</v>
      </c>
      <c r="K1" s="993" t="s">
        <v>1293</v>
      </c>
      <c r="L1" s="993" t="s">
        <v>1294</v>
      </c>
      <c r="M1" s="993" t="s">
        <v>1295</v>
      </c>
      <c r="N1" s="993" t="s">
        <v>1296</v>
      </c>
      <c r="O1" s="993" t="s">
        <v>1297</v>
      </c>
      <c r="P1" s="993" t="s">
        <v>1298</v>
      </c>
      <c r="Q1" s="993" t="s">
        <v>1299</v>
      </c>
      <c r="R1" s="993" t="s">
        <v>1300</v>
      </c>
    </row>
    <row r="2" spans="1:18" x14ac:dyDescent="0.3">
      <c r="A2" s="994"/>
      <c r="D2" s="987">
        <v>571300</v>
      </c>
      <c r="E2" s="987">
        <v>571301</v>
      </c>
      <c r="F2" s="987">
        <v>571302</v>
      </c>
      <c r="G2" s="995">
        <v>571303</v>
      </c>
      <c r="H2" s="987">
        <v>572177</v>
      </c>
      <c r="I2" s="987">
        <v>571304</v>
      </c>
      <c r="J2" s="987">
        <v>571305</v>
      </c>
      <c r="K2" s="987">
        <v>571306</v>
      </c>
      <c r="L2" s="987">
        <v>571307</v>
      </c>
      <c r="M2" s="987">
        <v>571309</v>
      </c>
      <c r="N2" s="987">
        <v>571310</v>
      </c>
      <c r="O2" s="987">
        <v>571311</v>
      </c>
      <c r="P2" s="987">
        <v>571313</v>
      </c>
      <c r="Q2" s="987">
        <v>571315</v>
      </c>
      <c r="R2" s="987">
        <v>571316</v>
      </c>
    </row>
    <row r="3" spans="1:18" x14ac:dyDescent="0.3">
      <c r="B3" s="270" t="s">
        <v>1304</v>
      </c>
      <c r="C3" s="951" t="s">
        <v>1305</v>
      </c>
      <c r="D3" s="996">
        <v>0</v>
      </c>
      <c r="E3" s="996">
        <v>0</v>
      </c>
      <c r="F3" s="996">
        <v>0</v>
      </c>
      <c r="G3" s="996">
        <v>0</v>
      </c>
      <c r="H3" s="996">
        <v>0</v>
      </c>
      <c r="I3" s="996">
        <v>0</v>
      </c>
      <c r="J3" s="996">
        <v>0</v>
      </c>
      <c r="K3" s="996">
        <v>0</v>
      </c>
      <c r="L3" s="996">
        <v>0</v>
      </c>
      <c r="M3" s="996">
        <v>0</v>
      </c>
      <c r="N3" s="996">
        <v>0</v>
      </c>
      <c r="O3" s="996">
        <v>0</v>
      </c>
      <c r="P3" s="996">
        <v>0</v>
      </c>
      <c r="Q3" s="996">
        <v>0</v>
      </c>
      <c r="R3" s="996">
        <v>0</v>
      </c>
    </row>
    <row r="4" spans="1:18" ht="28.8" x14ac:dyDescent="0.3">
      <c r="B4" s="270" t="s">
        <v>1306</v>
      </c>
      <c r="C4" s="951" t="s">
        <v>358</v>
      </c>
      <c r="D4" s="996">
        <v>0</v>
      </c>
      <c r="E4" s="996">
        <v>0</v>
      </c>
      <c r="F4" s="996">
        <v>0</v>
      </c>
      <c r="G4" s="996">
        <v>0</v>
      </c>
      <c r="H4" s="996">
        <v>0</v>
      </c>
      <c r="I4" s="996">
        <v>0</v>
      </c>
      <c r="J4" s="996">
        <v>0</v>
      </c>
      <c r="K4" s="996">
        <v>0</v>
      </c>
      <c r="L4" s="996">
        <v>0</v>
      </c>
      <c r="M4" s="996">
        <v>0</v>
      </c>
      <c r="N4" s="996">
        <v>0</v>
      </c>
      <c r="O4" s="996">
        <v>0</v>
      </c>
      <c r="P4" s="996">
        <v>0</v>
      </c>
      <c r="Q4" s="996">
        <v>0</v>
      </c>
      <c r="R4" s="996">
        <v>0</v>
      </c>
    </row>
    <row r="5" spans="1:18" x14ac:dyDescent="0.3">
      <c r="B5" s="270" t="s">
        <v>1307</v>
      </c>
      <c r="C5" s="951" t="s">
        <v>359</v>
      </c>
      <c r="D5" s="996">
        <v>0</v>
      </c>
      <c r="E5" s="996">
        <v>0</v>
      </c>
      <c r="F5" s="996">
        <v>0</v>
      </c>
      <c r="G5" s="996">
        <v>0</v>
      </c>
      <c r="H5" s="996">
        <v>0</v>
      </c>
      <c r="I5" s="996">
        <v>0</v>
      </c>
      <c r="J5" s="996">
        <v>0</v>
      </c>
      <c r="K5" s="996">
        <v>0</v>
      </c>
      <c r="L5" s="996">
        <v>0</v>
      </c>
      <c r="M5" s="996">
        <v>0</v>
      </c>
      <c r="N5" s="996">
        <v>0</v>
      </c>
      <c r="O5" s="996">
        <v>0</v>
      </c>
      <c r="P5" s="996">
        <v>0</v>
      </c>
      <c r="Q5" s="996">
        <v>0</v>
      </c>
      <c r="R5" s="996">
        <v>0</v>
      </c>
    </row>
    <row r="6" spans="1:18" ht="28.8" x14ac:dyDescent="0.3">
      <c r="B6" s="270" t="s">
        <v>1308</v>
      </c>
      <c r="C6" s="951" t="s">
        <v>1309</v>
      </c>
      <c r="D6" s="996">
        <v>0</v>
      </c>
      <c r="E6" s="996">
        <v>0</v>
      </c>
      <c r="F6" s="996">
        <v>0</v>
      </c>
      <c r="G6" s="996">
        <v>0</v>
      </c>
      <c r="H6" s="996">
        <v>0</v>
      </c>
      <c r="I6" s="996">
        <v>0</v>
      </c>
      <c r="J6" s="996">
        <v>0</v>
      </c>
      <c r="K6" s="996">
        <v>0</v>
      </c>
      <c r="L6" s="996">
        <v>0</v>
      </c>
      <c r="M6" s="996">
        <v>0</v>
      </c>
      <c r="N6" s="996">
        <v>0</v>
      </c>
      <c r="O6" s="996">
        <v>0</v>
      </c>
      <c r="P6" s="996">
        <v>0</v>
      </c>
      <c r="Q6" s="996">
        <v>0</v>
      </c>
      <c r="R6" s="996">
        <v>0</v>
      </c>
    </row>
    <row r="7" spans="1:18" x14ac:dyDescent="0.3">
      <c r="A7" s="997">
        <v>16</v>
      </c>
      <c r="B7" s="270" t="s">
        <v>1310</v>
      </c>
      <c r="C7" s="951" t="s">
        <v>1311</v>
      </c>
      <c r="D7" s="996">
        <v>1364433</v>
      </c>
      <c r="E7" s="996">
        <v>2507431</v>
      </c>
      <c r="F7" s="996">
        <v>2143790</v>
      </c>
      <c r="G7" s="996">
        <v>877254</v>
      </c>
      <c r="H7" s="996">
        <v>2130331</v>
      </c>
      <c r="I7" s="996">
        <v>40014170</v>
      </c>
      <c r="J7" s="996">
        <v>3748380</v>
      </c>
      <c r="K7" s="996">
        <v>414070</v>
      </c>
      <c r="L7" s="996">
        <v>3497287</v>
      </c>
      <c r="M7" s="996">
        <v>1099600</v>
      </c>
      <c r="N7" s="996">
        <v>1884535</v>
      </c>
      <c r="O7" s="996">
        <v>2752252</v>
      </c>
      <c r="P7" s="996">
        <v>1324295</v>
      </c>
      <c r="Q7" s="996">
        <v>1260058</v>
      </c>
      <c r="R7" s="996">
        <v>983550</v>
      </c>
    </row>
    <row r="8" spans="1:18" x14ac:dyDescent="0.3">
      <c r="A8" s="997">
        <v>17</v>
      </c>
      <c r="B8" s="270" t="s">
        <v>1312</v>
      </c>
      <c r="C8" s="951" t="s">
        <v>1313</v>
      </c>
      <c r="D8" s="996">
        <v>0</v>
      </c>
      <c r="E8" s="996">
        <v>0</v>
      </c>
      <c r="F8" s="996">
        <v>0</v>
      </c>
      <c r="G8" s="996">
        <v>0</v>
      </c>
      <c r="H8" s="996">
        <v>0</v>
      </c>
      <c r="I8" s="996">
        <v>792000</v>
      </c>
      <c r="J8" s="996">
        <v>0</v>
      </c>
      <c r="K8" s="996">
        <v>0</v>
      </c>
      <c r="L8" s="996">
        <v>0</v>
      </c>
      <c r="M8" s="996">
        <v>0</v>
      </c>
      <c r="N8" s="996">
        <v>0</v>
      </c>
      <c r="O8" s="996">
        <v>0</v>
      </c>
      <c r="P8" s="996">
        <v>0</v>
      </c>
      <c r="Q8" s="996">
        <v>0</v>
      </c>
      <c r="R8" s="996">
        <v>0</v>
      </c>
    </row>
    <row r="9" spans="1:18" x14ac:dyDescent="0.3">
      <c r="B9" s="270" t="s">
        <v>1314</v>
      </c>
      <c r="C9" s="951" t="s">
        <v>1315</v>
      </c>
      <c r="D9" s="996">
        <v>0</v>
      </c>
      <c r="E9" s="996">
        <v>0</v>
      </c>
      <c r="F9" s="996">
        <v>0</v>
      </c>
      <c r="G9" s="996">
        <v>0</v>
      </c>
      <c r="H9" s="996">
        <v>0</v>
      </c>
      <c r="I9" s="996">
        <v>0</v>
      </c>
      <c r="J9" s="996">
        <v>0</v>
      </c>
      <c r="K9" s="996">
        <v>0</v>
      </c>
      <c r="L9" s="996">
        <v>0</v>
      </c>
      <c r="M9" s="996">
        <v>0</v>
      </c>
      <c r="N9" s="996">
        <v>0</v>
      </c>
      <c r="O9" s="996">
        <v>0</v>
      </c>
      <c r="P9" s="996">
        <v>0</v>
      </c>
      <c r="Q9" s="996">
        <v>0</v>
      </c>
      <c r="R9" s="996">
        <v>0</v>
      </c>
    </row>
    <row r="10" spans="1:18" x14ac:dyDescent="0.3">
      <c r="B10" s="270" t="s">
        <v>980</v>
      </c>
      <c r="C10" s="951" t="s">
        <v>1316</v>
      </c>
      <c r="D10" s="996">
        <v>0</v>
      </c>
      <c r="E10" s="996">
        <v>0</v>
      </c>
      <c r="F10" s="996">
        <v>0</v>
      </c>
      <c r="G10" s="996">
        <v>0</v>
      </c>
      <c r="H10" s="996">
        <v>0</v>
      </c>
      <c r="I10" s="996">
        <v>0</v>
      </c>
      <c r="J10" s="996">
        <v>0</v>
      </c>
      <c r="K10" s="996">
        <v>0</v>
      </c>
      <c r="L10" s="996">
        <v>0</v>
      </c>
      <c r="M10" s="996">
        <v>0</v>
      </c>
      <c r="N10" s="996">
        <v>0</v>
      </c>
      <c r="O10" s="996">
        <v>0</v>
      </c>
      <c r="P10" s="996">
        <v>0</v>
      </c>
      <c r="Q10" s="996">
        <v>0</v>
      </c>
      <c r="R10" s="996">
        <v>0</v>
      </c>
    </row>
    <row r="11" spans="1:18" x14ac:dyDescent="0.3">
      <c r="A11" s="997">
        <v>20</v>
      </c>
      <c r="B11" s="270" t="s">
        <v>1317</v>
      </c>
      <c r="C11" s="951" t="s">
        <v>1318</v>
      </c>
      <c r="D11" s="996">
        <v>0</v>
      </c>
      <c r="E11" s="996">
        <v>0</v>
      </c>
      <c r="F11" s="996">
        <v>0</v>
      </c>
      <c r="G11" s="996">
        <v>0</v>
      </c>
      <c r="H11" s="996">
        <v>0</v>
      </c>
      <c r="I11" s="996">
        <v>0</v>
      </c>
      <c r="J11" s="996">
        <v>0</v>
      </c>
      <c r="K11" s="996">
        <v>0</v>
      </c>
      <c r="L11" s="996">
        <v>0</v>
      </c>
      <c r="M11" s="996">
        <v>0</v>
      </c>
      <c r="N11" s="996">
        <v>0</v>
      </c>
      <c r="O11" s="996">
        <v>0</v>
      </c>
      <c r="P11" s="996">
        <v>0</v>
      </c>
      <c r="Q11" s="996">
        <v>0</v>
      </c>
      <c r="R11" s="996">
        <v>0</v>
      </c>
    </row>
    <row r="12" spans="1:18" ht="28.8" x14ac:dyDescent="0.3">
      <c r="B12" s="270" t="s">
        <v>1319</v>
      </c>
      <c r="C12" s="951" t="s">
        <v>360</v>
      </c>
      <c r="D12" s="996">
        <v>0</v>
      </c>
      <c r="E12" s="996">
        <v>0</v>
      </c>
      <c r="F12" s="996">
        <v>0</v>
      </c>
      <c r="G12" s="996">
        <v>0</v>
      </c>
      <c r="H12" s="996">
        <v>0</v>
      </c>
      <c r="I12" s="996">
        <v>0</v>
      </c>
      <c r="J12" s="996">
        <v>0</v>
      </c>
      <c r="K12" s="996">
        <v>0</v>
      </c>
      <c r="L12" s="996">
        <v>0</v>
      </c>
      <c r="M12" s="996">
        <v>0</v>
      </c>
      <c r="N12" s="996">
        <v>0</v>
      </c>
      <c r="O12" s="996">
        <v>0</v>
      </c>
      <c r="P12" s="996">
        <v>0</v>
      </c>
      <c r="Q12" s="996">
        <v>0</v>
      </c>
      <c r="R12" s="996">
        <v>0</v>
      </c>
    </row>
    <row r="13" spans="1:18" ht="28.8" x14ac:dyDescent="0.3">
      <c r="A13" s="997">
        <v>22</v>
      </c>
      <c r="B13" s="270" t="s">
        <v>1320</v>
      </c>
      <c r="C13" s="951" t="s">
        <v>1321</v>
      </c>
      <c r="D13" s="996">
        <v>0</v>
      </c>
      <c r="E13" s="996">
        <v>0</v>
      </c>
      <c r="F13" s="996">
        <v>0</v>
      </c>
      <c r="G13" s="996">
        <v>0</v>
      </c>
      <c r="H13" s="996">
        <v>56172</v>
      </c>
      <c r="I13" s="996">
        <v>0</v>
      </c>
      <c r="J13" s="996">
        <v>0</v>
      </c>
      <c r="K13" s="996">
        <v>0</v>
      </c>
      <c r="L13" s="996">
        <v>0</v>
      </c>
      <c r="M13" s="996">
        <v>0</v>
      </c>
      <c r="N13" s="996">
        <v>0</v>
      </c>
      <c r="O13" s="996">
        <v>0</v>
      </c>
      <c r="P13" s="996">
        <v>0</v>
      </c>
      <c r="Q13" s="996">
        <v>0</v>
      </c>
      <c r="R13" s="996">
        <v>0</v>
      </c>
    </row>
    <row r="14" spans="1:18" x14ac:dyDescent="0.3">
      <c r="A14" s="997">
        <v>23</v>
      </c>
      <c r="B14" s="270" t="s">
        <v>1322</v>
      </c>
      <c r="C14" s="951" t="s">
        <v>1323</v>
      </c>
      <c r="D14" s="996">
        <v>179251</v>
      </c>
      <c r="E14" s="996">
        <v>-62039</v>
      </c>
      <c r="F14" s="996">
        <v>1277451</v>
      </c>
      <c r="G14" s="996">
        <v>35309</v>
      </c>
      <c r="H14" s="996">
        <v>52248</v>
      </c>
      <c r="I14" s="996">
        <v>-797008</v>
      </c>
      <c r="J14" s="996">
        <v>25539</v>
      </c>
      <c r="K14" s="996">
        <v>-68352</v>
      </c>
      <c r="L14" s="996">
        <v>203753</v>
      </c>
      <c r="M14" s="996">
        <v>38702</v>
      </c>
      <c r="N14" s="996">
        <v>9952</v>
      </c>
      <c r="O14" s="996">
        <v>84027</v>
      </c>
      <c r="P14" s="996">
        <v>7574</v>
      </c>
      <c r="Q14" s="996">
        <v>18142</v>
      </c>
      <c r="R14" s="996">
        <v>90160</v>
      </c>
    </row>
    <row r="15" spans="1:18" x14ac:dyDescent="0.3">
      <c r="B15" s="270" t="s">
        <v>1324</v>
      </c>
      <c r="C15" s="951" t="s">
        <v>298</v>
      </c>
      <c r="D15" s="996">
        <v>0</v>
      </c>
      <c r="E15" s="996">
        <v>0</v>
      </c>
      <c r="F15" s="996">
        <v>0</v>
      </c>
      <c r="G15" s="996">
        <v>0</v>
      </c>
      <c r="H15" s="996">
        <v>0</v>
      </c>
      <c r="I15" s="996">
        <v>0</v>
      </c>
      <c r="J15" s="996">
        <v>0</v>
      </c>
      <c r="K15" s="996">
        <v>0</v>
      </c>
      <c r="L15" s="996">
        <v>0</v>
      </c>
      <c r="M15" s="996">
        <v>0</v>
      </c>
      <c r="N15" s="996">
        <v>0</v>
      </c>
      <c r="O15" s="996">
        <v>0</v>
      </c>
      <c r="P15" s="996">
        <v>0</v>
      </c>
      <c r="Q15" s="996">
        <v>0</v>
      </c>
      <c r="R15" s="996">
        <v>0</v>
      </c>
    </row>
    <row r="16" spans="1:18" ht="28.8" x14ac:dyDescent="0.3">
      <c r="B16" s="270" t="s">
        <v>1325</v>
      </c>
      <c r="C16" s="951" t="s">
        <v>299</v>
      </c>
      <c r="D16" s="996">
        <v>0</v>
      </c>
      <c r="E16" s="996">
        <v>0</v>
      </c>
      <c r="F16" s="996">
        <v>0</v>
      </c>
      <c r="G16" s="996">
        <v>0</v>
      </c>
      <c r="H16" s="996">
        <v>0</v>
      </c>
      <c r="I16" s="996">
        <v>0</v>
      </c>
      <c r="J16" s="996">
        <v>0</v>
      </c>
      <c r="K16" s="996">
        <v>0</v>
      </c>
      <c r="L16" s="996">
        <v>0</v>
      </c>
      <c r="M16" s="996">
        <v>0</v>
      </c>
      <c r="N16" s="996">
        <v>0</v>
      </c>
      <c r="O16" s="996">
        <v>0</v>
      </c>
      <c r="P16" s="996">
        <v>0</v>
      </c>
      <c r="Q16" s="996">
        <v>0</v>
      </c>
      <c r="R16" s="996">
        <v>0</v>
      </c>
    </row>
    <row r="17" spans="1:18" x14ac:dyDescent="0.3">
      <c r="A17" s="997">
        <v>252</v>
      </c>
      <c r="B17" s="270" t="s">
        <v>1326</v>
      </c>
      <c r="C17" s="951" t="s">
        <v>1327</v>
      </c>
      <c r="D17" s="996">
        <v>314180</v>
      </c>
      <c r="E17" s="996">
        <v>520062</v>
      </c>
      <c r="F17" s="996">
        <v>42356</v>
      </c>
      <c r="G17" s="996">
        <v>762070</v>
      </c>
      <c r="H17" s="996">
        <v>98562</v>
      </c>
      <c r="I17" s="996">
        <v>94381454</v>
      </c>
      <c r="J17" s="996">
        <v>1239515</v>
      </c>
      <c r="K17" s="996">
        <v>32716</v>
      </c>
      <c r="L17" s="996">
        <v>1019476</v>
      </c>
      <c r="M17" s="996">
        <v>771513</v>
      </c>
      <c r="N17" s="996">
        <v>3290394</v>
      </c>
      <c r="O17" s="996">
        <v>702265</v>
      </c>
      <c r="P17" s="996">
        <v>333913</v>
      </c>
      <c r="Q17" s="996">
        <v>129424</v>
      </c>
      <c r="R17" s="996">
        <v>309618</v>
      </c>
    </row>
    <row r="18" spans="1:18" x14ac:dyDescent="0.3">
      <c r="A18" s="997">
        <v>253</v>
      </c>
      <c r="B18" s="270" t="s">
        <v>1328</v>
      </c>
      <c r="C18" s="951" t="s">
        <v>1329</v>
      </c>
      <c r="D18" s="996">
        <v>208522</v>
      </c>
      <c r="E18" s="996">
        <v>220732</v>
      </c>
      <c r="F18" s="996">
        <v>1401351</v>
      </c>
      <c r="G18" s="996">
        <v>3136</v>
      </c>
      <c r="H18" s="996">
        <v>234099</v>
      </c>
      <c r="I18" s="996">
        <v>15854848</v>
      </c>
      <c r="J18" s="996">
        <v>32438</v>
      </c>
      <c r="K18" s="996">
        <v>99558</v>
      </c>
      <c r="L18" s="996">
        <v>320664</v>
      </c>
      <c r="M18" s="996">
        <v>1085289</v>
      </c>
      <c r="N18" s="996">
        <v>24574</v>
      </c>
      <c r="O18" s="996">
        <v>94951</v>
      </c>
      <c r="P18" s="996">
        <v>177289</v>
      </c>
      <c r="Q18" s="996">
        <v>160012</v>
      </c>
      <c r="R18" s="996">
        <v>47189</v>
      </c>
    </row>
    <row r="19" spans="1:18" x14ac:dyDescent="0.3">
      <c r="A19" s="997">
        <v>254</v>
      </c>
      <c r="B19" s="270" t="s">
        <v>1330</v>
      </c>
      <c r="C19" s="951" t="s">
        <v>1331</v>
      </c>
      <c r="D19" s="996">
        <v>1946977</v>
      </c>
      <c r="E19" s="996">
        <v>813528</v>
      </c>
      <c r="F19" s="996">
        <v>-23972</v>
      </c>
      <c r="G19" s="996">
        <v>613227</v>
      </c>
      <c r="H19" s="996">
        <v>501506</v>
      </c>
      <c r="I19" s="996">
        <v>-70187494</v>
      </c>
      <c r="J19" s="996">
        <v>1350028</v>
      </c>
      <c r="K19" s="996">
        <v>76188</v>
      </c>
      <c r="L19" s="996">
        <v>1046098</v>
      </c>
      <c r="M19" s="996">
        <v>329140</v>
      </c>
      <c r="N19" s="996">
        <v>1600706</v>
      </c>
      <c r="O19" s="996">
        <v>666577</v>
      </c>
      <c r="P19" s="996">
        <v>213993</v>
      </c>
      <c r="Q19" s="996">
        <v>439469</v>
      </c>
      <c r="R19" s="996">
        <v>313154</v>
      </c>
    </row>
    <row r="20" spans="1:18" x14ac:dyDescent="0.3">
      <c r="A20" s="997">
        <v>255</v>
      </c>
      <c r="B20" s="270" t="s">
        <v>1332</v>
      </c>
      <c r="C20" s="951" t="s">
        <v>1333</v>
      </c>
      <c r="D20" s="996">
        <v>132052</v>
      </c>
      <c r="E20" s="996">
        <v>-171481</v>
      </c>
      <c r="F20" s="996">
        <v>1253665</v>
      </c>
      <c r="G20" s="996">
        <v>81101</v>
      </c>
      <c r="H20" s="996">
        <v>-198117</v>
      </c>
      <c r="I20" s="996">
        <v>9724980</v>
      </c>
      <c r="J20" s="996">
        <v>108570</v>
      </c>
      <c r="K20" s="996">
        <v>-72158</v>
      </c>
      <c r="L20" s="996">
        <v>102854</v>
      </c>
      <c r="M20" s="996">
        <v>-7505</v>
      </c>
      <c r="N20" s="996">
        <v>-112401</v>
      </c>
      <c r="O20" s="996">
        <v>205560</v>
      </c>
      <c r="P20" s="996">
        <v>55150</v>
      </c>
      <c r="Q20" s="996">
        <v>-28163</v>
      </c>
      <c r="R20" s="996">
        <v>56254</v>
      </c>
    </row>
    <row r="21" spans="1:18" x14ac:dyDescent="0.3">
      <c r="B21" s="270" t="s">
        <v>1334</v>
      </c>
      <c r="C21" s="951" t="s">
        <v>1335</v>
      </c>
      <c r="D21" s="996">
        <v>0</v>
      </c>
      <c r="E21" s="996">
        <v>0</v>
      </c>
      <c r="F21" s="996">
        <v>0</v>
      </c>
      <c r="G21" s="996">
        <v>0</v>
      </c>
      <c r="H21" s="996">
        <v>0</v>
      </c>
      <c r="I21" s="996">
        <v>0</v>
      </c>
      <c r="J21" s="996">
        <v>0</v>
      </c>
      <c r="K21" s="996">
        <v>0</v>
      </c>
      <c r="L21" s="996">
        <v>0</v>
      </c>
      <c r="M21" s="996">
        <v>0</v>
      </c>
      <c r="N21" s="996">
        <v>0</v>
      </c>
      <c r="O21" s="996">
        <v>0</v>
      </c>
      <c r="P21" s="996">
        <v>0</v>
      </c>
      <c r="Q21" s="996">
        <v>0</v>
      </c>
      <c r="R21" s="996">
        <v>0</v>
      </c>
    </row>
    <row r="22" spans="1:18" x14ac:dyDescent="0.3">
      <c r="B22" s="270" t="s">
        <v>1336</v>
      </c>
      <c r="C22" s="951" t="s">
        <v>1337</v>
      </c>
      <c r="D22" s="996">
        <v>0</v>
      </c>
      <c r="E22" s="996">
        <v>0</v>
      </c>
      <c r="F22" s="996">
        <v>0</v>
      </c>
      <c r="G22" s="996">
        <v>0</v>
      </c>
      <c r="H22" s="996">
        <v>0</v>
      </c>
      <c r="I22" s="996">
        <v>0</v>
      </c>
      <c r="J22" s="996">
        <v>0</v>
      </c>
      <c r="K22" s="996">
        <v>0</v>
      </c>
      <c r="L22" s="996">
        <v>0</v>
      </c>
      <c r="M22" s="996">
        <v>0</v>
      </c>
      <c r="N22" s="996">
        <v>0</v>
      </c>
      <c r="O22" s="996">
        <v>0</v>
      </c>
      <c r="P22" s="996">
        <v>0</v>
      </c>
      <c r="Q22" s="996">
        <v>0</v>
      </c>
      <c r="R22" s="996">
        <v>0</v>
      </c>
    </row>
    <row r="23" spans="1:18" x14ac:dyDescent="0.3">
      <c r="B23" s="270" t="s">
        <v>1338</v>
      </c>
      <c r="C23" s="951" t="s">
        <v>1339</v>
      </c>
      <c r="D23" s="996">
        <v>0</v>
      </c>
      <c r="E23" s="996">
        <v>0</v>
      </c>
      <c r="F23" s="996">
        <v>0</v>
      </c>
      <c r="G23" s="996">
        <v>0</v>
      </c>
      <c r="H23" s="996">
        <v>0</v>
      </c>
      <c r="I23" s="996">
        <v>0</v>
      </c>
      <c r="J23" s="996">
        <v>0</v>
      </c>
      <c r="K23" s="996">
        <v>0</v>
      </c>
      <c r="L23" s="996">
        <v>0</v>
      </c>
      <c r="M23" s="996">
        <v>0</v>
      </c>
      <c r="N23" s="996">
        <v>0</v>
      </c>
      <c r="O23" s="996">
        <v>0</v>
      </c>
      <c r="P23" s="996">
        <v>0</v>
      </c>
      <c r="Q23" s="996">
        <v>0</v>
      </c>
      <c r="R23" s="996">
        <v>0</v>
      </c>
    </row>
    <row r="24" spans="1:18" x14ac:dyDescent="0.3">
      <c r="B24" s="270" t="s">
        <v>1340</v>
      </c>
      <c r="C24" s="951" t="s">
        <v>1341</v>
      </c>
      <c r="D24" s="996">
        <v>0</v>
      </c>
      <c r="E24" s="996">
        <v>0</v>
      </c>
      <c r="F24" s="996">
        <v>0</v>
      </c>
      <c r="G24" s="996">
        <v>0</v>
      </c>
      <c r="H24" s="996">
        <v>0</v>
      </c>
      <c r="I24" s="996">
        <v>0</v>
      </c>
      <c r="J24" s="996">
        <v>0</v>
      </c>
      <c r="K24" s="996">
        <v>0</v>
      </c>
      <c r="L24" s="996">
        <v>0</v>
      </c>
      <c r="M24" s="996">
        <v>0</v>
      </c>
      <c r="N24" s="996">
        <v>0</v>
      </c>
      <c r="O24" s="996">
        <v>0</v>
      </c>
      <c r="P24" s="996">
        <v>0</v>
      </c>
      <c r="Q24" s="996">
        <v>0</v>
      </c>
      <c r="R24" s="996">
        <v>0</v>
      </c>
    </row>
    <row r="25" spans="1:18" x14ac:dyDescent="0.3">
      <c r="B25" s="270" t="s">
        <v>1342</v>
      </c>
      <c r="C25" s="951" t="s">
        <v>1343</v>
      </c>
      <c r="D25" s="996">
        <v>0</v>
      </c>
      <c r="E25" s="996">
        <v>0</v>
      </c>
      <c r="F25" s="996">
        <v>0</v>
      </c>
      <c r="G25" s="996">
        <v>0</v>
      </c>
      <c r="H25" s="996">
        <v>0</v>
      </c>
      <c r="I25" s="996">
        <v>0</v>
      </c>
      <c r="J25" s="996">
        <v>0</v>
      </c>
      <c r="K25" s="996">
        <v>0</v>
      </c>
      <c r="L25" s="996">
        <v>0</v>
      </c>
      <c r="M25" s="996">
        <v>0</v>
      </c>
      <c r="N25" s="996">
        <v>0</v>
      </c>
      <c r="O25" s="996">
        <v>0</v>
      </c>
      <c r="P25" s="996">
        <v>0</v>
      </c>
      <c r="Q25" s="996">
        <v>0</v>
      </c>
      <c r="R25" s="996">
        <v>0</v>
      </c>
    </row>
    <row r="26" spans="1:18" x14ac:dyDescent="0.3">
      <c r="B26" s="270" t="s">
        <v>1344</v>
      </c>
      <c r="C26" s="951" t="s">
        <v>1345</v>
      </c>
      <c r="D26" s="996">
        <v>0</v>
      </c>
      <c r="E26" s="996">
        <v>0</v>
      </c>
      <c r="F26" s="996">
        <v>0</v>
      </c>
      <c r="G26" s="996">
        <v>0</v>
      </c>
      <c r="H26" s="996">
        <v>0</v>
      </c>
      <c r="I26" s="996">
        <v>0</v>
      </c>
      <c r="J26" s="996">
        <v>0</v>
      </c>
      <c r="K26" s="996">
        <v>0</v>
      </c>
      <c r="L26" s="996">
        <v>0</v>
      </c>
      <c r="M26" s="996">
        <v>0</v>
      </c>
      <c r="N26" s="996">
        <v>0</v>
      </c>
      <c r="O26" s="996">
        <v>0</v>
      </c>
      <c r="P26" s="996">
        <v>0</v>
      </c>
      <c r="Q26" s="996">
        <v>0</v>
      </c>
      <c r="R26" s="996">
        <v>0</v>
      </c>
    </row>
    <row r="27" spans="1:18" x14ac:dyDescent="0.3">
      <c r="B27" s="270" t="s">
        <v>1346</v>
      </c>
      <c r="C27" s="951" t="s">
        <v>1347</v>
      </c>
      <c r="D27" s="996">
        <v>0</v>
      </c>
      <c r="E27" s="996">
        <v>0</v>
      </c>
      <c r="F27" s="996">
        <v>0</v>
      </c>
      <c r="G27" s="996">
        <v>0</v>
      </c>
      <c r="H27" s="996">
        <v>0</v>
      </c>
      <c r="I27" s="996">
        <v>0</v>
      </c>
      <c r="J27" s="996">
        <v>0</v>
      </c>
      <c r="K27" s="996">
        <v>0</v>
      </c>
      <c r="L27" s="996">
        <v>0</v>
      </c>
      <c r="M27" s="996">
        <v>0</v>
      </c>
      <c r="N27" s="996">
        <v>0</v>
      </c>
      <c r="O27" s="996">
        <v>0</v>
      </c>
      <c r="P27" s="996">
        <v>0</v>
      </c>
      <c r="Q27" s="996">
        <v>0</v>
      </c>
      <c r="R27" s="996">
        <v>0</v>
      </c>
    </row>
    <row r="28" spans="1:18" x14ac:dyDescent="0.3">
      <c r="B28" s="270" t="s">
        <v>1348</v>
      </c>
      <c r="C28" s="951" t="s">
        <v>1349</v>
      </c>
      <c r="D28" s="996">
        <v>0</v>
      </c>
      <c r="E28" s="996">
        <v>0</v>
      </c>
      <c r="F28" s="996">
        <v>0</v>
      </c>
      <c r="G28" s="996">
        <v>0</v>
      </c>
      <c r="H28" s="996">
        <v>0</v>
      </c>
      <c r="I28" s="996">
        <v>0</v>
      </c>
      <c r="J28" s="996">
        <v>0</v>
      </c>
      <c r="K28" s="996">
        <v>0</v>
      </c>
      <c r="L28" s="996">
        <v>0</v>
      </c>
      <c r="M28" s="996">
        <v>0</v>
      </c>
      <c r="N28" s="996">
        <v>0</v>
      </c>
      <c r="O28" s="996">
        <v>0</v>
      </c>
      <c r="P28" s="996">
        <v>0</v>
      </c>
      <c r="Q28" s="996">
        <v>0</v>
      </c>
      <c r="R28" s="996">
        <v>0</v>
      </c>
    </row>
    <row r="29" spans="1:18" x14ac:dyDescent="0.3">
      <c r="B29" s="270" t="s">
        <v>1350</v>
      </c>
      <c r="C29" s="951" t="s">
        <v>1351</v>
      </c>
      <c r="D29" s="996">
        <v>0</v>
      </c>
      <c r="E29" s="996">
        <v>0</v>
      </c>
      <c r="F29" s="996">
        <v>0</v>
      </c>
      <c r="G29" s="996">
        <v>0</v>
      </c>
      <c r="H29" s="996">
        <v>0</v>
      </c>
      <c r="I29" s="996">
        <v>0</v>
      </c>
      <c r="J29" s="996">
        <v>0</v>
      </c>
      <c r="K29" s="996">
        <v>0</v>
      </c>
      <c r="L29" s="996">
        <v>0</v>
      </c>
      <c r="M29" s="996">
        <v>0</v>
      </c>
      <c r="N29" s="996">
        <v>0</v>
      </c>
      <c r="O29" s="996">
        <v>0</v>
      </c>
      <c r="P29" s="996">
        <v>0</v>
      </c>
      <c r="Q29" s="996">
        <v>0</v>
      </c>
      <c r="R29" s="996">
        <v>0</v>
      </c>
    </row>
    <row r="30" spans="1:18" x14ac:dyDescent="0.3">
      <c r="B30" s="270" t="s">
        <v>1352</v>
      </c>
      <c r="C30" s="951" t="s">
        <v>1353</v>
      </c>
      <c r="D30" s="996">
        <v>0</v>
      </c>
      <c r="E30" s="996">
        <v>0</v>
      </c>
      <c r="F30" s="996">
        <v>0</v>
      </c>
      <c r="G30" s="996">
        <v>0</v>
      </c>
      <c r="H30" s="996">
        <v>0</v>
      </c>
      <c r="I30" s="996">
        <v>0</v>
      </c>
      <c r="J30" s="996">
        <v>0</v>
      </c>
      <c r="K30" s="996">
        <v>0</v>
      </c>
      <c r="L30" s="996">
        <v>0</v>
      </c>
      <c r="M30" s="996">
        <v>0</v>
      </c>
      <c r="N30" s="996">
        <v>0</v>
      </c>
      <c r="O30" s="996">
        <v>0</v>
      </c>
      <c r="P30" s="996">
        <v>0</v>
      </c>
      <c r="Q30" s="996">
        <v>0</v>
      </c>
      <c r="R30" s="996">
        <v>0</v>
      </c>
    </row>
    <row r="31" spans="1:18" x14ac:dyDescent="0.3">
      <c r="B31" s="270" t="s">
        <v>1354</v>
      </c>
      <c r="C31" s="951" t="s">
        <v>1355</v>
      </c>
      <c r="D31" s="996">
        <v>0</v>
      </c>
      <c r="E31" s="996">
        <v>0</v>
      </c>
      <c r="F31" s="996">
        <v>0</v>
      </c>
      <c r="G31" s="996">
        <v>0</v>
      </c>
      <c r="H31" s="996">
        <v>0</v>
      </c>
      <c r="I31" s="996">
        <v>0</v>
      </c>
      <c r="J31" s="996">
        <v>0</v>
      </c>
      <c r="K31" s="996">
        <v>0</v>
      </c>
      <c r="L31" s="996">
        <v>0</v>
      </c>
      <c r="M31" s="996">
        <v>0</v>
      </c>
      <c r="N31" s="996">
        <v>0</v>
      </c>
      <c r="O31" s="996">
        <v>0</v>
      </c>
      <c r="P31" s="996">
        <v>0</v>
      </c>
      <c r="Q31" s="996">
        <v>0</v>
      </c>
      <c r="R31" s="996">
        <v>0</v>
      </c>
    </row>
    <row r="32" spans="1:18" x14ac:dyDescent="0.3">
      <c r="A32" s="177"/>
      <c r="B32" s="177" t="s">
        <v>1356</v>
      </c>
      <c r="C32" s="998" t="s">
        <v>1357</v>
      </c>
      <c r="D32" s="999">
        <v>0</v>
      </c>
      <c r="E32" s="999">
        <v>0</v>
      </c>
      <c r="F32" s="999">
        <v>0</v>
      </c>
      <c r="G32" s="999">
        <v>0</v>
      </c>
      <c r="H32" s="999">
        <v>0</v>
      </c>
      <c r="I32" s="999">
        <v>0</v>
      </c>
      <c r="J32" s="999">
        <v>0</v>
      </c>
      <c r="K32" s="999">
        <v>0</v>
      </c>
      <c r="L32" s="999">
        <v>0</v>
      </c>
      <c r="M32" s="999">
        <v>0</v>
      </c>
      <c r="N32" s="999">
        <v>0</v>
      </c>
      <c r="O32" s="999">
        <v>0</v>
      </c>
      <c r="P32" s="999">
        <v>0</v>
      </c>
      <c r="Q32" s="999">
        <v>0</v>
      </c>
      <c r="R32" s="999">
        <v>0</v>
      </c>
    </row>
    <row r="33" spans="1:18" x14ac:dyDescent="0.3">
      <c r="A33" s="177"/>
      <c r="B33" s="177" t="s">
        <v>1358</v>
      </c>
      <c r="C33" s="998" t="s">
        <v>1359</v>
      </c>
      <c r="D33" s="999">
        <v>0</v>
      </c>
      <c r="E33" s="999">
        <v>0</v>
      </c>
      <c r="F33" s="999">
        <v>0</v>
      </c>
      <c r="G33" s="999">
        <v>0</v>
      </c>
      <c r="H33" s="999">
        <v>0</v>
      </c>
      <c r="I33" s="999">
        <v>0</v>
      </c>
      <c r="J33" s="999">
        <v>0</v>
      </c>
      <c r="K33" s="999">
        <v>0</v>
      </c>
      <c r="L33" s="999">
        <v>0</v>
      </c>
      <c r="M33" s="999">
        <v>0</v>
      </c>
      <c r="N33" s="999">
        <v>0</v>
      </c>
      <c r="O33" s="999">
        <v>0</v>
      </c>
      <c r="P33" s="999">
        <v>0</v>
      </c>
      <c r="Q33" s="999">
        <v>0</v>
      </c>
      <c r="R33" s="999">
        <v>0</v>
      </c>
    </row>
    <row r="34" spans="1:18" x14ac:dyDescent="0.3">
      <c r="A34" s="177"/>
      <c r="B34" s="177" t="s">
        <v>1360</v>
      </c>
      <c r="C34" s="998" t="s">
        <v>1361</v>
      </c>
      <c r="D34" s="999">
        <v>0</v>
      </c>
      <c r="E34" s="999">
        <v>0</v>
      </c>
      <c r="F34" s="999">
        <v>0</v>
      </c>
      <c r="G34" s="999">
        <v>0</v>
      </c>
      <c r="H34" s="999">
        <v>0</v>
      </c>
      <c r="I34" s="999">
        <v>0</v>
      </c>
      <c r="J34" s="999">
        <v>0</v>
      </c>
      <c r="K34" s="999">
        <v>0</v>
      </c>
      <c r="L34" s="999">
        <v>0</v>
      </c>
      <c r="M34" s="999">
        <v>0</v>
      </c>
      <c r="N34" s="999">
        <v>0</v>
      </c>
      <c r="O34" s="999">
        <v>0</v>
      </c>
      <c r="P34" s="999">
        <v>0</v>
      </c>
      <c r="Q34" s="999">
        <v>0</v>
      </c>
      <c r="R34" s="999">
        <v>0</v>
      </c>
    </row>
    <row r="35" spans="1:18" x14ac:dyDescent="0.3">
      <c r="A35" s="177"/>
      <c r="B35" s="177" t="s">
        <v>1362</v>
      </c>
      <c r="C35" s="998" t="s">
        <v>257</v>
      </c>
      <c r="D35" s="999">
        <v>0</v>
      </c>
      <c r="E35" s="999">
        <v>0</v>
      </c>
      <c r="F35" s="999">
        <v>0</v>
      </c>
      <c r="G35" s="999">
        <v>0</v>
      </c>
      <c r="H35" s="999">
        <v>0</v>
      </c>
      <c r="I35" s="999">
        <v>0</v>
      </c>
      <c r="J35" s="999">
        <v>0</v>
      </c>
      <c r="K35" s="999">
        <v>0</v>
      </c>
      <c r="L35" s="999">
        <v>0</v>
      </c>
      <c r="M35" s="999">
        <v>0</v>
      </c>
      <c r="N35" s="999">
        <v>0</v>
      </c>
      <c r="O35" s="999">
        <v>0</v>
      </c>
      <c r="P35" s="999">
        <v>0</v>
      </c>
      <c r="Q35" s="999">
        <v>0</v>
      </c>
      <c r="R35" s="999">
        <v>0</v>
      </c>
    </row>
    <row r="36" spans="1:18" x14ac:dyDescent="0.3">
      <c r="A36" s="177"/>
      <c r="B36" s="177" t="s">
        <v>1363</v>
      </c>
      <c r="C36" s="998" t="s">
        <v>1364</v>
      </c>
      <c r="D36" s="999">
        <v>0</v>
      </c>
      <c r="E36" s="999">
        <v>0</v>
      </c>
      <c r="F36" s="999">
        <v>0</v>
      </c>
      <c r="G36" s="999">
        <v>0</v>
      </c>
      <c r="H36" s="999">
        <v>0</v>
      </c>
      <c r="I36" s="999">
        <v>0</v>
      </c>
      <c r="J36" s="999">
        <v>0</v>
      </c>
      <c r="K36" s="999">
        <v>0</v>
      </c>
      <c r="L36" s="999">
        <v>0</v>
      </c>
      <c r="M36" s="999">
        <v>0</v>
      </c>
      <c r="N36" s="999">
        <v>0</v>
      </c>
      <c r="O36" s="999">
        <v>0</v>
      </c>
      <c r="P36" s="999">
        <v>0</v>
      </c>
      <c r="Q36" s="999">
        <v>0</v>
      </c>
      <c r="R36" s="999">
        <v>0</v>
      </c>
    </row>
    <row r="37" spans="1:18" x14ac:dyDescent="0.3">
      <c r="A37" s="177"/>
      <c r="B37" s="177" t="s">
        <v>1365</v>
      </c>
      <c r="C37" s="998" t="s">
        <v>1366</v>
      </c>
      <c r="D37" s="999">
        <v>0</v>
      </c>
      <c r="E37" s="999">
        <v>0</v>
      </c>
      <c r="F37" s="999">
        <v>0</v>
      </c>
      <c r="G37" s="999">
        <v>0</v>
      </c>
      <c r="H37" s="999">
        <v>0</v>
      </c>
      <c r="I37" s="999">
        <v>0</v>
      </c>
      <c r="J37" s="999">
        <v>0</v>
      </c>
      <c r="K37" s="999">
        <v>0</v>
      </c>
      <c r="L37" s="999">
        <v>0</v>
      </c>
      <c r="M37" s="999">
        <v>0</v>
      </c>
      <c r="N37" s="999">
        <v>0</v>
      </c>
      <c r="O37" s="999">
        <v>0</v>
      </c>
      <c r="P37" s="999">
        <v>0</v>
      </c>
      <c r="Q37" s="999">
        <v>0</v>
      </c>
      <c r="R37" s="999">
        <v>0</v>
      </c>
    </row>
    <row r="38" spans="1:18" x14ac:dyDescent="0.3">
      <c r="B38" s="270" t="s">
        <v>982</v>
      </c>
      <c r="C38" s="951" t="s">
        <v>1367</v>
      </c>
      <c r="D38" s="996">
        <v>0</v>
      </c>
      <c r="E38" s="996">
        <v>0</v>
      </c>
      <c r="F38" s="996">
        <v>0</v>
      </c>
      <c r="G38" s="996">
        <v>0</v>
      </c>
      <c r="H38" s="996">
        <v>0</v>
      </c>
      <c r="I38" s="996">
        <v>0</v>
      </c>
      <c r="J38" s="996">
        <v>0</v>
      </c>
      <c r="K38" s="996">
        <v>0</v>
      </c>
      <c r="L38" s="996">
        <v>0</v>
      </c>
      <c r="M38" s="996">
        <v>0</v>
      </c>
      <c r="N38" s="996">
        <v>0</v>
      </c>
      <c r="O38" s="996">
        <v>0</v>
      </c>
      <c r="P38" s="996">
        <v>0</v>
      </c>
      <c r="Q38" s="996">
        <v>0</v>
      </c>
      <c r="R38" s="996">
        <v>0</v>
      </c>
    </row>
    <row r="39" spans="1:18" x14ac:dyDescent="0.3">
      <c r="A39" s="997">
        <v>333</v>
      </c>
      <c r="B39" s="270" t="s">
        <v>1368</v>
      </c>
      <c r="C39" s="951" t="s">
        <v>1369</v>
      </c>
      <c r="D39" s="996">
        <v>2072456</v>
      </c>
      <c r="E39" s="996">
        <v>1010512</v>
      </c>
      <c r="F39" s="996">
        <v>55003</v>
      </c>
      <c r="G39" s="996">
        <v>635779</v>
      </c>
      <c r="H39" s="996">
        <v>984830</v>
      </c>
      <c r="I39" s="996">
        <v>11420403</v>
      </c>
      <c r="J39" s="996">
        <v>1498606</v>
      </c>
      <c r="K39" s="996">
        <v>104047</v>
      </c>
      <c r="L39" s="996">
        <v>1591574</v>
      </c>
      <c r="M39" s="996">
        <v>279324</v>
      </c>
      <c r="N39" s="996">
        <v>1688300</v>
      </c>
      <c r="O39" s="996">
        <v>908167</v>
      </c>
      <c r="P39" s="996">
        <v>371930</v>
      </c>
      <c r="Q39" s="996">
        <v>520066</v>
      </c>
      <c r="R39" s="996">
        <v>406005</v>
      </c>
    </row>
    <row r="40" spans="1:18" ht="28.8" x14ac:dyDescent="0.3">
      <c r="B40" s="270" t="s">
        <v>1370</v>
      </c>
      <c r="C40" s="951" t="s">
        <v>1371</v>
      </c>
      <c r="D40" s="996">
        <v>0</v>
      </c>
      <c r="E40" s="996">
        <v>0</v>
      </c>
      <c r="F40" s="996">
        <v>0</v>
      </c>
      <c r="G40" s="996">
        <v>0</v>
      </c>
      <c r="H40" s="996">
        <v>0</v>
      </c>
      <c r="I40" s="996">
        <v>0</v>
      </c>
      <c r="J40" s="996">
        <v>0</v>
      </c>
      <c r="K40" s="996">
        <v>0</v>
      </c>
      <c r="L40" s="996">
        <v>0</v>
      </c>
      <c r="M40" s="996">
        <v>0</v>
      </c>
      <c r="N40" s="996">
        <v>0</v>
      </c>
      <c r="O40" s="996">
        <v>0</v>
      </c>
      <c r="P40" s="996">
        <v>0</v>
      </c>
      <c r="Q40" s="996">
        <v>0</v>
      </c>
      <c r="R40" s="996">
        <v>0</v>
      </c>
    </row>
    <row r="41" spans="1:18" ht="28.8" x14ac:dyDescent="0.3">
      <c r="A41" s="997">
        <v>335</v>
      </c>
      <c r="B41" s="270" t="s">
        <v>1372</v>
      </c>
      <c r="C41" s="951" t="s">
        <v>1373</v>
      </c>
      <c r="D41" s="996">
        <v>0</v>
      </c>
      <c r="E41" s="996">
        <v>0</v>
      </c>
      <c r="F41" s="996">
        <v>0</v>
      </c>
      <c r="G41" s="996">
        <v>0</v>
      </c>
      <c r="H41" s="996">
        <v>0</v>
      </c>
      <c r="I41" s="996">
        <v>0</v>
      </c>
      <c r="J41" s="996">
        <v>0</v>
      </c>
      <c r="K41" s="996">
        <v>0</v>
      </c>
      <c r="L41" s="996">
        <v>0</v>
      </c>
      <c r="M41" s="996">
        <v>0</v>
      </c>
      <c r="N41" s="996">
        <v>0</v>
      </c>
      <c r="O41" s="996">
        <v>0</v>
      </c>
      <c r="P41" s="996">
        <v>0</v>
      </c>
      <c r="Q41" s="996">
        <v>0</v>
      </c>
      <c r="R41" s="996">
        <v>0</v>
      </c>
    </row>
    <row r="42" spans="1:18" ht="43.2" x14ac:dyDescent="0.3">
      <c r="A42" s="997">
        <v>336</v>
      </c>
      <c r="B42" s="270" t="s">
        <v>1374</v>
      </c>
      <c r="C42" s="951" t="s">
        <v>1375</v>
      </c>
      <c r="D42" s="996">
        <v>0</v>
      </c>
      <c r="E42" s="996">
        <v>39162</v>
      </c>
      <c r="F42" s="996">
        <v>0</v>
      </c>
      <c r="G42" s="996">
        <v>759</v>
      </c>
      <c r="H42" s="996">
        <v>104480</v>
      </c>
      <c r="I42" s="996">
        <v>3829069</v>
      </c>
      <c r="J42" s="996">
        <v>118561</v>
      </c>
      <c r="K42" s="996">
        <v>17656</v>
      </c>
      <c r="L42" s="996">
        <v>77625</v>
      </c>
      <c r="M42" s="996">
        <v>17289</v>
      </c>
      <c r="N42" s="996">
        <v>105</v>
      </c>
      <c r="O42" s="996">
        <v>77953</v>
      </c>
      <c r="P42" s="996">
        <v>133318</v>
      </c>
      <c r="Q42" s="996">
        <v>7097</v>
      </c>
      <c r="R42" s="996">
        <v>5045</v>
      </c>
    </row>
    <row r="43" spans="1:18" ht="28.8" x14ac:dyDescent="0.3">
      <c r="B43" s="270" t="s">
        <v>1376</v>
      </c>
      <c r="C43" s="951" t="s">
        <v>1377</v>
      </c>
      <c r="D43" s="996">
        <v>0</v>
      </c>
      <c r="E43" s="996">
        <v>0</v>
      </c>
      <c r="F43" s="996">
        <v>0</v>
      </c>
      <c r="G43" s="996">
        <v>0</v>
      </c>
      <c r="H43" s="996">
        <v>0</v>
      </c>
      <c r="I43" s="996">
        <v>0</v>
      </c>
      <c r="J43" s="996">
        <v>0</v>
      </c>
      <c r="K43" s="996">
        <v>0</v>
      </c>
      <c r="L43" s="996">
        <v>0</v>
      </c>
      <c r="M43" s="996">
        <v>0</v>
      </c>
      <c r="N43" s="996">
        <v>0</v>
      </c>
      <c r="O43" s="996">
        <v>0</v>
      </c>
      <c r="P43" s="996">
        <v>0</v>
      </c>
      <c r="Q43" s="996">
        <v>0</v>
      </c>
      <c r="R43" s="996">
        <v>0</v>
      </c>
    </row>
    <row r="44" spans="1:18" x14ac:dyDescent="0.3">
      <c r="A44" s="997">
        <v>338</v>
      </c>
      <c r="B44" s="270" t="s">
        <v>1378</v>
      </c>
      <c r="C44" s="951" t="s">
        <v>1379</v>
      </c>
      <c r="D44" s="996">
        <v>188738</v>
      </c>
      <c r="E44" s="996">
        <v>525701</v>
      </c>
      <c r="F44" s="996">
        <v>186466</v>
      </c>
      <c r="G44" s="996">
        <v>108688</v>
      </c>
      <c r="H44" s="996">
        <v>756912</v>
      </c>
      <c r="I44" s="996">
        <v>84206598</v>
      </c>
      <c r="J44" s="996">
        <v>767846</v>
      </c>
      <c r="K44" s="996">
        <v>97058</v>
      </c>
      <c r="L44" s="996">
        <v>689573</v>
      </c>
      <c r="M44" s="996">
        <v>142996</v>
      </c>
      <c r="N44" s="996">
        <v>295651</v>
      </c>
      <c r="O44" s="996">
        <v>569487</v>
      </c>
      <c r="P44" s="996">
        <v>282810</v>
      </c>
      <c r="Q44" s="996">
        <v>245818</v>
      </c>
      <c r="R44" s="996">
        <v>159800</v>
      </c>
    </row>
    <row r="45" spans="1:18" x14ac:dyDescent="0.3">
      <c r="A45" s="997">
        <v>339</v>
      </c>
      <c r="B45" s="270" t="s">
        <v>1380</v>
      </c>
      <c r="C45" s="951" t="s">
        <v>1381</v>
      </c>
      <c r="D45" s="996">
        <v>61668</v>
      </c>
      <c r="E45" s="996">
        <v>84485</v>
      </c>
      <c r="F45" s="996">
        <v>23248</v>
      </c>
      <c r="G45" s="996">
        <v>34656</v>
      </c>
      <c r="H45" s="996">
        <v>0</v>
      </c>
      <c r="I45" s="996">
        <v>2419450</v>
      </c>
      <c r="J45" s="996">
        <v>106242</v>
      </c>
      <c r="K45" s="996">
        <v>0</v>
      </c>
      <c r="L45" s="996">
        <v>93008</v>
      </c>
      <c r="M45" s="996">
        <v>8597</v>
      </c>
      <c r="N45" s="996">
        <v>0</v>
      </c>
      <c r="O45" s="996">
        <v>47188</v>
      </c>
      <c r="P45" s="996">
        <v>0</v>
      </c>
      <c r="Q45" s="996">
        <v>22727</v>
      </c>
      <c r="R45" s="996">
        <v>161744</v>
      </c>
    </row>
    <row r="46" spans="1:18" x14ac:dyDescent="0.3">
      <c r="B46" s="270" t="s">
        <v>1382</v>
      </c>
      <c r="C46" s="951" t="s">
        <v>1383</v>
      </c>
      <c r="D46" s="996">
        <v>0</v>
      </c>
      <c r="E46" s="996">
        <v>0</v>
      </c>
      <c r="F46" s="996">
        <v>0</v>
      </c>
      <c r="G46" s="996">
        <v>0</v>
      </c>
      <c r="H46" s="996">
        <v>0</v>
      </c>
      <c r="I46" s="996">
        <v>0</v>
      </c>
      <c r="J46" s="996">
        <v>0</v>
      </c>
      <c r="K46" s="996">
        <v>0</v>
      </c>
      <c r="L46" s="996">
        <v>0</v>
      </c>
      <c r="M46" s="996">
        <v>0</v>
      </c>
      <c r="N46" s="996">
        <v>0</v>
      </c>
      <c r="O46" s="996">
        <v>0</v>
      </c>
      <c r="P46" s="996">
        <v>0</v>
      </c>
      <c r="Q46" s="996">
        <v>0</v>
      </c>
      <c r="R46" s="996">
        <v>0</v>
      </c>
    </row>
    <row r="47" spans="1:18" ht="28.8" x14ac:dyDescent="0.3">
      <c r="A47" s="997">
        <v>341</v>
      </c>
      <c r="B47" s="270" t="s">
        <v>1384</v>
      </c>
      <c r="C47" s="951" t="s">
        <v>1385</v>
      </c>
      <c r="D47" s="996">
        <v>1195886</v>
      </c>
      <c r="E47" s="996">
        <v>1980654</v>
      </c>
      <c r="F47" s="996">
        <v>8533</v>
      </c>
      <c r="G47" s="996">
        <v>21550</v>
      </c>
      <c r="H47" s="996">
        <v>2130331</v>
      </c>
      <c r="I47" s="996">
        <v>54219298</v>
      </c>
      <c r="J47" s="996">
        <v>228763</v>
      </c>
      <c r="K47" s="996">
        <v>490</v>
      </c>
      <c r="L47" s="996">
        <v>3198271</v>
      </c>
      <c r="M47" s="996">
        <v>1074941</v>
      </c>
      <c r="N47" s="996">
        <v>250485</v>
      </c>
      <c r="O47" s="996">
        <v>343890</v>
      </c>
      <c r="P47" s="996">
        <v>50669</v>
      </c>
      <c r="Q47" s="996">
        <v>64183</v>
      </c>
      <c r="R47" s="996">
        <v>610828</v>
      </c>
    </row>
    <row r="48" spans="1:18" x14ac:dyDescent="0.3">
      <c r="B48" s="270" t="s">
        <v>1386</v>
      </c>
      <c r="C48" s="951" t="s">
        <v>361</v>
      </c>
      <c r="D48" s="996">
        <v>0</v>
      </c>
      <c r="E48" s="996">
        <v>0</v>
      </c>
      <c r="F48" s="996">
        <v>0</v>
      </c>
      <c r="G48" s="996">
        <v>0</v>
      </c>
      <c r="H48" s="996">
        <v>0</v>
      </c>
      <c r="I48" s="996">
        <v>0</v>
      </c>
      <c r="J48" s="996">
        <v>0</v>
      </c>
      <c r="K48" s="996">
        <v>0</v>
      </c>
      <c r="L48" s="996">
        <v>0</v>
      </c>
      <c r="M48" s="996">
        <v>0</v>
      </c>
      <c r="N48" s="996">
        <v>0</v>
      </c>
      <c r="O48" s="996">
        <v>0</v>
      </c>
      <c r="P48" s="996">
        <v>0</v>
      </c>
      <c r="Q48" s="996">
        <v>0</v>
      </c>
      <c r="R48" s="996">
        <v>0</v>
      </c>
    </row>
    <row r="49" spans="1:18" x14ac:dyDescent="0.3">
      <c r="B49" s="270" t="s">
        <v>1387</v>
      </c>
      <c r="C49" s="951" t="s">
        <v>1388</v>
      </c>
      <c r="D49" s="996">
        <v>0</v>
      </c>
      <c r="E49" s="996">
        <v>0</v>
      </c>
      <c r="F49" s="996">
        <v>0</v>
      </c>
      <c r="G49" s="996">
        <v>0</v>
      </c>
      <c r="H49" s="996">
        <v>0</v>
      </c>
      <c r="I49" s="996">
        <v>0</v>
      </c>
      <c r="J49" s="996">
        <v>0</v>
      </c>
      <c r="K49" s="996">
        <v>0</v>
      </c>
      <c r="L49" s="996">
        <v>0</v>
      </c>
      <c r="M49" s="996">
        <v>0</v>
      </c>
      <c r="N49" s="996">
        <v>0</v>
      </c>
      <c r="O49" s="996">
        <v>0</v>
      </c>
      <c r="P49" s="996">
        <v>0</v>
      </c>
      <c r="Q49" s="996">
        <v>0</v>
      </c>
      <c r="R49" s="996">
        <v>0</v>
      </c>
    </row>
    <row r="50" spans="1:18" x14ac:dyDescent="0.3">
      <c r="B50" s="270" t="s">
        <v>1389</v>
      </c>
      <c r="C50" s="951" t="s">
        <v>1390</v>
      </c>
      <c r="D50" s="996">
        <v>0</v>
      </c>
      <c r="E50" s="996">
        <v>0</v>
      </c>
      <c r="F50" s="996">
        <v>0</v>
      </c>
      <c r="G50" s="996">
        <v>0</v>
      </c>
      <c r="H50" s="996">
        <v>0</v>
      </c>
      <c r="I50" s="996">
        <v>0</v>
      </c>
      <c r="J50" s="996">
        <v>0</v>
      </c>
      <c r="K50" s="996">
        <v>0</v>
      </c>
      <c r="L50" s="996">
        <v>0</v>
      </c>
      <c r="M50" s="996">
        <v>0</v>
      </c>
      <c r="N50" s="996">
        <v>0</v>
      </c>
      <c r="O50" s="996">
        <v>0</v>
      </c>
      <c r="P50" s="996">
        <v>0</v>
      </c>
      <c r="Q50" s="996">
        <v>0</v>
      </c>
      <c r="R50" s="996">
        <v>0</v>
      </c>
    </row>
    <row r="51" spans="1:18" x14ac:dyDescent="0.3">
      <c r="B51" s="270" t="s">
        <v>1391</v>
      </c>
      <c r="C51" s="951" t="s">
        <v>362</v>
      </c>
      <c r="D51" s="996">
        <v>0</v>
      </c>
      <c r="E51" s="996">
        <v>0</v>
      </c>
      <c r="F51" s="996">
        <v>0</v>
      </c>
      <c r="G51" s="996">
        <v>0</v>
      </c>
      <c r="H51" s="996">
        <v>0</v>
      </c>
      <c r="I51" s="996">
        <v>0</v>
      </c>
      <c r="J51" s="996">
        <v>0</v>
      </c>
      <c r="K51" s="996">
        <v>0</v>
      </c>
      <c r="L51" s="996">
        <v>0</v>
      </c>
      <c r="M51" s="996">
        <v>0</v>
      </c>
      <c r="N51" s="996">
        <v>0</v>
      </c>
      <c r="O51" s="996">
        <v>0</v>
      </c>
      <c r="P51" s="996">
        <v>0</v>
      </c>
      <c r="Q51" s="996">
        <v>0</v>
      </c>
      <c r="R51" s="996">
        <v>0</v>
      </c>
    </row>
    <row r="52" spans="1:18" ht="28.8" x14ac:dyDescent="0.3">
      <c r="A52" s="997">
        <v>368</v>
      </c>
      <c r="B52" s="270" t="s">
        <v>1392</v>
      </c>
      <c r="C52" s="951" t="s">
        <v>1393</v>
      </c>
      <c r="D52" s="996">
        <v>0</v>
      </c>
      <c r="E52" s="996">
        <v>0</v>
      </c>
      <c r="F52" s="996">
        <v>0</v>
      </c>
      <c r="G52" s="996">
        <v>0</v>
      </c>
      <c r="H52" s="996">
        <v>0</v>
      </c>
      <c r="I52" s="996">
        <v>0</v>
      </c>
      <c r="J52" s="996">
        <v>0</v>
      </c>
      <c r="K52" s="996">
        <v>0</v>
      </c>
      <c r="L52" s="996">
        <v>0</v>
      </c>
      <c r="M52" s="996">
        <v>0</v>
      </c>
      <c r="N52" s="996">
        <v>0</v>
      </c>
      <c r="O52" s="996">
        <v>0</v>
      </c>
      <c r="P52" s="996">
        <v>0</v>
      </c>
      <c r="Q52" s="996">
        <v>0</v>
      </c>
      <c r="R52" s="996">
        <v>0</v>
      </c>
    </row>
    <row r="53" spans="1:18" x14ac:dyDescent="0.3">
      <c r="B53" s="270" t="s">
        <v>1394</v>
      </c>
      <c r="C53" s="951" t="s">
        <v>1395</v>
      </c>
      <c r="D53" s="996">
        <v>0</v>
      </c>
      <c r="E53" s="996">
        <v>0</v>
      </c>
      <c r="F53" s="996">
        <v>0</v>
      </c>
      <c r="G53" s="996">
        <v>0</v>
      </c>
      <c r="H53" s="996">
        <v>0</v>
      </c>
      <c r="I53" s="996">
        <v>0</v>
      </c>
      <c r="J53" s="996">
        <v>0</v>
      </c>
      <c r="K53" s="996">
        <v>0</v>
      </c>
      <c r="L53" s="996">
        <v>0</v>
      </c>
      <c r="M53" s="996">
        <v>0</v>
      </c>
      <c r="N53" s="996">
        <v>0</v>
      </c>
      <c r="O53" s="996">
        <v>0</v>
      </c>
      <c r="P53" s="996">
        <v>0</v>
      </c>
      <c r="Q53" s="996">
        <v>0</v>
      </c>
      <c r="R53" s="996">
        <v>0</v>
      </c>
    </row>
    <row r="54" spans="1:18" ht="28.8" x14ac:dyDescent="0.3">
      <c r="B54" s="270" t="s">
        <v>1396</v>
      </c>
      <c r="C54" s="951" t="s">
        <v>1397</v>
      </c>
      <c r="D54" s="996">
        <v>0</v>
      </c>
      <c r="E54" s="996">
        <v>0</v>
      </c>
      <c r="F54" s="996">
        <v>0</v>
      </c>
      <c r="G54" s="996">
        <v>0</v>
      </c>
      <c r="H54" s="996">
        <v>0</v>
      </c>
      <c r="I54" s="996">
        <v>0</v>
      </c>
      <c r="J54" s="996">
        <v>0</v>
      </c>
      <c r="K54" s="996">
        <v>0</v>
      </c>
      <c r="L54" s="996">
        <v>0</v>
      </c>
      <c r="M54" s="996">
        <v>0</v>
      </c>
      <c r="N54" s="996">
        <v>0</v>
      </c>
      <c r="O54" s="996">
        <v>0</v>
      </c>
      <c r="P54" s="996">
        <v>0</v>
      </c>
      <c r="Q54" s="996">
        <v>0</v>
      </c>
      <c r="R54" s="996">
        <v>0</v>
      </c>
    </row>
    <row r="55" spans="1:18" x14ac:dyDescent="0.3">
      <c r="B55" s="270" t="s">
        <v>1398</v>
      </c>
      <c r="C55" s="951" t="s">
        <v>1399</v>
      </c>
      <c r="D55" s="996">
        <v>0</v>
      </c>
      <c r="E55" s="996">
        <v>0</v>
      </c>
      <c r="F55" s="996">
        <v>0</v>
      </c>
      <c r="G55" s="996">
        <v>0</v>
      </c>
      <c r="H55" s="996">
        <v>0</v>
      </c>
      <c r="I55" s="996">
        <v>0</v>
      </c>
      <c r="J55" s="996">
        <v>0</v>
      </c>
      <c r="K55" s="996">
        <v>0</v>
      </c>
      <c r="L55" s="996">
        <v>0</v>
      </c>
      <c r="M55" s="996">
        <v>0</v>
      </c>
      <c r="N55" s="996">
        <v>0</v>
      </c>
      <c r="O55" s="996">
        <v>0</v>
      </c>
      <c r="P55" s="996">
        <v>0</v>
      </c>
      <c r="Q55" s="996">
        <v>0</v>
      </c>
      <c r="R55" s="996">
        <v>0</v>
      </c>
    </row>
    <row r="56" spans="1:18" x14ac:dyDescent="0.3">
      <c r="B56" s="270" t="s">
        <v>1400</v>
      </c>
      <c r="C56" s="951" t="s">
        <v>1401</v>
      </c>
      <c r="D56" s="996">
        <v>0</v>
      </c>
      <c r="E56" s="996">
        <v>0</v>
      </c>
      <c r="F56" s="996">
        <v>0</v>
      </c>
      <c r="G56" s="996">
        <v>0</v>
      </c>
      <c r="H56" s="996">
        <v>0</v>
      </c>
      <c r="I56" s="996">
        <v>0</v>
      </c>
      <c r="J56" s="996">
        <v>0</v>
      </c>
      <c r="K56" s="996">
        <v>0</v>
      </c>
      <c r="L56" s="996">
        <v>0</v>
      </c>
      <c r="M56" s="996">
        <v>0</v>
      </c>
      <c r="N56" s="996">
        <v>0</v>
      </c>
      <c r="O56" s="996">
        <v>0</v>
      </c>
      <c r="P56" s="996">
        <v>0</v>
      </c>
      <c r="Q56" s="996">
        <v>0</v>
      </c>
      <c r="R56" s="996">
        <v>0</v>
      </c>
    </row>
    <row r="57" spans="1:18" x14ac:dyDescent="0.3">
      <c r="B57" s="270" t="s">
        <v>1402</v>
      </c>
      <c r="C57" s="951" t="s">
        <v>1403</v>
      </c>
      <c r="D57" s="996">
        <v>0</v>
      </c>
      <c r="E57" s="996">
        <v>0</v>
      </c>
      <c r="F57" s="996">
        <v>0</v>
      </c>
      <c r="G57" s="996">
        <v>0</v>
      </c>
      <c r="H57" s="996">
        <v>0</v>
      </c>
      <c r="I57" s="996">
        <v>0</v>
      </c>
      <c r="J57" s="996">
        <v>0</v>
      </c>
      <c r="K57" s="996">
        <v>0</v>
      </c>
      <c r="L57" s="996">
        <v>0</v>
      </c>
      <c r="M57" s="996">
        <v>0</v>
      </c>
      <c r="N57" s="996">
        <v>0</v>
      </c>
      <c r="O57" s="996">
        <v>0</v>
      </c>
      <c r="P57" s="996">
        <v>0</v>
      </c>
      <c r="Q57" s="996">
        <v>0</v>
      </c>
      <c r="R57" s="996">
        <v>0</v>
      </c>
    </row>
    <row r="58" spans="1:18" x14ac:dyDescent="0.3">
      <c r="A58" s="997">
        <v>376</v>
      </c>
      <c r="B58" s="270" t="s">
        <v>1404</v>
      </c>
      <c r="C58" s="951" t="s">
        <v>1405</v>
      </c>
      <c r="D58" s="996">
        <v>0</v>
      </c>
      <c r="E58" s="996">
        <v>0</v>
      </c>
      <c r="F58" s="996">
        <v>0</v>
      </c>
      <c r="G58" s="996">
        <v>-37091</v>
      </c>
      <c r="H58" s="996">
        <v>-1</v>
      </c>
      <c r="I58" s="996">
        <v>0</v>
      </c>
      <c r="J58" s="996">
        <v>0</v>
      </c>
      <c r="K58" s="996">
        <v>0</v>
      </c>
      <c r="L58" s="996">
        <v>-67210</v>
      </c>
      <c r="M58" s="996">
        <v>0</v>
      </c>
      <c r="N58" s="996">
        <v>0</v>
      </c>
      <c r="O58" s="996">
        <v>0</v>
      </c>
      <c r="P58" s="996">
        <v>-26058</v>
      </c>
      <c r="Q58" s="996">
        <v>0</v>
      </c>
      <c r="R58" s="996">
        <v>0</v>
      </c>
    </row>
    <row r="59" spans="1:18" x14ac:dyDescent="0.3">
      <c r="A59" s="997">
        <v>379</v>
      </c>
      <c r="B59" s="270" t="s">
        <v>1406</v>
      </c>
      <c r="C59" s="951" t="s">
        <v>1407</v>
      </c>
      <c r="D59" s="996">
        <v>2180439</v>
      </c>
      <c r="E59" s="996">
        <v>1231244</v>
      </c>
      <c r="F59" s="996">
        <v>1468229</v>
      </c>
      <c r="G59" s="996">
        <v>638915</v>
      </c>
      <c r="H59" s="996">
        <v>1218929</v>
      </c>
      <c r="I59" s="996">
        <v>10237742</v>
      </c>
      <c r="J59" s="996">
        <v>1598176</v>
      </c>
      <c r="K59" s="996">
        <v>208716</v>
      </c>
      <c r="L59" s="996">
        <v>1651650</v>
      </c>
      <c r="M59" s="996">
        <v>1454443</v>
      </c>
      <c r="N59" s="996">
        <v>1712874</v>
      </c>
      <c r="O59" s="996">
        <v>1025650</v>
      </c>
      <c r="P59" s="996">
        <v>549219</v>
      </c>
      <c r="Q59" s="996">
        <v>680078</v>
      </c>
      <c r="R59" s="996">
        <v>434867</v>
      </c>
    </row>
    <row r="60" spans="1:18" x14ac:dyDescent="0.3">
      <c r="A60" s="997">
        <v>380</v>
      </c>
      <c r="B60" s="270" t="s">
        <v>1408</v>
      </c>
      <c r="C60" s="951" t="s">
        <v>1409</v>
      </c>
      <c r="D60" s="996">
        <v>0</v>
      </c>
      <c r="E60" s="996">
        <v>0</v>
      </c>
      <c r="F60" s="996">
        <v>0</v>
      </c>
      <c r="G60" s="996">
        <v>0</v>
      </c>
      <c r="H60" s="996">
        <v>0</v>
      </c>
      <c r="I60" s="996">
        <v>0</v>
      </c>
      <c r="J60" s="996">
        <v>0</v>
      </c>
      <c r="K60" s="996">
        <v>0</v>
      </c>
      <c r="L60" s="996">
        <v>0</v>
      </c>
      <c r="M60" s="996">
        <v>0</v>
      </c>
      <c r="N60" s="996">
        <v>0</v>
      </c>
      <c r="O60" s="996">
        <v>0</v>
      </c>
      <c r="P60" s="996">
        <v>0</v>
      </c>
      <c r="Q60" s="996">
        <v>0</v>
      </c>
      <c r="R60" s="996">
        <v>0</v>
      </c>
    </row>
    <row r="61" spans="1:18" x14ac:dyDescent="0.3">
      <c r="A61" s="997">
        <v>385</v>
      </c>
      <c r="B61" s="270" t="s">
        <v>1410</v>
      </c>
      <c r="C61" s="951" t="s">
        <v>1411</v>
      </c>
      <c r="D61" s="996">
        <v>2658417</v>
      </c>
      <c r="E61" s="996">
        <v>2080023</v>
      </c>
      <c r="F61" s="996">
        <v>1606201</v>
      </c>
      <c r="G61" s="996">
        <v>1487121</v>
      </c>
      <c r="H61" s="996">
        <v>1591079</v>
      </c>
      <c r="I61" s="996">
        <v>124255406</v>
      </c>
      <c r="J61" s="996">
        <v>3389827</v>
      </c>
      <c r="K61" s="996">
        <v>305520</v>
      </c>
      <c r="L61" s="996">
        <v>3075811</v>
      </c>
      <c r="M61" s="996">
        <v>2328938</v>
      </c>
      <c r="N61" s="996">
        <v>5211325</v>
      </c>
      <c r="O61" s="996">
        <v>2033280</v>
      </c>
      <c r="P61" s="996">
        <v>1008005</v>
      </c>
      <c r="Q61" s="996">
        <v>974723</v>
      </c>
      <c r="R61" s="996">
        <v>829761</v>
      </c>
    </row>
    <row r="62" spans="1:18" x14ac:dyDescent="0.3">
      <c r="A62" s="997">
        <v>386</v>
      </c>
      <c r="B62" s="270" t="s">
        <v>1412</v>
      </c>
      <c r="C62" s="951" t="s">
        <v>1413</v>
      </c>
      <c r="D62" s="996">
        <v>0</v>
      </c>
      <c r="E62" s="996">
        <v>0</v>
      </c>
      <c r="F62" s="996">
        <v>0</v>
      </c>
      <c r="G62" s="996">
        <v>0</v>
      </c>
      <c r="H62" s="996">
        <v>0</v>
      </c>
      <c r="I62" s="996">
        <v>0</v>
      </c>
      <c r="J62" s="996">
        <v>0</v>
      </c>
      <c r="K62" s="996">
        <v>0</v>
      </c>
      <c r="L62" s="996">
        <v>0</v>
      </c>
      <c r="M62" s="996">
        <v>0</v>
      </c>
      <c r="N62" s="996">
        <v>0</v>
      </c>
      <c r="O62" s="996">
        <v>0</v>
      </c>
      <c r="P62" s="996">
        <v>0</v>
      </c>
      <c r="Q62" s="996">
        <v>0</v>
      </c>
      <c r="R62" s="996">
        <v>0</v>
      </c>
    </row>
    <row r="63" spans="1:18" x14ac:dyDescent="0.3">
      <c r="A63" s="997">
        <v>387</v>
      </c>
      <c r="B63" s="270" t="s">
        <v>1414</v>
      </c>
      <c r="C63" s="951" t="s">
        <v>1415</v>
      </c>
      <c r="D63" s="996">
        <v>0</v>
      </c>
      <c r="E63" s="996">
        <v>0</v>
      </c>
      <c r="F63" s="996">
        <v>0</v>
      </c>
      <c r="G63" s="996">
        <v>0</v>
      </c>
      <c r="H63" s="996">
        <v>0</v>
      </c>
      <c r="I63" s="996">
        <v>0</v>
      </c>
      <c r="J63" s="996">
        <v>0</v>
      </c>
      <c r="K63" s="996">
        <v>0</v>
      </c>
      <c r="L63" s="996">
        <v>0</v>
      </c>
      <c r="M63" s="996">
        <v>0</v>
      </c>
      <c r="N63" s="996">
        <v>0</v>
      </c>
      <c r="O63" s="996">
        <v>0</v>
      </c>
      <c r="P63" s="996">
        <v>0</v>
      </c>
      <c r="Q63" s="996">
        <v>0</v>
      </c>
      <c r="R63" s="996">
        <v>0</v>
      </c>
    </row>
    <row r="64" spans="1:18" x14ac:dyDescent="0.3">
      <c r="A64" s="997">
        <v>388</v>
      </c>
      <c r="B64" s="270" t="s">
        <v>1416</v>
      </c>
      <c r="C64" s="951" t="s">
        <v>1417</v>
      </c>
      <c r="D64" s="996">
        <v>1232381</v>
      </c>
      <c r="E64" s="996">
        <v>2678912</v>
      </c>
      <c r="F64" s="996">
        <v>890125</v>
      </c>
      <c r="G64" s="996">
        <v>796153</v>
      </c>
      <c r="H64" s="996">
        <v>2384620</v>
      </c>
      <c r="I64" s="996">
        <v>47945864</v>
      </c>
      <c r="J64" s="996">
        <v>3699701</v>
      </c>
      <c r="K64" s="996">
        <v>486228</v>
      </c>
      <c r="L64" s="996">
        <v>3426514</v>
      </c>
      <c r="M64" s="996">
        <v>1107105</v>
      </c>
      <c r="N64" s="996">
        <v>1996936</v>
      </c>
      <c r="O64" s="996">
        <v>2546692</v>
      </c>
      <c r="P64" s="996">
        <v>1269145</v>
      </c>
      <c r="Q64" s="996">
        <v>1288221</v>
      </c>
      <c r="R64" s="996">
        <v>927296</v>
      </c>
    </row>
    <row r="65" spans="1:18" x14ac:dyDescent="0.3">
      <c r="A65" s="997">
        <v>389</v>
      </c>
      <c r="B65" s="270" t="s">
        <v>1418</v>
      </c>
      <c r="C65" s="951" t="s">
        <v>1419</v>
      </c>
      <c r="D65" s="996">
        <v>0</v>
      </c>
      <c r="E65" s="996">
        <v>0</v>
      </c>
      <c r="F65" s="996">
        <v>0</v>
      </c>
      <c r="G65" s="996">
        <v>0</v>
      </c>
      <c r="H65" s="996">
        <v>0</v>
      </c>
      <c r="I65" s="996">
        <v>0</v>
      </c>
      <c r="J65" s="996">
        <v>0</v>
      </c>
      <c r="K65" s="996">
        <v>0</v>
      </c>
      <c r="L65" s="996">
        <v>0</v>
      </c>
      <c r="M65" s="996">
        <v>0</v>
      </c>
      <c r="N65" s="996">
        <v>0</v>
      </c>
      <c r="O65" s="996">
        <v>0</v>
      </c>
      <c r="P65" s="996">
        <v>0</v>
      </c>
      <c r="Q65" s="996">
        <v>0</v>
      </c>
      <c r="R65" s="996">
        <v>0</v>
      </c>
    </row>
    <row r="66" spans="1:18" x14ac:dyDescent="0.3">
      <c r="B66" s="270" t="s">
        <v>1420</v>
      </c>
      <c r="C66" s="951" t="s">
        <v>1421</v>
      </c>
      <c r="D66" s="996">
        <v>0</v>
      </c>
      <c r="E66" s="996">
        <v>0</v>
      </c>
      <c r="F66" s="996">
        <v>0</v>
      </c>
      <c r="G66" s="996">
        <v>0</v>
      </c>
      <c r="H66" s="996">
        <v>0</v>
      </c>
      <c r="I66" s="996">
        <v>0</v>
      </c>
      <c r="J66" s="996">
        <v>0</v>
      </c>
      <c r="K66" s="996">
        <v>0</v>
      </c>
      <c r="L66" s="996">
        <v>0</v>
      </c>
      <c r="M66" s="996">
        <v>0</v>
      </c>
      <c r="N66" s="996">
        <v>0</v>
      </c>
      <c r="O66" s="996">
        <v>0</v>
      </c>
      <c r="P66" s="996">
        <v>0</v>
      </c>
      <c r="Q66" s="996">
        <v>0</v>
      </c>
      <c r="R66" s="996">
        <v>0</v>
      </c>
    </row>
    <row r="67" spans="1:18" x14ac:dyDescent="0.3">
      <c r="A67" s="997">
        <v>391</v>
      </c>
      <c r="B67" s="270" t="s">
        <v>1422</v>
      </c>
      <c r="C67" s="951" t="s">
        <v>1423</v>
      </c>
      <c r="D67" s="996">
        <v>0</v>
      </c>
      <c r="E67" s="996">
        <v>50102</v>
      </c>
      <c r="F67" s="996">
        <v>11875</v>
      </c>
      <c r="G67" s="996">
        <v>3136</v>
      </c>
      <c r="H67" s="996">
        <v>98550</v>
      </c>
      <c r="I67" s="996">
        <v>2613838</v>
      </c>
      <c r="J67" s="996">
        <v>32438</v>
      </c>
      <c r="K67" s="996">
        <v>50449</v>
      </c>
      <c r="L67" s="996">
        <v>60076</v>
      </c>
      <c r="M67" s="996">
        <v>2613</v>
      </c>
      <c r="N67" s="996">
        <v>24574</v>
      </c>
      <c r="O67" s="996">
        <v>94951</v>
      </c>
      <c r="P67" s="996">
        <v>16024</v>
      </c>
      <c r="Q67" s="996">
        <v>0</v>
      </c>
      <c r="R67" s="996">
        <v>28862</v>
      </c>
    </row>
    <row r="68" spans="1:18" ht="28.8" x14ac:dyDescent="0.3">
      <c r="A68" s="997">
        <v>4</v>
      </c>
      <c r="B68" s="270" t="s">
        <v>1424</v>
      </c>
      <c r="C68" s="951" t="s">
        <v>1425</v>
      </c>
      <c r="D68" s="996">
        <v>0</v>
      </c>
      <c r="E68" s="996">
        <v>39162</v>
      </c>
      <c r="F68" s="996">
        <v>0</v>
      </c>
      <c r="G68" s="996">
        <v>15402</v>
      </c>
      <c r="H68" s="996">
        <v>104480</v>
      </c>
      <c r="I68" s="996">
        <v>3820454</v>
      </c>
      <c r="J68" s="996">
        <v>95398</v>
      </c>
      <c r="K68" s="996">
        <v>17656</v>
      </c>
      <c r="L68" s="996">
        <v>77625</v>
      </c>
      <c r="M68" s="996">
        <v>4637</v>
      </c>
      <c r="N68" s="996">
        <v>105</v>
      </c>
      <c r="O68" s="996">
        <v>77953</v>
      </c>
      <c r="P68" s="996">
        <v>133318</v>
      </c>
      <c r="Q68" s="996">
        <v>7097</v>
      </c>
      <c r="R68" s="996">
        <v>5045</v>
      </c>
    </row>
    <row r="69" spans="1:18" ht="28.8" x14ac:dyDescent="0.3">
      <c r="A69" s="997">
        <v>5</v>
      </c>
      <c r="B69" s="270" t="s">
        <v>1426</v>
      </c>
      <c r="C69" s="951" t="s">
        <v>1427</v>
      </c>
      <c r="D69" s="996">
        <v>0</v>
      </c>
      <c r="E69" s="996">
        <v>0</v>
      </c>
      <c r="F69" s="996">
        <v>0</v>
      </c>
      <c r="G69" s="996">
        <v>0</v>
      </c>
      <c r="H69" s="996">
        <v>0</v>
      </c>
      <c r="I69" s="996">
        <v>0</v>
      </c>
      <c r="J69" s="996">
        <v>0</v>
      </c>
      <c r="K69" s="996">
        <v>0</v>
      </c>
      <c r="L69" s="996">
        <v>0</v>
      </c>
      <c r="M69" s="996">
        <v>0</v>
      </c>
      <c r="N69" s="996">
        <v>0</v>
      </c>
      <c r="O69" s="996">
        <v>0</v>
      </c>
      <c r="P69" s="996">
        <v>0</v>
      </c>
      <c r="Q69" s="996">
        <v>0</v>
      </c>
      <c r="R69" s="996">
        <v>0</v>
      </c>
    </row>
    <row r="70" spans="1:18" x14ac:dyDescent="0.3">
      <c r="A70" s="997">
        <v>500</v>
      </c>
      <c r="B70" s="270" t="s">
        <v>1428</v>
      </c>
      <c r="C70" s="951" t="s">
        <v>183</v>
      </c>
      <c r="D70" s="996">
        <v>103522</v>
      </c>
      <c r="E70" s="996">
        <v>170630</v>
      </c>
      <c r="F70" s="996">
        <v>1401351</v>
      </c>
      <c r="G70" s="996">
        <v>0</v>
      </c>
      <c r="H70" s="996">
        <v>135549</v>
      </c>
      <c r="I70" s="996">
        <v>10527789</v>
      </c>
      <c r="J70" s="996">
        <v>0</v>
      </c>
      <c r="K70" s="996">
        <v>49109</v>
      </c>
      <c r="L70" s="996">
        <v>0</v>
      </c>
      <c r="M70" s="996">
        <v>1172506</v>
      </c>
      <c r="N70" s="996">
        <v>0</v>
      </c>
      <c r="O70" s="996">
        <v>0</v>
      </c>
      <c r="P70" s="996">
        <v>161265</v>
      </c>
      <c r="Q70" s="996">
        <v>160012</v>
      </c>
      <c r="R70" s="996">
        <v>0</v>
      </c>
    </row>
    <row r="71" spans="1:18" x14ac:dyDescent="0.3">
      <c r="B71" s="270" t="s">
        <v>1429</v>
      </c>
      <c r="C71" s="951" t="s">
        <v>185</v>
      </c>
      <c r="D71" s="996">
        <v>0</v>
      </c>
      <c r="E71" s="996">
        <v>0</v>
      </c>
      <c r="F71" s="996">
        <v>0</v>
      </c>
      <c r="G71" s="996">
        <v>0</v>
      </c>
      <c r="H71" s="996">
        <v>0</v>
      </c>
      <c r="I71" s="996">
        <v>0</v>
      </c>
      <c r="J71" s="996">
        <v>0</v>
      </c>
      <c r="K71" s="996">
        <v>0</v>
      </c>
      <c r="L71" s="996">
        <v>0</v>
      </c>
      <c r="M71" s="996">
        <v>0</v>
      </c>
      <c r="N71" s="996">
        <v>0</v>
      </c>
      <c r="O71" s="996">
        <v>0</v>
      </c>
      <c r="P71" s="996">
        <v>0</v>
      </c>
      <c r="Q71" s="996">
        <v>0</v>
      </c>
      <c r="R71" s="996">
        <v>0</v>
      </c>
    </row>
    <row r="72" spans="1:18" x14ac:dyDescent="0.3">
      <c r="A72" s="997">
        <v>502</v>
      </c>
      <c r="B72" s="270" t="s">
        <v>1430</v>
      </c>
      <c r="C72" s="951" t="s">
        <v>186</v>
      </c>
      <c r="D72" s="996">
        <v>0</v>
      </c>
      <c r="E72" s="996">
        <v>0</v>
      </c>
      <c r="F72" s="996">
        <v>0</v>
      </c>
      <c r="G72" s="996">
        <v>0</v>
      </c>
      <c r="H72" s="996">
        <v>0</v>
      </c>
      <c r="I72" s="996">
        <v>0</v>
      </c>
      <c r="J72" s="996">
        <v>0</v>
      </c>
      <c r="K72" s="996">
        <v>0</v>
      </c>
      <c r="L72" s="996">
        <v>0</v>
      </c>
      <c r="M72" s="996">
        <v>0</v>
      </c>
      <c r="N72" s="996">
        <v>0</v>
      </c>
      <c r="O72" s="996">
        <v>0</v>
      </c>
      <c r="P72" s="996">
        <v>0</v>
      </c>
      <c r="Q72" s="996">
        <v>0</v>
      </c>
      <c r="R72" s="996">
        <v>0</v>
      </c>
    </row>
    <row r="73" spans="1:18" x14ac:dyDescent="0.3">
      <c r="A73" s="997">
        <v>503</v>
      </c>
      <c r="B73" s="270" t="s">
        <v>1431</v>
      </c>
      <c r="C73" s="951" t="s">
        <v>187</v>
      </c>
      <c r="D73" s="996">
        <v>0</v>
      </c>
      <c r="E73" s="996">
        <v>0</v>
      </c>
      <c r="F73" s="996">
        <v>0</v>
      </c>
      <c r="G73" s="996">
        <v>0</v>
      </c>
      <c r="H73" s="996">
        <v>0</v>
      </c>
      <c r="I73" s="996">
        <v>0</v>
      </c>
      <c r="J73" s="996">
        <v>0</v>
      </c>
      <c r="K73" s="996">
        <v>0</v>
      </c>
      <c r="L73" s="996">
        <v>0</v>
      </c>
      <c r="M73" s="996">
        <v>0</v>
      </c>
      <c r="N73" s="996">
        <v>0</v>
      </c>
      <c r="O73" s="996">
        <v>0</v>
      </c>
      <c r="P73" s="996">
        <v>0</v>
      </c>
      <c r="Q73" s="996">
        <v>0</v>
      </c>
      <c r="R73" s="996">
        <v>0</v>
      </c>
    </row>
    <row r="74" spans="1:18" x14ac:dyDescent="0.3">
      <c r="A74" s="997">
        <v>504</v>
      </c>
      <c r="B74" s="270" t="s">
        <v>1432</v>
      </c>
      <c r="C74" s="951" t="s">
        <v>191</v>
      </c>
      <c r="D74" s="996">
        <v>106879</v>
      </c>
      <c r="E74" s="996">
        <v>380861</v>
      </c>
      <c r="F74" s="996">
        <v>2112009</v>
      </c>
      <c r="G74" s="996">
        <v>821048</v>
      </c>
      <c r="H74" s="996">
        <v>56172</v>
      </c>
      <c r="I74" s="996">
        <v>1032096</v>
      </c>
      <c r="J74" s="996">
        <v>3473266</v>
      </c>
      <c r="K74" s="996">
        <v>413580</v>
      </c>
      <c r="L74" s="996">
        <v>206008</v>
      </c>
      <c r="M74" s="996">
        <v>16062</v>
      </c>
      <c r="N74" s="996">
        <v>1634050</v>
      </c>
      <c r="O74" s="996">
        <v>2338512</v>
      </c>
      <c r="P74" s="996">
        <v>1273626</v>
      </c>
      <c r="Q74" s="996">
        <v>1173148</v>
      </c>
      <c r="R74" s="996">
        <v>210978</v>
      </c>
    </row>
    <row r="75" spans="1:18" x14ac:dyDescent="0.3">
      <c r="A75" s="997">
        <v>505</v>
      </c>
      <c r="B75" s="270" t="s">
        <v>1433</v>
      </c>
      <c r="C75" s="951" t="s">
        <v>192</v>
      </c>
      <c r="D75" s="996">
        <v>0</v>
      </c>
      <c r="E75" s="996">
        <v>61431</v>
      </c>
      <c r="F75" s="996">
        <v>0</v>
      </c>
      <c r="G75" s="996">
        <v>0</v>
      </c>
      <c r="H75" s="996">
        <v>0</v>
      </c>
      <c r="I75" s="996">
        <v>0</v>
      </c>
      <c r="J75" s="996">
        <v>0</v>
      </c>
      <c r="K75" s="996">
        <v>0</v>
      </c>
      <c r="L75" s="996">
        <v>32081</v>
      </c>
      <c r="M75" s="996">
        <v>0</v>
      </c>
      <c r="N75" s="996">
        <v>0</v>
      </c>
      <c r="O75" s="996">
        <v>22662</v>
      </c>
      <c r="P75" s="996">
        <v>0</v>
      </c>
      <c r="Q75" s="996">
        <v>0</v>
      </c>
      <c r="R75" s="996">
        <v>0</v>
      </c>
    </row>
    <row r="76" spans="1:18" x14ac:dyDescent="0.3">
      <c r="A76" s="997">
        <v>506</v>
      </c>
      <c r="B76" s="270" t="s">
        <v>1434</v>
      </c>
      <c r="C76" s="951" t="s">
        <v>198</v>
      </c>
      <c r="D76" s="996">
        <v>2072456</v>
      </c>
      <c r="E76" s="996">
        <v>1010512</v>
      </c>
      <c r="F76" s="996">
        <v>55003</v>
      </c>
      <c r="G76" s="996">
        <v>635779</v>
      </c>
      <c r="H76" s="996">
        <v>984830</v>
      </c>
      <c r="I76" s="996">
        <v>9156403</v>
      </c>
      <c r="J76" s="996">
        <v>1498606</v>
      </c>
      <c r="K76" s="996">
        <v>104047</v>
      </c>
      <c r="L76" s="996">
        <v>1591574</v>
      </c>
      <c r="M76" s="996">
        <v>279324</v>
      </c>
      <c r="N76" s="996">
        <v>1688300</v>
      </c>
      <c r="O76" s="996">
        <v>908167</v>
      </c>
      <c r="P76" s="996">
        <v>371930</v>
      </c>
      <c r="Q76" s="996">
        <v>520066</v>
      </c>
      <c r="R76" s="996">
        <v>406005</v>
      </c>
    </row>
    <row r="77" spans="1:18" x14ac:dyDescent="0.3">
      <c r="A77" s="997">
        <v>507</v>
      </c>
      <c r="B77" s="270" t="s">
        <v>1435</v>
      </c>
      <c r="C77" s="951" t="s">
        <v>216</v>
      </c>
      <c r="D77" s="996">
        <v>0</v>
      </c>
      <c r="E77" s="996">
        <v>0</v>
      </c>
      <c r="F77" s="996">
        <v>0</v>
      </c>
      <c r="G77" s="996">
        <v>-37092</v>
      </c>
      <c r="H77" s="996">
        <v>-1</v>
      </c>
      <c r="I77" s="996">
        <v>0</v>
      </c>
      <c r="J77" s="996">
        <v>0</v>
      </c>
      <c r="K77" s="996">
        <v>0</v>
      </c>
      <c r="L77" s="996">
        <v>29026</v>
      </c>
      <c r="M77" s="996">
        <v>0</v>
      </c>
      <c r="N77" s="996">
        <v>0</v>
      </c>
      <c r="O77" s="996">
        <v>0</v>
      </c>
      <c r="P77" s="996">
        <v>26058</v>
      </c>
      <c r="Q77" s="996">
        <v>0</v>
      </c>
      <c r="R77" s="996">
        <v>0</v>
      </c>
    </row>
    <row r="78" spans="1:18" x14ac:dyDescent="0.3">
      <c r="B78" s="270" t="s">
        <v>1436</v>
      </c>
      <c r="C78" s="951" t="s">
        <v>213</v>
      </c>
      <c r="D78" s="996">
        <v>0</v>
      </c>
      <c r="E78" s="996">
        <v>0</v>
      </c>
      <c r="F78" s="996">
        <v>0</v>
      </c>
      <c r="G78" s="996">
        <v>0</v>
      </c>
      <c r="H78" s="996">
        <v>0</v>
      </c>
      <c r="I78" s="996">
        <v>0</v>
      </c>
      <c r="J78" s="996">
        <v>0</v>
      </c>
      <c r="K78" s="996">
        <v>0</v>
      </c>
      <c r="L78" s="996">
        <v>0</v>
      </c>
      <c r="M78" s="996">
        <v>0</v>
      </c>
      <c r="N78" s="996">
        <v>0</v>
      </c>
      <c r="O78" s="996">
        <v>0</v>
      </c>
      <c r="P78" s="996">
        <v>0</v>
      </c>
      <c r="Q78" s="996">
        <v>0</v>
      </c>
      <c r="R78" s="996">
        <v>0</v>
      </c>
    </row>
    <row r="79" spans="1:18" x14ac:dyDescent="0.3">
      <c r="B79" s="270" t="s">
        <v>1437</v>
      </c>
      <c r="C79" s="951" t="s">
        <v>214</v>
      </c>
      <c r="D79" s="996">
        <v>0</v>
      </c>
      <c r="E79" s="996">
        <v>0</v>
      </c>
      <c r="F79" s="996">
        <v>0</v>
      </c>
      <c r="G79" s="996">
        <v>0</v>
      </c>
      <c r="H79" s="996">
        <v>0</v>
      </c>
      <c r="I79" s="996">
        <v>0</v>
      </c>
      <c r="J79" s="996">
        <v>0</v>
      </c>
      <c r="K79" s="996">
        <v>0</v>
      </c>
      <c r="L79" s="996">
        <v>0</v>
      </c>
      <c r="M79" s="996">
        <v>0</v>
      </c>
      <c r="N79" s="996">
        <v>0</v>
      </c>
      <c r="O79" s="996">
        <v>0</v>
      </c>
      <c r="P79" s="996">
        <v>0</v>
      </c>
      <c r="Q79" s="996">
        <v>0</v>
      </c>
      <c r="R79" s="996">
        <v>0</v>
      </c>
    </row>
    <row r="80" spans="1:18" x14ac:dyDescent="0.3">
      <c r="B80" s="270" t="s">
        <v>1438</v>
      </c>
      <c r="C80" s="951" t="s">
        <v>220</v>
      </c>
      <c r="D80" s="996">
        <v>0</v>
      </c>
      <c r="E80" s="996">
        <v>0</v>
      </c>
      <c r="F80" s="996">
        <v>0</v>
      </c>
      <c r="G80" s="996">
        <v>0</v>
      </c>
      <c r="H80" s="996">
        <v>0</v>
      </c>
      <c r="I80" s="996">
        <v>0</v>
      </c>
      <c r="J80" s="996">
        <v>0</v>
      </c>
      <c r="K80" s="996">
        <v>0</v>
      </c>
      <c r="L80" s="996">
        <v>0</v>
      </c>
      <c r="M80" s="996">
        <v>0</v>
      </c>
      <c r="N80" s="996">
        <v>0</v>
      </c>
      <c r="O80" s="996">
        <v>0</v>
      </c>
      <c r="P80" s="996">
        <v>0</v>
      </c>
      <c r="Q80" s="996">
        <v>0</v>
      </c>
      <c r="R80" s="996">
        <v>0</v>
      </c>
    </row>
    <row r="81" spans="1:18" x14ac:dyDescent="0.3">
      <c r="B81" s="270" t="s">
        <v>1439</v>
      </c>
      <c r="C81" s="951" t="s">
        <v>225</v>
      </c>
      <c r="D81" s="996">
        <v>0</v>
      </c>
      <c r="E81" s="996">
        <v>0</v>
      </c>
      <c r="F81" s="996">
        <v>0</v>
      </c>
      <c r="G81" s="996">
        <v>0</v>
      </c>
      <c r="H81" s="996">
        <v>0</v>
      </c>
      <c r="I81" s="996">
        <v>0</v>
      </c>
      <c r="J81" s="996">
        <v>0</v>
      </c>
      <c r="K81" s="996">
        <v>0</v>
      </c>
      <c r="L81" s="996">
        <v>0</v>
      </c>
      <c r="M81" s="996">
        <v>0</v>
      </c>
      <c r="N81" s="996">
        <v>0</v>
      </c>
      <c r="O81" s="996">
        <v>0</v>
      </c>
      <c r="P81" s="996">
        <v>0</v>
      </c>
      <c r="Q81" s="996">
        <v>0</v>
      </c>
      <c r="R81" s="996">
        <v>0</v>
      </c>
    </row>
    <row r="82" spans="1:18" x14ac:dyDescent="0.3">
      <c r="A82" s="997">
        <v>512</v>
      </c>
      <c r="B82" s="270" t="s">
        <v>1440</v>
      </c>
      <c r="C82" s="951" t="s">
        <v>252</v>
      </c>
      <c r="D82" s="996">
        <v>85787</v>
      </c>
      <c r="E82" s="996">
        <v>0</v>
      </c>
      <c r="F82" s="996">
        <v>0</v>
      </c>
      <c r="G82" s="996">
        <v>0</v>
      </c>
      <c r="H82" s="996">
        <v>0</v>
      </c>
      <c r="I82" s="996">
        <v>0</v>
      </c>
      <c r="J82" s="996">
        <v>0</v>
      </c>
      <c r="K82" s="996">
        <v>0</v>
      </c>
      <c r="L82" s="996">
        <v>0</v>
      </c>
      <c r="M82" s="996">
        <v>0</v>
      </c>
      <c r="N82" s="996">
        <v>0</v>
      </c>
      <c r="O82" s="996">
        <v>0</v>
      </c>
      <c r="P82" s="996">
        <v>0</v>
      </c>
      <c r="Q82" s="996">
        <v>0</v>
      </c>
      <c r="R82" s="996">
        <v>0</v>
      </c>
    </row>
    <row r="83" spans="1:18" x14ac:dyDescent="0.3">
      <c r="A83" s="997"/>
      <c r="B83" s="270" t="s">
        <v>1441</v>
      </c>
      <c r="C83" s="951" t="s">
        <v>259</v>
      </c>
      <c r="D83" s="996">
        <v>0</v>
      </c>
      <c r="E83" s="996">
        <v>0</v>
      </c>
      <c r="F83" s="996">
        <v>0</v>
      </c>
      <c r="G83" s="996">
        <v>0</v>
      </c>
      <c r="H83" s="996">
        <v>0</v>
      </c>
      <c r="I83" s="996">
        <v>0</v>
      </c>
      <c r="J83" s="996">
        <v>0</v>
      </c>
      <c r="K83" s="996">
        <v>0</v>
      </c>
      <c r="L83" s="996">
        <v>0</v>
      </c>
      <c r="M83" s="996">
        <v>0</v>
      </c>
      <c r="N83" s="996">
        <v>0</v>
      </c>
      <c r="O83" s="996">
        <v>0</v>
      </c>
      <c r="P83" s="996">
        <v>0</v>
      </c>
      <c r="Q83" s="996">
        <v>0</v>
      </c>
      <c r="R83" s="996">
        <v>0</v>
      </c>
    </row>
    <row r="84" spans="1:18" x14ac:dyDescent="0.3">
      <c r="B84" s="270" t="s">
        <v>1442</v>
      </c>
      <c r="C84" s="951" t="s">
        <v>260</v>
      </c>
      <c r="D84" s="996">
        <v>0</v>
      </c>
      <c r="E84" s="996">
        <v>0</v>
      </c>
      <c r="F84" s="996">
        <v>0</v>
      </c>
      <c r="G84" s="996">
        <v>0</v>
      </c>
      <c r="H84" s="996">
        <v>0</v>
      </c>
      <c r="I84" s="996">
        <v>0</v>
      </c>
      <c r="J84" s="996">
        <v>0</v>
      </c>
      <c r="K84" s="996">
        <v>0</v>
      </c>
      <c r="L84" s="996">
        <v>0</v>
      </c>
      <c r="M84" s="996">
        <v>0</v>
      </c>
      <c r="N84" s="996">
        <v>0</v>
      </c>
      <c r="O84" s="996">
        <v>0</v>
      </c>
      <c r="P84" s="996">
        <v>0</v>
      </c>
      <c r="Q84" s="996">
        <v>0</v>
      </c>
      <c r="R84" s="996">
        <v>0</v>
      </c>
    </row>
    <row r="85" spans="1:18" x14ac:dyDescent="0.3">
      <c r="B85" s="270" t="s">
        <v>1443</v>
      </c>
      <c r="C85" s="951" t="s">
        <v>273</v>
      </c>
      <c r="D85" s="996">
        <v>0</v>
      </c>
      <c r="E85" s="996">
        <v>0</v>
      </c>
      <c r="F85" s="996">
        <v>0</v>
      </c>
      <c r="G85" s="996">
        <v>0</v>
      </c>
      <c r="H85" s="996">
        <v>0</v>
      </c>
      <c r="I85" s="996">
        <v>0</v>
      </c>
      <c r="J85" s="996">
        <v>0</v>
      </c>
      <c r="K85" s="996">
        <v>0</v>
      </c>
      <c r="L85" s="996">
        <v>0</v>
      </c>
      <c r="M85" s="996">
        <v>0</v>
      </c>
      <c r="N85" s="996">
        <v>0</v>
      </c>
      <c r="O85" s="996">
        <v>0</v>
      </c>
      <c r="P85" s="996">
        <v>0</v>
      </c>
      <c r="Q85" s="996">
        <v>0</v>
      </c>
      <c r="R85" s="996">
        <v>0</v>
      </c>
    </row>
    <row r="86" spans="1:18" x14ac:dyDescent="0.3">
      <c r="B86" s="270" t="s">
        <v>1444</v>
      </c>
      <c r="C86" s="951" t="s">
        <v>274</v>
      </c>
      <c r="D86" s="996">
        <v>0</v>
      </c>
      <c r="E86" s="996">
        <v>0</v>
      </c>
      <c r="F86" s="996">
        <v>0</v>
      </c>
      <c r="G86" s="996">
        <v>0</v>
      </c>
      <c r="H86" s="996">
        <v>0</v>
      </c>
      <c r="I86" s="996">
        <v>0</v>
      </c>
      <c r="J86" s="996">
        <v>0</v>
      </c>
      <c r="K86" s="996">
        <v>0</v>
      </c>
      <c r="L86" s="996">
        <v>0</v>
      </c>
      <c r="M86" s="996">
        <v>0</v>
      </c>
      <c r="N86" s="996">
        <v>0</v>
      </c>
      <c r="O86" s="996">
        <v>0</v>
      </c>
      <c r="P86" s="996">
        <v>0</v>
      </c>
      <c r="Q86" s="996">
        <v>0</v>
      </c>
      <c r="R86" s="996">
        <v>0</v>
      </c>
    </row>
    <row r="87" spans="1:18" x14ac:dyDescent="0.3">
      <c r="B87" s="270" t="s">
        <v>1445</v>
      </c>
      <c r="C87" s="951" t="s">
        <v>275</v>
      </c>
      <c r="D87" s="996">
        <v>0</v>
      </c>
      <c r="E87" s="996">
        <v>0</v>
      </c>
      <c r="F87" s="996">
        <v>0</v>
      </c>
      <c r="G87" s="996">
        <v>0</v>
      </c>
      <c r="H87" s="996">
        <v>0</v>
      </c>
      <c r="I87" s="996">
        <v>0</v>
      </c>
      <c r="J87" s="996">
        <v>0</v>
      </c>
      <c r="K87" s="996">
        <v>0</v>
      </c>
      <c r="L87" s="996">
        <v>0</v>
      </c>
      <c r="M87" s="996">
        <v>0</v>
      </c>
      <c r="N87" s="996">
        <v>0</v>
      </c>
      <c r="O87" s="996">
        <v>0</v>
      </c>
      <c r="P87" s="996">
        <v>0</v>
      </c>
      <c r="Q87" s="996">
        <v>0</v>
      </c>
      <c r="R87" s="996">
        <v>0</v>
      </c>
    </row>
    <row r="88" spans="1:18" x14ac:dyDescent="0.3">
      <c r="B88" s="270" t="s">
        <v>1446</v>
      </c>
      <c r="C88" s="951" t="s">
        <v>276</v>
      </c>
      <c r="D88" s="996">
        <v>0</v>
      </c>
      <c r="E88" s="996">
        <v>0</v>
      </c>
      <c r="F88" s="996">
        <v>0</v>
      </c>
      <c r="G88" s="996">
        <v>0</v>
      </c>
      <c r="H88" s="996">
        <v>0</v>
      </c>
      <c r="I88" s="996">
        <v>0</v>
      </c>
      <c r="J88" s="996">
        <v>0</v>
      </c>
      <c r="K88" s="996">
        <v>0</v>
      </c>
      <c r="L88" s="996">
        <v>0</v>
      </c>
      <c r="M88" s="996">
        <v>0</v>
      </c>
      <c r="N88" s="996">
        <v>0</v>
      </c>
      <c r="O88" s="996">
        <v>0</v>
      </c>
      <c r="P88" s="996">
        <v>0</v>
      </c>
      <c r="Q88" s="996">
        <v>0</v>
      </c>
      <c r="R88" s="996">
        <v>0</v>
      </c>
    </row>
    <row r="89" spans="1:18" x14ac:dyDescent="0.3">
      <c r="B89" s="270" t="s">
        <v>1447</v>
      </c>
      <c r="C89" s="951" t="s">
        <v>277</v>
      </c>
      <c r="D89" s="996">
        <v>0</v>
      </c>
      <c r="E89" s="996">
        <v>0</v>
      </c>
      <c r="F89" s="996">
        <v>0</v>
      </c>
      <c r="G89" s="996">
        <v>0</v>
      </c>
      <c r="H89" s="996">
        <v>0</v>
      </c>
      <c r="I89" s="996">
        <v>0</v>
      </c>
      <c r="J89" s="996">
        <v>0</v>
      </c>
      <c r="K89" s="996">
        <v>0</v>
      </c>
      <c r="L89" s="996">
        <v>0</v>
      </c>
      <c r="M89" s="996">
        <v>0</v>
      </c>
      <c r="N89" s="996">
        <v>0</v>
      </c>
      <c r="O89" s="996">
        <v>0</v>
      </c>
      <c r="P89" s="996">
        <v>0</v>
      </c>
      <c r="Q89" s="996">
        <v>0</v>
      </c>
      <c r="R89" s="996">
        <v>0</v>
      </c>
    </row>
    <row r="90" spans="1:18" x14ac:dyDescent="0.3">
      <c r="B90" s="270" t="s">
        <v>1448</v>
      </c>
      <c r="C90" s="951" t="s">
        <v>278</v>
      </c>
      <c r="D90" s="996">
        <v>0</v>
      </c>
      <c r="E90" s="996">
        <v>0</v>
      </c>
      <c r="F90" s="996">
        <v>0</v>
      </c>
      <c r="G90" s="996">
        <v>0</v>
      </c>
      <c r="H90" s="996">
        <v>0</v>
      </c>
      <c r="I90" s="996">
        <v>0</v>
      </c>
      <c r="J90" s="996">
        <v>0</v>
      </c>
      <c r="K90" s="996">
        <v>0</v>
      </c>
      <c r="L90" s="996">
        <v>0</v>
      </c>
      <c r="M90" s="996">
        <v>0</v>
      </c>
      <c r="N90" s="996">
        <v>0</v>
      </c>
      <c r="O90" s="996">
        <v>0</v>
      </c>
      <c r="P90" s="996">
        <v>0</v>
      </c>
      <c r="Q90" s="996">
        <v>0</v>
      </c>
      <c r="R90" s="996">
        <v>0</v>
      </c>
    </row>
    <row r="91" spans="1:18" x14ac:dyDescent="0.3">
      <c r="B91" s="270" t="s">
        <v>1449</v>
      </c>
      <c r="C91" s="951" t="s">
        <v>279</v>
      </c>
      <c r="D91" s="996">
        <v>0</v>
      </c>
      <c r="E91" s="996">
        <v>0</v>
      </c>
      <c r="F91" s="996">
        <v>0</v>
      </c>
      <c r="G91" s="996">
        <v>0</v>
      </c>
      <c r="H91" s="996">
        <v>0</v>
      </c>
      <c r="I91" s="996">
        <v>0</v>
      </c>
      <c r="J91" s="996">
        <v>0</v>
      </c>
      <c r="K91" s="996">
        <v>0</v>
      </c>
      <c r="L91" s="996">
        <v>0</v>
      </c>
      <c r="M91" s="996">
        <v>0</v>
      </c>
      <c r="N91" s="996">
        <v>0</v>
      </c>
      <c r="O91" s="996">
        <v>0</v>
      </c>
      <c r="P91" s="996">
        <v>0</v>
      </c>
      <c r="Q91" s="996">
        <v>0</v>
      </c>
      <c r="R91" s="996">
        <v>0</v>
      </c>
    </row>
    <row r="92" spans="1:18" x14ac:dyDescent="0.3">
      <c r="B92" s="270" t="s">
        <v>1450</v>
      </c>
      <c r="C92" s="951" t="s">
        <v>280</v>
      </c>
      <c r="D92" s="996">
        <v>0</v>
      </c>
      <c r="E92" s="996">
        <v>0</v>
      </c>
      <c r="F92" s="996">
        <v>0</v>
      </c>
      <c r="G92" s="996">
        <v>0</v>
      </c>
      <c r="H92" s="996">
        <v>0</v>
      </c>
      <c r="I92" s="996">
        <v>0</v>
      </c>
      <c r="J92" s="996">
        <v>0</v>
      </c>
      <c r="K92" s="996">
        <v>0</v>
      </c>
      <c r="L92" s="996">
        <v>0</v>
      </c>
      <c r="M92" s="996">
        <v>0</v>
      </c>
      <c r="N92" s="996">
        <v>0</v>
      </c>
      <c r="O92" s="996">
        <v>0</v>
      </c>
      <c r="P92" s="996">
        <v>0</v>
      </c>
      <c r="Q92" s="996">
        <v>0</v>
      </c>
      <c r="R92" s="996">
        <v>0</v>
      </c>
    </row>
    <row r="93" spans="1:18" x14ac:dyDescent="0.3">
      <c r="B93" s="270" t="s">
        <v>1451</v>
      </c>
      <c r="C93" s="951" t="s">
        <v>281</v>
      </c>
      <c r="D93" s="996">
        <v>0</v>
      </c>
      <c r="E93" s="996">
        <v>0</v>
      </c>
      <c r="F93" s="996">
        <v>0</v>
      </c>
      <c r="G93" s="996">
        <v>0</v>
      </c>
      <c r="H93" s="996">
        <v>0</v>
      </c>
      <c r="I93" s="996">
        <v>0</v>
      </c>
      <c r="J93" s="996">
        <v>0</v>
      </c>
      <c r="K93" s="996">
        <v>0</v>
      </c>
      <c r="L93" s="996">
        <v>0</v>
      </c>
      <c r="M93" s="996">
        <v>0</v>
      </c>
      <c r="N93" s="996">
        <v>0</v>
      </c>
      <c r="O93" s="996">
        <v>0</v>
      </c>
      <c r="P93" s="996">
        <v>0</v>
      </c>
      <c r="Q93" s="996">
        <v>0</v>
      </c>
      <c r="R93" s="996">
        <v>0</v>
      </c>
    </row>
    <row r="94" spans="1:18" x14ac:dyDescent="0.3">
      <c r="B94" s="270" t="s">
        <v>1452</v>
      </c>
      <c r="C94" s="951" t="s">
        <v>282</v>
      </c>
      <c r="D94" s="996">
        <v>0</v>
      </c>
      <c r="E94" s="996">
        <v>0</v>
      </c>
      <c r="F94" s="996">
        <v>0</v>
      </c>
      <c r="G94" s="996">
        <v>0</v>
      </c>
      <c r="H94" s="996">
        <v>0</v>
      </c>
      <c r="I94" s="996">
        <v>0</v>
      </c>
      <c r="J94" s="996">
        <v>0</v>
      </c>
      <c r="K94" s="996">
        <v>0</v>
      </c>
      <c r="L94" s="996">
        <v>0</v>
      </c>
      <c r="M94" s="996">
        <v>0</v>
      </c>
      <c r="N94" s="996">
        <v>0</v>
      </c>
      <c r="O94" s="996">
        <v>0</v>
      </c>
      <c r="P94" s="996">
        <v>0</v>
      </c>
      <c r="Q94" s="996">
        <v>0</v>
      </c>
      <c r="R94" s="996">
        <v>0</v>
      </c>
    </row>
    <row r="95" spans="1:18" x14ac:dyDescent="0.3">
      <c r="B95" s="270" t="s">
        <v>1453</v>
      </c>
      <c r="C95" s="951" t="s">
        <v>283</v>
      </c>
      <c r="D95" s="996">
        <v>0</v>
      </c>
      <c r="E95" s="996">
        <v>0</v>
      </c>
      <c r="F95" s="996">
        <v>0</v>
      </c>
      <c r="G95" s="996">
        <v>0</v>
      </c>
      <c r="H95" s="996">
        <v>0</v>
      </c>
      <c r="I95" s="996">
        <v>0</v>
      </c>
      <c r="J95" s="996">
        <v>0</v>
      </c>
      <c r="K95" s="996">
        <v>0</v>
      </c>
      <c r="L95" s="996">
        <v>0</v>
      </c>
      <c r="M95" s="996">
        <v>0</v>
      </c>
      <c r="N95" s="996">
        <v>0</v>
      </c>
      <c r="O95" s="996">
        <v>0</v>
      </c>
      <c r="P95" s="996">
        <v>0</v>
      </c>
      <c r="Q95" s="996">
        <v>0</v>
      </c>
      <c r="R95" s="996">
        <v>0</v>
      </c>
    </row>
    <row r="96" spans="1:18" x14ac:dyDescent="0.3">
      <c r="B96" s="270" t="s">
        <v>1454</v>
      </c>
      <c r="C96" s="951" t="s">
        <v>284</v>
      </c>
      <c r="D96" s="996">
        <v>0</v>
      </c>
      <c r="E96" s="996">
        <v>0</v>
      </c>
      <c r="F96" s="996">
        <v>0</v>
      </c>
      <c r="G96" s="996">
        <v>0</v>
      </c>
      <c r="H96" s="996">
        <v>0</v>
      </c>
      <c r="I96" s="996">
        <v>0</v>
      </c>
      <c r="J96" s="996">
        <v>0</v>
      </c>
      <c r="K96" s="996">
        <v>0</v>
      </c>
      <c r="L96" s="996">
        <v>0</v>
      </c>
      <c r="M96" s="996">
        <v>0</v>
      </c>
      <c r="N96" s="996">
        <v>0</v>
      </c>
      <c r="O96" s="996">
        <v>0</v>
      </c>
      <c r="P96" s="996">
        <v>0</v>
      </c>
      <c r="Q96" s="996">
        <v>0</v>
      </c>
      <c r="R96" s="996">
        <v>0</v>
      </c>
    </row>
    <row r="97" spans="1:18" x14ac:dyDescent="0.3">
      <c r="B97" s="270" t="s">
        <v>1455</v>
      </c>
      <c r="C97" s="951" t="s">
        <v>285</v>
      </c>
      <c r="D97" s="996">
        <v>0</v>
      </c>
      <c r="E97" s="996">
        <v>0</v>
      </c>
      <c r="F97" s="996">
        <v>0</v>
      </c>
      <c r="G97" s="996">
        <v>0</v>
      </c>
      <c r="H97" s="996">
        <v>0</v>
      </c>
      <c r="I97" s="996">
        <v>0</v>
      </c>
      <c r="J97" s="996">
        <v>0</v>
      </c>
      <c r="K97" s="996">
        <v>0</v>
      </c>
      <c r="L97" s="996">
        <v>0</v>
      </c>
      <c r="M97" s="996">
        <v>0</v>
      </c>
      <c r="N97" s="996">
        <v>0</v>
      </c>
      <c r="O97" s="996">
        <v>0</v>
      </c>
      <c r="P97" s="996">
        <v>0</v>
      </c>
      <c r="Q97" s="996">
        <v>0</v>
      </c>
      <c r="R97" s="996">
        <v>0</v>
      </c>
    </row>
    <row r="98" spans="1:18" x14ac:dyDescent="0.3">
      <c r="B98" s="270" t="s">
        <v>1456</v>
      </c>
      <c r="C98" s="951" t="s">
        <v>267</v>
      </c>
      <c r="D98" s="996">
        <v>0</v>
      </c>
      <c r="E98" s="996">
        <v>0</v>
      </c>
      <c r="F98" s="996">
        <v>0</v>
      </c>
      <c r="G98" s="996">
        <v>0</v>
      </c>
      <c r="H98" s="996">
        <v>0</v>
      </c>
      <c r="I98" s="996">
        <v>0</v>
      </c>
      <c r="J98" s="996">
        <v>0</v>
      </c>
      <c r="K98" s="996">
        <v>0</v>
      </c>
      <c r="L98" s="996">
        <v>0</v>
      </c>
      <c r="M98" s="996">
        <v>0</v>
      </c>
      <c r="N98" s="996">
        <v>0</v>
      </c>
      <c r="O98" s="996">
        <v>0</v>
      </c>
      <c r="P98" s="996">
        <v>0</v>
      </c>
      <c r="Q98" s="996">
        <v>0</v>
      </c>
      <c r="R98" s="996">
        <v>0</v>
      </c>
    </row>
    <row r="99" spans="1:18" x14ac:dyDescent="0.3">
      <c r="B99" s="270" t="s">
        <v>1457</v>
      </c>
      <c r="C99" s="951" t="s">
        <v>268</v>
      </c>
      <c r="D99" s="996">
        <v>0</v>
      </c>
      <c r="E99" s="996">
        <v>0</v>
      </c>
      <c r="F99" s="996">
        <v>0</v>
      </c>
      <c r="G99" s="996">
        <v>0</v>
      </c>
      <c r="H99" s="996">
        <v>0</v>
      </c>
      <c r="I99" s="996">
        <v>0</v>
      </c>
      <c r="J99" s="996">
        <v>0</v>
      </c>
      <c r="K99" s="996">
        <v>0</v>
      </c>
      <c r="L99" s="996">
        <v>0</v>
      </c>
      <c r="M99" s="996">
        <v>0</v>
      </c>
      <c r="N99" s="996">
        <v>0</v>
      </c>
      <c r="O99" s="996">
        <v>0</v>
      </c>
      <c r="P99" s="996">
        <v>0</v>
      </c>
      <c r="Q99" s="996">
        <v>0</v>
      </c>
      <c r="R99" s="996">
        <v>0</v>
      </c>
    </row>
    <row r="100" spans="1:18" x14ac:dyDescent="0.3">
      <c r="B100" s="270" t="s">
        <v>1458</v>
      </c>
      <c r="C100" s="951" t="s">
        <v>269</v>
      </c>
      <c r="D100" s="996">
        <v>0</v>
      </c>
      <c r="E100" s="996">
        <v>0</v>
      </c>
      <c r="F100" s="996">
        <v>0</v>
      </c>
      <c r="G100" s="996">
        <v>0</v>
      </c>
      <c r="H100" s="996">
        <v>0</v>
      </c>
      <c r="I100" s="996">
        <v>0</v>
      </c>
      <c r="J100" s="996">
        <v>0</v>
      </c>
      <c r="K100" s="996">
        <v>0</v>
      </c>
      <c r="L100" s="996">
        <v>0</v>
      </c>
      <c r="M100" s="996">
        <v>0</v>
      </c>
      <c r="N100" s="996">
        <v>0</v>
      </c>
      <c r="O100" s="996">
        <v>0</v>
      </c>
      <c r="P100" s="996">
        <v>0</v>
      </c>
      <c r="Q100" s="996">
        <v>0</v>
      </c>
      <c r="R100" s="996">
        <v>0</v>
      </c>
    </row>
    <row r="101" spans="1:18" x14ac:dyDescent="0.3">
      <c r="B101" s="270" t="s">
        <v>1459</v>
      </c>
      <c r="C101" s="951" t="s">
        <v>270</v>
      </c>
      <c r="D101" s="996">
        <v>0</v>
      </c>
      <c r="E101" s="996">
        <v>0</v>
      </c>
      <c r="F101" s="996">
        <v>0</v>
      </c>
      <c r="G101" s="996">
        <v>0</v>
      </c>
      <c r="H101" s="996">
        <v>0</v>
      </c>
      <c r="I101" s="996">
        <v>0</v>
      </c>
      <c r="J101" s="996">
        <v>0</v>
      </c>
      <c r="K101" s="996">
        <v>0</v>
      </c>
      <c r="L101" s="996">
        <v>0</v>
      </c>
      <c r="M101" s="996">
        <v>0</v>
      </c>
      <c r="N101" s="996">
        <v>0</v>
      </c>
      <c r="O101" s="996">
        <v>0</v>
      </c>
      <c r="P101" s="996">
        <v>0</v>
      </c>
      <c r="Q101" s="996">
        <v>0</v>
      </c>
      <c r="R101" s="996">
        <v>0</v>
      </c>
    </row>
    <row r="102" spans="1:18" x14ac:dyDescent="0.3">
      <c r="A102" s="997">
        <v>532</v>
      </c>
      <c r="B102" s="270" t="s">
        <v>1460</v>
      </c>
      <c r="C102" s="951" t="s">
        <v>1461</v>
      </c>
      <c r="D102" s="996">
        <v>1185182</v>
      </c>
      <c r="E102" s="996">
        <v>2569470</v>
      </c>
      <c r="F102" s="996">
        <v>866339</v>
      </c>
      <c r="G102" s="996">
        <v>841945</v>
      </c>
      <c r="H102" s="996">
        <v>2134255</v>
      </c>
      <c r="I102" s="996">
        <v>41603178</v>
      </c>
      <c r="J102" s="996">
        <v>3849357</v>
      </c>
      <c r="K102" s="996">
        <v>482422</v>
      </c>
      <c r="L102" s="996">
        <v>3293534</v>
      </c>
      <c r="M102" s="996">
        <v>1060898</v>
      </c>
      <c r="N102" s="996">
        <v>1874583</v>
      </c>
      <c r="O102" s="996">
        <v>2668225</v>
      </c>
      <c r="P102" s="996">
        <v>1316721</v>
      </c>
      <c r="Q102" s="996">
        <v>1241916</v>
      </c>
      <c r="R102" s="996">
        <v>893390</v>
      </c>
    </row>
    <row r="103" spans="1:18" x14ac:dyDescent="0.3">
      <c r="A103" s="997">
        <v>533</v>
      </c>
      <c r="B103" s="270" t="s">
        <v>1462</v>
      </c>
      <c r="C103" s="951" t="s">
        <v>1463</v>
      </c>
      <c r="D103" s="996">
        <v>0</v>
      </c>
      <c r="E103" s="996">
        <v>0</v>
      </c>
      <c r="F103" s="996">
        <v>0</v>
      </c>
      <c r="G103" s="996">
        <v>0</v>
      </c>
      <c r="H103" s="996">
        <v>0</v>
      </c>
      <c r="I103" s="996">
        <v>0</v>
      </c>
      <c r="J103" s="996">
        <v>126516</v>
      </c>
      <c r="K103" s="996">
        <v>0</v>
      </c>
      <c r="L103" s="996">
        <v>0</v>
      </c>
      <c r="M103" s="996">
        <v>0</v>
      </c>
      <c r="N103" s="996">
        <v>0</v>
      </c>
      <c r="O103" s="996">
        <v>0</v>
      </c>
      <c r="P103" s="996">
        <v>0</v>
      </c>
      <c r="Q103" s="996">
        <v>0</v>
      </c>
      <c r="R103" s="996">
        <v>0</v>
      </c>
    </row>
    <row r="104" spans="1:18" x14ac:dyDescent="0.3">
      <c r="A104" s="997">
        <v>536</v>
      </c>
      <c r="B104" s="270" t="s">
        <v>1464</v>
      </c>
      <c r="C104" s="951" t="s">
        <v>271</v>
      </c>
      <c r="D104" s="996">
        <v>0</v>
      </c>
      <c r="E104" s="996">
        <v>0</v>
      </c>
      <c r="F104" s="996">
        <v>0</v>
      </c>
      <c r="G104" s="996">
        <v>0</v>
      </c>
      <c r="H104" s="996">
        <v>0</v>
      </c>
      <c r="I104" s="996">
        <v>0</v>
      </c>
      <c r="J104" s="996">
        <v>0</v>
      </c>
      <c r="K104" s="996">
        <v>0</v>
      </c>
      <c r="L104" s="996">
        <v>0</v>
      </c>
      <c r="M104" s="996">
        <v>0</v>
      </c>
      <c r="N104" s="996">
        <v>0</v>
      </c>
      <c r="O104" s="996">
        <v>0</v>
      </c>
      <c r="P104" s="996">
        <v>0</v>
      </c>
      <c r="Q104" s="996">
        <v>0</v>
      </c>
      <c r="R104" s="996">
        <v>0</v>
      </c>
    </row>
    <row r="105" spans="1:18" x14ac:dyDescent="0.3">
      <c r="B105" s="270" t="s">
        <v>1465</v>
      </c>
      <c r="C105" s="951" t="s">
        <v>253</v>
      </c>
      <c r="D105" s="996">
        <v>0</v>
      </c>
      <c r="E105" s="996">
        <v>0</v>
      </c>
      <c r="F105" s="996">
        <v>0</v>
      </c>
      <c r="G105" s="996">
        <v>0</v>
      </c>
      <c r="H105" s="996">
        <v>0</v>
      </c>
      <c r="I105" s="996">
        <v>0</v>
      </c>
      <c r="J105" s="996">
        <v>0</v>
      </c>
      <c r="K105" s="996">
        <v>0</v>
      </c>
      <c r="L105" s="996">
        <v>0</v>
      </c>
      <c r="M105" s="996">
        <v>0</v>
      </c>
      <c r="N105" s="996">
        <v>0</v>
      </c>
      <c r="O105" s="996">
        <v>0</v>
      </c>
      <c r="P105" s="996">
        <v>0</v>
      </c>
      <c r="Q105" s="996">
        <v>0</v>
      </c>
      <c r="R105" s="996">
        <v>0</v>
      </c>
    </row>
    <row r="106" spans="1:18" x14ac:dyDescent="0.3">
      <c r="A106" s="997"/>
      <c r="B106" s="270" t="s">
        <v>1466</v>
      </c>
      <c r="C106" s="951" t="s">
        <v>199</v>
      </c>
      <c r="D106" s="996">
        <v>103522</v>
      </c>
      <c r="E106" s="996">
        <v>170630</v>
      </c>
      <c r="F106" s="996">
        <v>1401351</v>
      </c>
      <c r="G106" s="996">
        <v>0</v>
      </c>
      <c r="H106" s="996">
        <v>135549</v>
      </c>
      <c r="I106" s="996">
        <v>0</v>
      </c>
      <c r="J106" s="996">
        <v>0</v>
      </c>
      <c r="K106" s="996">
        <v>49109</v>
      </c>
      <c r="L106" s="996">
        <v>0</v>
      </c>
      <c r="M106" s="996">
        <v>1172506</v>
      </c>
      <c r="N106" s="996">
        <v>0</v>
      </c>
      <c r="O106" s="996">
        <v>0</v>
      </c>
      <c r="P106" s="996">
        <v>161265</v>
      </c>
      <c r="Q106" s="996">
        <v>160012</v>
      </c>
      <c r="R106" s="996">
        <v>0</v>
      </c>
    </row>
    <row r="107" spans="1:18" x14ac:dyDescent="0.3">
      <c r="A107" s="997">
        <v>6</v>
      </c>
      <c r="B107" s="270" t="s">
        <v>1467</v>
      </c>
      <c r="C107" s="951" t="s">
        <v>1468</v>
      </c>
      <c r="D107" s="996">
        <v>0</v>
      </c>
      <c r="E107" s="996">
        <v>0</v>
      </c>
      <c r="F107" s="996">
        <v>0</v>
      </c>
      <c r="G107" s="996">
        <v>0</v>
      </c>
      <c r="H107" s="996">
        <v>0</v>
      </c>
      <c r="I107" s="996">
        <v>1678955</v>
      </c>
      <c r="J107" s="996">
        <v>0</v>
      </c>
      <c r="K107" s="996">
        <v>10786</v>
      </c>
      <c r="L107" s="996">
        <v>0</v>
      </c>
      <c r="M107" s="996">
        <v>0</v>
      </c>
      <c r="N107" s="996">
        <v>0</v>
      </c>
      <c r="O107" s="996">
        <v>160729</v>
      </c>
      <c r="P107" s="996">
        <v>0</v>
      </c>
      <c r="Q107" s="996">
        <v>0</v>
      </c>
      <c r="R107" s="996">
        <v>0</v>
      </c>
    </row>
    <row r="108" spans="1:18" x14ac:dyDescent="0.3">
      <c r="A108" s="997">
        <v>7</v>
      </c>
      <c r="B108" s="270" t="s">
        <v>1469</v>
      </c>
      <c r="C108" s="951" t="s">
        <v>1470</v>
      </c>
      <c r="D108" s="996">
        <v>4461</v>
      </c>
      <c r="E108" s="996">
        <v>0</v>
      </c>
      <c r="F108" s="996">
        <v>0</v>
      </c>
      <c r="G108" s="996">
        <v>0</v>
      </c>
      <c r="H108" s="996">
        <v>1592</v>
      </c>
      <c r="I108" s="996">
        <v>146455</v>
      </c>
      <c r="J108" s="996">
        <v>67132</v>
      </c>
      <c r="K108" s="996">
        <v>15897</v>
      </c>
      <c r="L108" s="996">
        <v>0</v>
      </c>
      <c r="M108" s="996">
        <v>0</v>
      </c>
      <c r="N108" s="996">
        <v>0</v>
      </c>
      <c r="O108" s="996">
        <v>22532</v>
      </c>
      <c r="P108" s="996">
        <v>0</v>
      </c>
      <c r="Q108" s="996">
        <v>0</v>
      </c>
      <c r="R108" s="996">
        <v>0</v>
      </c>
    </row>
    <row r="109" spans="1:18" x14ac:dyDescent="0.3">
      <c r="A109" s="997">
        <v>9</v>
      </c>
      <c r="B109" s="270" t="s">
        <v>1471</v>
      </c>
      <c r="C109" s="951" t="s">
        <v>1472</v>
      </c>
      <c r="D109" s="996">
        <v>2180439</v>
      </c>
      <c r="E109" s="996">
        <v>1192082</v>
      </c>
      <c r="F109" s="996">
        <v>1468229</v>
      </c>
      <c r="G109" s="996">
        <v>623513</v>
      </c>
      <c r="H109" s="996">
        <v>1114449</v>
      </c>
      <c r="I109" s="996">
        <v>6417288</v>
      </c>
      <c r="J109" s="996">
        <v>1502778</v>
      </c>
      <c r="K109" s="996">
        <v>191060</v>
      </c>
      <c r="L109" s="996">
        <v>1574025</v>
      </c>
      <c r="M109" s="996">
        <v>1449806</v>
      </c>
      <c r="N109" s="996">
        <v>1712769</v>
      </c>
      <c r="O109" s="996">
        <v>947697</v>
      </c>
      <c r="P109" s="996">
        <v>415901</v>
      </c>
      <c r="Q109" s="996">
        <v>672981</v>
      </c>
      <c r="R109" s="996">
        <v>429822</v>
      </c>
    </row>
    <row r="110" spans="1:18" x14ac:dyDescent="0.3">
      <c r="A110" s="1000">
        <v>547</v>
      </c>
      <c r="B110" s="1001" t="s">
        <v>1473</v>
      </c>
      <c r="C110" s="951" t="s">
        <v>1474</v>
      </c>
      <c r="D110" s="996">
        <v>2</v>
      </c>
      <c r="E110" s="996">
        <v>2</v>
      </c>
      <c r="F110" s="996">
        <v>2</v>
      </c>
      <c r="G110" s="996">
        <v>2</v>
      </c>
      <c r="H110" s="996">
        <v>2</v>
      </c>
      <c r="I110" s="996">
        <v>3</v>
      </c>
      <c r="J110" s="996">
        <v>2</v>
      </c>
      <c r="K110" s="996">
        <v>2</v>
      </c>
      <c r="L110" s="996">
        <v>2</v>
      </c>
      <c r="M110" s="996">
        <v>3</v>
      </c>
      <c r="N110" s="996">
        <v>2</v>
      </c>
      <c r="O110" s="996">
        <v>2</v>
      </c>
      <c r="P110" s="996">
        <v>0</v>
      </c>
      <c r="Q110" s="996">
        <v>2</v>
      </c>
      <c r="R110" s="996">
        <v>2</v>
      </c>
    </row>
    <row r="111" spans="1:18" ht="28.8" x14ac:dyDescent="0.3">
      <c r="B111" s="1001">
        <v>549</v>
      </c>
      <c r="C111" s="1002" t="s">
        <v>1475</v>
      </c>
      <c r="D111" s="996">
        <v>0</v>
      </c>
      <c r="E111" s="996">
        <v>0</v>
      </c>
      <c r="F111" s="996">
        <v>0</v>
      </c>
      <c r="G111" s="996">
        <v>0</v>
      </c>
      <c r="H111" s="996">
        <v>0</v>
      </c>
      <c r="I111" s="996">
        <v>0</v>
      </c>
      <c r="J111" s="996">
        <v>0</v>
      </c>
      <c r="K111" s="996">
        <v>0</v>
      </c>
      <c r="L111" s="996">
        <v>0</v>
      </c>
      <c r="M111" s="996">
        <v>0</v>
      </c>
      <c r="N111" s="996">
        <v>0</v>
      </c>
      <c r="O111" s="996">
        <v>0</v>
      </c>
      <c r="P111" s="996">
        <v>0</v>
      </c>
      <c r="Q111" s="996">
        <v>0</v>
      </c>
      <c r="R111" s="996">
        <v>0</v>
      </c>
    </row>
    <row r="112" spans="1:18" ht="28.8" x14ac:dyDescent="0.3">
      <c r="A112" s="170"/>
      <c r="B112" s="1001">
        <v>551</v>
      </c>
      <c r="C112" s="1003" t="s">
        <v>1476</v>
      </c>
      <c r="D112" s="996">
        <v>0</v>
      </c>
      <c r="E112" s="996">
        <v>0</v>
      </c>
      <c r="F112" s="996">
        <v>0</v>
      </c>
      <c r="G112" s="996">
        <v>0</v>
      </c>
      <c r="H112" s="996">
        <v>0</v>
      </c>
      <c r="I112" s="996">
        <v>0</v>
      </c>
      <c r="J112" s="996">
        <v>0</v>
      </c>
      <c r="K112" s="996">
        <v>0</v>
      </c>
      <c r="L112" s="996">
        <v>0</v>
      </c>
      <c r="M112" s="996">
        <v>0</v>
      </c>
      <c r="N112" s="996">
        <v>0</v>
      </c>
      <c r="O112" s="996">
        <v>0</v>
      </c>
      <c r="P112" s="996">
        <v>0</v>
      </c>
      <c r="Q112" s="996">
        <v>0</v>
      </c>
      <c r="R112" s="996">
        <v>0</v>
      </c>
    </row>
    <row r="113" spans="1:18" ht="28.8" x14ac:dyDescent="0.3">
      <c r="A113" s="997">
        <v>554</v>
      </c>
      <c r="B113" s="1004">
        <v>554</v>
      </c>
      <c r="C113" s="1005" t="s">
        <v>340</v>
      </c>
      <c r="D113" s="999">
        <v>0</v>
      </c>
      <c r="E113" s="999">
        <v>0</v>
      </c>
      <c r="F113" s="999">
        <v>0</v>
      </c>
      <c r="G113" s="999">
        <v>0</v>
      </c>
      <c r="H113" s="999">
        <v>0</v>
      </c>
      <c r="I113" s="999">
        <v>152479</v>
      </c>
      <c r="J113" s="999">
        <v>0</v>
      </c>
      <c r="K113" s="999">
        <v>0</v>
      </c>
      <c r="L113" s="999">
        <v>0</v>
      </c>
      <c r="M113" s="999">
        <v>0</v>
      </c>
      <c r="N113" s="999">
        <v>0</v>
      </c>
      <c r="O113" s="999">
        <v>0</v>
      </c>
      <c r="P113" s="999">
        <v>0</v>
      </c>
      <c r="Q113" s="999">
        <v>0</v>
      </c>
      <c r="R113" s="999">
        <v>0</v>
      </c>
    </row>
    <row r="114" spans="1:18" ht="28.8" x14ac:dyDescent="0.3">
      <c r="A114" s="997">
        <v>555</v>
      </c>
      <c r="B114" s="1004">
        <v>555</v>
      </c>
      <c r="C114" s="1006" t="s">
        <v>341</v>
      </c>
      <c r="D114" s="999">
        <v>0</v>
      </c>
      <c r="E114" s="999">
        <v>0</v>
      </c>
      <c r="F114" s="999">
        <v>0</v>
      </c>
      <c r="G114" s="999">
        <v>0</v>
      </c>
      <c r="H114" s="999">
        <v>0</v>
      </c>
      <c r="I114" s="999">
        <v>0</v>
      </c>
      <c r="J114" s="999">
        <v>0</v>
      </c>
      <c r="K114" s="999">
        <v>0</v>
      </c>
      <c r="L114" s="999">
        <v>0</v>
      </c>
      <c r="M114" s="999">
        <v>0</v>
      </c>
      <c r="N114" s="999">
        <v>0</v>
      </c>
      <c r="O114" s="999">
        <v>0</v>
      </c>
      <c r="P114" s="999">
        <v>0</v>
      </c>
      <c r="Q114" s="999">
        <v>0</v>
      </c>
      <c r="R114" s="999">
        <v>0</v>
      </c>
    </row>
    <row r="115" spans="1:18" ht="28.8" x14ac:dyDescent="0.3">
      <c r="A115" s="997">
        <v>556</v>
      </c>
      <c r="B115" s="1004">
        <v>556</v>
      </c>
      <c r="C115" s="1005" t="s">
        <v>342</v>
      </c>
      <c r="D115" s="999">
        <v>0</v>
      </c>
      <c r="E115" s="999">
        <v>0</v>
      </c>
      <c r="F115" s="999">
        <v>0</v>
      </c>
      <c r="G115" s="999">
        <v>0</v>
      </c>
      <c r="H115" s="999">
        <v>0</v>
      </c>
      <c r="I115" s="999">
        <v>627110</v>
      </c>
      <c r="J115" s="999">
        <v>0</v>
      </c>
      <c r="K115" s="999">
        <v>0</v>
      </c>
      <c r="L115" s="999">
        <v>0</v>
      </c>
      <c r="M115" s="999">
        <v>0</v>
      </c>
      <c r="N115" s="999">
        <v>0</v>
      </c>
      <c r="O115" s="999">
        <v>0</v>
      </c>
      <c r="P115" s="999">
        <v>0</v>
      </c>
      <c r="Q115" s="999">
        <v>0</v>
      </c>
      <c r="R115" s="999">
        <v>0</v>
      </c>
    </row>
    <row r="116" spans="1:18" ht="28.8" x14ac:dyDescent="0.3">
      <c r="A116" s="997">
        <v>557</v>
      </c>
      <c r="B116" s="1004">
        <v>557</v>
      </c>
      <c r="C116" s="1005" t="s">
        <v>343</v>
      </c>
      <c r="D116" s="999">
        <v>0</v>
      </c>
      <c r="E116" s="999">
        <v>0</v>
      </c>
      <c r="F116" s="999">
        <v>0</v>
      </c>
      <c r="G116" s="999">
        <v>0</v>
      </c>
      <c r="H116" s="999">
        <v>0</v>
      </c>
      <c r="I116" s="999">
        <v>627110</v>
      </c>
      <c r="J116" s="999">
        <v>0</v>
      </c>
      <c r="K116" s="999">
        <v>0</v>
      </c>
      <c r="L116" s="999">
        <v>0</v>
      </c>
      <c r="M116" s="999">
        <v>0</v>
      </c>
      <c r="N116" s="999">
        <v>0</v>
      </c>
      <c r="O116" s="999">
        <v>0</v>
      </c>
      <c r="P116" s="999">
        <v>0</v>
      </c>
      <c r="Q116" s="999">
        <v>0</v>
      </c>
      <c r="R116" s="999">
        <v>0</v>
      </c>
    </row>
    <row r="117" spans="1:18" x14ac:dyDescent="0.3">
      <c r="A117" s="994">
        <v>998</v>
      </c>
      <c r="B117" s="177" t="s">
        <v>1477</v>
      </c>
      <c r="C117" s="998" t="s">
        <v>288</v>
      </c>
      <c r="D117" s="999">
        <v>57</v>
      </c>
      <c r="E117" s="999">
        <v>57</v>
      </c>
      <c r="F117" s="999">
        <v>57</v>
      </c>
      <c r="G117" s="999">
        <v>57</v>
      </c>
      <c r="H117" s="999">
        <v>57</v>
      </c>
      <c r="I117" s="999">
        <v>57</v>
      </c>
      <c r="J117" s="999">
        <v>57</v>
      </c>
      <c r="K117" s="999">
        <v>57</v>
      </c>
      <c r="L117" s="999">
        <v>57</v>
      </c>
      <c r="M117" s="999">
        <v>57</v>
      </c>
      <c r="N117" s="999">
        <v>57</v>
      </c>
      <c r="O117" s="999">
        <v>57</v>
      </c>
      <c r="P117" s="999">
        <v>57</v>
      </c>
      <c r="Q117" s="999">
        <v>57</v>
      </c>
      <c r="R117" s="999">
        <v>57</v>
      </c>
    </row>
    <row r="118" spans="1:18" x14ac:dyDescent="0.3">
      <c r="A118" s="994">
        <v>999</v>
      </c>
      <c r="B118" s="177" t="s">
        <v>1478</v>
      </c>
      <c r="C118" s="998" t="s">
        <v>289</v>
      </c>
      <c r="D118" s="1007">
        <v>571300</v>
      </c>
      <c r="E118" s="1007">
        <v>571301</v>
      </c>
      <c r="F118" s="1007">
        <v>571302</v>
      </c>
      <c r="G118" s="1007">
        <v>571303</v>
      </c>
      <c r="H118" s="1007">
        <v>572177</v>
      </c>
      <c r="I118" s="1007">
        <v>571304</v>
      </c>
      <c r="J118" s="1007">
        <v>571305</v>
      </c>
      <c r="K118" s="1007">
        <v>571306</v>
      </c>
      <c r="L118" s="1007">
        <v>571307</v>
      </c>
      <c r="M118" s="1007">
        <v>571309</v>
      </c>
      <c r="N118" s="1007">
        <v>571310</v>
      </c>
      <c r="O118" s="1007">
        <v>571311</v>
      </c>
      <c r="P118" s="1007">
        <v>571313</v>
      </c>
      <c r="Q118" s="1007">
        <v>571315</v>
      </c>
      <c r="R118" s="1007">
        <v>571316</v>
      </c>
    </row>
    <row r="119" spans="1:18" x14ac:dyDescent="0.3">
      <c r="B119" s="1008">
        <v>539</v>
      </c>
      <c r="C119" s="998"/>
      <c r="D119" s="999">
        <v>0</v>
      </c>
      <c r="E119" s="999">
        <v>0</v>
      </c>
      <c r="F119" s="999">
        <v>0</v>
      </c>
      <c r="G119" s="999">
        <v>0</v>
      </c>
      <c r="H119" s="999">
        <v>0</v>
      </c>
      <c r="I119" s="999">
        <v>0</v>
      </c>
      <c r="J119" s="999">
        <v>0</v>
      </c>
      <c r="K119" s="999">
        <v>0</v>
      </c>
      <c r="L119" s="999">
        <v>0</v>
      </c>
      <c r="M119" s="999">
        <v>0</v>
      </c>
      <c r="N119" s="999">
        <v>0</v>
      </c>
      <c r="O119" s="999">
        <v>0</v>
      </c>
      <c r="P119" s="999">
        <v>0</v>
      </c>
      <c r="Q119" s="999">
        <v>0</v>
      </c>
      <c r="R119" s="999">
        <v>0</v>
      </c>
    </row>
    <row r="120" spans="1:18" x14ac:dyDescent="0.3">
      <c r="A120" s="997">
        <v>575</v>
      </c>
      <c r="B120" s="1009">
        <v>575</v>
      </c>
      <c r="C120" s="1010" t="s">
        <v>320</v>
      </c>
      <c r="D120" s="996">
        <v>0</v>
      </c>
      <c r="E120" s="996">
        <v>0</v>
      </c>
      <c r="F120" s="996">
        <v>0</v>
      </c>
      <c r="G120" s="996">
        <v>0</v>
      </c>
      <c r="H120" s="996">
        <v>0</v>
      </c>
      <c r="I120" s="996">
        <v>0</v>
      </c>
      <c r="J120" s="996">
        <v>0</v>
      </c>
      <c r="K120" s="996">
        <v>0</v>
      </c>
      <c r="L120" s="996">
        <v>0</v>
      </c>
      <c r="M120" s="996">
        <v>0</v>
      </c>
      <c r="N120" s="996">
        <v>0</v>
      </c>
      <c r="O120" s="996">
        <v>0</v>
      </c>
      <c r="P120" s="996">
        <v>0</v>
      </c>
      <c r="Q120" s="996">
        <v>0</v>
      </c>
      <c r="R120" s="996">
        <v>0</v>
      </c>
    </row>
    <row r="121" spans="1:18" x14ac:dyDescent="0.3">
      <c r="A121" s="997">
        <v>576</v>
      </c>
      <c r="B121" s="1009">
        <v>576</v>
      </c>
      <c r="C121" s="1011" t="s">
        <v>321</v>
      </c>
      <c r="D121" s="996">
        <v>0</v>
      </c>
      <c r="E121" s="996">
        <v>0</v>
      </c>
      <c r="F121" s="996">
        <v>0</v>
      </c>
      <c r="G121" s="996">
        <v>0</v>
      </c>
      <c r="H121" s="996">
        <v>0</v>
      </c>
      <c r="I121" s="996">
        <v>0</v>
      </c>
      <c r="J121" s="996">
        <v>0</v>
      </c>
      <c r="K121" s="996">
        <v>0</v>
      </c>
      <c r="L121" s="996">
        <v>0</v>
      </c>
      <c r="M121" s="996">
        <v>0</v>
      </c>
      <c r="N121" s="996">
        <v>0</v>
      </c>
      <c r="O121" s="996">
        <v>0</v>
      </c>
      <c r="P121" s="996">
        <v>0</v>
      </c>
      <c r="Q121" s="996">
        <v>0</v>
      </c>
      <c r="R121" s="996">
        <v>0</v>
      </c>
    </row>
    <row r="122" spans="1:18" ht="55.2" x14ac:dyDescent="0.3">
      <c r="A122" s="997">
        <v>577</v>
      </c>
      <c r="B122" s="1012">
        <v>577</v>
      </c>
      <c r="C122" s="1013" t="s">
        <v>1479</v>
      </c>
      <c r="D122" s="999">
        <v>0</v>
      </c>
      <c r="E122" s="999">
        <v>0</v>
      </c>
      <c r="F122" s="999">
        <v>0</v>
      </c>
      <c r="G122" s="999">
        <v>0</v>
      </c>
      <c r="H122" s="999">
        <v>0</v>
      </c>
      <c r="I122" s="999">
        <v>0</v>
      </c>
      <c r="J122" s="999">
        <v>0</v>
      </c>
      <c r="K122" s="999">
        <v>0</v>
      </c>
      <c r="L122" s="999">
        <v>0</v>
      </c>
      <c r="M122" s="999">
        <v>0</v>
      </c>
      <c r="N122" s="999">
        <v>0</v>
      </c>
      <c r="O122" s="999">
        <v>0</v>
      </c>
      <c r="P122" s="999">
        <v>0</v>
      </c>
      <c r="Q122" s="999">
        <v>0</v>
      </c>
      <c r="R122" s="999">
        <v>0</v>
      </c>
    </row>
    <row r="123" spans="1:18" x14ac:dyDescent="0.3">
      <c r="A123" s="994">
        <v>586</v>
      </c>
      <c r="B123" s="1014">
        <v>586</v>
      </c>
      <c r="C123" s="1015" t="s">
        <v>335</v>
      </c>
      <c r="D123" s="996">
        <v>0</v>
      </c>
      <c r="E123" s="996">
        <v>0</v>
      </c>
      <c r="F123" s="996">
        <v>0</v>
      </c>
      <c r="G123" s="996">
        <v>0</v>
      </c>
      <c r="H123" s="996">
        <v>0</v>
      </c>
      <c r="I123" s="996">
        <v>0</v>
      </c>
      <c r="J123" s="996">
        <v>0</v>
      </c>
      <c r="K123" s="996">
        <v>0</v>
      </c>
      <c r="L123" s="996">
        <v>0</v>
      </c>
      <c r="M123" s="996">
        <v>0</v>
      </c>
      <c r="N123" s="996">
        <v>0</v>
      </c>
      <c r="O123" s="996">
        <v>0</v>
      </c>
      <c r="P123" s="996">
        <v>0</v>
      </c>
      <c r="Q123" s="996">
        <v>0</v>
      </c>
      <c r="R123" s="996">
        <v>0</v>
      </c>
    </row>
    <row r="124" spans="1:18" x14ac:dyDescent="0.3">
      <c r="A124" s="994">
        <v>591</v>
      </c>
      <c r="B124" s="170">
        <v>591</v>
      </c>
      <c r="C124" s="990" t="s">
        <v>350</v>
      </c>
      <c r="D124" s="996">
        <v>0</v>
      </c>
      <c r="E124" s="996">
        <v>0</v>
      </c>
      <c r="F124" s="996">
        <v>0</v>
      </c>
      <c r="G124" s="996">
        <v>0</v>
      </c>
      <c r="H124" s="996">
        <v>0</v>
      </c>
      <c r="I124" s="996">
        <v>0</v>
      </c>
      <c r="J124" s="996">
        <v>0</v>
      </c>
      <c r="K124" s="996">
        <v>0</v>
      </c>
      <c r="L124" s="996">
        <v>0</v>
      </c>
      <c r="M124" s="996">
        <v>0</v>
      </c>
      <c r="N124" s="996">
        <v>0</v>
      </c>
      <c r="O124" s="996">
        <v>0</v>
      </c>
      <c r="P124" s="996">
        <v>0</v>
      </c>
      <c r="Q124" s="996">
        <v>0</v>
      </c>
      <c r="R124" s="996">
        <v>0</v>
      </c>
    </row>
    <row r="125" spans="1:18" x14ac:dyDescent="0.3">
      <c r="A125" s="994">
        <v>592</v>
      </c>
      <c r="B125" s="170">
        <v>592</v>
      </c>
      <c r="C125" s="990" t="s">
        <v>351</v>
      </c>
      <c r="D125" s="996">
        <v>0</v>
      </c>
      <c r="E125" s="996">
        <v>0</v>
      </c>
      <c r="F125" s="996">
        <v>0</v>
      </c>
      <c r="G125" s="996">
        <v>0</v>
      </c>
      <c r="H125" s="996">
        <v>0</v>
      </c>
      <c r="I125" s="996">
        <v>0</v>
      </c>
      <c r="J125" s="996">
        <v>0</v>
      </c>
      <c r="K125" s="996">
        <v>0</v>
      </c>
      <c r="L125" s="996">
        <v>0</v>
      </c>
      <c r="M125" s="996">
        <v>0</v>
      </c>
      <c r="N125" s="996">
        <v>0</v>
      </c>
      <c r="O125" s="996">
        <v>0</v>
      </c>
      <c r="P125" s="996">
        <v>0</v>
      </c>
      <c r="Q125" s="996">
        <v>0</v>
      </c>
      <c r="R125" s="996">
        <v>0</v>
      </c>
    </row>
    <row r="126" spans="1:18" x14ac:dyDescent="0.3">
      <c r="B126" s="1014">
        <v>595</v>
      </c>
      <c r="C126" s="1016" t="s">
        <v>1480</v>
      </c>
      <c r="D126" s="996"/>
      <c r="E126" s="996"/>
      <c r="F126" s="996"/>
      <c r="G126" s="996"/>
      <c r="H126" s="996"/>
      <c r="I126" s="996"/>
      <c r="J126" s="996"/>
      <c r="K126" s="996"/>
      <c r="L126" s="996"/>
      <c r="M126" s="996"/>
      <c r="N126" s="996"/>
      <c r="O126" s="996"/>
      <c r="P126" s="996"/>
      <c r="Q126" s="996"/>
      <c r="R126" s="996"/>
    </row>
    <row r="127" spans="1:18" ht="97.2" x14ac:dyDescent="0.3">
      <c r="B127" s="1017" t="s">
        <v>1481</v>
      </c>
      <c r="C127" s="990" t="s">
        <v>515</v>
      </c>
      <c r="D127" s="996"/>
      <c r="E127" s="996"/>
      <c r="F127" s="996"/>
      <c r="G127" s="996"/>
      <c r="H127" s="996"/>
      <c r="I127" s="996"/>
      <c r="J127" s="996"/>
      <c r="K127" s="996"/>
      <c r="L127" s="996"/>
      <c r="M127" s="996"/>
      <c r="N127" s="996"/>
      <c r="O127" s="996"/>
      <c r="P127" s="996"/>
      <c r="Q127" s="996"/>
      <c r="R127" s="996"/>
    </row>
    <row r="128" spans="1:18" ht="152.4" x14ac:dyDescent="0.3">
      <c r="A128" s="997"/>
      <c r="B128" s="1017" t="s">
        <v>1482</v>
      </c>
      <c r="C128" s="990" t="s">
        <v>516</v>
      </c>
      <c r="D128" s="996"/>
      <c r="E128" s="996"/>
      <c r="F128" s="996"/>
      <c r="G128" s="996"/>
      <c r="H128" s="996"/>
      <c r="I128" s="996"/>
      <c r="J128" s="996"/>
      <c r="K128" s="996"/>
      <c r="L128" s="996"/>
      <c r="M128" s="996"/>
      <c r="N128" s="996"/>
      <c r="O128" s="996"/>
      <c r="P128" s="996"/>
      <c r="Q128" s="996"/>
      <c r="R128" s="996"/>
    </row>
    <row r="129" spans="1:18" ht="144" x14ac:dyDescent="0.3">
      <c r="A129" s="1018">
        <v>603</v>
      </c>
      <c r="B129" s="994">
        <v>603</v>
      </c>
      <c r="C129" s="1019" t="s">
        <v>384</v>
      </c>
      <c r="D129" s="999">
        <v>1</v>
      </c>
      <c r="E129" s="999">
        <v>1</v>
      </c>
      <c r="F129" s="999">
        <v>0</v>
      </c>
      <c r="G129" s="999">
        <v>2</v>
      </c>
      <c r="H129" s="999">
        <v>1</v>
      </c>
      <c r="I129" s="999">
        <v>1</v>
      </c>
      <c r="J129" s="999">
        <v>2</v>
      </c>
      <c r="K129" s="999">
        <v>2</v>
      </c>
      <c r="L129" s="999">
        <v>1</v>
      </c>
      <c r="M129" s="999">
        <v>1</v>
      </c>
      <c r="N129" s="999">
        <v>2</v>
      </c>
      <c r="O129" s="999">
        <v>2</v>
      </c>
      <c r="P129" s="999">
        <v>2</v>
      </c>
      <c r="Q129" s="999">
        <v>1</v>
      </c>
      <c r="R129" s="999">
        <v>1</v>
      </c>
    </row>
    <row r="130" spans="1:18" ht="115.2" x14ac:dyDescent="0.3">
      <c r="B130" s="994">
        <v>604</v>
      </c>
      <c r="C130" s="1019" t="s">
        <v>385</v>
      </c>
      <c r="D130" s="999">
        <v>0</v>
      </c>
      <c r="E130" s="999">
        <v>0</v>
      </c>
      <c r="F130" s="999">
        <v>0</v>
      </c>
      <c r="G130" s="999">
        <v>0</v>
      </c>
      <c r="H130" s="999">
        <v>0</v>
      </c>
      <c r="I130" s="999">
        <v>0</v>
      </c>
      <c r="J130" s="999">
        <v>0</v>
      </c>
      <c r="K130" s="999">
        <v>0</v>
      </c>
      <c r="L130" s="999">
        <v>0</v>
      </c>
      <c r="M130" s="999">
        <v>0</v>
      </c>
      <c r="N130" s="999">
        <v>0</v>
      </c>
      <c r="O130" s="999">
        <v>0</v>
      </c>
      <c r="P130" s="999">
        <v>0</v>
      </c>
      <c r="Q130" s="999">
        <v>0</v>
      </c>
      <c r="R130" s="999">
        <v>0</v>
      </c>
    </row>
    <row r="131" spans="1:18" ht="28.8" x14ac:dyDescent="0.3">
      <c r="A131" s="994">
        <v>605</v>
      </c>
      <c r="B131" s="994">
        <v>605</v>
      </c>
      <c r="C131" s="1019" t="s">
        <v>387</v>
      </c>
      <c r="D131" s="999">
        <v>1</v>
      </c>
      <c r="E131" s="999">
        <v>1</v>
      </c>
      <c r="F131" s="999">
        <v>1</v>
      </c>
      <c r="G131" s="999">
        <v>1</v>
      </c>
      <c r="H131" s="999">
        <v>1</v>
      </c>
      <c r="I131" s="999">
        <v>1</v>
      </c>
      <c r="J131" s="999">
        <v>1</v>
      </c>
      <c r="K131" s="999">
        <v>1</v>
      </c>
      <c r="L131" s="999">
        <v>1</v>
      </c>
      <c r="M131" s="999">
        <v>0</v>
      </c>
      <c r="N131" s="999">
        <v>1</v>
      </c>
      <c r="O131" s="999">
        <v>1</v>
      </c>
      <c r="P131" s="999">
        <v>1</v>
      </c>
      <c r="Q131" s="999">
        <v>1</v>
      </c>
      <c r="R131" s="999">
        <v>1</v>
      </c>
    </row>
    <row r="132" spans="1:18" ht="28.8" x14ac:dyDescent="0.3">
      <c r="A132" s="994">
        <v>606</v>
      </c>
      <c r="B132" s="994">
        <v>606</v>
      </c>
      <c r="C132" s="1019" t="s">
        <v>397</v>
      </c>
      <c r="D132" s="999">
        <v>0</v>
      </c>
      <c r="E132" s="999">
        <v>0</v>
      </c>
      <c r="F132" s="999">
        <v>0</v>
      </c>
      <c r="G132" s="999">
        <v>0</v>
      </c>
      <c r="H132" s="999">
        <v>0</v>
      </c>
      <c r="I132" s="999">
        <v>1</v>
      </c>
      <c r="J132" s="999">
        <v>0</v>
      </c>
      <c r="K132" s="999">
        <v>0</v>
      </c>
      <c r="L132" s="999">
        <v>0</v>
      </c>
      <c r="M132" s="999">
        <v>0</v>
      </c>
      <c r="N132" s="999">
        <v>0</v>
      </c>
      <c r="O132" s="999">
        <v>0</v>
      </c>
      <c r="P132" s="999">
        <v>0</v>
      </c>
      <c r="Q132" s="999">
        <v>0</v>
      </c>
      <c r="R132" s="999">
        <v>0</v>
      </c>
    </row>
    <row r="133" spans="1:18" x14ac:dyDescent="0.3">
      <c r="A133" s="994">
        <v>607</v>
      </c>
      <c r="B133" s="994">
        <v>607</v>
      </c>
      <c r="C133" s="1019" t="s">
        <v>377</v>
      </c>
      <c r="D133" s="999">
        <v>0</v>
      </c>
      <c r="E133" s="999">
        <v>0</v>
      </c>
      <c r="F133" s="999">
        <v>0</v>
      </c>
      <c r="G133" s="999">
        <v>0</v>
      </c>
      <c r="H133" s="999">
        <v>0</v>
      </c>
      <c r="I133" s="999">
        <v>63786933</v>
      </c>
      <c r="J133" s="999">
        <v>0</v>
      </c>
      <c r="K133" s="999">
        <v>0</v>
      </c>
      <c r="L133" s="999">
        <v>0</v>
      </c>
      <c r="M133" s="999">
        <v>0</v>
      </c>
      <c r="N133" s="999">
        <v>0</v>
      </c>
      <c r="O133" s="999">
        <v>0</v>
      </c>
      <c r="P133" s="999">
        <v>0</v>
      </c>
      <c r="Q133" s="999">
        <v>0</v>
      </c>
      <c r="R133" s="999">
        <v>0</v>
      </c>
    </row>
    <row r="134" spans="1:18" x14ac:dyDescent="0.3">
      <c r="A134" s="994">
        <v>608</v>
      </c>
      <c r="B134" s="994">
        <v>608</v>
      </c>
      <c r="C134" s="1019" t="s">
        <v>378</v>
      </c>
      <c r="D134" s="999">
        <v>0</v>
      </c>
      <c r="E134" s="999">
        <v>0</v>
      </c>
      <c r="F134" s="999">
        <v>0</v>
      </c>
      <c r="G134" s="999">
        <v>0</v>
      </c>
      <c r="H134" s="999">
        <v>0</v>
      </c>
      <c r="I134" s="999">
        <v>0</v>
      </c>
      <c r="J134" s="999">
        <v>0</v>
      </c>
      <c r="K134" s="999">
        <v>0</v>
      </c>
      <c r="L134" s="999">
        <v>0</v>
      </c>
      <c r="M134" s="999">
        <v>0</v>
      </c>
      <c r="N134" s="999">
        <v>0</v>
      </c>
      <c r="O134" s="999">
        <v>0</v>
      </c>
      <c r="P134" s="999">
        <v>0</v>
      </c>
      <c r="Q134" s="999">
        <v>0</v>
      </c>
      <c r="R134" s="999">
        <v>0</v>
      </c>
    </row>
    <row r="135" spans="1:18" ht="28.8" x14ac:dyDescent="0.3">
      <c r="A135" s="994">
        <v>609</v>
      </c>
      <c r="B135" s="994">
        <v>609</v>
      </c>
      <c r="C135" s="1019" t="s">
        <v>1483</v>
      </c>
      <c r="D135" s="1020">
        <v>0</v>
      </c>
      <c r="E135" s="1020">
        <v>0</v>
      </c>
      <c r="F135" s="1020">
        <v>0</v>
      </c>
      <c r="G135" s="1020">
        <v>0</v>
      </c>
      <c r="H135" s="1020">
        <v>0</v>
      </c>
      <c r="I135" s="1020">
        <v>0</v>
      </c>
      <c r="J135" s="1020">
        <v>0</v>
      </c>
      <c r="K135" s="1020">
        <v>0</v>
      </c>
      <c r="L135" s="1020">
        <v>0</v>
      </c>
      <c r="M135" s="1020">
        <v>0</v>
      </c>
      <c r="N135" s="1020">
        <v>0</v>
      </c>
      <c r="O135" s="1020">
        <v>0</v>
      </c>
      <c r="P135" s="1020">
        <v>0</v>
      </c>
      <c r="Q135" s="1020">
        <v>0</v>
      </c>
      <c r="R135" s="1020">
        <v>0</v>
      </c>
    </row>
    <row r="136" spans="1:18" x14ac:dyDescent="0.3">
      <c r="A136" s="994">
        <v>610</v>
      </c>
      <c r="B136" s="994">
        <v>610</v>
      </c>
      <c r="C136" s="1019" t="s">
        <v>379</v>
      </c>
      <c r="D136" s="999">
        <v>0</v>
      </c>
      <c r="E136" s="999">
        <v>0</v>
      </c>
      <c r="F136" s="999">
        <v>0</v>
      </c>
      <c r="G136" s="999">
        <v>0</v>
      </c>
      <c r="H136" s="999">
        <v>0</v>
      </c>
      <c r="I136" s="999">
        <v>0</v>
      </c>
      <c r="J136" s="999">
        <v>0</v>
      </c>
      <c r="K136" s="999">
        <v>0</v>
      </c>
      <c r="L136" s="999">
        <v>0</v>
      </c>
      <c r="M136" s="999">
        <v>0</v>
      </c>
      <c r="N136" s="999">
        <v>0</v>
      </c>
      <c r="O136" s="999">
        <v>0</v>
      </c>
      <c r="P136" s="999">
        <v>0</v>
      </c>
      <c r="Q136" s="999">
        <v>0</v>
      </c>
      <c r="R136" s="999">
        <v>0</v>
      </c>
    </row>
    <row r="137" spans="1:18" x14ac:dyDescent="0.3">
      <c r="A137" s="994">
        <v>611</v>
      </c>
      <c r="B137" s="994">
        <v>611</v>
      </c>
      <c r="C137" s="1019" t="s">
        <v>380</v>
      </c>
      <c r="D137" s="999">
        <v>0</v>
      </c>
      <c r="E137" s="999">
        <v>0</v>
      </c>
      <c r="F137" s="999">
        <v>0</v>
      </c>
      <c r="G137" s="999">
        <v>0</v>
      </c>
      <c r="H137" s="999">
        <v>0</v>
      </c>
      <c r="I137" s="999">
        <v>0</v>
      </c>
      <c r="J137" s="999">
        <v>0</v>
      </c>
      <c r="K137" s="999">
        <v>0</v>
      </c>
      <c r="L137" s="999">
        <v>0</v>
      </c>
      <c r="M137" s="999">
        <v>0</v>
      </c>
      <c r="N137" s="999">
        <v>0</v>
      </c>
      <c r="O137" s="999">
        <v>0</v>
      </c>
      <c r="P137" s="999">
        <v>0</v>
      </c>
      <c r="Q137" s="999">
        <v>0</v>
      </c>
      <c r="R137" s="999">
        <v>0</v>
      </c>
    </row>
    <row r="138" spans="1:18" ht="28.8" x14ac:dyDescent="0.3">
      <c r="A138" s="994">
        <v>612</v>
      </c>
      <c r="B138" s="994">
        <v>612</v>
      </c>
      <c r="C138" s="1019" t="s">
        <v>1484</v>
      </c>
      <c r="D138" s="1020">
        <v>0</v>
      </c>
      <c r="E138" s="1020">
        <v>0</v>
      </c>
      <c r="F138" s="1020">
        <v>0</v>
      </c>
      <c r="G138" s="1020">
        <v>0</v>
      </c>
      <c r="H138" s="1020">
        <v>0</v>
      </c>
      <c r="I138" s="1020">
        <v>0</v>
      </c>
      <c r="J138" s="1020">
        <v>0</v>
      </c>
      <c r="K138" s="1020">
        <v>0</v>
      </c>
      <c r="L138" s="1020">
        <v>0</v>
      </c>
      <c r="M138" s="1020">
        <v>0</v>
      </c>
      <c r="N138" s="1020">
        <v>0</v>
      </c>
      <c r="O138" s="1020">
        <v>0</v>
      </c>
      <c r="P138" s="1020">
        <v>0</v>
      </c>
      <c r="Q138" s="1020">
        <v>0</v>
      </c>
      <c r="R138" s="1020">
        <v>0</v>
      </c>
    </row>
    <row r="139" spans="1:18" x14ac:dyDescent="0.3">
      <c r="A139" s="994">
        <v>613</v>
      </c>
      <c r="B139" s="994">
        <v>613</v>
      </c>
      <c r="C139" s="1019" t="s">
        <v>388</v>
      </c>
      <c r="D139" s="999">
        <v>0</v>
      </c>
      <c r="E139" s="999">
        <v>0</v>
      </c>
      <c r="F139" s="999">
        <v>0</v>
      </c>
      <c r="G139" s="999">
        <v>0</v>
      </c>
      <c r="H139" s="999">
        <v>0</v>
      </c>
      <c r="I139" s="999">
        <v>0</v>
      </c>
      <c r="J139" s="999">
        <v>0</v>
      </c>
      <c r="K139" s="999">
        <v>0</v>
      </c>
      <c r="L139" s="999">
        <v>0</v>
      </c>
      <c r="M139" s="999">
        <v>0</v>
      </c>
      <c r="N139" s="999">
        <v>0</v>
      </c>
      <c r="O139" s="999">
        <v>0</v>
      </c>
      <c r="P139" s="999">
        <v>0</v>
      </c>
      <c r="Q139" s="999">
        <v>0</v>
      </c>
      <c r="R139" s="999">
        <v>0</v>
      </c>
    </row>
    <row r="140" spans="1:18" x14ac:dyDescent="0.3">
      <c r="A140" s="994">
        <v>614</v>
      </c>
      <c r="B140" s="994">
        <v>614</v>
      </c>
      <c r="C140" s="1019" t="s">
        <v>381</v>
      </c>
      <c r="D140" s="999">
        <v>0</v>
      </c>
      <c r="E140" s="999">
        <v>0</v>
      </c>
      <c r="F140" s="999">
        <v>0</v>
      </c>
      <c r="G140" s="999">
        <v>0</v>
      </c>
      <c r="H140" s="999">
        <v>0</v>
      </c>
      <c r="I140" s="999">
        <v>0</v>
      </c>
      <c r="J140" s="999">
        <v>0</v>
      </c>
      <c r="K140" s="999">
        <v>0</v>
      </c>
      <c r="L140" s="999">
        <v>0</v>
      </c>
      <c r="M140" s="999">
        <v>0</v>
      </c>
      <c r="N140" s="999">
        <v>0</v>
      </c>
      <c r="O140" s="999">
        <v>0</v>
      </c>
      <c r="P140" s="999">
        <v>0</v>
      </c>
      <c r="Q140" s="999">
        <v>0</v>
      </c>
      <c r="R140" s="999">
        <v>0</v>
      </c>
    </row>
    <row r="141" spans="1:18" ht="28.8" x14ac:dyDescent="0.3">
      <c r="A141" s="994">
        <v>615</v>
      </c>
      <c r="B141" s="994">
        <v>615</v>
      </c>
      <c r="C141" s="1019" t="s">
        <v>1485</v>
      </c>
      <c r="D141" s="1020">
        <v>0</v>
      </c>
      <c r="E141" s="1020">
        <v>0</v>
      </c>
      <c r="F141" s="1020">
        <v>0</v>
      </c>
      <c r="G141" s="1020">
        <v>0</v>
      </c>
      <c r="H141" s="1020">
        <v>0</v>
      </c>
      <c r="I141" s="1020">
        <v>0</v>
      </c>
      <c r="J141" s="1020">
        <v>0</v>
      </c>
      <c r="K141" s="1020">
        <v>0</v>
      </c>
      <c r="L141" s="1020">
        <v>0</v>
      </c>
      <c r="M141" s="1020">
        <v>0</v>
      </c>
      <c r="N141" s="1020">
        <v>0</v>
      </c>
      <c r="O141" s="1020">
        <v>0</v>
      </c>
      <c r="P141" s="1020">
        <v>0</v>
      </c>
      <c r="Q141" s="1020">
        <v>0</v>
      </c>
      <c r="R141" s="1020">
        <v>0</v>
      </c>
    </row>
    <row r="142" spans="1:18" x14ac:dyDescent="0.3">
      <c r="A142" s="994">
        <v>616</v>
      </c>
      <c r="B142" s="994">
        <v>616</v>
      </c>
      <c r="C142" s="1019" t="s">
        <v>382</v>
      </c>
      <c r="D142" s="999">
        <v>0</v>
      </c>
      <c r="E142" s="999">
        <v>0</v>
      </c>
      <c r="F142" s="999">
        <v>0</v>
      </c>
      <c r="G142" s="999">
        <v>0</v>
      </c>
      <c r="H142" s="999">
        <v>0</v>
      </c>
      <c r="I142" s="999">
        <v>0</v>
      </c>
      <c r="J142" s="999">
        <v>0</v>
      </c>
      <c r="K142" s="999">
        <v>0</v>
      </c>
      <c r="L142" s="999">
        <v>0</v>
      </c>
      <c r="M142" s="999">
        <v>0</v>
      </c>
      <c r="N142" s="999">
        <v>0</v>
      </c>
      <c r="O142" s="999">
        <v>0</v>
      </c>
      <c r="P142" s="999">
        <v>0</v>
      </c>
      <c r="Q142" s="999">
        <v>0</v>
      </c>
      <c r="R142" s="999">
        <v>0</v>
      </c>
    </row>
    <row r="143" spans="1:18" x14ac:dyDescent="0.3">
      <c r="A143" s="994">
        <v>617</v>
      </c>
      <c r="B143" s="994">
        <v>617</v>
      </c>
      <c r="C143" s="1019" t="s">
        <v>383</v>
      </c>
      <c r="D143" s="999">
        <v>0</v>
      </c>
      <c r="E143" s="999">
        <v>0</v>
      </c>
      <c r="F143" s="999">
        <v>0</v>
      </c>
      <c r="G143" s="999">
        <v>0</v>
      </c>
      <c r="H143" s="999">
        <v>0</v>
      </c>
      <c r="I143" s="999">
        <v>0</v>
      </c>
      <c r="J143" s="999">
        <v>0</v>
      </c>
      <c r="K143" s="999">
        <v>0</v>
      </c>
      <c r="L143" s="999">
        <v>0</v>
      </c>
      <c r="M143" s="999">
        <v>0</v>
      </c>
      <c r="N143" s="999">
        <v>0</v>
      </c>
      <c r="O143" s="999">
        <v>0</v>
      </c>
      <c r="P143" s="999">
        <v>0</v>
      </c>
      <c r="Q143" s="999">
        <v>0</v>
      </c>
      <c r="R143" s="999">
        <v>0</v>
      </c>
    </row>
    <row r="144" spans="1:18" ht="28.8" x14ac:dyDescent="0.3">
      <c r="A144" s="994">
        <v>618</v>
      </c>
      <c r="B144" s="994">
        <v>618</v>
      </c>
      <c r="C144" s="1019" t="s">
        <v>1486</v>
      </c>
      <c r="D144" s="1020">
        <v>0</v>
      </c>
      <c r="E144" s="1020">
        <v>0</v>
      </c>
      <c r="F144" s="1020">
        <v>0</v>
      </c>
      <c r="G144" s="1020">
        <v>0</v>
      </c>
      <c r="H144" s="1020">
        <v>0</v>
      </c>
      <c r="I144" s="1020">
        <v>0</v>
      </c>
      <c r="J144" s="1020">
        <v>0</v>
      </c>
      <c r="K144" s="1020">
        <v>0</v>
      </c>
      <c r="L144" s="1020">
        <v>0</v>
      </c>
      <c r="M144" s="1020">
        <v>0</v>
      </c>
      <c r="N144" s="1020">
        <v>0</v>
      </c>
      <c r="O144" s="1020">
        <v>0</v>
      </c>
      <c r="P144" s="1020">
        <v>0</v>
      </c>
      <c r="Q144" s="1020">
        <v>0</v>
      </c>
      <c r="R144" s="1020">
        <v>0</v>
      </c>
    </row>
    <row r="145" spans="1:18" x14ac:dyDescent="0.3">
      <c r="A145" s="994">
        <v>622</v>
      </c>
      <c r="B145" s="1021">
        <v>622</v>
      </c>
      <c r="C145" s="1022" t="s">
        <v>404</v>
      </c>
      <c r="D145" s="1020">
        <v>157998</v>
      </c>
      <c r="E145" s="1020">
        <v>387878</v>
      </c>
      <c r="F145" s="1020">
        <v>92996</v>
      </c>
      <c r="G145" s="1020">
        <v>85404</v>
      </c>
      <c r="H145" s="1020">
        <v>313624</v>
      </c>
      <c r="I145" s="1020">
        <v>6209133</v>
      </c>
      <c r="J145" s="1020">
        <v>434850</v>
      </c>
      <c r="K145" s="1020">
        <v>65239</v>
      </c>
      <c r="L145" s="1020">
        <v>505546</v>
      </c>
      <c r="M145" s="1020">
        <v>101299</v>
      </c>
      <c r="N145" s="1020">
        <v>225610</v>
      </c>
      <c r="O145" s="1020">
        <v>353716</v>
      </c>
      <c r="P145" s="1020">
        <v>123836</v>
      </c>
      <c r="Q145" s="1020">
        <v>196193</v>
      </c>
      <c r="R145" s="1020">
        <v>107942</v>
      </c>
    </row>
    <row r="146" spans="1:18" ht="100.8" x14ac:dyDescent="0.3">
      <c r="A146" s="994">
        <v>625</v>
      </c>
      <c r="B146" s="1021">
        <v>625</v>
      </c>
      <c r="C146" s="1022" t="s">
        <v>485</v>
      </c>
      <c r="D146" s="1020">
        <v>1</v>
      </c>
      <c r="E146" s="1020">
        <v>1</v>
      </c>
      <c r="F146" s="1020">
        <v>1</v>
      </c>
      <c r="G146" s="1020">
        <v>1</v>
      </c>
      <c r="H146" s="1020">
        <v>1</v>
      </c>
      <c r="I146" s="1020">
        <v>1</v>
      </c>
      <c r="J146" s="1020">
        <v>1</v>
      </c>
      <c r="K146" s="1020">
        <v>1</v>
      </c>
      <c r="L146" s="1020">
        <v>1</v>
      </c>
      <c r="M146" s="1020">
        <v>1</v>
      </c>
      <c r="N146" s="1020">
        <v>1</v>
      </c>
      <c r="O146" s="1020">
        <v>1</v>
      </c>
      <c r="P146" s="1020">
        <v>2</v>
      </c>
      <c r="Q146" s="1020">
        <v>1</v>
      </c>
      <c r="R146" s="1020">
        <v>1</v>
      </c>
    </row>
    <row r="147" spans="1:18" ht="21" x14ac:dyDescent="0.3">
      <c r="A147" s="997"/>
      <c r="C147" s="1023"/>
      <c r="D147" s="1024"/>
      <c r="E147" s="1024"/>
      <c r="F147" s="1024"/>
      <c r="G147" s="1024"/>
      <c r="H147" s="1024"/>
      <c r="I147" s="1024"/>
      <c r="J147" s="1024"/>
      <c r="K147" s="1024"/>
      <c r="L147" s="1024"/>
      <c r="M147" s="1024"/>
      <c r="N147" s="1024"/>
      <c r="O147" s="1024"/>
      <c r="P147" s="1024"/>
      <c r="Q147" s="1024"/>
      <c r="R147" s="1024"/>
    </row>
    <row r="148" spans="1:18" ht="21" x14ac:dyDescent="0.3">
      <c r="A148" s="997"/>
      <c r="C148" s="1023"/>
      <c r="D148" s="1025"/>
      <c r="E148" s="1025"/>
      <c r="F148" s="1025"/>
      <c r="G148" s="1025"/>
      <c r="H148" s="1025"/>
      <c r="I148" s="1025"/>
      <c r="J148" s="1025"/>
      <c r="K148" s="1025"/>
      <c r="L148" s="1025"/>
      <c r="M148" s="1025"/>
      <c r="N148" s="1025"/>
      <c r="O148" s="1025"/>
      <c r="P148" s="1025"/>
      <c r="Q148" s="1025"/>
      <c r="R148" s="1025"/>
    </row>
    <row r="149" spans="1:18" ht="21" x14ac:dyDescent="0.3">
      <c r="A149" s="997"/>
      <c r="C149" s="1023"/>
      <c r="D149" s="1026"/>
      <c r="E149" s="1026"/>
      <c r="F149" s="1026"/>
      <c r="G149" s="1026"/>
      <c r="H149" s="1026"/>
      <c r="I149" s="1026"/>
      <c r="J149" s="1026"/>
      <c r="K149" s="1026"/>
      <c r="L149" s="1026"/>
      <c r="M149" s="1026"/>
      <c r="N149" s="1026"/>
      <c r="O149" s="1026"/>
      <c r="P149" s="1026"/>
      <c r="Q149" s="1026"/>
      <c r="R149" s="1026"/>
    </row>
    <row r="153" spans="1:18" x14ac:dyDescent="0.3">
      <c r="A153" s="1018"/>
      <c r="G153" s="1027"/>
    </row>
    <row r="154" spans="1:18" x14ac:dyDescent="0.3">
      <c r="A154" s="994"/>
      <c r="D154" s="1025"/>
      <c r="E154" s="1025"/>
      <c r="F154" s="1025"/>
      <c r="G154" s="1025"/>
      <c r="H154" s="1025"/>
      <c r="I154" s="1025"/>
      <c r="J154" s="1025"/>
      <c r="K154" s="1025"/>
      <c r="L154" s="1025"/>
      <c r="M154" s="1025"/>
      <c r="N154" s="1025"/>
      <c r="O154" s="1025"/>
      <c r="P154" s="1025"/>
      <c r="Q154" s="1025"/>
      <c r="R154" s="1025"/>
    </row>
    <row r="155" spans="1:18" x14ac:dyDescent="0.3">
      <c r="A155" s="994"/>
    </row>
    <row r="156" spans="1:18" x14ac:dyDescent="0.3">
      <c r="A156" s="994"/>
      <c r="D156" s="1026"/>
      <c r="E156" s="1026"/>
      <c r="F156" s="1026"/>
      <c r="G156" s="1026"/>
      <c r="H156" s="1026"/>
      <c r="I156" s="1026"/>
      <c r="J156" s="1026"/>
      <c r="K156" s="1026"/>
      <c r="L156" s="1026"/>
      <c r="M156" s="1026"/>
      <c r="N156" s="1026"/>
      <c r="O156" s="1026"/>
      <c r="P156" s="1026"/>
      <c r="Q156" s="1026"/>
      <c r="R156" s="1026"/>
    </row>
    <row r="157" spans="1:18" x14ac:dyDescent="0.3">
      <c r="A157" s="994"/>
    </row>
    <row r="158" spans="1:18" x14ac:dyDescent="0.3">
      <c r="A158" s="994"/>
    </row>
    <row r="159" spans="1:18" x14ac:dyDescent="0.3">
      <c r="A159" s="994"/>
    </row>
    <row r="160" spans="1:18" x14ac:dyDescent="0.3">
      <c r="A160" s="994"/>
    </row>
    <row r="161" spans="1:1" x14ac:dyDescent="0.3">
      <c r="A161" s="994"/>
    </row>
    <row r="162" spans="1:1" x14ac:dyDescent="0.3">
      <c r="A162" s="994"/>
    </row>
    <row r="163" spans="1:1" x14ac:dyDescent="0.3">
      <c r="A163" s="994"/>
    </row>
    <row r="164" spans="1:1" x14ac:dyDescent="0.3">
      <c r="A164" s="994"/>
    </row>
    <row r="165" spans="1:1" x14ac:dyDescent="0.3">
      <c r="A165" s="994"/>
    </row>
    <row r="166" spans="1:1" x14ac:dyDescent="0.3">
      <c r="A166" s="994"/>
    </row>
    <row r="171" spans="1:1" x14ac:dyDescent="0.3">
      <c r="A171" s="993"/>
    </row>
    <row r="291" spans="1:10" s="1029" customFormat="1" x14ac:dyDescent="0.3">
      <c r="A291" s="1077" t="s">
        <v>748</v>
      </c>
      <c r="B291" s="1077"/>
      <c r="C291" s="1078" t="s">
        <v>538</v>
      </c>
      <c r="D291" s="1028">
        <f>+(D76+D106-D68-D69-D115)/(D102+D11+D79-D103-D78)</f>
        <v>1.835986371713374</v>
      </c>
      <c r="E291" s="1028">
        <f t="shared" ref="E291:J291" si="0">+(E76+E106-E68-E69-E115)/(E102+E11+E79-E103-E78)</f>
        <v>0.44444184987565527</v>
      </c>
      <c r="F291" s="1028">
        <f t="shared" si="0"/>
        <v>1.681044025491176</v>
      </c>
      <c r="G291" s="1028">
        <f t="shared" si="0"/>
        <v>0.73683791696607259</v>
      </c>
      <c r="H291" s="1028">
        <f t="shared" si="0"/>
        <v>0.47599701066648548</v>
      </c>
      <c r="I291" s="1028">
        <f t="shared" si="0"/>
        <v>0.11318459854196715</v>
      </c>
      <c r="J291" s="1028">
        <f t="shared" si="0"/>
        <v>0.37691859523412363</v>
      </c>
    </row>
  </sheetData>
  <sheetProtection algorithmName="SHA-512" hashValue="R0mkBEDXJaK4BtY3ISrGpEmIuZaQyMA0LRbW91F1WZx3vfCOUcruNZTxjxXiSZI/CfhJ5zFfDVM9MPgKr1vlDA==" saltValue="Ml5SfdntIb0VhXSllzF1T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A2" sqref="A2:H2"/>
    </sheetView>
  </sheetViews>
  <sheetFormatPr defaultColWidth="9.109375" defaultRowHeight="14.4" x14ac:dyDescent="0.3"/>
  <cols>
    <col min="1" max="1" width="31.5546875" style="301" customWidth="1"/>
    <col min="2" max="2" width="8" style="301" customWidth="1"/>
    <col min="3" max="3" width="14.88671875" style="301" customWidth="1"/>
    <col min="4" max="4" width="16" style="301" customWidth="1"/>
    <col min="5" max="7" width="9.109375" style="301"/>
    <col min="8" max="8" width="21.33203125" style="301" customWidth="1"/>
    <col min="9" max="16384" width="9.109375" style="301"/>
  </cols>
  <sheetData>
    <row r="1" spans="1:11" ht="15.75" customHeight="1" x14ac:dyDescent="0.3">
      <c r="A1" s="1232" t="s">
        <v>704</v>
      </c>
      <c r="B1" s="1232"/>
      <c r="C1" s="1232"/>
      <c r="D1" s="1232"/>
    </row>
    <row r="2" spans="1:11" ht="15.75" customHeight="1" x14ac:dyDescent="0.3">
      <c r="A2" s="1234" t="s">
        <v>780</v>
      </c>
      <c r="B2" s="1234"/>
      <c r="C2" s="1234"/>
      <c r="D2" s="1234"/>
    </row>
    <row r="3" spans="1:11" ht="21.9" customHeight="1" x14ac:dyDescent="0.3">
      <c r="A3" s="1232" t="s">
        <v>781</v>
      </c>
      <c r="B3" s="1232"/>
      <c r="C3" s="1232"/>
      <c r="D3" s="1232"/>
    </row>
    <row r="4" spans="1:11" ht="21" customHeight="1" x14ac:dyDescent="0.3">
      <c r="A4" s="703"/>
      <c r="B4" s="703"/>
      <c r="C4" s="702" t="s">
        <v>782</v>
      </c>
      <c r="D4" s="702" t="s">
        <v>783</v>
      </c>
      <c r="I4" s="703"/>
      <c r="J4" s="702"/>
      <c r="K4" s="702"/>
    </row>
    <row r="5" spans="1:11" ht="15.75" customHeight="1" x14ac:dyDescent="0.3">
      <c r="A5" s="703"/>
      <c r="B5" s="698" t="s">
        <v>784</v>
      </c>
      <c r="C5" s="702" t="s">
        <v>785</v>
      </c>
      <c r="D5" s="702" t="s">
        <v>786</v>
      </c>
      <c r="I5" s="698"/>
      <c r="J5" s="702"/>
      <c r="K5" s="702"/>
    </row>
    <row r="6" spans="1:11" ht="21" customHeight="1" x14ac:dyDescent="0.3">
      <c r="A6" s="682" t="s">
        <v>787</v>
      </c>
      <c r="B6" s="698" t="s">
        <v>788</v>
      </c>
      <c r="C6" s="702" t="s">
        <v>789</v>
      </c>
      <c r="D6" s="702" t="s">
        <v>789</v>
      </c>
      <c r="I6" s="698"/>
      <c r="J6" s="702"/>
      <c r="K6" s="702"/>
    </row>
    <row r="7" spans="1:11" ht="21.9" customHeight="1" x14ac:dyDescent="0.3">
      <c r="A7" s="682" t="s">
        <v>790</v>
      </c>
      <c r="B7" s="687">
        <v>0.59699999999999998</v>
      </c>
      <c r="C7" s="683">
        <v>2015</v>
      </c>
      <c r="D7" s="683">
        <v>2021</v>
      </c>
      <c r="H7" s="689"/>
      <c r="I7" s="685"/>
      <c r="J7" s="696"/>
      <c r="K7" s="696"/>
    </row>
    <row r="8" spans="1:11" ht="15.75" customHeight="1" x14ac:dyDescent="0.3">
      <c r="A8" s="682" t="s">
        <v>791</v>
      </c>
      <c r="B8" s="687">
        <v>0.52900000000000003</v>
      </c>
      <c r="C8" s="683">
        <v>2017</v>
      </c>
      <c r="D8" s="683">
        <v>2021</v>
      </c>
      <c r="H8" s="689"/>
      <c r="I8" s="685"/>
      <c r="J8" s="696"/>
      <c r="K8" s="696"/>
    </row>
    <row r="9" spans="1:11" ht="15.75" customHeight="1" x14ac:dyDescent="0.3">
      <c r="A9" s="682" t="s">
        <v>792</v>
      </c>
      <c r="B9" s="687">
        <v>0.63</v>
      </c>
      <c r="C9" s="683">
        <v>2013</v>
      </c>
      <c r="D9" s="683">
        <v>2021</v>
      </c>
      <c r="H9" s="689"/>
      <c r="I9" s="685"/>
      <c r="J9" s="696"/>
      <c r="K9" s="696"/>
    </row>
    <row r="10" spans="1:11" ht="15.75" customHeight="1" x14ac:dyDescent="0.3">
      <c r="A10" s="682" t="s">
        <v>793</v>
      </c>
      <c r="B10" s="687">
        <v>0.73499999999999999</v>
      </c>
      <c r="C10" s="683">
        <v>2016</v>
      </c>
      <c r="D10" s="683">
        <v>2021</v>
      </c>
      <c r="H10" s="689"/>
      <c r="I10" s="685"/>
      <c r="J10" s="696"/>
      <c r="K10" s="696"/>
    </row>
    <row r="11" spans="1:11" ht="21.9" customHeight="1" x14ac:dyDescent="0.3">
      <c r="A11" s="682" t="s">
        <v>794</v>
      </c>
      <c r="B11" s="687">
        <v>0.67</v>
      </c>
      <c r="C11" s="683">
        <v>2017</v>
      </c>
      <c r="D11" s="683">
        <v>2021</v>
      </c>
      <c r="H11" s="689"/>
      <c r="I11" s="685"/>
      <c r="J11" s="696"/>
      <c r="K11" s="696"/>
    </row>
    <row r="12" spans="1:11" ht="21" customHeight="1" x14ac:dyDescent="0.3">
      <c r="A12" s="682" t="s">
        <v>795</v>
      </c>
      <c r="B12" s="687">
        <v>0.72</v>
      </c>
      <c r="C12" s="683">
        <v>2016</v>
      </c>
      <c r="D12" s="683">
        <v>2021</v>
      </c>
      <c r="H12" s="689"/>
      <c r="I12" s="685"/>
      <c r="J12" s="696"/>
      <c r="K12" s="696"/>
    </row>
    <row r="13" spans="1:11" ht="15.75" customHeight="1" x14ac:dyDescent="0.3">
      <c r="A13" s="682" t="s">
        <v>796</v>
      </c>
      <c r="B13" s="687">
        <v>0.80500000000000005</v>
      </c>
      <c r="C13" s="683">
        <v>2013</v>
      </c>
      <c r="D13" s="683">
        <v>2021</v>
      </c>
      <c r="H13" s="689"/>
      <c r="I13" s="685"/>
      <c r="J13" s="696"/>
      <c r="K13" s="696"/>
    </row>
    <row r="14" spans="1:11" ht="15.75" customHeight="1" x14ac:dyDescent="0.3">
      <c r="A14" s="682" t="s">
        <v>797</v>
      </c>
      <c r="B14" s="687">
        <v>0.48</v>
      </c>
      <c r="C14" s="683">
        <v>2013</v>
      </c>
      <c r="D14" s="683">
        <v>2021</v>
      </c>
      <c r="H14" s="689"/>
      <c r="I14" s="685"/>
      <c r="J14" s="696"/>
      <c r="K14" s="696"/>
    </row>
    <row r="15" spans="1:11" ht="15.75" customHeight="1" x14ac:dyDescent="0.3">
      <c r="A15" s="682" t="s">
        <v>798</v>
      </c>
      <c r="B15" s="687">
        <v>0.54</v>
      </c>
      <c r="C15" s="683">
        <v>2015</v>
      </c>
      <c r="D15" s="683">
        <v>2021</v>
      </c>
      <c r="H15" s="689"/>
      <c r="I15" s="685"/>
      <c r="J15" s="696"/>
      <c r="K15" s="688"/>
    </row>
    <row r="16" spans="1:11" ht="21" customHeight="1" x14ac:dyDescent="0.3">
      <c r="A16" s="682" t="s">
        <v>799</v>
      </c>
      <c r="B16" s="687">
        <v>0.73799999999999999</v>
      </c>
      <c r="C16" s="683">
        <v>2017</v>
      </c>
      <c r="D16" s="683">
        <v>2021</v>
      </c>
      <c r="H16" s="689"/>
      <c r="I16" s="685"/>
      <c r="J16" s="696"/>
      <c r="K16" s="688"/>
    </row>
    <row r="17" spans="1:11" ht="21.9" customHeight="1" x14ac:dyDescent="0.3">
      <c r="A17" s="682" t="s">
        <v>800</v>
      </c>
      <c r="B17" s="687">
        <v>0.74350000000000005</v>
      </c>
      <c r="C17" s="683">
        <v>2017</v>
      </c>
      <c r="D17" s="683">
        <v>2021</v>
      </c>
      <c r="H17" s="689"/>
      <c r="I17" s="685"/>
      <c r="J17" s="696"/>
      <c r="K17" s="688"/>
    </row>
    <row r="18" spans="1:11" ht="15.75" customHeight="1" x14ac:dyDescent="0.3">
      <c r="A18" s="682" t="s">
        <v>801</v>
      </c>
      <c r="B18" s="687">
        <v>0.78600000000000003</v>
      </c>
      <c r="C18" s="683">
        <v>2013</v>
      </c>
      <c r="D18" s="683">
        <v>2021</v>
      </c>
      <c r="H18" s="689"/>
      <c r="I18" s="685"/>
      <c r="J18" s="696"/>
      <c r="K18" s="688"/>
    </row>
    <row r="19" spans="1:11" ht="15.75" customHeight="1" x14ac:dyDescent="0.3">
      <c r="A19" s="682" t="s">
        <v>802</v>
      </c>
      <c r="B19" s="687">
        <v>0.58499999999999996</v>
      </c>
      <c r="C19" s="683">
        <v>2017</v>
      </c>
      <c r="D19" s="683">
        <v>2021</v>
      </c>
      <c r="H19" s="689"/>
      <c r="I19" s="685"/>
      <c r="J19" s="696"/>
      <c r="K19" s="688"/>
    </row>
    <row r="20" spans="1:11" ht="15.75" customHeight="1" x14ac:dyDescent="0.3">
      <c r="A20" s="682" t="s">
        <v>803</v>
      </c>
      <c r="B20" s="687">
        <v>0.38</v>
      </c>
      <c r="C20" s="683">
        <v>2016</v>
      </c>
      <c r="D20" s="683">
        <v>2021</v>
      </c>
    </row>
    <row r="21" spans="1:11" ht="21.9" customHeight="1" x14ac:dyDescent="0.3">
      <c r="A21" s="691" t="s">
        <v>804</v>
      </c>
      <c r="B21" s="687">
        <v>0.55500000000000005</v>
      </c>
      <c r="C21" s="683">
        <v>2017</v>
      </c>
      <c r="D21" s="701">
        <v>2021</v>
      </c>
    </row>
    <row r="22" spans="1:11" ht="21" customHeight="1" x14ac:dyDescent="0.3">
      <c r="A22" s="691" t="s">
        <v>805</v>
      </c>
      <c r="B22" s="687">
        <v>0.8679</v>
      </c>
      <c r="C22" s="683">
        <v>2017</v>
      </c>
      <c r="D22" s="701">
        <v>2021</v>
      </c>
    </row>
    <row r="23" spans="1:11" ht="15.75" customHeight="1" x14ac:dyDescent="0.3">
      <c r="A23" s="691" t="s">
        <v>806</v>
      </c>
      <c r="B23" s="687">
        <v>0.72</v>
      </c>
      <c r="C23" s="683">
        <v>2013</v>
      </c>
      <c r="D23" s="701">
        <v>2021</v>
      </c>
    </row>
    <row r="24" spans="1:11" ht="15.75" customHeight="1" x14ac:dyDescent="0.3">
      <c r="A24" s="691" t="s">
        <v>807</v>
      </c>
      <c r="B24" s="687">
        <v>0.5494</v>
      </c>
      <c r="C24" s="683">
        <v>2017</v>
      </c>
      <c r="D24" s="701">
        <v>2021</v>
      </c>
    </row>
    <row r="25" spans="1:11" ht="15.75" customHeight="1" x14ac:dyDescent="0.3">
      <c r="A25" s="691" t="s">
        <v>808</v>
      </c>
      <c r="B25" s="687">
        <v>0.67</v>
      </c>
      <c r="C25" s="683">
        <v>2017</v>
      </c>
      <c r="D25" s="701">
        <v>2021</v>
      </c>
    </row>
    <row r="26" spans="1:11" ht="21.9" customHeight="1" x14ac:dyDescent="0.3">
      <c r="A26" s="691" t="s">
        <v>809</v>
      </c>
      <c r="B26" s="687">
        <v>0.66</v>
      </c>
      <c r="C26" s="683">
        <v>2017</v>
      </c>
      <c r="D26" s="701">
        <v>2021</v>
      </c>
    </row>
    <row r="27" spans="1:11" ht="21.9" customHeight="1" x14ac:dyDescent="0.3">
      <c r="A27" s="691" t="s">
        <v>810</v>
      </c>
      <c r="B27" s="687">
        <v>0.58199999999999996</v>
      </c>
      <c r="C27" s="683">
        <v>2016</v>
      </c>
      <c r="D27" s="701">
        <v>2021</v>
      </c>
    </row>
    <row r="28" spans="1:11" ht="15.75" customHeight="1" x14ac:dyDescent="0.3">
      <c r="A28" s="691" t="s">
        <v>811</v>
      </c>
      <c r="B28" s="687">
        <v>0.36</v>
      </c>
      <c r="C28" s="683">
        <v>2013</v>
      </c>
      <c r="D28" s="701">
        <v>2021</v>
      </c>
    </row>
    <row r="29" spans="1:11" ht="15.75" customHeight="1" x14ac:dyDescent="0.3">
      <c r="A29" s="691" t="s">
        <v>812</v>
      </c>
      <c r="B29" s="687">
        <v>0.63600000000000001</v>
      </c>
      <c r="C29" s="683">
        <v>2016</v>
      </c>
      <c r="D29" s="701">
        <v>2021</v>
      </c>
    </row>
    <row r="30" spans="1:11" ht="15.75" customHeight="1" x14ac:dyDescent="0.3">
      <c r="A30" s="691" t="s">
        <v>813</v>
      </c>
      <c r="B30" s="687">
        <v>0.73089999999999999</v>
      </c>
      <c r="C30" s="683">
        <v>2015</v>
      </c>
      <c r="D30" s="701">
        <v>2021</v>
      </c>
    </row>
    <row r="31" spans="1:11" ht="21" customHeight="1" x14ac:dyDescent="0.3">
      <c r="A31" s="691" t="s">
        <v>814</v>
      </c>
      <c r="B31" s="687">
        <v>0.85499999999999998</v>
      </c>
      <c r="C31" s="683">
        <v>2013</v>
      </c>
      <c r="D31" s="701">
        <v>2021</v>
      </c>
    </row>
    <row r="32" spans="1:11" ht="21.9" customHeight="1" x14ac:dyDescent="0.3">
      <c r="A32" s="704" t="s">
        <v>815</v>
      </c>
      <c r="B32" s="681">
        <v>0.55000000000000004</v>
      </c>
      <c r="C32" s="700">
        <v>2018</v>
      </c>
      <c r="D32" s="700">
        <v>2022</v>
      </c>
    </row>
    <row r="33" spans="1:4" ht="15.75" customHeight="1" x14ac:dyDescent="0.3">
      <c r="A33" s="704" t="s">
        <v>816</v>
      </c>
      <c r="B33" s="681">
        <v>0.82</v>
      </c>
      <c r="C33" s="700">
        <v>2015</v>
      </c>
      <c r="D33" s="700">
        <v>2022</v>
      </c>
    </row>
    <row r="34" spans="1:4" ht="15.75" customHeight="1" x14ac:dyDescent="0.3">
      <c r="A34" s="704" t="s">
        <v>817</v>
      </c>
      <c r="B34" s="681">
        <v>0.755</v>
      </c>
      <c r="C34" s="700">
        <v>2014</v>
      </c>
      <c r="D34" s="700">
        <v>2022</v>
      </c>
    </row>
    <row r="35" spans="1:4" ht="15.75" customHeight="1" x14ac:dyDescent="0.3">
      <c r="A35" s="704" t="s">
        <v>818</v>
      </c>
      <c r="B35" s="681">
        <v>0.5494</v>
      </c>
      <c r="C35" s="700">
        <v>2016</v>
      </c>
      <c r="D35" s="700">
        <v>2022</v>
      </c>
    </row>
    <row r="36" spans="1:4" ht="21.9" customHeight="1" x14ac:dyDescent="0.3">
      <c r="A36" s="704" t="s">
        <v>819</v>
      </c>
      <c r="B36" s="681">
        <v>0.73499999999999999</v>
      </c>
      <c r="C36" s="700">
        <v>2017</v>
      </c>
      <c r="D36" s="700">
        <v>2022</v>
      </c>
    </row>
    <row r="37" spans="1:4" ht="21" customHeight="1" x14ac:dyDescent="0.3">
      <c r="A37" s="704" t="s">
        <v>820</v>
      </c>
      <c r="B37" s="681">
        <v>0.73050000000000004</v>
      </c>
      <c r="C37" s="700">
        <v>2017</v>
      </c>
      <c r="D37" s="700">
        <v>2022</v>
      </c>
    </row>
    <row r="38" spans="1:4" ht="15.75" customHeight="1" x14ac:dyDescent="0.3">
      <c r="A38" s="704" t="s">
        <v>821</v>
      </c>
      <c r="B38" s="681">
        <v>0.75</v>
      </c>
      <c r="C38" s="700">
        <v>2017</v>
      </c>
      <c r="D38" s="700">
        <v>2022</v>
      </c>
    </row>
    <row r="39" spans="1:4" ht="15.75" customHeight="1" x14ac:dyDescent="0.3">
      <c r="A39" s="704" t="s">
        <v>822</v>
      </c>
      <c r="B39" s="681">
        <v>0.75</v>
      </c>
      <c r="C39" s="700">
        <v>2014</v>
      </c>
      <c r="D39" s="700">
        <v>2022</v>
      </c>
    </row>
    <row r="40" spans="1:4" ht="15.75" customHeight="1" x14ac:dyDescent="0.3">
      <c r="A40" s="705" t="s">
        <v>823</v>
      </c>
      <c r="B40" s="681">
        <v>0.77</v>
      </c>
      <c r="C40" s="700">
        <v>2014</v>
      </c>
      <c r="D40" s="686">
        <v>2022</v>
      </c>
    </row>
    <row r="41" spans="1:4" ht="21" customHeight="1" x14ac:dyDescent="0.3">
      <c r="A41" s="705" t="s">
        <v>824</v>
      </c>
      <c r="B41" s="681">
        <v>0.57999999999999996</v>
      </c>
      <c r="C41" s="700">
        <v>2018</v>
      </c>
      <c r="D41" s="686">
        <v>2022</v>
      </c>
    </row>
    <row r="42" spans="1:4" ht="21.9" customHeight="1" x14ac:dyDescent="0.3">
      <c r="A42" s="705" t="s">
        <v>825</v>
      </c>
      <c r="B42" s="681">
        <v>0.70499999999999996</v>
      </c>
      <c r="C42" s="700">
        <v>2018</v>
      </c>
      <c r="D42" s="686">
        <v>2022</v>
      </c>
    </row>
    <row r="43" spans="1:4" ht="15.75" customHeight="1" x14ac:dyDescent="0.3">
      <c r="A43" s="705" t="s">
        <v>826</v>
      </c>
      <c r="B43" s="681">
        <v>0.77</v>
      </c>
      <c r="C43" s="700">
        <v>2014</v>
      </c>
      <c r="D43" s="686">
        <v>2022</v>
      </c>
    </row>
    <row r="44" spans="1:4" ht="15.75" customHeight="1" x14ac:dyDescent="0.3">
      <c r="A44" s="705" t="s">
        <v>827</v>
      </c>
      <c r="B44" s="681">
        <v>0.40300000000000002</v>
      </c>
      <c r="C44" s="700">
        <v>2014</v>
      </c>
      <c r="D44" s="686">
        <v>2022</v>
      </c>
    </row>
    <row r="45" spans="1:4" ht="15.75" customHeight="1" x14ac:dyDescent="0.3">
      <c r="A45" s="682" t="s">
        <v>828</v>
      </c>
      <c r="B45" s="687">
        <v>0.79</v>
      </c>
      <c r="C45" s="683">
        <v>2015</v>
      </c>
      <c r="D45" s="683">
        <v>2023</v>
      </c>
    </row>
    <row r="46" spans="1:4" ht="21.9" customHeight="1" x14ac:dyDescent="0.3">
      <c r="A46" s="682" t="s">
        <v>829</v>
      </c>
      <c r="B46" s="687">
        <v>0.443</v>
      </c>
      <c r="C46" s="683">
        <v>2019</v>
      </c>
      <c r="D46" s="683">
        <v>2023</v>
      </c>
    </row>
    <row r="47" spans="1:4" ht="21" customHeight="1" x14ac:dyDescent="0.3">
      <c r="A47" s="682" t="s">
        <v>830</v>
      </c>
      <c r="B47" s="687">
        <v>0.48499999999999999</v>
      </c>
      <c r="C47" s="683">
        <v>2019</v>
      </c>
      <c r="D47" s="683">
        <v>2023</v>
      </c>
    </row>
    <row r="48" spans="1:4" ht="15.75" customHeight="1" x14ac:dyDescent="0.3">
      <c r="A48" s="682" t="s">
        <v>831</v>
      </c>
      <c r="B48" s="687">
        <v>0.74</v>
      </c>
      <c r="C48" s="683">
        <v>2015</v>
      </c>
      <c r="D48" s="683">
        <v>2023</v>
      </c>
    </row>
    <row r="49" spans="1:4" ht="15.75" customHeight="1" x14ac:dyDescent="0.3">
      <c r="A49" s="682" t="s">
        <v>832</v>
      </c>
      <c r="B49" s="687">
        <v>0.57499999999999996</v>
      </c>
      <c r="C49" s="683">
        <v>2019</v>
      </c>
      <c r="D49" s="683">
        <v>2023</v>
      </c>
    </row>
    <row r="50" spans="1:4" ht="15.75" customHeight="1" x14ac:dyDescent="0.3">
      <c r="A50" s="682" t="s">
        <v>833</v>
      </c>
      <c r="B50" s="687">
        <v>0.71220000000000006</v>
      </c>
      <c r="C50" s="683">
        <v>2019</v>
      </c>
      <c r="D50" s="683">
        <v>2023</v>
      </c>
    </row>
    <row r="51" spans="1:4" ht="21.9" customHeight="1" x14ac:dyDescent="0.3">
      <c r="A51" s="682" t="s">
        <v>834</v>
      </c>
      <c r="B51" s="687">
        <v>0.83</v>
      </c>
      <c r="C51" s="683">
        <v>2019</v>
      </c>
      <c r="D51" s="683">
        <v>2023</v>
      </c>
    </row>
    <row r="52" spans="1:4" ht="21.9" customHeight="1" x14ac:dyDescent="0.3">
      <c r="A52" s="682" t="s">
        <v>835</v>
      </c>
      <c r="B52" s="687">
        <v>0.65</v>
      </c>
      <c r="C52" s="683">
        <v>2019</v>
      </c>
      <c r="D52" s="683">
        <v>2023</v>
      </c>
    </row>
    <row r="53" spans="1:4" ht="15.75" customHeight="1" x14ac:dyDescent="0.3">
      <c r="A53" s="682" t="s">
        <v>836</v>
      </c>
      <c r="B53" s="687">
        <v>0.56100000000000005</v>
      </c>
      <c r="C53" s="683">
        <v>2019</v>
      </c>
      <c r="D53" s="683">
        <v>2023</v>
      </c>
    </row>
    <row r="54" spans="1:4" ht="15.75" customHeight="1" x14ac:dyDescent="0.3">
      <c r="A54" s="682" t="s">
        <v>837</v>
      </c>
      <c r="B54" s="687">
        <v>0.77</v>
      </c>
      <c r="C54" s="683">
        <v>2017</v>
      </c>
      <c r="D54" s="683">
        <v>2023</v>
      </c>
    </row>
    <row r="55" spans="1:4" ht="15.75" customHeight="1" x14ac:dyDescent="0.3">
      <c r="A55" s="682" t="s">
        <v>838</v>
      </c>
      <c r="B55" s="687">
        <v>0.53749999999999998</v>
      </c>
      <c r="C55" s="683">
        <v>2019</v>
      </c>
      <c r="D55" s="683">
        <v>2023</v>
      </c>
    </row>
    <row r="56" spans="1:4" ht="36" customHeight="1" x14ac:dyDescent="0.3">
      <c r="A56" s="691" t="s">
        <v>839</v>
      </c>
      <c r="B56" s="687">
        <v>0.77500000000000002</v>
      </c>
      <c r="C56" s="683">
        <v>2019</v>
      </c>
      <c r="D56" s="701">
        <v>2023</v>
      </c>
    </row>
    <row r="57" spans="1:4" ht="36" customHeight="1" x14ac:dyDescent="0.3">
      <c r="A57" s="691" t="s">
        <v>840</v>
      </c>
      <c r="B57" s="687">
        <v>0.59899999999999998</v>
      </c>
      <c r="C57" s="683">
        <v>2019</v>
      </c>
      <c r="D57" s="701">
        <v>2023</v>
      </c>
    </row>
    <row r="58" spans="1:4" ht="36" customHeight="1" x14ac:dyDescent="0.3">
      <c r="A58" s="691" t="s">
        <v>841</v>
      </c>
      <c r="B58" s="687">
        <v>0.37469999999999998</v>
      </c>
      <c r="C58" s="683">
        <v>2019</v>
      </c>
      <c r="D58" s="701">
        <v>2023</v>
      </c>
    </row>
    <row r="59" spans="1:4" ht="36" customHeight="1" x14ac:dyDescent="0.3">
      <c r="A59" s="691" t="s">
        <v>842</v>
      </c>
      <c r="B59" s="687">
        <v>0.58750000000000002</v>
      </c>
      <c r="C59" s="683">
        <v>2019</v>
      </c>
      <c r="D59" s="701">
        <v>2023</v>
      </c>
    </row>
    <row r="60" spans="1:4" ht="36" customHeight="1" x14ac:dyDescent="0.3">
      <c r="A60" s="691" t="s">
        <v>843</v>
      </c>
      <c r="B60" s="687">
        <v>0.6169</v>
      </c>
      <c r="C60" s="683">
        <v>2019</v>
      </c>
      <c r="D60" s="701">
        <v>2023</v>
      </c>
    </row>
    <row r="61" spans="1:4" ht="36" customHeight="1" x14ac:dyDescent="0.3">
      <c r="A61" s="691" t="s">
        <v>844</v>
      </c>
      <c r="B61" s="687">
        <v>0.51</v>
      </c>
      <c r="C61" s="683">
        <v>2019</v>
      </c>
      <c r="D61" s="701">
        <v>2023</v>
      </c>
    </row>
    <row r="62" spans="1:4" ht="36" customHeight="1" x14ac:dyDescent="0.3">
      <c r="A62" s="691" t="s">
        <v>845</v>
      </c>
      <c r="B62" s="687">
        <v>0.91</v>
      </c>
      <c r="C62" s="683">
        <v>2015</v>
      </c>
      <c r="D62" s="701">
        <v>2023</v>
      </c>
    </row>
    <row r="63" spans="1:4" ht="36" customHeight="1" x14ac:dyDescent="0.3">
      <c r="A63" s="691" t="s">
        <v>846</v>
      </c>
      <c r="B63" s="687">
        <v>0.65749999999999997</v>
      </c>
      <c r="C63" s="683">
        <v>2019</v>
      </c>
      <c r="D63" s="701">
        <v>2023</v>
      </c>
    </row>
    <row r="64" spans="1:4" ht="36" customHeight="1" x14ac:dyDescent="0.3">
      <c r="A64" s="691" t="s">
        <v>847</v>
      </c>
      <c r="B64" s="687">
        <v>0.59699999999999998</v>
      </c>
      <c r="C64" s="683">
        <v>2019</v>
      </c>
      <c r="D64" s="701">
        <v>2023</v>
      </c>
    </row>
    <row r="65" spans="1:4" ht="36" customHeight="1" x14ac:dyDescent="0.3">
      <c r="A65" s="691" t="s">
        <v>848</v>
      </c>
      <c r="B65" s="687">
        <v>0.66</v>
      </c>
      <c r="C65" s="683">
        <v>2019</v>
      </c>
      <c r="D65" s="701">
        <v>2023</v>
      </c>
    </row>
    <row r="66" spans="1:4" ht="36" customHeight="1" x14ac:dyDescent="0.3">
      <c r="A66" s="691" t="s">
        <v>849</v>
      </c>
      <c r="B66" s="687">
        <v>0.66</v>
      </c>
      <c r="C66" s="683">
        <v>2017</v>
      </c>
      <c r="D66" s="701">
        <v>2023</v>
      </c>
    </row>
    <row r="67" spans="1:4" ht="36" customHeight="1" x14ac:dyDescent="0.3">
      <c r="A67" s="682" t="s">
        <v>850</v>
      </c>
      <c r="B67" s="687">
        <v>0.74</v>
      </c>
      <c r="C67" s="683">
        <v>2020</v>
      </c>
      <c r="D67" s="683">
        <v>2024</v>
      </c>
    </row>
    <row r="68" spans="1:4" ht="36" customHeight="1" x14ac:dyDescent="0.3">
      <c r="A68" s="682" t="s">
        <v>851</v>
      </c>
      <c r="B68" s="687">
        <v>0.33</v>
      </c>
      <c r="C68" s="683">
        <v>2020</v>
      </c>
      <c r="D68" s="683">
        <v>2024</v>
      </c>
    </row>
    <row r="69" spans="1:4" ht="36" customHeight="1" x14ac:dyDescent="0.3">
      <c r="A69" s="682" t="s">
        <v>852</v>
      </c>
      <c r="B69" s="687">
        <v>0.80500000000000005</v>
      </c>
      <c r="C69" s="683">
        <v>2018</v>
      </c>
      <c r="D69" s="683">
        <v>2024</v>
      </c>
    </row>
    <row r="70" spans="1:4" ht="36" customHeight="1" x14ac:dyDescent="0.3">
      <c r="A70" s="682" t="s">
        <v>853</v>
      </c>
      <c r="B70" s="687">
        <v>0.76</v>
      </c>
      <c r="C70" s="683">
        <v>2020</v>
      </c>
      <c r="D70" s="683">
        <v>2024</v>
      </c>
    </row>
    <row r="71" spans="1:4" ht="36" customHeight="1" x14ac:dyDescent="0.3">
      <c r="A71" s="691" t="s">
        <v>854</v>
      </c>
      <c r="B71" s="687">
        <v>0.59</v>
      </c>
      <c r="C71" s="683">
        <v>2016</v>
      </c>
      <c r="D71" s="701">
        <v>2024</v>
      </c>
    </row>
    <row r="72" spans="1:4" ht="36" customHeight="1" x14ac:dyDescent="0.3">
      <c r="A72" s="691" t="s">
        <v>855</v>
      </c>
      <c r="B72" s="687">
        <v>0.67969999999999997</v>
      </c>
      <c r="C72" s="683">
        <v>2020</v>
      </c>
      <c r="D72" s="701">
        <v>2024</v>
      </c>
    </row>
    <row r="73" spans="1:4" ht="36" customHeight="1" x14ac:dyDescent="0.3">
      <c r="A73" s="691" t="s">
        <v>856</v>
      </c>
      <c r="B73" s="687">
        <v>0.83</v>
      </c>
      <c r="C73" s="683">
        <v>2016</v>
      </c>
      <c r="D73" s="701">
        <v>2024</v>
      </c>
    </row>
    <row r="74" spans="1:4" ht="36" customHeight="1" x14ac:dyDescent="0.3">
      <c r="A74" s="691" t="s">
        <v>857</v>
      </c>
      <c r="B74" s="687">
        <v>0.77</v>
      </c>
      <c r="C74" s="683">
        <v>2018</v>
      </c>
      <c r="D74" s="701">
        <v>2024</v>
      </c>
    </row>
    <row r="75" spans="1:4" ht="36" customHeight="1" x14ac:dyDescent="0.3">
      <c r="A75" s="691" t="s">
        <v>858</v>
      </c>
      <c r="B75" s="687">
        <v>0.89</v>
      </c>
      <c r="C75" s="683">
        <v>2016</v>
      </c>
      <c r="D75" s="701">
        <v>2024</v>
      </c>
    </row>
    <row r="76" spans="1:4" ht="36" customHeight="1" x14ac:dyDescent="0.3">
      <c r="A76" s="691" t="s">
        <v>859</v>
      </c>
      <c r="B76" s="687">
        <v>0.6</v>
      </c>
      <c r="C76" s="683">
        <v>2020</v>
      </c>
      <c r="D76" s="701">
        <v>2024</v>
      </c>
    </row>
    <row r="77" spans="1:4" ht="36" customHeight="1" x14ac:dyDescent="0.3">
      <c r="A77" s="691" t="s">
        <v>860</v>
      </c>
      <c r="B77" s="687">
        <v>0.73</v>
      </c>
      <c r="C77" s="683">
        <v>2016</v>
      </c>
      <c r="D77" s="701">
        <v>2024</v>
      </c>
    </row>
    <row r="78" spans="1:4" ht="36" customHeight="1" x14ac:dyDescent="0.3">
      <c r="A78" s="691" t="s">
        <v>861</v>
      </c>
      <c r="B78" s="687">
        <v>0.6</v>
      </c>
      <c r="C78" s="683">
        <v>2016</v>
      </c>
      <c r="D78" s="701">
        <v>2024</v>
      </c>
    </row>
    <row r="79" spans="1:4" ht="36" customHeight="1" x14ac:dyDescent="0.3">
      <c r="A79" s="682" t="s">
        <v>862</v>
      </c>
      <c r="B79" s="687">
        <v>0.67</v>
      </c>
      <c r="C79" s="683">
        <v>2017</v>
      </c>
      <c r="D79" s="683">
        <v>2025</v>
      </c>
    </row>
    <row r="80" spans="1:4" ht="36" customHeight="1" x14ac:dyDescent="0.3">
      <c r="A80" s="682" t="s">
        <v>863</v>
      </c>
      <c r="B80" s="687">
        <v>0.69499999999999995</v>
      </c>
      <c r="C80" s="683">
        <v>2019</v>
      </c>
      <c r="D80" s="683">
        <v>2025</v>
      </c>
    </row>
    <row r="81" spans="1:4" ht="36" customHeight="1" x14ac:dyDescent="0.3">
      <c r="A81" s="682" t="s">
        <v>864</v>
      </c>
      <c r="B81" s="687">
        <v>0.79900000000000004</v>
      </c>
      <c r="C81" s="683">
        <v>2017</v>
      </c>
      <c r="D81" s="683">
        <v>2025</v>
      </c>
    </row>
    <row r="82" spans="1:4" ht="36" customHeight="1" x14ac:dyDescent="0.3">
      <c r="A82" s="682" t="s">
        <v>865</v>
      </c>
      <c r="B82" s="687">
        <v>0.40050000000000002</v>
      </c>
      <c r="C82" s="683">
        <v>2020</v>
      </c>
      <c r="D82" s="683">
        <v>2025</v>
      </c>
    </row>
    <row r="83" spans="1:4" ht="36" customHeight="1" x14ac:dyDescent="0.3">
      <c r="A83" s="682" t="s">
        <v>866</v>
      </c>
      <c r="B83" s="687">
        <v>0.95</v>
      </c>
      <c r="C83" s="683">
        <v>2017</v>
      </c>
      <c r="D83" s="683">
        <v>2025</v>
      </c>
    </row>
    <row r="84" spans="1:4" ht="36" customHeight="1" x14ac:dyDescent="0.3">
      <c r="A84" s="682" t="s">
        <v>867</v>
      </c>
      <c r="B84" s="687">
        <v>0.79</v>
      </c>
      <c r="C84" s="683">
        <v>2017</v>
      </c>
      <c r="D84" s="683">
        <v>2025</v>
      </c>
    </row>
    <row r="85" spans="1:4" ht="36" customHeight="1" x14ac:dyDescent="0.3">
      <c r="A85" s="691" t="s">
        <v>868</v>
      </c>
      <c r="B85" s="687">
        <v>0.76</v>
      </c>
      <c r="C85" s="683">
        <v>2019</v>
      </c>
      <c r="D85" s="701">
        <v>2025</v>
      </c>
    </row>
    <row r="86" spans="1:4" ht="36" customHeight="1" x14ac:dyDescent="0.3">
      <c r="A86" s="691" t="s">
        <v>869</v>
      </c>
      <c r="B86" s="687">
        <v>0.84499999999999997</v>
      </c>
      <c r="C86" s="683">
        <v>2017</v>
      </c>
      <c r="D86" s="701">
        <v>2025</v>
      </c>
    </row>
    <row r="87" spans="1:4" ht="36" customHeight="1" x14ac:dyDescent="0.3">
      <c r="A87" s="691" t="s">
        <v>870</v>
      </c>
      <c r="B87" s="687">
        <v>0.81</v>
      </c>
      <c r="C87" s="683">
        <v>2017</v>
      </c>
      <c r="D87" s="701">
        <v>2025</v>
      </c>
    </row>
    <row r="88" spans="1:4" ht="36" customHeight="1" x14ac:dyDescent="0.3">
      <c r="A88" s="691" t="s">
        <v>871</v>
      </c>
      <c r="B88" s="687">
        <v>0.67</v>
      </c>
      <c r="C88" s="683">
        <v>2017</v>
      </c>
      <c r="D88" s="701">
        <v>2025</v>
      </c>
    </row>
    <row r="89" spans="1:4" ht="36" customHeight="1" x14ac:dyDescent="0.3">
      <c r="A89" s="691" t="s">
        <v>872</v>
      </c>
      <c r="B89" s="687">
        <v>0.63270000000000004</v>
      </c>
      <c r="C89" s="683">
        <v>2019</v>
      </c>
      <c r="D89" s="701">
        <v>2025</v>
      </c>
    </row>
    <row r="90" spans="1:4" ht="36" customHeight="1" x14ac:dyDescent="0.3">
      <c r="A90" s="691" t="s">
        <v>873</v>
      </c>
      <c r="B90" s="687">
        <v>0.94</v>
      </c>
      <c r="C90" s="683">
        <v>2017</v>
      </c>
      <c r="D90" s="701">
        <v>2025</v>
      </c>
    </row>
    <row r="91" spans="1:4" ht="36" customHeight="1" x14ac:dyDescent="0.3">
      <c r="A91" s="691" t="s">
        <v>874</v>
      </c>
      <c r="B91" s="687">
        <v>0.81</v>
      </c>
      <c r="C91" s="683">
        <v>2017</v>
      </c>
      <c r="D91" s="701">
        <v>2025</v>
      </c>
    </row>
    <row r="92" spans="1:4" ht="36" customHeight="1" x14ac:dyDescent="0.3">
      <c r="A92" s="682" t="s">
        <v>875</v>
      </c>
      <c r="B92" s="687">
        <v>0.77700000000000002</v>
      </c>
      <c r="C92" s="683">
        <v>2018</v>
      </c>
      <c r="D92" s="683">
        <v>2026</v>
      </c>
    </row>
    <row r="93" spans="1:4" ht="36" customHeight="1" x14ac:dyDescent="0.3">
      <c r="A93" s="682" t="s">
        <v>876</v>
      </c>
      <c r="B93" s="687">
        <v>0.63500000000000001</v>
      </c>
      <c r="C93" s="683">
        <v>2018</v>
      </c>
      <c r="D93" s="683">
        <v>2026</v>
      </c>
    </row>
    <row r="94" spans="1:4" ht="36" customHeight="1" x14ac:dyDescent="0.3">
      <c r="A94" s="682" t="s">
        <v>877</v>
      </c>
      <c r="B94" s="687">
        <v>0.43</v>
      </c>
      <c r="C94" s="683">
        <v>2018</v>
      </c>
      <c r="D94" s="683">
        <v>2026</v>
      </c>
    </row>
    <row r="95" spans="1:4" ht="36" customHeight="1" x14ac:dyDescent="0.3">
      <c r="A95" s="682" t="s">
        <v>878</v>
      </c>
      <c r="B95" s="687">
        <v>0.84</v>
      </c>
      <c r="C95" s="683">
        <v>2018</v>
      </c>
      <c r="D95" s="683">
        <v>2026</v>
      </c>
    </row>
    <row r="96" spans="1:4" ht="36" customHeight="1" x14ac:dyDescent="0.3">
      <c r="A96" s="682" t="s">
        <v>879</v>
      </c>
      <c r="B96" s="687">
        <v>0.84</v>
      </c>
      <c r="C96" s="683">
        <v>2019</v>
      </c>
      <c r="D96" s="683">
        <v>2027</v>
      </c>
    </row>
    <row r="97" spans="1:4" ht="36" customHeight="1" x14ac:dyDescent="0.3">
      <c r="A97" s="691" t="s">
        <v>880</v>
      </c>
      <c r="B97" s="687">
        <v>0.64500000000000002</v>
      </c>
      <c r="C97" s="683">
        <v>2019</v>
      </c>
      <c r="D97" s="701">
        <v>2027</v>
      </c>
    </row>
    <row r="98" spans="1:4" ht="36" customHeight="1" x14ac:dyDescent="0.3">
      <c r="A98" s="691" t="s">
        <v>881</v>
      </c>
      <c r="B98" s="687">
        <v>0.69499999999999995</v>
      </c>
      <c r="C98" s="683">
        <v>2019</v>
      </c>
      <c r="D98" s="701">
        <v>2027</v>
      </c>
    </row>
    <row r="99" spans="1:4" ht="36" customHeight="1" x14ac:dyDescent="0.3">
      <c r="A99" s="691" t="s">
        <v>882</v>
      </c>
      <c r="B99" s="687">
        <v>0.82499999999999996</v>
      </c>
      <c r="C99" s="683">
        <v>2019</v>
      </c>
      <c r="D99" s="701">
        <v>2027</v>
      </c>
    </row>
    <row r="100" spans="1:4" ht="36" customHeight="1" x14ac:dyDescent="0.3">
      <c r="A100" s="691" t="s">
        <v>883</v>
      </c>
      <c r="B100" s="687">
        <v>1</v>
      </c>
      <c r="C100" s="683">
        <v>2019</v>
      </c>
      <c r="D100" s="701">
        <v>2027</v>
      </c>
    </row>
    <row r="101" spans="1:4" ht="36" customHeight="1" x14ac:dyDescent="0.3">
      <c r="A101" s="691" t="s">
        <v>884</v>
      </c>
      <c r="B101" s="687">
        <v>0.66349999999999998</v>
      </c>
      <c r="C101" s="683">
        <v>2019</v>
      </c>
      <c r="D101" s="701">
        <v>2027</v>
      </c>
    </row>
    <row r="102" spans="1:4" ht="36" customHeight="1" x14ac:dyDescent="0.3">
      <c r="A102" s="682" t="s">
        <v>885</v>
      </c>
      <c r="B102" s="687">
        <v>0.86499999999999999</v>
      </c>
      <c r="C102" s="683">
        <v>2020</v>
      </c>
      <c r="D102" s="683">
        <v>2028</v>
      </c>
    </row>
    <row r="103" spans="1:4" ht="36" customHeight="1" x14ac:dyDescent="0.3">
      <c r="A103" s="682" t="s">
        <v>886</v>
      </c>
      <c r="B103" s="687">
        <v>0.46</v>
      </c>
      <c r="C103" s="683">
        <v>2020</v>
      </c>
      <c r="D103" s="683">
        <v>2028</v>
      </c>
    </row>
    <row r="104" spans="1:4" ht="36" customHeight="1" x14ac:dyDescent="0.3">
      <c r="A104" s="691" t="s">
        <v>887</v>
      </c>
      <c r="B104" s="687">
        <v>0.5</v>
      </c>
      <c r="C104" s="683">
        <v>2020</v>
      </c>
      <c r="D104" s="701">
        <v>2028</v>
      </c>
    </row>
    <row r="105" spans="1:4" ht="36" customHeight="1" x14ac:dyDescent="0.3">
      <c r="A105" s="691" t="s">
        <v>888</v>
      </c>
      <c r="B105" s="687">
        <v>0.62</v>
      </c>
      <c r="C105" s="683">
        <v>2020</v>
      </c>
      <c r="D105" s="701">
        <v>2028</v>
      </c>
    </row>
    <row r="106" spans="1:4" ht="36" customHeight="1" x14ac:dyDescent="0.3">
      <c r="A106" s="691" t="s">
        <v>889</v>
      </c>
      <c r="B106" s="687">
        <v>0.625</v>
      </c>
      <c r="C106" s="683">
        <v>2020</v>
      </c>
      <c r="D106" s="701">
        <v>2028</v>
      </c>
    </row>
    <row r="107" spans="1:4" ht="36" customHeight="1" x14ac:dyDescent="0.3">
      <c r="A107" s="682"/>
      <c r="B107" s="687"/>
      <c r="C107" s="683"/>
      <c r="D107" s="683"/>
    </row>
    <row r="108" spans="1:4" ht="36" customHeight="1" x14ac:dyDescent="0.3">
      <c r="A108" s="682"/>
      <c r="B108" s="687"/>
      <c r="C108" s="683"/>
      <c r="D108" s="683"/>
    </row>
    <row r="109" spans="1:4" ht="36" customHeight="1" x14ac:dyDescent="0.3">
      <c r="A109" s="682"/>
      <c r="B109" s="687"/>
      <c r="C109" s="683"/>
      <c r="D109" s="683"/>
    </row>
    <row r="110" spans="1:4" ht="36" customHeight="1" x14ac:dyDescent="0.3">
      <c r="A110" s="682"/>
      <c r="B110" s="687"/>
      <c r="C110" s="683"/>
      <c r="D110" s="683"/>
    </row>
    <row r="111" spans="1:4" ht="36" customHeight="1" x14ac:dyDescent="0.3">
      <c r="A111" s="682"/>
      <c r="B111" s="687"/>
      <c r="C111" s="683"/>
      <c r="D111" s="683"/>
    </row>
    <row r="112" spans="1:4" ht="36" customHeight="1" x14ac:dyDescent="0.3">
      <c r="A112" s="1235" t="s">
        <v>890</v>
      </c>
      <c r="B112" s="1235"/>
      <c r="C112" s="1235"/>
      <c r="D112" s="1235"/>
    </row>
    <row r="113" spans="1:4" ht="15.75" customHeight="1" x14ac:dyDescent="0.3">
      <c r="A113" s="1230" t="s">
        <v>891</v>
      </c>
      <c r="B113" s="1230"/>
      <c r="C113" s="1230"/>
      <c r="D113" s="1230"/>
    </row>
    <row r="114" spans="1:4" ht="15.75" customHeight="1" x14ac:dyDescent="0.3">
      <c r="A114" s="1233" t="s">
        <v>892</v>
      </c>
      <c r="B114" s="1233"/>
      <c r="C114" s="1233"/>
      <c r="D114" s="1233"/>
    </row>
    <row r="115" spans="1:4" ht="15.75" customHeight="1" x14ac:dyDescent="0.3">
      <c r="A115" s="1230" t="s">
        <v>893</v>
      </c>
      <c r="B115" s="1230"/>
      <c r="C115" s="1230"/>
      <c r="D115" s="1230"/>
    </row>
    <row r="116" spans="1:4" ht="21.9" customHeight="1" x14ac:dyDescent="0.3">
      <c r="A116" s="1231" t="s">
        <v>894</v>
      </c>
      <c r="B116" s="1231"/>
      <c r="C116" s="1231"/>
      <c r="D116" s="1231"/>
    </row>
    <row r="117" spans="1:4" ht="21" customHeight="1" x14ac:dyDescent="0.3">
      <c r="A117" s="1232" t="s">
        <v>895</v>
      </c>
      <c r="B117" s="1232"/>
      <c r="C117" s="1232"/>
      <c r="D117" s="1232"/>
    </row>
    <row r="118" spans="1:4" ht="15.75" customHeight="1" x14ac:dyDescent="0.3">
      <c r="A118" s="1232" t="s">
        <v>896</v>
      </c>
      <c r="B118" s="1232"/>
      <c r="C118" s="1232"/>
      <c r="D118" s="1232"/>
    </row>
    <row r="119" spans="1:4" ht="15.75" customHeight="1" x14ac:dyDescent="0.3">
      <c r="A119" s="1232" t="s">
        <v>897</v>
      </c>
      <c r="B119" s="1232"/>
      <c r="C119" s="1232"/>
      <c r="D119" s="1232"/>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77"/>
  <sheetViews>
    <sheetView workbookViewId="0">
      <selection activeCell="A2" sqref="A2:H2"/>
    </sheetView>
  </sheetViews>
  <sheetFormatPr defaultColWidth="9.109375" defaultRowHeight="14.4" x14ac:dyDescent="0.3"/>
  <cols>
    <col min="1" max="1" width="28.5546875" style="709" customWidth="1"/>
    <col min="2" max="12" width="9.109375" style="709"/>
    <col min="13" max="13" width="33.109375" style="709" customWidth="1"/>
    <col min="14" max="17" width="9.109375" style="709"/>
    <col min="18" max="18" width="12.33203125" style="709" customWidth="1"/>
    <col min="19" max="16384" width="9.109375" style="709"/>
  </cols>
  <sheetData>
    <row r="1" spans="1:21" x14ac:dyDescent="0.3">
      <c r="A1" s="709" t="s">
        <v>1216</v>
      </c>
      <c r="M1" s="1029" t="s">
        <v>1546</v>
      </c>
      <c r="N1" s="1029"/>
      <c r="O1" s="1029"/>
      <c r="P1" s="1029"/>
      <c r="Q1" s="1029"/>
      <c r="R1" s="1029" t="s">
        <v>1547</v>
      </c>
      <c r="S1" s="1029"/>
      <c r="T1" s="1029"/>
      <c r="U1" s="1029"/>
    </row>
    <row r="2" spans="1:21" x14ac:dyDescent="0.3">
      <c r="A2" s="986" t="s">
        <v>1286</v>
      </c>
      <c r="B2" s="987">
        <v>571300</v>
      </c>
      <c r="C2" s="695"/>
      <c r="D2" s="56"/>
      <c r="E2" s="56"/>
      <c r="G2" s="709">
        <v>100</v>
      </c>
      <c r="I2" s="709" t="s">
        <v>354</v>
      </c>
      <c r="M2" s="1083" t="s">
        <v>1286</v>
      </c>
      <c r="N2" s="1084">
        <v>571300</v>
      </c>
      <c r="O2" s="1085" t="b">
        <f>EXACT(A2,M2)</f>
        <v>1</v>
      </c>
      <c r="P2" s="1085" t="b">
        <f>EXACT(B2,N2)</f>
        <v>1</v>
      </c>
      <c r="Q2" s="1085"/>
      <c r="R2" s="1027" t="s">
        <v>1286</v>
      </c>
      <c r="S2" s="1037">
        <v>571300</v>
      </c>
      <c r="T2" s="1029" t="b">
        <f>EXACT(M2,R2)</f>
        <v>1</v>
      </c>
      <c r="U2" s="1029" t="b">
        <f>EXACT(N2,S2)</f>
        <v>1</v>
      </c>
    </row>
    <row r="3" spans="1:21" ht="15" customHeight="1" x14ac:dyDescent="0.3">
      <c r="A3" s="986" t="s">
        <v>1287</v>
      </c>
      <c r="B3" s="987">
        <v>571301</v>
      </c>
      <c r="C3" s="695"/>
      <c r="D3" s="55"/>
      <c r="E3" s="56"/>
      <c r="G3" s="709">
        <v>200</v>
      </c>
      <c r="I3" s="709" t="s">
        <v>355</v>
      </c>
      <c r="M3" s="1083" t="s">
        <v>1287</v>
      </c>
      <c r="N3" s="1084">
        <v>571301</v>
      </c>
      <c r="O3" s="1085" t="b">
        <f t="shared" ref="O3:O16" si="0">EXACT(A3,M3)</f>
        <v>1</v>
      </c>
      <c r="P3" s="1085" t="b">
        <f t="shared" ref="P3:P16" si="1">EXACT(B3,N3)</f>
        <v>1</v>
      </c>
      <c r="Q3" s="603"/>
      <c r="R3" s="1027" t="s">
        <v>1287</v>
      </c>
      <c r="S3" s="1037">
        <v>571301</v>
      </c>
      <c r="T3" s="1029" t="b">
        <f t="shared" ref="T3:T16" si="2">EXACT(M3,R3)</f>
        <v>1</v>
      </c>
      <c r="U3" s="1029" t="b">
        <f t="shared" ref="U3:U16" si="3">EXACT(N3,S3)</f>
        <v>1</v>
      </c>
    </row>
    <row r="4" spans="1:21" ht="30" customHeight="1" x14ac:dyDescent="0.3">
      <c r="A4" s="986" t="s">
        <v>1288</v>
      </c>
      <c r="B4" s="987">
        <v>571302</v>
      </c>
      <c r="C4" s="695"/>
      <c r="D4" s="55"/>
      <c r="E4" s="56"/>
      <c r="G4" s="709">
        <v>300</v>
      </c>
      <c r="I4" s="709" t="s">
        <v>356</v>
      </c>
      <c r="M4" s="1083" t="s">
        <v>1288</v>
      </c>
      <c r="N4" s="1084">
        <v>571302</v>
      </c>
      <c r="O4" s="1085" t="b">
        <f t="shared" si="0"/>
        <v>1</v>
      </c>
      <c r="P4" s="1085" t="b">
        <f t="shared" si="1"/>
        <v>1</v>
      </c>
      <c r="Q4" s="603"/>
      <c r="R4" s="1027" t="s">
        <v>1288</v>
      </c>
      <c r="S4" s="1037">
        <v>571302</v>
      </c>
      <c r="T4" s="1029" t="b">
        <f t="shared" si="2"/>
        <v>1</v>
      </c>
      <c r="U4" s="1029" t="b">
        <f t="shared" si="3"/>
        <v>1</v>
      </c>
    </row>
    <row r="5" spans="1:21" x14ac:dyDescent="0.3">
      <c r="A5" s="986" t="s">
        <v>1289</v>
      </c>
      <c r="B5" s="987">
        <v>571303</v>
      </c>
      <c r="C5" s="695"/>
      <c r="D5" s="55"/>
      <c r="E5" s="56"/>
      <c r="G5" s="709">
        <v>400</v>
      </c>
      <c r="M5" s="1083" t="s">
        <v>1289</v>
      </c>
      <c r="N5" s="1086">
        <v>571303</v>
      </c>
      <c r="O5" s="1085" t="b">
        <f t="shared" si="0"/>
        <v>1</v>
      </c>
      <c r="P5" s="1085" t="b">
        <f t="shared" si="1"/>
        <v>1</v>
      </c>
      <c r="Q5" s="603"/>
      <c r="R5" s="1027" t="s">
        <v>1289</v>
      </c>
      <c r="S5" s="1038">
        <v>571303</v>
      </c>
      <c r="T5" s="1029" t="b">
        <f t="shared" si="2"/>
        <v>1</v>
      </c>
      <c r="U5" s="1029" t="b">
        <f t="shared" si="3"/>
        <v>1</v>
      </c>
    </row>
    <row r="6" spans="1:21" x14ac:dyDescent="0.3">
      <c r="A6" s="986" t="s">
        <v>1290</v>
      </c>
      <c r="B6" s="987">
        <v>572177</v>
      </c>
      <c r="C6" s="695"/>
      <c r="D6" s="55"/>
      <c r="E6" s="56"/>
      <c r="G6" s="709">
        <v>500</v>
      </c>
      <c r="M6" s="1083" t="s">
        <v>1290</v>
      </c>
      <c r="N6" s="1084">
        <v>572177</v>
      </c>
      <c r="O6" s="1085" t="b">
        <f t="shared" si="0"/>
        <v>1</v>
      </c>
      <c r="P6" s="1085" t="b">
        <f t="shared" si="1"/>
        <v>1</v>
      </c>
      <c r="Q6" s="603"/>
      <c r="R6" s="1027" t="s">
        <v>1290</v>
      </c>
      <c r="S6" s="1037">
        <v>572177</v>
      </c>
      <c r="T6" s="1029" t="b">
        <f t="shared" si="2"/>
        <v>1</v>
      </c>
      <c r="U6" s="1029" t="b">
        <f t="shared" si="3"/>
        <v>1</v>
      </c>
    </row>
    <row r="7" spans="1:21" x14ac:dyDescent="0.3">
      <c r="A7" s="986" t="s">
        <v>1291</v>
      </c>
      <c r="B7" s="987">
        <v>571304</v>
      </c>
      <c r="C7" s="695"/>
      <c r="D7" s="55"/>
      <c r="E7" s="56"/>
      <c r="M7" s="1083" t="s">
        <v>1291</v>
      </c>
      <c r="N7" s="1084">
        <v>571304</v>
      </c>
      <c r="O7" s="1085" t="b">
        <f t="shared" si="0"/>
        <v>1</v>
      </c>
      <c r="P7" s="1085" t="b">
        <f t="shared" si="1"/>
        <v>1</v>
      </c>
      <c r="Q7" s="603"/>
      <c r="R7" s="1027" t="s">
        <v>1291</v>
      </c>
      <c r="S7" s="1037">
        <v>571304</v>
      </c>
      <c r="T7" s="1029" t="b">
        <f t="shared" si="2"/>
        <v>1</v>
      </c>
      <c r="U7" s="1029" t="b">
        <f t="shared" si="3"/>
        <v>1</v>
      </c>
    </row>
    <row r="8" spans="1:21" ht="24" x14ac:dyDescent="0.3">
      <c r="A8" s="986" t="s">
        <v>1292</v>
      </c>
      <c r="B8" s="987">
        <v>571305</v>
      </c>
      <c r="C8" s="695"/>
      <c r="D8" s="55"/>
      <c r="E8" s="56"/>
      <c r="M8" s="1083" t="s">
        <v>1292</v>
      </c>
      <c r="N8" s="1084">
        <v>571305</v>
      </c>
      <c r="O8" s="1085" t="b">
        <f t="shared" si="0"/>
        <v>1</v>
      </c>
      <c r="P8" s="1085" t="b">
        <f t="shared" si="1"/>
        <v>1</v>
      </c>
      <c r="Q8" s="603"/>
      <c r="R8" s="1027" t="s">
        <v>1292</v>
      </c>
      <c r="S8" s="1037">
        <v>571305</v>
      </c>
      <c r="T8" s="1029" t="b">
        <f t="shared" si="2"/>
        <v>1</v>
      </c>
      <c r="U8" s="1029" t="b">
        <f t="shared" si="3"/>
        <v>1</v>
      </c>
    </row>
    <row r="9" spans="1:21" x14ac:dyDescent="0.3">
      <c r="A9" s="986" t="s">
        <v>1293</v>
      </c>
      <c r="B9" s="987">
        <v>571306</v>
      </c>
      <c r="C9" s="695"/>
      <c r="D9" s="55"/>
      <c r="E9" s="56"/>
      <c r="M9" s="1083" t="s">
        <v>1293</v>
      </c>
      <c r="N9" s="1084">
        <v>571306</v>
      </c>
      <c r="O9" s="1085" t="b">
        <f t="shared" si="0"/>
        <v>1</v>
      </c>
      <c r="P9" s="1085" t="b">
        <f t="shared" si="1"/>
        <v>1</v>
      </c>
      <c r="Q9" s="603"/>
      <c r="R9" s="1027" t="s">
        <v>1293</v>
      </c>
      <c r="S9" s="1037">
        <v>571306</v>
      </c>
      <c r="T9" s="1029" t="b">
        <f t="shared" si="2"/>
        <v>1</v>
      </c>
      <c r="U9" s="1029" t="b">
        <f t="shared" si="3"/>
        <v>1</v>
      </c>
    </row>
    <row r="10" spans="1:21" x14ac:dyDescent="0.3">
      <c r="A10" s="986" t="s">
        <v>1294</v>
      </c>
      <c r="B10" s="987">
        <v>571307</v>
      </c>
      <c r="C10" s="695"/>
      <c r="D10" s="55"/>
      <c r="E10" s="56"/>
      <c r="M10" s="1083" t="s">
        <v>1294</v>
      </c>
      <c r="N10" s="1084">
        <v>571307</v>
      </c>
      <c r="O10" s="1085" t="b">
        <f t="shared" si="0"/>
        <v>1</v>
      </c>
      <c r="P10" s="1085" t="b">
        <f t="shared" si="1"/>
        <v>1</v>
      </c>
      <c r="Q10" s="603"/>
      <c r="R10" s="1027" t="s">
        <v>1294</v>
      </c>
      <c r="S10" s="1037">
        <v>571307</v>
      </c>
      <c r="T10" s="1029" t="b">
        <f t="shared" si="2"/>
        <v>1</v>
      </c>
      <c r="U10" s="1029" t="b">
        <f t="shared" si="3"/>
        <v>1</v>
      </c>
    </row>
    <row r="11" spans="1:21" x14ac:dyDescent="0.3">
      <c r="A11" s="986" t="s">
        <v>1295</v>
      </c>
      <c r="B11" s="987">
        <v>571309</v>
      </c>
      <c r="C11" s="695"/>
      <c r="D11" s="55"/>
      <c r="E11" s="56"/>
      <c r="M11" s="1083" t="s">
        <v>1295</v>
      </c>
      <c r="N11" s="1084">
        <v>571309</v>
      </c>
      <c r="O11" s="1085" t="b">
        <f t="shared" si="0"/>
        <v>1</v>
      </c>
      <c r="P11" s="1085" t="b">
        <f t="shared" si="1"/>
        <v>1</v>
      </c>
      <c r="Q11" s="603"/>
      <c r="R11" s="1027" t="s">
        <v>1295</v>
      </c>
      <c r="S11" s="1037">
        <v>571309</v>
      </c>
      <c r="T11" s="1029" t="b">
        <f t="shared" si="2"/>
        <v>1</v>
      </c>
      <c r="U11" s="1029" t="b">
        <f t="shared" si="3"/>
        <v>1</v>
      </c>
    </row>
    <row r="12" spans="1:21" x14ac:dyDescent="0.3">
      <c r="A12" s="986" t="s">
        <v>1296</v>
      </c>
      <c r="B12" s="987">
        <v>571310</v>
      </c>
      <c r="C12" s="695"/>
      <c r="D12" s="55"/>
      <c r="E12" s="56"/>
      <c r="M12" s="1083" t="s">
        <v>1296</v>
      </c>
      <c r="N12" s="1084">
        <v>571310</v>
      </c>
      <c r="O12" s="1085" t="b">
        <f t="shared" si="0"/>
        <v>1</v>
      </c>
      <c r="P12" s="1085" t="b">
        <f t="shared" si="1"/>
        <v>1</v>
      </c>
      <c r="Q12" s="603"/>
      <c r="R12" s="1027" t="s">
        <v>1296</v>
      </c>
      <c r="S12" s="1037">
        <v>571310</v>
      </c>
      <c r="T12" s="1029" t="b">
        <f t="shared" si="2"/>
        <v>1</v>
      </c>
      <c r="U12" s="1029" t="b">
        <f t="shared" si="3"/>
        <v>1</v>
      </c>
    </row>
    <row r="13" spans="1:21" x14ac:dyDescent="0.3">
      <c r="A13" s="986" t="s">
        <v>1297</v>
      </c>
      <c r="B13" s="987">
        <v>571311</v>
      </c>
      <c r="C13" s="695"/>
      <c r="D13" s="55"/>
      <c r="E13" s="56"/>
      <c r="M13" s="1083" t="s">
        <v>1297</v>
      </c>
      <c r="N13" s="1084">
        <v>571311</v>
      </c>
      <c r="O13" s="1085" t="b">
        <f t="shared" si="0"/>
        <v>1</v>
      </c>
      <c r="P13" s="1085" t="b">
        <f t="shared" si="1"/>
        <v>1</v>
      </c>
      <c r="Q13" s="603"/>
      <c r="R13" s="1027" t="s">
        <v>1297</v>
      </c>
      <c r="S13" s="1037">
        <v>571311</v>
      </c>
      <c r="T13" s="1029" t="b">
        <f t="shared" si="2"/>
        <v>1</v>
      </c>
      <c r="U13" s="1029" t="b">
        <f t="shared" si="3"/>
        <v>1</v>
      </c>
    </row>
    <row r="14" spans="1:21" x14ac:dyDescent="0.3">
      <c r="A14" s="986" t="s">
        <v>1298</v>
      </c>
      <c r="B14" s="987">
        <v>571313</v>
      </c>
      <c r="C14" s="695"/>
      <c r="D14" s="55"/>
      <c r="E14" s="56"/>
      <c r="M14" s="1083" t="s">
        <v>1298</v>
      </c>
      <c r="N14" s="1084">
        <v>571313</v>
      </c>
      <c r="O14" s="1085" t="b">
        <f t="shared" si="0"/>
        <v>1</v>
      </c>
      <c r="P14" s="1085" t="b">
        <f t="shared" si="1"/>
        <v>1</v>
      </c>
      <c r="Q14" s="603"/>
      <c r="R14" s="1027" t="s">
        <v>1298</v>
      </c>
      <c r="S14" s="1037">
        <v>571313</v>
      </c>
      <c r="T14" s="1029" t="b">
        <f t="shared" si="2"/>
        <v>1</v>
      </c>
      <c r="U14" s="1029" t="b">
        <f t="shared" si="3"/>
        <v>1</v>
      </c>
    </row>
    <row r="15" spans="1:21" x14ac:dyDescent="0.3">
      <c r="A15" s="986" t="s">
        <v>1299</v>
      </c>
      <c r="B15" s="987">
        <v>571315</v>
      </c>
      <c r="C15" s="695"/>
      <c r="D15" s="55"/>
      <c r="E15" s="56"/>
      <c r="M15" s="1083" t="s">
        <v>1299</v>
      </c>
      <c r="N15" s="1084">
        <v>571315</v>
      </c>
      <c r="O15" s="1085" t="b">
        <f t="shared" si="0"/>
        <v>1</v>
      </c>
      <c r="P15" s="1085" t="b">
        <f t="shared" si="1"/>
        <v>1</v>
      </c>
      <c r="Q15" s="603"/>
      <c r="R15" s="1027" t="s">
        <v>1299</v>
      </c>
      <c r="S15" s="1037">
        <v>571315</v>
      </c>
      <c r="T15" s="1029" t="b">
        <f t="shared" si="2"/>
        <v>1</v>
      </c>
      <c r="U15" s="1029" t="b">
        <f t="shared" si="3"/>
        <v>1</v>
      </c>
    </row>
    <row r="16" spans="1:21" x14ac:dyDescent="0.3">
      <c r="A16" s="986" t="s">
        <v>1300</v>
      </c>
      <c r="B16" s="987">
        <v>571316</v>
      </c>
      <c r="C16" s="695"/>
      <c r="D16" s="55"/>
      <c r="E16" s="56"/>
      <c r="M16" s="1083" t="s">
        <v>1300</v>
      </c>
      <c r="N16" s="1084">
        <v>571316</v>
      </c>
      <c r="O16" s="1085" t="b">
        <f t="shared" si="0"/>
        <v>1</v>
      </c>
      <c r="P16" s="1085" t="b">
        <f t="shared" si="1"/>
        <v>1</v>
      </c>
      <c r="Q16" s="603"/>
      <c r="R16" s="1027" t="s">
        <v>1300</v>
      </c>
      <c r="S16" s="1037">
        <v>571316</v>
      </c>
      <c r="T16" s="1029" t="b">
        <f t="shared" si="2"/>
        <v>1</v>
      </c>
      <c r="U16" s="1029" t="b">
        <f t="shared" si="3"/>
        <v>1</v>
      </c>
    </row>
    <row r="17" spans="1:5" x14ac:dyDescent="0.3">
      <c r="C17" s="695"/>
      <c r="D17" s="55"/>
      <c r="E17" s="56"/>
    </row>
    <row r="18" spans="1:5" x14ac:dyDescent="0.3">
      <c r="A18" s="988"/>
      <c r="B18" s="989"/>
      <c r="C18" s="695"/>
      <c r="D18" s="55"/>
      <c r="E18" s="56"/>
    </row>
    <row r="19" spans="1:5" x14ac:dyDescent="0.3">
      <c r="A19" s="988"/>
      <c r="B19" s="989"/>
      <c r="C19" s="695"/>
      <c r="D19" s="55"/>
      <c r="E19" s="56"/>
    </row>
    <row r="20" spans="1:5" x14ac:dyDescent="0.3">
      <c r="A20" s="988"/>
      <c r="B20" s="989"/>
      <c r="C20" s="695"/>
      <c r="D20" s="55"/>
      <c r="E20" s="56"/>
    </row>
    <row r="21" spans="1:5" x14ac:dyDescent="0.3">
      <c r="A21" s="988"/>
      <c r="B21" s="989"/>
      <c r="C21" s="695"/>
      <c r="D21" s="55"/>
      <c r="E21" s="56"/>
    </row>
    <row r="22" spans="1:5" x14ac:dyDescent="0.3">
      <c r="A22" s="988"/>
      <c r="B22" s="989"/>
      <c r="C22" s="695"/>
      <c r="D22" s="55"/>
      <c r="E22" s="56"/>
    </row>
    <row r="23" spans="1:5" ht="36" x14ac:dyDescent="0.3">
      <c r="A23" s="988"/>
      <c r="B23" s="989"/>
      <c r="C23" s="986" t="s">
        <v>1301</v>
      </c>
      <c r="D23" s="987">
        <v>571318</v>
      </c>
      <c r="E23" s="56" t="s">
        <v>1548</v>
      </c>
    </row>
    <row r="24" spans="1:5" x14ac:dyDescent="0.3">
      <c r="A24" s="988"/>
      <c r="B24" s="989"/>
      <c r="C24" s="695"/>
      <c r="D24" s="55"/>
      <c r="E24" s="56"/>
    </row>
    <row r="25" spans="1:5" x14ac:dyDescent="0.3">
      <c r="A25" s="988"/>
      <c r="B25" s="989"/>
      <c r="C25" s="695"/>
      <c r="D25" s="55"/>
      <c r="E25" s="56"/>
    </row>
    <row r="26" spans="1:5" x14ac:dyDescent="0.3">
      <c r="A26" s="988"/>
      <c r="B26" s="989"/>
      <c r="C26" s="695"/>
      <c r="D26" s="55"/>
      <c r="E26" s="56"/>
    </row>
    <row r="27" spans="1:5" x14ac:dyDescent="0.3">
      <c r="A27" s="988"/>
      <c r="B27" s="989"/>
      <c r="C27" s="695"/>
      <c r="D27" s="55"/>
      <c r="E27" s="56"/>
    </row>
    <row r="28" spans="1:5" x14ac:dyDescent="0.3">
      <c r="A28" s="988"/>
      <c r="B28" s="989"/>
      <c r="C28" s="695"/>
      <c r="D28" s="55"/>
      <c r="E28" s="56"/>
    </row>
    <row r="29" spans="1:5" x14ac:dyDescent="0.3">
      <c r="A29" s="988"/>
      <c r="B29" s="989"/>
      <c r="C29" s="695"/>
      <c r="D29" s="55"/>
      <c r="E29" s="56"/>
    </row>
    <row r="30" spans="1:5" x14ac:dyDescent="0.3">
      <c r="A30" s="988"/>
      <c r="B30" s="989"/>
      <c r="C30" s="695"/>
      <c r="D30" s="55"/>
      <c r="E30" s="56"/>
    </row>
    <row r="31" spans="1:5" x14ac:dyDescent="0.3">
      <c r="A31" s="988"/>
      <c r="B31" s="989"/>
      <c r="C31" s="695"/>
      <c r="D31" s="55"/>
      <c r="E31" s="56"/>
    </row>
    <row r="32" spans="1:5" x14ac:dyDescent="0.3">
      <c r="A32" s="988"/>
      <c r="B32" s="989"/>
      <c r="C32" s="695"/>
      <c r="D32" s="55"/>
      <c r="E32" s="56"/>
    </row>
    <row r="33" spans="1:5" x14ac:dyDescent="0.3">
      <c r="A33" s="988"/>
      <c r="B33" s="989"/>
      <c r="C33" s="695"/>
      <c r="D33" s="55"/>
      <c r="E33" s="56"/>
    </row>
    <row r="34" spans="1:5" x14ac:dyDescent="0.3">
      <c r="A34" s="988"/>
      <c r="B34" s="989"/>
      <c r="C34" s="695"/>
      <c r="D34" s="55"/>
      <c r="E34" s="56"/>
    </row>
    <row r="35" spans="1:5" x14ac:dyDescent="0.3">
      <c r="A35" s="988"/>
      <c r="B35" s="989"/>
      <c r="C35" s="695"/>
      <c r="D35" s="55"/>
      <c r="E35" s="56"/>
    </row>
    <row r="36" spans="1:5" x14ac:dyDescent="0.3">
      <c r="A36" s="988"/>
      <c r="B36" s="989"/>
      <c r="C36" s="695"/>
      <c r="D36" s="55"/>
      <c r="E36" s="56"/>
    </row>
    <row r="37" spans="1:5" x14ac:dyDescent="0.3">
      <c r="A37" s="988"/>
      <c r="B37" s="989"/>
      <c r="C37" s="695"/>
      <c r="D37" s="55"/>
      <c r="E37" s="56"/>
    </row>
    <row r="38" spans="1:5" x14ac:dyDescent="0.3">
      <c r="A38" s="988"/>
      <c r="B38" s="989"/>
      <c r="C38" s="695"/>
      <c r="D38" s="55"/>
      <c r="E38" s="56"/>
    </row>
    <row r="39" spans="1:5" x14ac:dyDescent="0.3">
      <c r="A39" s="988"/>
      <c r="B39" s="989"/>
      <c r="C39" s="695"/>
      <c r="D39" s="55"/>
      <c r="E39" s="56"/>
    </row>
    <row r="40" spans="1:5" x14ac:dyDescent="0.3">
      <c r="A40" s="988"/>
      <c r="B40" s="989"/>
      <c r="C40" s="695"/>
      <c r="D40" s="55"/>
      <c r="E40" s="56"/>
    </row>
    <row r="41" spans="1:5" x14ac:dyDescent="0.3">
      <c r="A41" s="988"/>
      <c r="B41" s="989"/>
      <c r="C41" s="695"/>
      <c r="D41" s="55"/>
      <c r="E41" s="56"/>
    </row>
    <row r="42" spans="1:5" x14ac:dyDescent="0.3">
      <c r="A42" s="988"/>
      <c r="B42" s="989"/>
      <c r="C42" s="695"/>
      <c r="D42" s="55"/>
      <c r="E42" s="56"/>
    </row>
    <row r="43" spans="1:5" x14ac:dyDescent="0.3">
      <c r="A43" s="988"/>
      <c r="B43" s="989"/>
      <c r="C43" s="695"/>
      <c r="D43" s="55"/>
      <c r="E43" s="56"/>
    </row>
    <row r="44" spans="1:5" x14ac:dyDescent="0.3">
      <c r="A44" s="988"/>
      <c r="B44" s="989"/>
      <c r="C44" s="695"/>
      <c r="D44" s="55"/>
      <c r="E44" s="56"/>
    </row>
    <row r="45" spans="1:5" x14ac:dyDescent="0.3">
      <c r="A45" s="988"/>
      <c r="B45" s="989"/>
      <c r="C45" s="695"/>
      <c r="D45" s="55"/>
      <c r="E45" s="56"/>
    </row>
    <row r="46" spans="1:5" x14ac:dyDescent="0.3">
      <c r="A46" s="988"/>
      <c r="B46" s="989"/>
      <c r="C46" s="695"/>
      <c r="D46" s="55"/>
      <c r="E46" s="56"/>
    </row>
    <row r="47" spans="1:5" x14ac:dyDescent="0.3">
      <c r="A47" s="988"/>
      <c r="B47" s="989"/>
      <c r="C47" s="695"/>
      <c r="D47" s="55"/>
      <c r="E47" s="56"/>
    </row>
    <row r="48" spans="1:5" x14ac:dyDescent="0.3">
      <c r="A48" s="988"/>
      <c r="B48" s="989"/>
      <c r="C48" s="695"/>
      <c r="D48" s="55"/>
      <c r="E48" s="56"/>
    </row>
    <row r="49" spans="1:5" x14ac:dyDescent="0.3">
      <c r="A49" s="988"/>
      <c r="B49" s="989"/>
      <c r="C49" s="695"/>
      <c r="D49" s="55"/>
      <c r="E49" s="56"/>
    </row>
    <row r="50" spans="1:5" x14ac:dyDescent="0.3">
      <c r="A50" s="988"/>
      <c r="B50" s="989"/>
      <c r="C50" s="695"/>
      <c r="D50" s="55"/>
      <c r="E50" s="56"/>
    </row>
    <row r="51" spans="1:5" x14ac:dyDescent="0.3">
      <c r="A51" s="988"/>
      <c r="B51" s="989"/>
      <c r="C51" s="695"/>
      <c r="D51" s="55"/>
      <c r="E51" s="56"/>
    </row>
    <row r="52" spans="1:5" x14ac:dyDescent="0.3">
      <c r="A52" s="988"/>
      <c r="B52" s="989"/>
      <c r="C52" s="695"/>
      <c r="D52" s="55"/>
      <c r="E52" s="56"/>
    </row>
    <row r="53" spans="1:5" x14ac:dyDescent="0.3">
      <c r="A53" s="988"/>
      <c r="B53" s="989"/>
      <c r="C53" s="695"/>
      <c r="D53" s="55"/>
      <c r="E53" s="56"/>
    </row>
    <row r="54" spans="1:5" x14ac:dyDescent="0.3">
      <c r="A54" s="988"/>
      <c r="B54" s="989"/>
      <c r="C54" s="695"/>
      <c r="D54" s="55"/>
      <c r="E54" s="56"/>
    </row>
    <row r="55" spans="1:5" x14ac:dyDescent="0.3">
      <c r="A55" s="988"/>
      <c r="B55" s="989"/>
      <c r="C55" s="695"/>
      <c r="D55" s="55"/>
      <c r="E55" s="56"/>
    </row>
    <row r="56" spans="1:5" x14ac:dyDescent="0.3">
      <c r="A56" s="988"/>
      <c r="B56" s="989"/>
      <c r="C56" s="695"/>
      <c r="D56" s="55"/>
      <c r="E56" s="56"/>
    </row>
    <row r="57" spans="1:5" x14ac:dyDescent="0.3">
      <c r="A57" s="988"/>
      <c r="B57" s="989"/>
      <c r="C57" s="695"/>
      <c r="D57" s="55"/>
      <c r="E57" s="56"/>
    </row>
    <row r="58" spans="1:5" x14ac:dyDescent="0.3">
      <c r="A58" s="988"/>
      <c r="B58" s="989"/>
      <c r="C58" s="695"/>
      <c r="D58" s="55"/>
      <c r="E58" s="56"/>
    </row>
    <row r="59" spans="1:5" x14ac:dyDescent="0.3">
      <c r="A59" s="988"/>
      <c r="B59" s="989"/>
      <c r="C59" s="695"/>
      <c r="D59" s="55"/>
      <c r="E59" s="56"/>
    </row>
    <row r="60" spans="1:5" x14ac:dyDescent="0.3">
      <c r="A60" s="988"/>
      <c r="B60" s="989"/>
      <c r="C60" s="695"/>
      <c r="D60" s="55"/>
      <c r="E60" s="56"/>
    </row>
    <row r="61" spans="1:5" x14ac:dyDescent="0.3">
      <c r="A61" s="988"/>
      <c r="B61" s="989"/>
      <c r="C61" s="695"/>
      <c r="D61" s="55"/>
      <c r="E61" s="56"/>
    </row>
    <row r="62" spans="1:5" x14ac:dyDescent="0.3">
      <c r="A62" s="988"/>
      <c r="B62" s="989"/>
      <c r="C62" s="695"/>
      <c r="D62" s="55"/>
      <c r="E62" s="56"/>
    </row>
    <row r="63" spans="1:5" x14ac:dyDescent="0.3">
      <c r="A63" s="988"/>
      <c r="B63" s="989"/>
      <c r="C63" s="695"/>
      <c r="D63" s="55"/>
      <c r="E63" s="56"/>
    </row>
    <row r="64" spans="1:5" x14ac:dyDescent="0.3">
      <c r="A64" s="988"/>
      <c r="B64" s="989"/>
      <c r="C64" s="695"/>
      <c r="D64" s="55"/>
      <c r="E64" s="56"/>
    </row>
    <row r="65" spans="1:5" x14ac:dyDescent="0.3">
      <c r="A65" s="988"/>
      <c r="B65" s="989"/>
      <c r="C65" s="695"/>
      <c r="D65" s="55"/>
      <c r="E65" s="56"/>
    </row>
    <row r="66" spans="1:5" x14ac:dyDescent="0.3">
      <c r="A66" s="988"/>
      <c r="B66" s="989"/>
      <c r="C66" s="695"/>
      <c r="D66" s="55"/>
      <c r="E66" s="56"/>
    </row>
    <row r="67" spans="1:5" x14ac:dyDescent="0.3">
      <c r="A67" s="988"/>
      <c r="B67" s="989"/>
      <c r="C67" s="695"/>
      <c r="D67" s="55"/>
      <c r="E67" s="56"/>
    </row>
    <row r="68" spans="1:5" x14ac:dyDescent="0.3">
      <c r="A68" s="988"/>
      <c r="B68" s="989"/>
      <c r="C68" s="695"/>
      <c r="D68" s="55"/>
      <c r="E68" s="56"/>
    </row>
    <row r="69" spans="1:5" x14ac:dyDescent="0.3">
      <c r="A69" s="988"/>
      <c r="B69" s="989"/>
    </row>
    <row r="70" spans="1:5" x14ac:dyDescent="0.3">
      <c r="A70" s="988"/>
      <c r="B70" s="989"/>
    </row>
    <row r="71" spans="1:5" x14ac:dyDescent="0.3">
      <c r="A71" s="988"/>
      <c r="B71" s="989"/>
    </row>
    <row r="72" spans="1:5" x14ac:dyDescent="0.3">
      <c r="A72" s="988"/>
      <c r="B72" s="989"/>
    </row>
    <row r="73" spans="1:5" x14ac:dyDescent="0.3">
      <c r="A73" s="988"/>
      <c r="B73" s="989"/>
    </row>
    <row r="74" spans="1:5" x14ac:dyDescent="0.3">
      <c r="A74" s="988"/>
      <c r="B74" s="989"/>
    </row>
    <row r="75" spans="1:5" x14ac:dyDescent="0.3">
      <c r="A75" s="988"/>
      <c r="B75" s="989"/>
    </row>
    <row r="76" spans="1:5" x14ac:dyDescent="0.3">
      <c r="A76" s="988"/>
      <c r="B76" s="989"/>
    </row>
    <row r="77" spans="1:5" x14ac:dyDescent="0.3">
      <c r="A77" s="988"/>
      <c r="B77" s="989"/>
    </row>
  </sheetData>
  <sheetProtection algorithmName="SHA-512" hashValue="r12nuShh3BUCuBMb5uQlgVwdnUW1KgHqcxYYaV24AdgHjh8PMdAbUdDYFZOto5sXTgnUQTZXOwU23uVLYPfYkg==" saltValue="j8uMxRCk2kX4p7u9Xdvd/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A2" sqref="A2:H2"/>
    </sheetView>
  </sheetViews>
  <sheetFormatPr defaultColWidth="9.109375" defaultRowHeight="14.4" x14ac:dyDescent="0.3"/>
  <cols>
    <col min="1" max="1" width="45.109375" style="410" customWidth="1"/>
    <col min="2" max="2" width="36.44140625" style="410" customWidth="1"/>
    <col min="3" max="3" width="9.109375" style="410"/>
    <col min="4" max="4" width="1.33203125" style="410" customWidth="1"/>
    <col min="5" max="5" width="37.5546875" style="410" customWidth="1"/>
    <col min="6" max="6" width="18.109375" style="410" customWidth="1"/>
    <col min="7" max="7" width="16.109375" style="410" customWidth="1"/>
    <col min="8" max="8" width="3.109375" style="410" customWidth="1"/>
    <col min="9" max="16384" width="9.109375" style="410"/>
  </cols>
  <sheetData>
    <row r="1" spans="1:8" x14ac:dyDescent="0.3">
      <c r="A1" s="411"/>
      <c r="B1" s="412"/>
      <c r="C1" s="413"/>
      <c r="D1" s="413"/>
      <c r="E1" s="414"/>
      <c r="F1" s="413"/>
      <c r="G1" s="413"/>
      <c r="H1" s="413"/>
    </row>
    <row r="2" spans="1:8" x14ac:dyDescent="0.3">
      <c r="A2" s="415" t="s">
        <v>682</v>
      </c>
      <c r="B2" s="416" t="str">
        <f>+'Unit Data from Audit Worksheet'!D2</f>
        <v>Select Unit Name from Drop Down List</v>
      </c>
      <c r="C2" s="413"/>
      <c r="D2" s="413"/>
      <c r="E2" s="414"/>
      <c r="F2" s="413"/>
      <c r="G2" s="413"/>
      <c r="H2" s="413"/>
    </row>
    <row r="3" spans="1:8" x14ac:dyDescent="0.3">
      <c r="A3" s="415" t="s">
        <v>765</v>
      </c>
      <c r="B3" s="413" t="e">
        <f>+'Unit Data from Audit Worksheet'!D3</f>
        <v>#N/A</v>
      </c>
      <c r="C3" s="413"/>
      <c r="D3" s="413"/>
      <c r="E3" s="414"/>
      <c r="F3" s="413"/>
      <c r="G3" s="413"/>
      <c r="H3" s="413"/>
    </row>
    <row r="4" spans="1:8" x14ac:dyDescent="0.3">
      <c r="A4" s="413"/>
      <c r="B4" s="413"/>
      <c r="C4" s="413"/>
      <c r="D4" s="413"/>
      <c r="E4" s="414"/>
      <c r="F4" s="413"/>
      <c r="G4" s="413"/>
      <c r="H4" s="413"/>
    </row>
    <row r="5" spans="1:8" x14ac:dyDescent="0.3">
      <c r="A5" s="1245" t="s">
        <v>683</v>
      </c>
      <c r="B5" s="1245"/>
      <c r="C5" s="1245"/>
      <c r="D5" s="413"/>
      <c r="E5" s="1246" t="s">
        <v>684</v>
      </c>
      <c r="F5" s="1246"/>
      <c r="G5" s="413"/>
      <c r="H5" s="413"/>
    </row>
    <row r="6" spans="1:8" ht="15" thickBot="1" x14ac:dyDescent="0.35">
      <c r="A6" s="417"/>
      <c r="B6" s="418"/>
      <c r="C6" s="417"/>
      <c r="D6" s="411"/>
      <c r="E6" s="417"/>
      <c r="F6" s="418"/>
      <c r="G6" s="418"/>
      <c r="H6" s="413"/>
    </row>
    <row r="7" spans="1:8" ht="15" thickBot="1" x14ac:dyDescent="0.35">
      <c r="A7" s="419" t="s">
        <v>685</v>
      </c>
      <c r="B7" s="420">
        <v>0.03</v>
      </c>
      <c r="C7" s="420"/>
      <c r="D7" s="420"/>
      <c r="E7" s="420"/>
      <c r="F7" s="420"/>
      <c r="G7" s="420"/>
      <c r="H7" s="420"/>
    </row>
    <row r="8" spans="1:8" ht="15" thickBot="1" x14ac:dyDescent="0.35">
      <c r="A8" s="413" t="s">
        <v>1004</v>
      </c>
      <c r="B8" s="421" t="e">
        <f>HLOOKUP(B2,'2020 Data(H)'!F1:U395,353,FALSE)</f>
        <v>#N/A</v>
      </c>
      <c r="C8" s="422"/>
      <c r="D8" s="422"/>
      <c r="E8" s="422"/>
      <c r="F8" s="413"/>
      <c r="G8" s="413"/>
      <c r="H8" s="413"/>
    </row>
    <row r="9" spans="1:8" ht="15" thickBot="1" x14ac:dyDescent="0.35">
      <c r="A9" s="413" t="s">
        <v>687</v>
      </c>
      <c r="B9" s="423" t="e">
        <f>B8*B7</f>
        <v>#N/A</v>
      </c>
      <c r="C9" s="424"/>
      <c r="D9" s="424"/>
      <c r="E9" s="424"/>
      <c r="F9" s="413"/>
      <c r="G9" s="413"/>
      <c r="H9" s="413"/>
    </row>
    <row r="10" spans="1:8" ht="15" thickBot="1" x14ac:dyDescent="0.35">
      <c r="A10" s="413"/>
      <c r="B10" s="413"/>
      <c r="C10" s="413"/>
      <c r="D10" s="413"/>
      <c r="E10" s="413"/>
      <c r="F10" s="413"/>
      <c r="G10" s="413"/>
      <c r="H10" s="413"/>
    </row>
    <row r="11" spans="1:8" ht="15" thickBot="1" x14ac:dyDescent="0.35">
      <c r="A11" s="419" t="s">
        <v>688</v>
      </c>
      <c r="B11" s="420">
        <v>0.05</v>
      </c>
      <c r="C11" s="420"/>
      <c r="D11" s="420"/>
      <c r="E11" s="420"/>
      <c r="F11" s="420"/>
      <c r="G11" s="420"/>
      <c r="H11" s="420"/>
    </row>
    <row r="12" spans="1:8" ht="15" thickBot="1" x14ac:dyDescent="0.35">
      <c r="A12" s="413" t="s">
        <v>1005</v>
      </c>
      <c r="B12" s="425" t="e">
        <f>HLOOKUP(B2,'2020 Data(H)'!F1:U395,55,FALSE)</f>
        <v>#N/A</v>
      </c>
      <c r="C12" s="426"/>
      <c r="D12" s="426"/>
      <c r="E12" s="426"/>
      <c r="F12" s="413"/>
      <c r="G12" s="413"/>
      <c r="H12" s="413"/>
    </row>
    <row r="13" spans="1:8" ht="15" thickBot="1" x14ac:dyDescent="0.35">
      <c r="A13" s="413" t="s">
        <v>687</v>
      </c>
      <c r="B13" s="423" t="e">
        <f>B12*B11</f>
        <v>#N/A</v>
      </c>
      <c r="C13" s="424"/>
      <c r="D13" s="424"/>
      <c r="E13" s="424"/>
      <c r="F13" s="413"/>
      <c r="G13" s="413"/>
      <c r="H13" s="413"/>
    </row>
    <row r="14" spans="1:8" ht="15" thickBot="1" x14ac:dyDescent="0.35">
      <c r="A14" s="413"/>
      <c r="B14" s="413"/>
      <c r="C14" s="413"/>
      <c r="D14" s="413"/>
      <c r="E14" s="427" t="s">
        <v>689</v>
      </c>
      <c r="F14" s="428">
        <f>+Import!L177</f>
        <v>0</v>
      </c>
      <c r="G14" s="429"/>
      <c r="H14" s="413"/>
    </row>
    <row r="15" spans="1:8" x14ac:dyDescent="0.3">
      <c r="A15" s="413"/>
      <c r="B15" s="413"/>
      <c r="C15" s="413"/>
      <c r="D15" s="413"/>
      <c r="E15" s="413"/>
      <c r="F15" s="413"/>
      <c r="G15" s="413"/>
      <c r="H15" s="430"/>
    </row>
    <row r="16" spans="1:8" x14ac:dyDescent="0.3">
      <c r="A16" s="413"/>
      <c r="B16" s="427"/>
      <c r="C16" s="413"/>
      <c r="D16" s="413"/>
      <c r="E16" s="413"/>
      <c r="F16" s="413"/>
      <c r="G16" s="413"/>
      <c r="H16" s="413"/>
    </row>
    <row r="17" spans="1:8" x14ac:dyDescent="0.3">
      <c r="A17" s="417"/>
      <c r="B17" s="418"/>
      <c r="C17" s="417"/>
      <c r="D17" s="411"/>
      <c r="E17" s="417"/>
      <c r="F17" s="418"/>
      <c r="G17" s="418"/>
      <c r="H17" s="413"/>
    </row>
    <row r="18" spans="1:8" ht="15" thickBot="1" x14ac:dyDescent="0.35">
      <c r="A18" s="431" t="s">
        <v>690</v>
      </c>
      <c r="B18" s="413"/>
      <c r="C18" s="413"/>
      <c r="D18" s="413"/>
      <c r="E18" s="431" t="s">
        <v>690</v>
      </c>
      <c r="F18" s="415" t="s">
        <v>691</v>
      </c>
      <c r="G18" s="415" t="s">
        <v>692</v>
      </c>
      <c r="H18" s="413"/>
    </row>
    <row r="19" spans="1:8" ht="15" thickBot="1" x14ac:dyDescent="0.35">
      <c r="A19" s="413" t="s">
        <v>686</v>
      </c>
      <c r="B19" s="421" t="e">
        <f>+B8</f>
        <v>#N/A</v>
      </c>
      <c r="C19" s="422"/>
      <c r="D19" s="422"/>
      <c r="E19" s="413" t="s">
        <v>693</v>
      </c>
      <c r="F19" s="432">
        <f>+Import!L229</f>
        <v>0</v>
      </c>
      <c r="G19" s="433" t="e">
        <f>+B21</f>
        <v>#N/A</v>
      </c>
      <c r="H19" s="413"/>
    </row>
    <row r="20" spans="1:8" ht="15" thickBot="1" x14ac:dyDescent="0.35">
      <c r="A20" s="413" t="s">
        <v>694</v>
      </c>
      <c r="B20" s="434">
        <f>+Import!L243</f>
        <v>0</v>
      </c>
      <c r="C20" s="413"/>
      <c r="D20" s="413"/>
      <c r="E20" s="413"/>
      <c r="F20" s="435"/>
      <c r="G20" s="413"/>
      <c r="H20" s="413"/>
    </row>
    <row r="21" spans="1:8" ht="15" thickBot="1" x14ac:dyDescent="0.35">
      <c r="A21" s="413" t="s">
        <v>687</v>
      </c>
      <c r="B21" s="423" t="e">
        <f>ROUND((B19/100)*B20,0)</f>
        <v>#N/A</v>
      </c>
      <c r="C21" s="436"/>
      <c r="D21" s="424"/>
      <c r="E21" s="413"/>
      <c r="F21" s="413"/>
      <c r="G21" s="413"/>
      <c r="H21" s="413"/>
    </row>
    <row r="22" spans="1:8" ht="15" thickBot="1" x14ac:dyDescent="0.35">
      <c r="A22" s="413"/>
      <c r="B22" s="413"/>
      <c r="C22" s="437"/>
      <c r="D22" s="437"/>
      <c r="E22" s="413"/>
      <c r="F22" s="413"/>
      <c r="G22" s="413"/>
      <c r="H22" s="413"/>
    </row>
    <row r="23" spans="1:8" ht="15" thickBot="1" x14ac:dyDescent="0.35">
      <c r="A23" s="427"/>
      <c r="B23" s="438"/>
      <c r="C23" s="413"/>
      <c r="D23" s="413"/>
      <c r="E23" s="439" t="s">
        <v>695</v>
      </c>
      <c r="F23" s="423">
        <f>IF(F19=0,F14-F19,F14-MAX(F19,G19))</f>
        <v>0</v>
      </c>
      <c r="G23" s="440"/>
      <c r="H23" s="424"/>
    </row>
    <row r="24" spans="1:8" x14ac:dyDescent="0.3">
      <c r="A24" s="413"/>
      <c r="B24" s="413"/>
      <c r="C24" s="413"/>
      <c r="D24" s="413"/>
      <c r="E24" s="413"/>
      <c r="F24" s="436"/>
      <c r="G24" s="436"/>
      <c r="H24" s="424"/>
    </row>
    <row r="25" spans="1:8" x14ac:dyDescent="0.3">
      <c r="A25" s="417"/>
      <c r="B25" s="418"/>
      <c r="C25" s="417"/>
      <c r="D25" s="411"/>
      <c r="E25" s="417"/>
      <c r="F25" s="418"/>
      <c r="G25" s="418"/>
      <c r="H25" s="413"/>
    </row>
    <row r="26" spans="1:8" ht="15" thickBot="1" x14ac:dyDescent="0.35">
      <c r="A26" s="413"/>
      <c r="B26" s="413"/>
      <c r="C26" s="413"/>
      <c r="D26" s="431"/>
      <c r="E26" s="431" t="s">
        <v>696</v>
      </c>
      <c r="F26" s="431"/>
      <c r="G26" s="431"/>
      <c r="H26" s="431"/>
    </row>
    <row r="27" spans="1:8" ht="15" thickBot="1" x14ac:dyDescent="0.35">
      <c r="A27" s="413"/>
      <c r="B27" s="413"/>
      <c r="C27" s="413"/>
      <c r="D27" s="437"/>
      <c r="E27" s="413" t="s">
        <v>697</v>
      </c>
      <c r="F27" s="441" t="e">
        <f>MAX(B9,B13)</f>
        <v>#N/A</v>
      </c>
      <c r="G27" s="437"/>
      <c r="H27" s="413"/>
    </row>
    <row r="28" spans="1:8" ht="15" thickBot="1" x14ac:dyDescent="0.35">
      <c r="A28" s="413"/>
      <c r="B28" s="413"/>
      <c r="C28" s="413"/>
      <c r="D28" s="437"/>
      <c r="E28" s="413"/>
      <c r="F28" s="437"/>
      <c r="G28" s="437"/>
      <c r="H28" s="413"/>
    </row>
    <row r="29" spans="1:8" ht="33.75" customHeight="1" x14ac:dyDescent="0.3">
      <c r="A29" s="413"/>
      <c r="B29" s="413"/>
      <c r="C29" s="413"/>
      <c r="D29" s="442"/>
      <c r="E29" s="413" t="s">
        <v>698</v>
      </c>
      <c r="F29" s="443" t="e">
        <f>IF(F23&lt;=F27,"Yes", "No, unit exceeds limit by:")</f>
        <v>#N/A</v>
      </c>
      <c r="G29" s="413"/>
      <c r="H29" s="413"/>
    </row>
    <row r="30" spans="1:8" ht="15" thickBot="1" x14ac:dyDescent="0.35">
      <c r="A30" s="413"/>
      <c r="B30" s="413"/>
      <c r="C30" s="413"/>
      <c r="D30" s="442"/>
      <c r="E30" s="413"/>
      <c r="F30" s="444" t="e">
        <f>IF(F23-F27&lt;=0,0,F23-F27)</f>
        <v>#N/A</v>
      </c>
      <c r="G30" s="445"/>
      <c r="H30" s="413"/>
    </row>
    <row r="31" spans="1:8" ht="15" thickBot="1" x14ac:dyDescent="0.35">
      <c r="A31" s="413"/>
      <c r="B31" s="413"/>
      <c r="C31" s="413"/>
      <c r="D31" s="413"/>
      <c r="E31" s="413"/>
      <c r="F31" s="413"/>
      <c r="G31" s="413"/>
      <c r="H31" s="413"/>
    </row>
    <row r="32" spans="1:8" x14ac:dyDescent="0.3">
      <c r="A32" s="413"/>
      <c r="B32" s="413"/>
      <c r="C32" s="413"/>
      <c r="D32" s="413"/>
      <c r="E32" s="439" t="s">
        <v>699</v>
      </c>
      <c r="F32" s="446">
        <f>IF(F19=0,0,F19-G19)</f>
        <v>0</v>
      </c>
      <c r="G32" s="413"/>
      <c r="H32" s="413"/>
    </row>
    <row r="33" spans="1:7" ht="15" thickBot="1" x14ac:dyDescent="0.35">
      <c r="A33" s="413"/>
      <c r="B33" s="413"/>
      <c r="C33" s="413"/>
      <c r="D33" s="413"/>
      <c r="E33" s="413"/>
      <c r="F33" s="447" t="s">
        <v>394</v>
      </c>
      <c r="G33" s="413"/>
    </row>
    <row r="34" spans="1:7" x14ac:dyDescent="0.3">
      <c r="A34" s="411"/>
      <c r="B34" s="413"/>
      <c r="C34" s="413"/>
      <c r="D34" s="413"/>
      <c r="E34" s="411" t="s">
        <v>700</v>
      </c>
      <c r="F34" s="413"/>
      <c r="G34" s="413"/>
    </row>
    <row r="35" spans="1:7" x14ac:dyDescent="0.3">
      <c r="A35" s="448"/>
      <c r="B35" s="448"/>
      <c r="C35" s="448"/>
      <c r="D35" s="413"/>
      <c r="E35" s="1247" t="s">
        <v>1006</v>
      </c>
      <c r="F35" s="1248"/>
      <c r="G35" s="1249"/>
    </row>
    <row r="36" spans="1:7" x14ac:dyDescent="0.3">
      <c r="A36" s="448"/>
      <c r="B36" s="448"/>
      <c r="C36" s="448"/>
      <c r="D36" s="413"/>
      <c r="E36" s="1250"/>
      <c r="F36" s="1251"/>
      <c r="G36" s="1252"/>
    </row>
    <row r="37" spans="1:7" x14ac:dyDescent="0.3">
      <c r="A37" s="448"/>
      <c r="B37" s="448"/>
      <c r="C37" s="448"/>
      <c r="D37" s="413"/>
      <c r="E37" s="1250"/>
      <c r="F37" s="1251"/>
      <c r="G37" s="1252"/>
    </row>
    <row r="38" spans="1:7" x14ac:dyDescent="0.3">
      <c r="A38" s="448"/>
      <c r="B38" s="448"/>
      <c r="C38" s="448"/>
      <c r="D38" s="413"/>
      <c r="E38" s="1253"/>
      <c r="F38" s="1254"/>
      <c r="G38" s="1255"/>
    </row>
    <row r="39" spans="1:7" x14ac:dyDescent="0.3">
      <c r="A39" s="448"/>
      <c r="B39" s="448"/>
      <c r="C39" s="448"/>
      <c r="D39" s="413"/>
      <c r="E39" s="449"/>
      <c r="F39" s="449"/>
      <c r="G39" s="449"/>
    </row>
    <row r="40" spans="1:7" x14ac:dyDescent="0.3">
      <c r="A40" s="448"/>
      <c r="B40" s="448"/>
      <c r="C40" s="448"/>
      <c r="D40" s="413"/>
      <c r="E40" s="1247" t="s">
        <v>1007</v>
      </c>
      <c r="F40" s="1248"/>
      <c r="G40" s="1249"/>
    </row>
    <row r="41" spans="1:7" x14ac:dyDescent="0.3">
      <c r="A41" s="413"/>
      <c r="B41" s="413"/>
      <c r="C41" s="413"/>
      <c r="D41" s="413"/>
      <c r="E41" s="1250"/>
      <c r="F41" s="1251"/>
      <c r="G41" s="1252"/>
    </row>
    <row r="42" spans="1:7" x14ac:dyDescent="0.3">
      <c r="A42" s="413"/>
      <c r="B42" s="413"/>
      <c r="C42" s="413"/>
      <c r="D42" s="413"/>
      <c r="E42" s="1253"/>
      <c r="F42" s="1254"/>
      <c r="G42" s="1255"/>
    </row>
    <row r="43" spans="1:7" x14ac:dyDescent="0.3">
      <c r="A43" s="413"/>
      <c r="B43" s="413"/>
      <c r="C43" s="413"/>
      <c r="D43" s="413"/>
      <c r="E43" s="413"/>
      <c r="F43" s="413"/>
      <c r="G43" s="413"/>
    </row>
    <row r="44" spans="1:7" ht="15" thickBot="1" x14ac:dyDescent="0.35">
      <c r="A44" s="413"/>
      <c r="B44" s="413"/>
      <c r="C44" s="413"/>
      <c r="D44" s="413"/>
      <c r="E44" s="1256" t="s">
        <v>701</v>
      </c>
      <c r="F44" s="1256"/>
      <c r="G44" s="1256"/>
    </row>
    <row r="45" spans="1:7" x14ac:dyDescent="0.3">
      <c r="A45" s="413"/>
      <c r="B45" s="413"/>
      <c r="C45" s="413"/>
      <c r="D45" s="413"/>
      <c r="E45" s="1236"/>
      <c r="F45" s="1237"/>
      <c r="G45" s="1238"/>
    </row>
    <row r="46" spans="1:7" x14ac:dyDescent="0.3">
      <c r="A46" s="413"/>
      <c r="B46" s="413"/>
      <c r="C46" s="413"/>
      <c r="D46" s="413"/>
      <c r="E46" s="1239"/>
      <c r="F46" s="1240"/>
      <c r="G46" s="1241"/>
    </row>
    <row r="47" spans="1:7" x14ac:dyDescent="0.3">
      <c r="A47" s="413"/>
      <c r="B47" s="413"/>
      <c r="C47" s="413"/>
      <c r="D47" s="413"/>
      <c r="E47" s="1239"/>
      <c r="F47" s="1240"/>
      <c r="G47" s="1241"/>
    </row>
    <row r="48" spans="1:7" x14ac:dyDescent="0.3">
      <c r="A48" s="413"/>
      <c r="B48" s="413"/>
      <c r="C48" s="413"/>
      <c r="D48" s="413"/>
      <c r="E48" s="1239"/>
      <c r="F48" s="1240"/>
      <c r="G48" s="1241"/>
    </row>
    <row r="49" spans="5:7" x14ac:dyDescent="0.3">
      <c r="E49" s="1239"/>
      <c r="F49" s="1240"/>
      <c r="G49" s="1241"/>
    </row>
    <row r="50" spans="5:7" x14ac:dyDescent="0.3">
      <c r="E50" s="1239"/>
      <c r="F50" s="1240"/>
      <c r="G50" s="1241"/>
    </row>
    <row r="51" spans="5:7" x14ac:dyDescent="0.3">
      <c r="E51" s="1239"/>
      <c r="F51" s="1240"/>
      <c r="G51" s="1241"/>
    </row>
    <row r="52" spans="5:7" x14ac:dyDescent="0.3">
      <c r="E52" s="1239"/>
      <c r="F52" s="1240"/>
      <c r="G52" s="1241"/>
    </row>
    <row r="53" spans="5:7" x14ac:dyDescent="0.3">
      <c r="E53" s="1239"/>
      <c r="F53" s="1240"/>
      <c r="G53" s="1241"/>
    </row>
    <row r="54" spans="5:7" x14ac:dyDescent="0.3">
      <c r="E54" s="1239"/>
      <c r="F54" s="1240"/>
      <c r="G54" s="1241"/>
    </row>
    <row r="55" spans="5:7" x14ac:dyDescent="0.3">
      <c r="E55" s="1239"/>
      <c r="F55" s="1240"/>
      <c r="G55" s="1241"/>
    </row>
    <row r="56" spans="5:7" ht="15" thickBot="1" x14ac:dyDescent="0.35">
      <c r="E56" s="1242"/>
      <c r="F56" s="1243"/>
      <c r="G56" s="1244"/>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13" customWidth="1"/>
    <col min="5" max="5" width="17.109375" style="18" customWidth="1"/>
    <col min="6" max="6" width="21.5546875" style="713" customWidth="1"/>
    <col min="7" max="7" width="26.6640625" style="806" customWidth="1"/>
    <col min="8" max="8" width="25.109375" style="597" customWidth="1"/>
    <col min="9" max="9" width="24" style="713"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7" hidden="1" customWidth="1"/>
    <col min="15" max="15" width="2.109375" style="18" hidden="1" customWidth="1"/>
    <col min="16" max="16" width="0" style="18" hidden="1" customWidth="1"/>
    <col min="17" max="17" width="15.109375" style="18" hidden="1" customWidth="1"/>
    <col min="18" max="25" width="9.109375" style="18"/>
    <col min="26" max="26" width="30.6640625" style="639" customWidth="1"/>
    <col min="27" max="1881" width="9.109375" style="18"/>
    <col min="1882" max="16384" width="9.109375" style="713"/>
  </cols>
  <sheetData>
    <row r="1" spans="1:44" ht="15" thickBot="1" x14ac:dyDescent="0.35">
      <c r="B1" s="808" t="s">
        <v>439</v>
      </c>
      <c r="C1" s="808"/>
      <c r="E1" s="716" t="s">
        <v>36</v>
      </c>
      <c r="F1" s="717">
        <v>2021</v>
      </c>
      <c r="G1" s="123" t="s">
        <v>126</v>
      </c>
      <c r="H1" s="718"/>
      <c r="I1" s="719"/>
      <c r="J1" s="720" t="s">
        <v>937</v>
      </c>
      <c r="M1" s="18" t="s">
        <v>51</v>
      </c>
      <c r="O1" s="18">
        <v>1</v>
      </c>
    </row>
    <row r="2" spans="1:44" ht="44.25" customHeight="1" thickBot="1" x14ac:dyDescent="0.35">
      <c r="B2" s="1122" t="s">
        <v>300</v>
      </c>
      <c r="C2" s="1123"/>
      <c r="D2" s="721" t="s">
        <v>1216</v>
      </c>
      <c r="E2" s="1120" t="s">
        <v>314</v>
      </c>
      <c r="F2" s="1120"/>
      <c r="G2" s="1121"/>
      <c r="H2" s="1111" t="s">
        <v>1581</v>
      </c>
      <c r="M2" s="18" t="s">
        <v>52</v>
      </c>
      <c r="N2" s="297">
        <v>50</v>
      </c>
      <c r="O2" s="18">
        <v>2</v>
      </c>
    </row>
    <row r="3" spans="1:44" ht="15" thickBot="1" x14ac:dyDescent="0.35">
      <c r="B3" s="809" t="s">
        <v>0</v>
      </c>
      <c r="C3" s="810"/>
      <c r="D3" s="723" t="e">
        <f>VLOOKUP(D2,'Unit Names(H)'!A2:B151,2,FALSE)</f>
        <v>#N/A</v>
      </c>
      <c r="E3" s="918"/>
      <c r="F3" s="724"/>
      <c r="G3" s="725"/>
      <c r="H3" s="722"/>
      <c r="N3" s="297">
        <v>51</v>
      </c>
      <c r="O3" s="18">
        <v>3</v>
      </c>
    </row>
    <row r="4" spans="1:44" ht="15" thickBot="1" x14ac:dyDescent="0.35">
      <c r="B4" s="811" t="s">
        <v>1053</v>
      </c>
      <c r="C4" s="812"/>
      <c r="D4" s="726"/>
      <c r="E4" s="726"/>
      <c r="F4" s="727"/>
      <c r="G4" s="728"/>
      <c r="H4" s="722"/>
      <c r="I4" s="2"/>
      <c r="M4" s="18" t="s">
        <v>345</v>
      </c>
      <c r="N4" s="297">
        <v>52</v>
      </c>
      <c r="O4" s="18">
        <v>4</v>
      </c>
    </row>
    <row r="5" spans="1:44" ht="37.5" customHeight="1" x14ac:dyDescent="0.3">
      <c r="A5" s="675" t="s">
        <v>436</v>
      </c>
      <c r="B5" s="564" t="s">
        <v>111</v>
      </c>
      <c r="C5" s="564" t="s">
        <v>128</v>
      </c>
      <c r="D5" s="729" t="s">
        <v>1</v>
      </c>
      <c r="E5" s="729">
        <v>2020</v>
      </c>
      <c r="F5" s="730">
        <v>2021</v>
      </c>
      <c r="G5" s="731" t="s">
        <v>1175</v>
      </c>
      <c r="H5" s="732" t="s">
        <v>318</v>
      </c>
      <c r="I5" s="717" t="s">
        <v>13</v>
      </c>
      <c r="M5" s="18" t="s">
        <v>496</v>
      </c>
    </row>
    <row r="6" spans="1:44" ht="22.5" customHeight="1" x14ac:dyDescent="0.3">
      <c r="A6" s="563"/>
      <c r="B6" s="857" t="s">
        <v>127</v>
      </c>
      <c r="C6" s="858"/>
      <c r="D6" s="859"/>
      <c r="E6" s="860"/>
      <c r="F6" s="861"/>
      <c r="G6" s="853"/>
      <c r="H6" s="17"/>
      <c r="M6" s="18" t="s">
        <v>476</v>
      </c>
    </row>
    <row r="7" spans="1:44" s="18" customFormat="1" ht="63.75" customHeight="1" thickBot="1" x14ac:dyDescent="0.35">
      <c r="A7" s="108">
        <v>333</v>
      </c>
      <c r="B7" s="639" t="s">
        <v>67</v>
      </c>
      <c r="C7" s="639" t="s">
        <v>129</v>
      </c>
      <c r="D7" s="712" t="s">
        <v>1054</v>
      </c>
      <c r="E7" s="673" t="e">
        <f>HLOOKUP($D$2,'2020 Data(H)'!$C$1:$AR$426,99,FALSE)</f>
        <v>#N/A</v>
      </c>
      <c r="F7" s="296">
        <v>0</v>
      </c>
      <c r="G7" s="734">
        <f>IF(F7&lt;0,"Note: Number is normally positive.",)</f>
        <v>0</v>
      </c>
      <c r="H7" s="735"/>
      <c r="I7" s="736"/>
      <c r="J7" s="579" t="s">
        <v>916</v>
      </c>
      <c r="L7" s="699"/>
      <c r="M7" s="18" t="s">
        <v>497</v>
      </c>
      <c r="N7" s="297"/>
      <c r="Q7" s="296">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08">
        <v>500</v>
      </c>
      <c r="B8" s="639" t="s">
        <v>55</v>
      </c>
      <c r="C8" s="639" t="s">
        <v>129</v>
      </c>
      <c r="D8" s="712" t="s">
        <v>1055</v>
      </c>
      <c r="E8" s="673" t="e">
        <f>HLOOKUP($D$2,'2020 Data(H)'!$C$1:$AR$426,150,FALSE)</f>
        <v>#N/A</v>
      </c>
      <c r="F8" s="296">
        <v>0</v>
      </c>
      <c r="G8" s="734">
        <f>IF(F8&lt;0,"Note: Number is normally positive.",)</f>
        <v>0</v>
      </c>
      <c r="H8" s="735"/>
      <c r="I8" s="735"/>
      <c r="J8" s="579"/>
      <c r="L8" s="708"/>
      <c r="M8" s="18" t="s">
        <v>498</v>
      </c>
      <c r="N8" s="297"/>
      <c r="Q8" s="296">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08">
        <v>385</v>
      </c>
      <c r="B9" s="597" t="s">
        <v>60</v>
      </c>
      <c r="C9" s="639" t="s">
        <v>129</v>
      </c>
      <c r="D9" s="107" t="s">
        <v>130</v>
      </c>
      <c r="E9" s="673" t="e">
        <f>HLOOKUP($D$2,'2020 Data(H)'!$C$1:$AR$426,144,FALSE)</f>
        <v>#N/A</v>
      </c>
      <c r="F9" s="296">
        <v>0</v>
      </c>
      <c r="G9" s="734">
        <f>IF((F7+F8)&gt;F9,"Error: Please review Account numbers (333+500)&gt;385",)</f>
        <v>0</v>
      </c>
      <c r="H9" s="17"/>
      <c r="I9" s="735"/>
      <c r="J9" s="579"/>
      <c r="L9" s="708"/>
      <c r="Q9" s="296">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08">
        <v>575</v>
      </c>
      <c r="B10" s="639" t="s">
        <v>70</v>
      </c>
      <c r="C10" s="639" t="s">
        <v>129</v>
      </c>
      <c r="D10" s="813" t="s">
        <v>1056</v>
      </c>
      <c r="E10" s="673" t="e">
        <f>HLOOKUP($D$2,'2020 Data(H)'!$C$1:$AR$426,225,FALSE)</f>
        <v>#N/A</v>
      </c>
      <c r="F10" s="296">
        <v>0</v>
      </c>
      <c r="G10" s="734">
        <f>IF(F10&lt;0,"Note: Number is normally positive.",)</f>
        <v>0</v>
      </c>
      <c r="H10" s="737"/>
      <c r="I10" s="738"/>
      <c r="L10" s="708"/>
      <c r="N10" s="297"/>
      <c r="Q10" s="296">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08">
        <v>576</v>
      </c>
      <c r="B11" s="639" t="s">
        <v>70</v>
      </c>
      <c r="C11" s="639" t="s">
        <v>129</v>
      </c>
      <c r="D11" s="813" t="s">
        <v>1057</v>
      </c>
      <c r="E11" s="673" t="e">
        <f>HLOOKUP($D$2,'2020 Data(H)'!$C$1:$AR$426,226,FALSE)</f>
        <v>#N/A</v>
      </c>
      <c r="F11" s="296">
        <v>0</v>
      </c>
      <c r="G11" s="734">
        <f>IF(F11&lt;0,"Error: Enter as positive.",)</f>
        <v>0</v>
      </c>
      <c r="H11" s="737"/>
      <c r="I11" s="738"/>
      <c r="J11" s="579"/>
      <c r="L11" s="708"/>
      <c r="N11" s="297"/>
      <c r="Q11" s="296">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310">
        <v>626</v>
      </c>
      <c r="B12" s="814" t="s">
        <v>517</v>
      </c>
      <c r="C12" s="814" t="s">
        <v>129</v>
      </c>
      <c r="D12" s="340" t="s">
        <v>1058</v>
      </c>
      <c r="E12" s="673" t="e">
        <f>HLOOKUP($D$2,'2020 Data(H)'!$C$1:$AR$426,285,FALSE)</f>
        <v>#N/A</v>
      </c>
      <c r="F12" s="296">
        <v>0</v>
      </c>
      <c r="G12" s="734">
        <f>IF(F12&lt;0,"Error: Enter as positive.",)</f>
        <v>0</v>
      </c>
      <c r="H12" s="739"/>
      <c r="I12" s="739"/>
      <c r="J12" s="579"/>
      <c r="L12" s="708"/>
      <c r="Q12" s="296">
        <v>136667</v>
      </c>
      <c r="Z12" s="310"/>
      <c r="AA12" s="310"/>
      <c r="AB12" s="310"/>
      <c r="AC12" s="310"/>
      <c r="AD12" s="310"/>
      <c r="AE12" s="310"/>
      <c r="AF12" s="310"/>
      <c r="AG12" s="310"/>
      <c r="AH12" s="310"/>
      <c r="AI12" s="310"/>
      <c r="AJ12" s="310"/>
      <c r="AK12" s="310"/>
      <c r="AL12" s="310"/>
      <c r="AM12" s="310"/>
      <c r="AN12" s="310"/>
      <c r="AO12" s="310"/>
      <c r="AP12" s="310"/>
      <c r="AQ12" s="310"/>
      <c r="AR12" s="310"/>
    </row>
    <row r="13" spans="1:44" ht="89.25" customHeight="1" thickBot="1" x14ac:dyDescent="0.35">
      <c r="A13" s="309">
        <v>627</v>
      </c>
      <c r="B13" s="815" t="s">
        <v>405</v>
      </c>
      <c r="C13" s="814" t="s">
        <v>129</v>
      </c>
      <c r="D13" s="340" t="s">
        <v>1059</v>
      </c>
      <c r="E13" s="673" t="e">
        <f>HLOOKUP($D$2,'2020 Data(H)'!$C$1:$AR$426,286,FALSE)</f>
        <v>#N/A</v>
      </c>
      <c r="F13" s="296">
        <v>0</v>
      </c>
      <c r="G13" s="734">
        <f>IF(F13&gt;F12,"Please review account numbers 627 &gt;626",)</f>
        <v>0</v>
      </c>
      <c r="H13" s="739"/>
      <c r="I13" s="739"/>
      <c r="J13" s="579"/>
      <c r="L13" s="708"/>
      <c r="Q13" s="296">
        <v>0</v>
      </c>
      <c r="Z13" s="309"/>
      <c r="AA13" s="309"/>
      <c r="AB13" s="309"/>
      <c r="AC13" s="309"/>
      <c r="AD13" s="309"/>
      <c r="AE13" s="309"/>
      <c r="AF13" s="309"/>
      <c r="AG13" s="309"/>
      <c r="AH13" s="309"/>
      <c r="AI13" s="309"/>
      <c r="AJ13" s="309"/>
      <c r="AK13" s="309"/>
      <c r="AL13" s="309"/>
      <c r="AM13" s="309"/>
      <c r="AN13" s="309"/>
      <c r="AO13" s="309"/>
      <c r="AP13" s="309"/>
      <c r="AQ13" s="309"/>
      <c r="AR13" s="309"/>
    </row>
    <row r="14" spans="1:44" ht="105" customHeight="1" thickBot="1" x14ac:dyDescent="0.35">
      <c r="A14" s="309">
        <v>628</v>
      </c>
      <c r="B14" s="815" t="s">
        <v>405</v>
      </c>
      <c r="C14" s="814" t="s">
        <v>129</v>
      </c>
      <c r="D14" s="340" t="s">
        <v>1060</v>
      </c>
      <c r="E14" s="673" t="e">
        <f>HLOOKUP($D$2,'2020 Data(H)'!$C$1:$AR$426,287,FALSE)</f>
        <v>#N/A</v>
      </c>
      <c r="F14" s="296">
        <v>0</v>
      </c>
      <c r="G14" s="734">
        <f>IF(F14&gt;F12,"Please review account numbers 628 &gt; 626",)</f>
        <v>0</v>
      </c>
      <c r="H14" s="739"/>
      <c r="I14" s="739"/>
      <c r="J14" s="579"/>
      <c r="L14" s="708"/>
      <c r="Q14" s="296">
        <v>56141</v>
      </c>
      <c r="Z14" s="309"/>
      <c r="AA14" s="309"/>
      <c r="AB14" s="309"/>
      <c r="AC14" s="309"/>
      <c r="AD14" s="309"/>
      <c r="AE14" s="309"/>
      <c r="AF14" s="309"/>
      <c r="AG14" s="309"/>
      <c r="AH14" s="309"/>
      <c r="AI14" s="309"/>
      <c r="AJ14" s="309"/>
      <c r="AK14" s="309"/>
      <c r="AL14" s="309"/>
      <c r="AM14" s="309"/>
      <c r="AN14" s="309"/>
      <c r="AO14" s="309"/>
      <c r="AP14" s="309"/>
      <c r="AQ14" s="309"/>
      <c r="AR14" s="309"/>
    </row>
    <row r="15" spans="1:44" ht="95.25" customHeight="1" thickBot="1" x14ac:dyDescent="0.35">
      <c r="A15" s="309">
        <v>629</v>
      </c>
      <c r="B15" s="815" t="s">
        <v>405</v>
      </c>
      <c r="C15" s="814" t="s">
        <v>129</v>
      </c>
      <c r="D15" s="340" t="s">
        <v>1061</v>
      </c>
      <c r="E15" s="673" t="e">
        <f>HLOOKUP($D$2,'2020 Data(H)'!$C$1:$AR$426,288,FALSE)</f>
        <v>#N/A</v>
      </c>
      <c r="F15" s="296">
        <v>0</v>
      </c>
      <c r="G15" s="734">
        <f>IF(F15&gt;F12,"Please review account numbers 629 &gt; 626",)</f>
        <v>0</v>
      </c>
      <c r="H15" s="739"/>
      <c r="I15" s="739"/>
      <c r="J15" s="579"/>
      <c r="L15" s="708"/>
      <c r="Q15" s="296">
        <v>0</v>
      </c>
      <c r="Z15" s="309"/>
      <c r="AA15" s="309"/>
      <c r="AB15" s="309"/>
      <c r="AC15" s="309"/>
      <c r="AD15" s="309"/>
      <c r="AE15" s="309"/>
      <c r="AF15" s="309"/>
      <c r="AG15" s="309"/>
      <c r="AH15" s="309"/>
      <c r="AI15" s="309"/>
      <c r="AJ15" s="309"/>
      <c r="AK15" s="309"/>
      <c r="AL15" s="309"/>
      <c r="AM15" s="309"/>
      <c r="AN15" s="309"/>
      <c r="AO15" s="309"/>
      <c r="AP15" s="309"/>
      <c r="AQ15" s="309"/>
      <c r="AR15" s="309"/>
    </row>
    <row r="16" spans="1:44" ht="69" customHeight="1" thickBot="1" x14ac:dyDescent="0.35">
      <c r="A16" s="309">
        <v>630</v>
      </c>
      <c r="B16" s="815" t="s">
        <v>405</v>
      </c>
      <c r="C16" s="814" t="s">
        <v>129</v>
      </c>
      <c r="D16" s="340" t="s">
        <v>491</v>
      </c>
      <c r="E16" s="673" t="e">
        <f>HLOOKUP($D$2,'2020 Data(H)'!$C$1:$AR$426,289,FALSE)</f>
        <v>#N/A</v>
      </c>
      <c r="F16" s="296">
        <v>0</v>
      </c>
      <c r="G16" s="734">
        <f>IF(F16&gt;F12,"Please review account numbers 630 &gt; 626",)</f>
        <v>0</v>
      </c>
      <c r="H16" s="739"/>
      <c r="I16" s="739"/>
      <c r="J16" s="579"/>
      <c r="L16" s="708"/>
      <c r="Q16" s="296">
        <v>0</v>
      </c>
      <c r="Z16" s="309"/>
      <c r="AA16" s="309"/>
      <c r="AB16" s="309"/>
      <c r="AC16" s="309"/>
      <c r="AD16" s="309"/>
      <c r="AE16" s="309"/>
      <c r="AF16" s="309"/>
      <c r="AG16" s="309"/>
      <c r="AH16" s="309"/>
      <c r="AI16" s="309"/>
      <c r="AJ16" s="309"/>
      <c r="AK16" s="309"/>
      <c r="AL16" s="309"/>
      <c r="AM16" s="309"/>
      <c r="AN16" s="309"/>
      <c r="AO16" s="309"/>
      <c r="AP16" s="309"/>
      <c r="AQ16" s="309"/>
      <c r="AR16" s="309"/>
    </row>
    <row r="17" spans="1:44" ht="95.25" customHeight="1" thickBot="1" x14ac:dyDescent="0.35">
      <c r="A17" s="309">
        <v>631</v>
      </c>
      <c r="B17" s="815" t="s">
        <v>405</v>
      </c>
      <c r="C17" s="814" t="s">
        <v>129</v>
      </c>
      <c r="D17" s="340" t="s">
        <v>1062</v>
      </c>
      <c r="E17" s="673" t="e">
        <f>HLOOKUP($D$2,'2020 Data(H)'!$C$1:$AR$426,290,FALSE)</f>
        <v>#N/A</v>
      </c>
      <c r="F17" s="296">
        <v>0</v>
      </c>
      <c r="G17" s="734">
        <f>IF(F17&gt;F12,"Please review account numbers 631 &gt; 626",)</f>
        <v>0</v>
      </c>
      <c r="H17" s="739"/>
      <c r="I17" s="739"/>
      <c r="J17" s="579"/>
      <c r="L17" s="708"/>
      <c r="Q17" s="296">
        <v>0</v>
      </c>
      <c r="Z17" s="309"/>
      <c r="AA17" s="309"/>
      <c r="AB17" s="309"/>
      <c r="AC17" s="309"/>
      <c r="AD17" s="309"/>
      <c r="AE17" s="309"/>
      <c r="AF17" s="309"/>
      <c r="AG17" s="309"/>
      <c r="AH17" s="309"/>
      <c r="AI17" s="309"/>
      <c r="AJ17" s="309"/>
      <c r="AK17" s="309"/>
      <c r="AL17" s="309"/>
      <c r="AM17" s="309"/>
      <c r="AN17" s="309"/>
      <c r="AO17" s="309"/>
      <c r="AP17" s="309"/>
      <c r="AQ17" s="309"/>
      <c r="AR17" s="309"/>
    </row>
    <row r="18" spans="1:44" ht="111.75" hidden="1" customHeight="1" thickBot="1" x14ac:dyDescent="0.35">
      <c r="A18" s="309">
        <v>632</v>
      </c>
      <c r="B18" s="815" t="s">
        <v>405</v>
      </c>
      <c r="C18" s="814" t="s">
        <v>129</v>
      </c>
      <c r="D18" s="340" t="s">
        <v>1063</v>
      </c>
      <c r="E18" s="673" t="e">
        <f>HLOOKUP($D$2,'2020 Data(H)'!$C$1:$AR$426,291,FALSE)</f>
        <v>#N/A</v>
      </c>
      <c r="F18" s="296">
        <v>0</v>
      </c>
      <c r="G18" s="734">
        <f>IF(F18&gt;F12,"Please review account numbers 632 &gt; 626",)</f>
        <v>0</v>
      </c>
      <c r="H18" s="739"/>
      <c r="I18" s="739"/>
      <c r="J18" s="579"/>
      <c r="L18" s="708"/>
      <c r="Q18" s="296">
        <v>0</v>
      </c>
      <c r="Z18" s="309"/>
      <c r="AA18" s="309"/>
      <c r="AB18" s="309"/>
      <c r="AC18" s="309"/>
      <c r="AD18" s="309"/>
      <c r="AE18" s="309"/>
      <c r="AF18" s="309"/>
      <c r="AG18" s="309"/>
      <c r="AH18" s="309"/>
      <c r="AI18" s="309"/>
      <c r="AJ18" s="309"/>
      <c r="AK18" s="309"/>
      <c r="AL18" s="309"/>
      <c r="AM18" s="309"/>
      <c r="AN18" s="309"/>
      <c r="AO18" s="309"/>
      <c r="AP18" s="309"/>
      <c r="AQ18" s="309"/>
      <c r="AR18" s="309"/>
    </row>
    <row r="19" spans="1:44" ht="55.5" customHeight="1" thickBot="1" x14ac:dyDescent="0.35">
      <c r="A19" s="108">
        <v>338</v>
      </c>
      <c r="B19" s="597" t="s">
        <v>56</v>
      </c>
      <c r="C19" s="639" t="s">
        <v>129</v>
      </c>
      <c r="D19" s="107" t="s">
        <v>131</v>
      </c>
      <c r="E19" s="673" t="e">
        <f>HLOOKUP($D$2,'2020 Data(H)'!$C$1:$AR$426,104,FALSE)</f>
        <v>#N/A</v>
      </c>
      <c r="F19" s="296">
        <v>0</v>
      </c>
      <c r="G19" s="734" t="str">
        <f>IF(F12&gt;F19,"Error: Please review accts 626 &gt; 338","")</f>
        <v/>
      </c>
      <c r="H19" s="17"/>
      <c r="I19" s="735"/>
      <c r="J19" s="579"/>
      <c r="L19" s="708"/>
      <c r="Q19" s="296">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08">
        <v>335</v>
      </c>
      <c r="B20" s="597" t="s">
        <v>56</v>
      </c>
      <c r="C20" s="639" t="s">
        <v>129</v>
      </c>
      <c r="D20" s="712" t="s">
        <v>1064</v>
      </c>
      <c r="E20" s="673" t="e">
        <f>HLOOKUP($D$2,'2020 Data(H)'!$C$1:$AR$426,101,FALSE)</f>
        <v>#N/A</v>
      </c>
      <c r="F20" s="296">
        <v>0</v>
      </c>
      <c r="G20" s="734">
        <f>IF(F20&lt;0,"Error: Enter as positive.",)</f>
        <v>0</v>
      </c>
      <c r="H20" s="17"/>
      <c r="I20" s="375"/>
      <c r="J20" s="579"/>
      <c r="L20" s="708"/>
      <c r="Q20" s="296">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08">
        <v>252</v>
      </c>
      <c r="B21" s="597" t="s">
        <v>56</v>
      </c>
      <c r="C21" s="639" t="s">
        <v>129</v>
      </c>
      <c r="D21" s="107" t="s">
        <v>132</v>
      </c>
      <c r="E21" s="673" t="e">
        <f>HLOOKUP($D$2,'2020 Data(H)'!$C$1:$AR$426,78,FALSE)</f>
        <v>#N/A</v>
      </c>
      <c r="F21" s="296">
        <v>0</v>
      </c>
      <c r="G21" s="740"/>
      <c r="H21" s="17"/>
      <c r="I21" s="79"/>
      <c r="J21" s="579"/>
      <c r="L21" s="708"/>
      <c r="Q21" s="296">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08">
        <v>253</v>
      </c>
      <c r="B22" s="597" t="s">
        <v>56</v>
      </c>
      <c r="C22" s="639" t="s">
        <v>129</v>
      </c>
      <c r="D22" s="107" t="s">
        <v>133</v>
      </c>
      <c r="E22" s="673" t="e">
        <f>HLOOKUP($D$2,'2020 Data(H)'!$C$1:$AR$426,79,FALSE)</f>
        <v>#N/A</v>
      </c>
      <c r="F22" s="296">
        <v>0</v>
      </c>
      <c r="G22" s="734"/>
      <c r="H22" s="17"/>
      <c r="I22" s="79"/>
      <c r="J22" s="579"/>
      <c r="L22" s="708"/>
      <c r="Q22" s="296">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08">
        <v>254</v>
      </c>
      <c r="B23" s="597" t="s">
        <v>56</v>
      </c>
      <c r="C23" s="639" t="s">
        <v>129</v>
      </c>
      <c r="D23" s="107" t="s">
        <v>1065</v>
      </c>
      <c r="E23" s="673" t="e">
        <f>HLOOKUP($D$2,'2020 Data(H)'!$C$1:$AR$426,80,FALSE)</f>
        <v>#N/A</v>
      </c>
      <c r="F23" s="296">
        <v>0</v>
      </c>
      <c r="G23" s="734">
        <f>IF(H23=0,,"Error: Total assets and deferred outflows less total liabilities and deferred inflows do not equal total net position. Account numbers  385-338-252-253-254 = 0.  The amount the formula is off is located in the cell to the right")</f>
        <v>0</v>
      </c>
      <c r="H23" s="737">
        <f>F9-F19-F21-F22-F23</f>
        <v>0</v>
      </c>
      <c r="I23" s="79"/>
      <c r="J23" s="579"/>
      <c r="L23" s="708"/>
      <c r="Q23" s="296">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45" t="s">
        <v>134</v>
      </c>
      <c r="C24" s="846"/>
      <c r="D24" s="850"/>
      <c r="E24" s="851"/>
      <c r="F24" s="862"/>
      <c r="G24" s="863"/>
      <c r="H24" s="17"/>
      <c r="I24" s="79"/>
      <c r="L24" s="708"/>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597" t="s">
        <v>55</v>
      </c>
      <c r="C25" s="639" t="s">
        <v>136</v>
      </c>
      <c r="D25" s="712" t="s">
        <v>1066</v>
      </c>
      <c r="E25" s="673" t="e">
        <f>HLOOKUP($D$2,'2020 Data(H)'!$C$1:$AR$426,152,FALSE)</f>
        <v>#N/A</v>
      </c>
      <c r="F25" s="296">
        <v>0</v>
      </c>
      <c r="G25" s="734">
        <f>IF(F25&lt;0,"Note: Number is normally positive.",)</f>
        <v>0</v>
      </c>
      <c r="H25" s="17"/>
      <c r="I25" s="79"/>
      <c r="L25" s="708"/>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597" t="s">
        <v>55</v>
      </c>
      <c r="C26" s="639" t="s">
        <v>136</v>
      </c>
      <c r="D26" s="107" t="s">
        <v>135</v>
      </c>
      <c r="E26" s="673" t="e">
        <f>HLOOKUP($D$2,'2020 Data(H)'!$C$1:$AR$426,153,FALSE)</f>
        <v>#N/A</v>
      </c>
      <c r="F26" s="274">
        <v>0</v>
      </c>
      <c r="G26" s="734">
        <f>IF(F26&lt;0,"Note: Number is normally positive.",)</f>
        <v>0</v>
      </c>
      <c r="H26" s="17"/>
      <c r="I26" s="79"/>
      <c r="L26" s="708"/>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08"/>
      <c r="B27" s="845" t="s">
        <v>137</v>
      </c>
      <c r="C27" s="846"/>
      <c r="D27" s="850"/>
      <c r="E27" s="851"/>
      <c r="F27" s="852"/>
      <c r="G27" s="853"/>
      <c r="H27" s="17"/>
      <c r="I27" s="79"/>
      <c r="L27" s="708"/>
      <c r="Z27" s="108"/>
      <c r="AA27" s="108"/>
      <c r="AB27" s="108"/>
      <c r="AC27" s="108"/>
      <c r="AD27" s="108"/>
      <c r="AE27" s="108"/>
      <c r="AF27" s="108"/>
      <c r="AG27" s="108"/>
      <c r="AH27" s="108"/>
      <c r="AI27" s="108"/>
      <c r="AJ27" s="108"/>
      <c r="AK27" s="108"/>
      <c r="AL27" s="108"/>
      <c r="AM27" s="108"/>
      <c r="AN27" s="108"/>
      <c r="AO27" s="108"/>
      <c r="AP27" s="108"/>
      <c r="AQ27" s="108"/>
      <c r="AR27" s="108"/>
    </row>
    <row r="28" spans="1:44" ht="49.5" hidden="1" customHeight="1" thickBot="1" x14ac:dyDescent="0.35">
      <c r="A28" s="108">
        <v>344</v>
      </c>
      <c r="B28" s="597" t="s">
        <v>56</v>
      </c>
      <c r="C28" s="597" t="s">
        <v>144</v>
      </c>
      <c r="D28" s="107" t="s">
        <v>138</v>
      </c>
      <c r="E28" s="673" t="e">
        <f>HLOOKUP($D$2,'2020 Data(H)'!$C$1:$AR$426,110,FALSE)</f>
        <v>#N/A</v>
      </c>
      <c r="F28" s="296">
        <v>0</v>
      </c>
      <c r="G28" s="734">
        <f t="shared" ref="G28:G35" si="0">IF(F28&lt;0,"Error: Enter as positive.",)</f>
        <v>0</v>
      </c>
      <c r="H28" s="17"/>
      <c r="I28" s="79"/>
      <c r="L28" s="708"/>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08">
        <v>388</v>
      </c>
      <c r="B29" s="597" t="s">
        <v>60</v>
      </c>
      <c r="C29" s="597" t="s">
        <v>144</v>
      </c>
      <c r="D29" s="107" t="s">
        <v>139</v>
      </c>
      <c r="E29" s="673" t="e">
        <f>HLOOKUP($D$2,'2020 Data(H)'!$C$1:$AR$426,147,FALSE)</f>
        <v>#N/A</v>
      </c>
      <c r="F29" s="296">
        <v>0</v>
      </c>
      <c r="G29" s="734">
        <f t="shared" si="0"/>
        <v>0</v>
      </c>
      <c r="H29" s="17"/>
      <c r="I29" s="79"/>
      <c r="J29" s="579"/>
      <c r="L29" s="708"/>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08">
        <v>339</v>
      </c>
      <c r="B30" s="597" t="s">
        <v>56</v>
      </c>
      <c r="C30" s="597" t="s">
        <v>144</v>
      </c>
      <c r="D30" s="107" t="s">
        <v>140</v>
      </c>
      <c r="E30" s="673" t="e">
        <f>HLOOKUP($D$2,'2020 Data(H)'!$C$1:$AR$426,105,FALSE)</f>
        <v>#N/A</v>
      </c>
      <c r="F30" s="296">
        <v>0</v>
      </c>
      <c r="G30" s="734">
        <f t="shared" si="0"/>
        <v>0</v>
      </c>
      <c r="H30" s="17"/>
      <c r="I30" s="79"/>
      <c r="J30" s="579"/>
      <c r="L30" s="708"/>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08">
        <v>504</v>
      </c>
      <c r="B31" s="597" t="s">
        <v>56</v>
      </c>
      <c r="C31" s="597" t="s">
        <v>144</v>
      </c>
      <c r="D31" s="107" t="s">
        <v>141</v>
      </c>
      <c r="E31" s="673" t="e">
        <f>HLOOKUP($D$2,'2020 Data(H)'!$C$1:$AR$426,154,FALSE)</f>
        <v>#N/A</v>
      </c>
      <c r="F31" s="296">
        <v>0</v>
      </c>
      <c r="G31" s="734">
        <f t="shared" si="0"/>
        <v>0</v>
      </c>
      <c r="H31" s="17"/>
      <c r="I31" s="79"/>
      <c r="J31" s="579"/>
      <c r="L31" s="708"/>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08">
        <v>505</v>
      </c>
      <c r="B32" s="597" t="s">
        <v>56</v>
      </c>
      <c r="C32" s="597" t="s">
        <v>144</v>
      </c>
      <c r="D32" s="692" t="s">
        <v>142</v>
      </c>
      <c r="E32" s="673" t="e">
        <f>HLOOKUP($D$2,'2020 Data(H)'!$C$1:$AR$426,155,FALSE)</f>
        <v>#N/A</v>
      </c>
      <c r="F32" s="296">
        <v>0</v>
      </c>
      <c r="G32" s="734">
        <f t="shared" si="0"/>
        <v>0</v>
      </c>
      <c r="H32" s="17"/>
      <c r="I32" s="79"/>
      <c r="J32" s="579"/>
      <c r="L32" s="708"/>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08">
        <v>341</v>
      </c>
      <c r="B33" s="597" t="s">
        <v>56</v>
      </c>
      <c r="C33" s="597" t="s">
        <v>144</v>
      </c>
      <c r="D33" s="712" t="s">
        <v>1067</v>
      </c>
      <c r="E33" s="673" t="e">
        <f>HLOOKUP($D$2,'2020 Data(H)'!$C$1:$AR$426,107,FALSE)</f>
        <v>#N/A</v>
      </c>
      <c r="F33" s="296">
        <v>0</v>
      </c>
      <c r="G33" s="734">
        <f t="shared" si="0"/>
        <v>0</v>
      </c>
      <c r="H33" s="17"/>
      <c r="I33" s="79"/>
      <c r="J33" s="579"/>
      <c r="L33" s="708"/>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08">
        <v>386</v>
      </c>
      <c r="B34" s="597" t="s">
        <v>56</v>
      </c>
      <c r="C34" s="597" t="s">
        <v>144</v>
      </c>
      <c r="D34" s="107" t="s">
        <v>1068</v>
      </c>
      <c r="E34" s="673" t="e">
        <f>HLOOKUP($D$2,'2020 Data(H)'!$C$1:$AR$426,145,FALSE)</f>
        <v>#N/A</v>
      </c>
      <c r="F34" s="296">
        <v>0</v>
      </c>
      <c r="G34" s="734">
        <f t="shared" si="0"/>
        <v>0</v>
      </c>
      <c r="H34" s="17"/>
      <c r="I34" s="79"/>
      <c r="L34" s="708"/>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08">
        <v>387</v>
      </c>
      <c r="B35" s="597" t="s">
        <v>60</v>
      </c>
      <c r="C35" s="597" t="s">
        <v>144</v>
      </c>
      <c r="D35" s="107" t="s">
        <v>1069</v>
      </c>
      <c r="E35" s="673" t="e">
        <f>HLOOKUP($D$2,'2020 Data(H)'!$C$1:$AR$426,146,FALSE)</f>
        <v>#N/A</v>
      </c>
      <c r="F35" s="296">
        <v>0</v>
      </c>
      <c r="G35" s="734">
        <f t="shared" si="0"/>
        <v>0</v>
      </c>
      <c r="H35" s="17"/>
      <c r="I35" s="79"/>
      <c r="L35" s="708"/>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08">
        <v>389</v>
      </c>
      <c r="B36" s="597" t="s">
        <v>60</v>
      </c>
      <c r="C36" s="597" t="s">
        <v>144</v>
      </c>
      <c r="D36" s="712" t="s">
        <v>1070</v>
      </c>
      <c r="E36" s="673" t="e">
        <f>HLOOKUP($D$2,'2020 Data(H)'!$C$1:$AR$426,148,FALSE)</f>
        <v>#N/A</v>
      </c>
      <c r="F36" s="296">
        <v>0</v>
      </c>
      <c r="G36" s="734"/>
      <c r="H36" s="17"/>
      <c r="I36" s="79"/>
      <c r="J36" s="579"/>
      <c r="L36" s="708"/>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08">
        <v>255</v>
      </c>
      <c r="B37" s="597" t="s">
        <v>56</v>
      </c>
      <c r="C37" s="597" t="s">
        <v>144</v>
      </c>
      <c r="D37" s="712" t="s">
        <v>1071</v>
      </c>
      <c r="E37" s="673" t="e">
        <f>HLOOKUP($D$2,'2020 Data(H)'!$C$1:$AR$426,81,FALSE)</f>
        <v>#N/A</v>
      </c>
      <c r="F37" s="296">
        <v>0</v>
      </c>
      <c r="G37" s="734">
        <f>IF(H37=0,,"Error: Total revenues less total expenses do not equal total change in net position. Account numbers 339+504+505+341+386-387+389-388-255 = 0  The amount the formula is off is located in the cell to the right")</f>
        <v>0</v>
      </c>
      <c r="H37" s="737">
        <f>F30+F31+F32+F33+F34-F35+F36-F29-F37</f>
        <v>0</v>
      </c>
      <c r="I37" s="79"/>
      <c r="J37" s="579"/>
      <c r="L37" s="708"/>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08">
        <v>376</v>
      </c>
      <c r="B38" s="597" t="s">
        <v>56</v>
      </c>
      <c r="C38" s="597" t="s">
        <v>144</v>
      </c>
      <c r="D38" s="712" t="s">
        <v>1072</v>
      </c>
      <c r="E38" s="673" t="e">
        <f>HLOOKUP($D$2,'2020 Data(H)'!$C$1:$AR$426,135,FALSE)</f>
        <v>#N/A</v>
      </c>
      <c r="F38" s="294">
        <v>0</v>
      </c>
      <c r="G38" s="915" t="e">
        <f>IF(H38=0,,"Error: Beginning Balance does not agree with our records.  Account numbers  252+253+254-255-376-(Prior Year 252+253+254)=0  The amount the formula is off is located in the cell to the right")</f>
        <v>#N/A</v>
      </c>
      <c r="H38" s="741" t="e">
        <f>F21+F22+F23-F37-F38-(E21+E22+E23)</f>
        <v>#N/A</v>
      </c>
      <c r="I38" s="1112" t="s">
        <v>1578</v>
      </c>
      <c r="J38" s="579"/>
      <c r="L38" s="708"/>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hidden="1" customHeight="1" thickBot="1" x14ac:dyDescent="0.35">
      <c r="A39" s="108">
        <v>597</v>
      </c>
      <c r="B39" s="639" t="s">
        <v>347</v>
      </c>
      <c r="C39" s="639" t="s">
        <v>366</v>
      </c>
      <c r="D39" s="816" t="s">
        <v>1073</v>
      </c>
      <c r="E39" s="673" t="e">
        <f>HLOOKUP($D$2,'2020 Data(H)'!$C$1:$AR$426,256,FALSE)</f>
        <v>#N/A</v>
      </c>
      <c r="F39" s="294">
        <v>0</v>
      </c>
      <c r="G39" s="734">
        <f>IF(F39&lt;0,"Note: Number is normally positive.",)</f>
        <v>0</v>
      </c>
      <c r="H39" s="735"/>
      <c r="I39" s="736"/>
      <c r="J39" s="579"/>
      <c r="L39" s="708"/>
      <c r="N39" s="297"/>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45" t="s">
        <v>346</v>
      </c>
      <c r="C40" s="846"/>
      <c r="D40" s="850"/>
      <c r="E40" s="851"/>
      <c r="F40" s="852"/>
      <c r="G40" s="853"/>
      <c r="H40" s="17"/>
      <c r="I40" s="79"/>
      <c r="L40" s="708"/>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39" t="s">
        <v>59</v>
      </c>
      <c r="C41" s="639" t="s">
        <v>348</v>
      </c>
      <c r="D41" s="712" t="s">
        <v>1074</v>
      </c>
      <c r="E41" s="673" t="e">
        <f>HLOOKUP($D$2,'2020 Data(H)'!$C$1:$AR$426,253,FALSE)</f>
        <v>#N/A</v>
      </c>
      <c r="F41" s="742">
        <v>0</v>
      </c>
      <c r="G41" s="734"/>
      <c r="H41" s="735"/>
      <c r="J41" s="579"/>
      <c r="L41" s="708"/>
      <c r="N41" s="297"/>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39" t="s">
        <v>59</v>
      </c>
      <c r="C42" s="639" t="s">
        <v>348</v>
      </c>
      <c r="D42" s="107" t="s">
        <v>349</v>
      </c>
      <c r="E42" s="673" t="e">
        <f>HLOOKUP($D$2,'2020 Data(H)'!$C$1:$AR$426,252,FALSE)</f>
        <v>#N/A</v>
      </c>
      <c r="F42" s="742">
        <v>0</v>
      </c>
      <c r="G42" s="734">
        <f>IF(F42&lt;0,"Error: Enter as positive.",)</f>
        <v>0</v>
      </c>
      <c r="H42" s="735"/>
      <c r="J42" s="579"/>
      <c r="L42" s="708"/>
      <c r="N42" s="297"/>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639" t="s">
        <v>59</v>
      </c>
      <c r="C43" s="817" t="s">
        <v>348</v>
      </c>
      <c r="D43" s="107" t="s">
        <v>1017</v>
      </c>
      <c r="E43" s="673" t="s">
        <v>1176</v>
      </c>
      <c r="F43" s="742">
        <v>0</v>
      </c>
      <c r="G43" s="734"/>
      <c r="H43" s="735"/>
      <c r="J43" s="579"/>
      <c r="L43" s="708"/>
      <c r="N43" s="297"/>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639" t="s">
        <v>59</v>
      </c>
      <c r="C44" s="817" t="s">
        <v>348</v>
      </c>
      <c r="D44" s="107" t="s">
        <v>1018</v>
      </c>
      <c r="E44" s="673" t="s">
        <v>1176</v>
      </c>
      <c r="F44" s="742">
        <v>0</v>
      </c>
      <c r="G44" s="734"/>
      <c r="H44" s="735"/>
      <c r="J44" s="579"/>
      <c r="L44" s="708"/>
      <c r="N44" s="297"/>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845" t="s">
        <v>1180</v>
      </c>
      <c r="C45" s="901"/>
      <c r="D45" s="902"/>
      <c r="E45" s="878"/>
      <c r="F45" s="852"/>
      <c r="G45" s="863"/>
      <c r="H45" s="735"/>
      <c r="J45" s="579"/>
      <c r="L45" s="708"/>
      <c r="N45" s="297"/>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639" t="s">
        <v>59</v>
      </c>
      <c r="C46" s="817" t="s">
        <v>1019</v>
      </c>
      <c r="D46" s="107" t="s">
        <v>1024</v>
      </c>
      <c r="E46" s="673" t="e">
        <f>HLOOKUP($D$2,'2020 Data(H)'!$C$1:$AR$426,208,FALSE)</f>
        <v>#N/A</v>
      </c>
      <c r="F46" s="742">
        <v>0</v>
      </c>
      <c r="G46" s="734"/>
      <c r="H46" s="735"/>
      <c r="J46" s="579"/>
      <c r="L46" s="708"/>
      <c r="N46" s="297"/>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639" t="s">
        <v>59</v>
      </c>
      <c r="C47" s="817" t="s">
        <v>1019</v>
      </c>
      <c r="D47" s="107" t="s">
        <v>146</v>
      </c>
      <c r="E47" s="673" t="e">
        <f>HLOOKUP($D$2,'2020 Data(H)'!$C$1:$AR$426,209,FALSE)</f>
        <v>#N/A</v>
      </c>
      <c r="F47" s="742">
        <v>0</v>
      </c>
      <c r="G47" s="734"/>
      <c r="H47" s="735"/>
      <c r="J47" s="579"/>
      <c r="L47" s="708"/>
      <c r="N47" s="297"/>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639" t="s">
        <v>59</v>
      </c>
      <c r="C48" s="817" t="s">
        <v>1019</v>
      </c>
      <c r="D48" s="712" t="s">
        <v>1021</v>
      </c>
      <c r="E48" s="673" t="e">
        <f>HLOOKUP($D$2,'2020 Data(H)'!$C$1:$AR$426,210,FALSE)</f>
        <v>#N/A</v>
      </c>
      <c r="F48" s="742">
        <v>0</v>
      </c>
      <c r="G48" s="734"/>
      <c r="H48" s="735"/>
      <c r="J48" s="579"/>
      <c r="L48" s="708"/>
      <c r="N48" s="297"/>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639" t="s">
        <v>59</v>
      </c>
      <c r="C49" s="817" t="s">
        <v>1019</v>
      </c>
      <c r="D49" s="712" t="s">
        <v>1022</v>
      </c>
      <c r="E49" s="673" t="e">
        <f>HLOOKUP($D$2,'2020 Data(H)'!$C$1:$AR$426,211,FALSE)</f>
        <v>#N/A</v>
      </c>
      <c r="F49" s="742">
        <v>0</v>
      </c>
      <c r="G49" s="734"/>
      <c r="H49" s="735"/>
      <c r="J49" s="579"/>
      <c r="L49" s="708"/>
      <c r="N49" s="297"/>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639" t="s">
        <v>59</v>
      </c>
      <c r="C50" s="817" t="s">
        <v>1019</v>
      </c>
      <c r="D50" s="712" t="s">
        <v>1020</v>
      </c>
      <c r="E50" s="673" t="e">
        <f>HLOOKUP($D$2,'2020 Data(H)'!$C$1:$AR$426,213,FALSE)</f>
        <v>#N/A</v>
      </c>
      <c r="F50" s="742">
        <v>0</v>
      </c>
      <c r="G50" s="734"/>
      <c r="H50" s="735"/>
      <c r="J50" s="579"/>
      <c r="L50" s="708"/>
      <c r="N50" s="297"/>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639" t="s">
        <v>59</v>
      </c>
      <c r="C51" s="817" t="s">
        <v>1026</v>
      </c>
      <c r="D51" s="712" t="s">
        <v>1023</v>
      </c>
      <c r="E51" s="673" t="e">
        <f>HLOOKUP($D$2,'2020 Data(H)'!$C$1:$AR$426,214,FALSE)</f>
        <v>#N/A</v>
      </c>
      <c r="F51" s="742">
        <v>0</v>
      </c>
      <c r="G51" s="734"/>
      <c r="H51" s="735"/>
      <c r="J51" s="579"/>
      <c r="L51" s="708"/>
      <c r="N51" s="297"/>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639" t="s">
        <v>59</v>
      </c>
      <c r="C52" s="817" t="s">
        <v>1026</v>
      </c>
      <c r="D52" s="712" t="s">
        <v>1025</v>
      </c>
      <c r="E52" s="673" t="e">
        <f>HLOOKUP($D$2,'2020 Data(H)'!$C$1:$AR$426,218,FALSE)</f>
        <v>#N/A</v>
      </c>
      <c r="F52" s="742">
        <v>0</v>
      </c>
      <c r="G52" s="734"/>
      <c r="H52" s="735"/>
      <c r="J52" s="579"/>
      <c r="L52" s="708"/>
      <c r="N52" s="297"/>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639" t="s">
        <v>59</v>
      </c>
      <c r="C53" s="817" t="s">
        <v>1026</v>
      </c>
      <c r="D53" s="712" t="s">
        <v>308</v>
      </c>
      <c r="E53" s="673" t="e">
        <f>HLOOKUP($D$2,'2020 Data(H)'!$C$1:$AR$426,215,FALSE)</f>
        <v>#N/A</v>
      </c>
      <c r="F53" s="742">
        <v>0</v>
      </c>
      <c r="G53" s="734"/>
      <c r="H53" s="735"/>
      <c r="J53" s="579"/>
      <c r="L53" s="708"/>
      <c r="N53" s="297"/>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639" t="s">
        <v>59</v>
      </c>
      <c r="C54" s="817" t="s">
        <v>1026</v>
      </c>
      <c r="D54" s="712" t="s">
        <v>310</v>
      </c>
      <c r="E54" s="673" t="e">
        <f>HLOOKUP($D$2,'2020 Data(H)'!$C$1:$AR$426,216,FALSE)</f>
        <v>#N/A</v>
      </c>
      <c r="F54" s="742">
        <v>0</v>
      </c>
      <c r="G54" s="734"/>
      <c r="H54" s="735"/>
      <c r="J54" s="579"/>
      <c r="L54" s="708"/>
      <c r="N54" s="297"/>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639" t="s">
        <v>59</v>
      </c>
      <c r="C55" s="817" t="s">
        <v>1026</v>
      </c>
      <c r="D55" s="712" t="s">
        <v>1018</v>
      </c>
      <c r="E55" s="673" t="e">
        <f>HLOOKUP($D$2,'2020 Data(H)'!$C$1:$AR$426,217,FALSE)</f>
        <v>#N/A</v>
      </c>
      <c r="F55" s="742">
        <v>0</v>
      </c>
      <c r="G55" s="734"/>
      <c r="H55" s="735"/>
      <c r="J55" s="579"/>
      <c r="L55" s="708"/>
      <c r="N55" s="297"/>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639" t="s">
        <v>59</v>
      </c>
      <c r="C56" s="817" t="s">
        <v>13</v>
      </c>
      <c r="D56" s="124" t="s">
        <v>1027</v>
      </c>
      <c r="E56" s="673" t="e">
        <f>HLOOKUP($D$2,'2020 Data(H)'!$C$1:$AR$426,212,FALSE)</f>
        <v>#N/A</v>
      </c>
      <c r="F56" s="742">
        <v>0</v>
      </c>
      <c r="G56" s="734"/>
      <c r="H56" s="735"/>
      <c r="J56" s="579"/>
      <c r="L56" s="708"/>
      <c r="N56" s="297"/>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639" t="s">
        <v>59</v>
      </c>
      <c r="C57" s="817" t="s">
        <v>13</v>
      </c>
      <c r="D57" s="712" t="s">
        <v>1028</v>
      </c>
      <c r="E57" s="673" t="e">
        <f>HLOOKUP($D$2,'2020 Data(H)'!$C$1:$AR$426,219,FALSE)</f>
        <v>#N/A</v>
      </c>
      <c r="F57" s="742">
        <v>0</v>
      </c>
      <c r="G57" s="734"/>
      <c r="H57" s="735"/>
      <c r="J57" s="579"/>
      <c r="L57" s="708"/>
      <c r="N57" s="297"/>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08"/>
      <c r="B58" s="845" t="s">
        <v>145</v>
      </c>
      <c r="C58" s="846"/>
      <c r="D58" s="854"/>
      <c r="E58" s="851"/>
      <c r="F58" s="855"/>
      <c r="G58" s="856"/>
      <c r="H58" s="17"/>
      <c r="I58" s="79"/>
      <c r="L58" s="708"/>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08">
        <v>506</v>
      </c>
      <c r="B59" s="818" t="s">
        <v>55</v>
      </c>
      <c r="C59" s="818" t="s">
        <v>149</v>
      </c>
      <c r="D59" s="107" t="s">
        <v>1075</v>
      </c>
      <c r="E59" s="931" t="e">
        <f>HLOOKUP($D$2,'2020 Data(H)'!$C$1:$AR$426,156,FALSE)</f>
        <v>#N/A</v>
      </c>
      <c r="F59" s="296">
        <v>0</v>
      </c>
      <c r="G59" s="734">
        <f>IF(F59&lt;0,"Note: Number is normally positive.",)</f>
        <v>0</v>
      </c>
      <c r="H59" s="735"/>
      <c r="I59" s="79"/>
      <c r="J59" s="579"/>
      <c r="L59" s="708"/>
      <c r="N59" s="297"/>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08">
        <v>536</v>
      </c>
      <c r="B60" s="818" t="s">
        <v>55</v>
      </c>
      <c r="C60" s="818" t="s">
        <v>149</v>
      </c>
      <c r="D60" s="107" t="s">
        <v>146</v>
      </c>
      <c r="E60" s="673" t="e">
        <f>HLOOKUP($D$2,'2020 Data(H)'!$C$1:$AR$426,186,FALSE)</f>
        <v>#N/A</v>
      </c>
      <c r="F60" s="296">
        <v>0</v>
      </c>
      <c r="G60" s="734">
        <f>IF(F60&lt;0,"Note: Number is normally positive.",)</f>
        <v>0</v>
      </c>
      <c r="H60" s="735"/>
      <c r="I60" s="736"/>
      <c r="J60" s="579"/>
      <c r="L60" s="708"/>
      <c r="N60" s="297"/>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08">
        <v>586</v>
      </c>
      <c r="B61" s="818" t="s">
        <v>59</v>
      </c>
      <c r="C61" s="818" t="s">
        <v>149</v>
      </c>
      <c r="D61" s="684" t="s">
        <v>334</v>
      </c>
      <c r="E61" s="673" t="e">
        <f>HLOOKUP($D$2,'2020 Data(H)'!$C$1:$AR$426,236,FALSE)</f>
        <v>#N/A</v>
      </c>
      <c r="F61" s="296">
        <v>0</v>
      </c>
      <c r="G61" s="734">
        <f>IF(F61&lt;0,"Note: Number is normally positive.",)</f>
        <v>0</v>
      </c>
      <c r="H61" s="735"/>
      <c r="I61" s="736"/>
      <c r="L61" s="708"/>
      <c r="N61" s="297"/>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08">
        <v>379</v>
      </c>
      <c r="B62" s="818" t="s">
        <v>60</v>
      </c>
      <c r="C62" s="818" t="s">
        <v>149</v>
      </c>
      <c r="D62" s="107" t="s">
        <v>130</v>
      </c>
      <c r="E62" s="673" t="e">
        <f>HLOOKUP($D$2,'2020 Data(H)'!$C$1:$AR$426,138,FALSE)</f>
        <v>#N/A</v>
      </c>
      <c r="F62" s="296">
        <v>0</v>
      </c>
      <c r="G62" s="734">
        <f>IF((F59+F60)&gt;F62,"Error: Please review account numbers (506+536)&gt;379",)</f>
        <v>0</v>
      </c>
      <c r="H62" s="17"/>
      <c r="I62" s="79"/>
      <c r="J62" s="579"/>
      <c r="L62" s="708"/>
      <c r="Z62" s="108"/>
      <c r="AA62" s="108"/>
      <c r="AB62" s="108"/>
      <c r="AC62" s="108"/>
      <c r="AD62" s="108"/>
      <c r="AE62" s="108"/>
      <c r="AF62" s="108"/>
      <c r="AG62" s="108"/>
      <c r="AH62" s="108"/>
      <c r="AI62" s="108"/>
      <c r="AJ62" s="108"/>
      <c r="AK62" s="108"/>
      <c r="AL62" s="108"/>
      <c r="AM62" s="108"/>
      <c r="AN62" s="108"/>
      <c r="AO62" s="108"/>
      <c r="AP62" s="108"/>
      <c r="AQ62" s="108"/>
      <c r="AR62" s="108"/>
    </row>
    <row r="63" spans="1:44" ht="93" customHeight="1" thickBot="1" x14ac:dyDescent="0.35">
      <c r="A63" s="108">
        <v>368</v>
      </c>
      <c r="B63" s="818" t="s">
        <v>69</v>
      </c>
      <c r="C63" s="818" t="s">
        <v>149</v>
      </c>
      <c r="D63" s="712" t="s">
        <v>1076</v>
      </c>
      <c r="E63" s="673" t="e">
        <f>HLOOKUP($D$2,'2020 Data(H)'!$C$1:$AR$426,129,FALSE)</f>
        <v>#N/A</v>
      </c>
      <c r="F63" s="296">
        <v>0</v>
      </c>
      <c r="G63" s="734">
        <f t="shared" ref="G63:G69" si="1">IF(F63&lt;0,"Error: Enter as positive.",)</f>
        <v>0</v>
      </c>
      <c r="H63" s="17"/>
      <c r="I63" s="735"/>
      <c r="J63" s="579"/>
      <c r="L63" s="708"/>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08">
        <v>4</v>
      </c>
      <c r="B64" s="818" t="s">
        <v>55</v>
      </c>
      <c r="C64" s="818" t="s">
        <v>149</v>
      </c>
      <c r="D64" s="308" t="s">
        <v>1077</v>
      </c>
      <c r="E64" s="673" t="e">
        <f>HLOOKUP($D$2,'2020 Data(H)'!$C$1:$AR$426,3,FALSE)</f>
        <v>#N/A</v>
      </c>
      <c r="F64" s="296">
        <v>0</v>
      </c>
      <c r="G64" s="734">
        <f t="shared" si="1"/>
        <v>0</v>
      </c>
      <c r="H64" s="17"/>
      <c r="I64" s="79"/>
      <c r="J64" s="579"/>
      <c r="L64" s="708"/>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08">
        <v>5</v>
      </c>
      <c r="B65" s="818" t="s">
        <v>55</v>
      </c>
      <c r="C65" s="818" t="s">
        <v>149</v>
      </c>
      <c r="D65" s="337" t="s">
        <v>1078</v>
      </c>
      <c r="E65" s="673" t="e">
        <f>HLOOKUP($D$2,'2020 Data(H)'!$C$1:$AR$426,4,FALSE)</f>
        <v>#N/A</v>
      </c>
      <c r="F65" s="296">
        <v>0</v>
      </c>
      <c r="G65" s="734">
        <f t="shared" si="1"/>
        <v>0</v>
      </c>
      <c r="H65" s="17"/>
      <c r="I65" s="79"/>
      <c r="J65" s="579"/>
      <c r="L65" s="708"/>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08">
        <v>380</v>
      </c>
      <c r="B66" s="818" t="s">
        <v>60</v>
      </c>
      <c r="C66" s="818" t="s">
        <v>149</v>
      </c>
      <c r="D66" s="337" t="s">
        <v>1079</v>
      </c>
      <c r="E66" s="673" t="e">
        <f>HLOOKUP($D$2,'2020 Data(H)'!$C$1:$AR$426,139,FALSE)</f>
        <v>#N/A</v>
      </c>
      <c r="F66" s="296">
        <v>0</v>
      </c>
      <c r="G66" s="734">
        <f t="shared" si="1"/>
        <v>0</v>
      </c>
      <c r="H66" s="17"/>
      <c r="I66" s="79"/>
      <c r="J66" s="579"/>
      <c r="L66" s="708"/>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08">
        <v>391</v>
      </c>
      <c r="B67" s="818" t="s">
        <v>69</v>
      </c>
      <c r="C67" s="818" t="s">
        <v>149</v>
      </c>
      <c r="D67" s="107" t="s">
        <v>147</v>
      </c>
      <c r="E67" s="673" t="e">
        <f>HLOOKUP($D$2,'2020 Data(H)'!$C$1:$AR$426,149,FALSE)</f>
        <v>#N/A</v>
      </c>
      <c r="F67" s="296">
        <v>0</v>
      </c>
      <c r="G67" s="734">
        <f t="shared" si="1"/>
        <v>0</v>
      </c>
      <c r="H67" s="17"/>
      <c r="I67" s="79"/>
      <c r="J67" s="579"/>
      <c r="L67" s="708"/>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08">
        <v>7</v>
      </c>
      <c r="B68" s="818" t="s">
        <v>69</v>
      </c>
      <c r="C68" s="818" t="s">
        <v>149</v>
      </c>
      <c r="D68" s="107" t="s">
        <v>148</v>
      </c>
      <c r="E68" s="673" t="e">
        <f>HLOOKUP($D$2,'2020 Data(H)'!$C$1:$AR$426,6,FALSE)</f>
        <v>#N/A</v>
      </c>
      <c r="F68" s="296">
        <v>0</v>
      </c>
      <c r="G68" s="734">
        <f t="shared" si="1"/>
        <v>0</v>
      </c>
      <c r="H68" s="17"/>
      <c r="I68" s="79"/>
      <c r="J68" s="579"/>
      <c r="L68" s="708"/>
      <c r="Z68" s="108"/>
      <c r="AA68" s="108"/>
      <c r="AB68" s="108"/>
      <c r="AC68" s="108"/>
      <c r="AD68" s="108"/>
      <c r="AE68" s="108"/>
      <c r="AF68" s="108"/>
      <c r="AG68" s="108"/>
      <c r="AH68" s="108"/>
      <c r="AI68" s="108"/>
      <c r="AJ68" s="108"/>
      <c r="AK68" s="108"/>
      <c r="AL68" s="108"/>
      <c r="AM68" s="108"/>
      <c r="AN68" s="108"/>
      <c r="AO68" s="108"/>
      <c r="AP68" s="108"/>
      <c r="AQ68" s="108"/>
      <c r="AR68" s="108"/>
    </row>
    <row r="69" spans="1:44" ht="78.75" hidden="1" customHeight="1" thickBot="1" x14ac:dyDescent="0.35">
      <c r="A69" s="108">
        <v>11</v>
      </c>
      <c r="B69" s="818" t="s">
        <v>69</v>
      </c>
      <c r="C69" s="818" t="s">
        <v>149</v>
      </c>
      <c r="D69" s="712" t="s">
        <v>1080</v>
      </c>
      <c r="E69" s="673" t="e">
        <f>HLOOKUP($D$2,'2020 Data(H)'!$C$1:$AR$426,8,FALSE)</f>
        <v>#N/A</v>
      </c>
      <c r="F69" s="296">
        <v>0</v>
      </c>
      <c r="G69" s="734">
        <f t="shared" si="1"/>
        <v>0</v>
      </c>
      <c r="H69" s="17"/>
      <c r="I69" s="79"/>
      <c r="J69" s="579"/>
      <c r="L69" s="708"/>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309">
        <v>645</v>
      </c>
      <c r="B70" s="815" t="s">
        <v>405</v>
      </c>
      <c r="C70" s="815" t="s">
        <v>149</v>
      </c>
      <c r="D70" s="707" t="s">
        <v>437</v>
      </c>
      <c r="E70" s="673" t="e">
        <f>HLOOKUP($D$2,'2020 Data(H)'!$C$1:$AR$426,304,FALSE)</f>
        <v>#N/A</v>
      </c>
      <c r="F70" s="296">
        <v>0</v>
      </c>
      <c r="G70" s="734">
        <f>IF(F70&lt;0,"Note: Number is normally positive.",)</f>
        <v>0</v>
      </c>
      <c r="H70" s="735"/>
      <c r="I70" s="736"/>
      <c r="J70" s="579"/>
      <c r="L70" s="708"/>
      <c r="Z70" s="309"/>
      <c r="AA70" s="309"/>
      <c r="AB70" s="309"/>
      <c r="AC70" s="309"/>
      <c r="AD70" s="309"/>
      <c r="AE70" s="309"/>
      <c r="AF70" s="309"/>
      <c r="AG70" s="309"/>
      <c r="AH70" s="309"/>
      <c r="AI70" s="309"/>
      <c r="AJ70" s="309"/>
      <c r="AK70" s="309"/>
      <c r="AL70" s="309"/>
      <c r="AM70" s="309"/>
      <c r="AN70" s="309"/>
      <c r="AO70" s="309"/>
      <c r="AP70" s="309"/>
      <c r="AQ70" s="309"/>
      <c r="AR70" s="309"/>
    </row>
    <row r="71" spans="1:44" ht="78.75" customHeight="1" thickBot="1" x14ac:dyDescent="0.35">
      <c r="A71" s="309">
        <v>646</v>
      </c>
      <c r="B71" s="815" t="s">
        <v>405</v>
      </c>
      <c r="C71" s="815" t="s">
        <v>149</v>
      </c>
      <c r="D71" s="308" t="s">
        <v>406</v>
      </c>
      <c r="E71" s="673" t="e">
        <f>HLOOKUP($D$2,'2020 Data(H)'!$C$1:$AR$426,305,FALSE)</f>
        <v>#N/A</v>
      </c>
      <c r="F71" s="296">
        <v>0</v>
      </c>
      <c r="G71" s="734">
        <f>IF(F71&lt;0,"Note: Number is normally positive.",)</f>
        <v>0</v>
      </c>
      <c r="H71" s="735"/>
      <c r="I71" s="736"/>
      <c r="J71" s="579"/>
      <c r="L71" s="708"/>
      <c r="Z71" s="309"/>
      <c r="AA71" s="309"/>
      <c r="AB71" s="309"/>
      <c r="AC71" s="309"/>
      <c r="AD71" s="309"/>
      <c r="AE71" s="309"/>
      <c r="AF71" s="309"/>
      <c r="AG71" s="309"/>
      <c r="AH71" s="309"/>
      <c r="AI71" s="309"/>
      <c r="AJ71" s="309"/>
      <c r="AK71" s="309"/>
      <c r="AL71" s="309"/>
      <c r="AM71" s="309"/>
      <c r="AN71" s="309"/>
      <c r="AO71" s="309"/>
      <c r="AP71" s="309"/>
      <c r="AQ71" s="309"/>
      <c r="AR71" s="309"/>
    </row>
    <row r="72" spans="1:44" ht="57.75" customHeight="1" thickBot="1" x14ac:dyDescent="0.35">
      <c r="A72" s="108">
        <v>9</v>
      </c>
      <c r="B72" s="818" t="s">
        <v>60</v>
      </c>
      <c r="C72" s="818" t="s">
        <v>149</v>
      </c>
      <c r="D72" s="712" t="s">
        <v>1081</v>
      </c>
      <c r="E72" s="673" t="e">
        <f>HLOOKUP($D$2,'2020 Data(H)'!$C$1:$AR$426,7,FALSE)</f>
        <v>#N/A</v>
      </c>
      <c r="F72" s="296">
        <v>0</v>
      </c>
      <c r="G72" s="734">
        <f>IF(F62-F64-F65-F66-F72=0,,"Error: Total assets less total liabilities do not equal total fund balance. Account numbers 379-4-5-380-9= 0  The amount of the formula is in the cell to the right")</f>
        <v>0</v>
      </c>
      <c r="H72" s="737">
        <f>F62-F64-F65-F66-F72</f>
        <v>0</v>
      </c>
      <c r="I72" s="79"/>
      <c r="J72" s="579"/>
      <c r="L72" s="708"/>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hidden="1" customHeight="1" thickBot="1" x14ac:dyDescent="0.35">
      <c r="A73" s="108">
        <v>540</v>
      </c>
      <c r="B73" s="639" t="s">
        <v>59</v>
      </c>
      <c r="C73" s="639" t="s">
        <v>1082</v>
      </c>
      <c r="D73" s="107" t="s">
        <v>438</v>
      </c>
      <c r="E73" s="673" t="e">
        <f>HLOOKUP($D$2,'2020 Data(H)'!$C$1:$AR$426,190,FALSE)</f>
        <v>#N/A</v>
      </c>
      <c r="F73" s="296">
        <v>0</v>
      </c>
      <c r="G73" s="734"/>
      <c r="H73" s="735"/>
      <c r="I73" s="736"/>
      <c r="J73" s="579"/>
      <c r="L73" s="708"/>
      <c r="N73" s="297"/>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08"/>
      <c r="B74" s="845" t="s">
        <v>151</v>
      </c>
      <c r="C74" s="846"/>
      <c r="D74" s="850"/>
      <c r="E74" s="851"/>
      <c r="F74" s="852"/>
      <c r="G74" s="853"/>
      <c r="H74" s="17"/>
      <c r="I74" s="79"/>
      <c r="L74" s="708"/>
      <c r="Z74" s="108"/>
      <c r="AA74" s="108"/>
      <c r="AB74" s="108"/>
      <c r="AC74" s="108"/>
      <c r="AD74" s="108"/>
      <c r="AE74" s="108"/>
      <c r="AF74" s="108"/>
      <c r="AG74" s="108"/>
      <c r="AH74" s="108"/>
      <c r="AI74" s="108"/>
      <c r="AJ74" s="108"/>
      <c r="AK74" s="108"/>
      <c r="AL74" s="108"/>
      <c r="AM74" s="108"/>
      <c r="AN74" s="108"/>
      <c r="AO74" s="108"/>
      <c r="AP74" s="108"/>
      <c r="AQ74" s="108"/>
      <c r="AR74" s="108"/>
    </row>
    <row r="75" spans="1:44" ht="82.5" hidden="1" customHeight="1" thickBot="1" x14ac:dyDescent="0.35">
      <c r="A75" s="108">
        <v>984</v>
      </c>
      <c r="B75" s="718" t="s">
        <v>709</v>
      </c>
      <c r="C75" s="718" t="s">
        <v>1082</v>
      </c>
      <c r="D75" s="743" t="s">
        <v>1177</v>
      </c>
      <c r="E75" s="673" t="s">
        <v>710</v>
      </c>
      <c r="F75" s="296">
        <v>0</v>
      </c>
      <c r="G75" s="734"/>
      <c r="H75" s="17"/>
      <c r="I75" s="79"/>
      <c r="J75" s="579"/>
      <c r="L75" s="708"/>
      <c r="Z75" s="108"/>
      <c r="AA75" s="108"/>
      <c r="AB75" s="108"/>
      <c r="AC75" s="108"/>
      <c r="AD75" s="108"/>
      <c r="AE75" s="108"/>
      <c r="AF75" s="108"/>
      <c r="AG75" s="108"/>
      <c r="AH75" s="108"/>
      <c r="AI75" s="108"/>
      <c r="AJ75" s="108"/>
      <c r="AK75" s="108"/>
      <c r="AL75" s="108"/>
      <c r="AM75" s="108"/>
      <c r="AN75" s="108"/>
      <c r="AO75" s="108"/>
      <c r="AP75" s="108"/>
      <c r="AQ75" s="108"/>
      <c r="AR75" s="108"/>
    </row>
    <row r="76" spans="1:44" ht="69" hidden="1" customHeight="1" thickBot="1" x14ac:dyDescent="0.35">
      <c r="A76" s="108">
        <v>985</v>
      </c>
      <c r="B76" s="718" t="s">
        <v>709</v>
      </c>
      <c r="C76" s="718" t="s">
        <v>1082</v>
      </c>
      <c r="D76" s="743" t="s">
        <v>1178</v>
      </c>
      <c r="E76" s="673" t="s">
        <v>710</v>
      </c>
      <c r="F76" s="296">
        <v>0</v>
      </c>
      <c r="G76" s="734"/>
      <c r="H76" s="17"/>
      <c r="I76" s="79"/>
      <c r="J76" s="579"/>
      <c r="L76" s="708"/>
      <c r="Z76" s="108"/>
      <c r="AA76" s="108"/>
      <c r="AB76" s="108"/>
      <c r="AC76" s="108"/>
      <c r="AD76" s="108"/>
      <c r="AE76" s="108"/>
      <c r="AF76" s="108"/>
      <c r="AG76" s="108"/>
      <c r="AH76" s="108"/>
      <c r="AI76" s="108"/>
      <c r="AJ76" s="108"/>
      <c r="AK76" s="108"/>
      <c r="AL76" s="108"/>
      <c r="AM76" s="108"/>
      <c r="AN76" s="108"/>
      <c r="AO76" s="108"/>
      <c r="AP76" s="108"/>
      <c r="AQ76" s="108"/>
      <c r="AR76" s="108"/>
    </row>
    <row r="77" spans="1:44" ht="52.5" hidden="1" customHeight="1" thickBot="1" x14ac:dyDescent="0.35">
      <c r="A77" s="108">
        <v>369</v>
      </c>
      <c r="B77" s="597" t="s">
        <v>56</v>
      </c>
      <c r="C77" s="597" t="s">
        <v>152</v>
      </c>
      <c r="D77" s="712" t="s">
        <v>1083</v>
      </c>
      <c r="E77" s="673" t="e">
        <f>HLOOKUP($D$2,'2020 Data(H)'!$C$1:$AR$426,130,FALSE)</f>
        <v>#N/A</v>
      </c>
      <c r="F77" s="296">
        <v>0</v>
      </c>
      <c r="G77" s="734"/>
      <c r="H77" s="17"/>
      <c r="I77" s="79"/>
      <c r="J77" s="579"/>
      <c r="L77" s="708"/>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08">
        <v>16</v>
      </c>
      <c r="B78" s="597" t="s">
        <v>66</v>
      </c>
      <c r="C78" s="597" t="s">
        <v>152</v>
      </c>
      <c r="D78" s="107" t="s">
        <v>150</v>
      </c>
      <c r="E78" s="673" t="e">
        <f>HLOOKUP($D$2,'2020 Data(H)'!$C$1:$AR$426,12,FALSE)</f>
        <v>#N/A</v>
      </c>
      <c r="F78" s="296">
        <v>0</v>
      </c>
      <c r="G78" s="734"/>
      <c r="H78" s="17"/>
      <c r="I78" s="79"/>
      <c r="J78" s="579"/>
      <c r="L78" s="708"/>
      <c r="Z78" s="108"/>
      <c r="AA78" s="108"/>
      <c r="AB78" s="108"/>
      <c r="AC78" s="108"/>
      <c r="AD78" s="108"/>
      <c r="AE78" s="108"/>
      <c r="AF78" s="108"/>
      <c r="AG78" s="108"/>
      <c r="AH78" s="108"/>
      <c r="AI78" s="108"/>
      <c r="AJ78" s="108"/>
      <c r="AK78" s="108"/>
      <c r="AL78" s="108"/>
      <c r="AM78" s="108"/>
      <c r="AN78" s="108"/>
      <c r="AO78" s="108"/>
      <c r="AP78" s="108"/>
      <c r="AQ78" s="108"/>
      <c r="AR78" s="108"/>
    </row>
    <row r="79" spans="1:44" ht="65.25" hidden="1" customHeight="1" thickBot="1" x14ac:dyDescent="0.35">
      <c r="A79" s="108">
        <v>370</v>
      </c>
      <c r="B79" s="597" t="s">
        <v>56</v>
      </c>
      <c r="C79" s="597" t="s">
        <v>152</v>
      </c>
      <c r="D79" s="712" t="s">
        <v>1084</v>
      </c>
      <c r="E79" s="673" t="e">
        <f>HLOOKUP($D$2,'2020 Data(H)'!$C$1:$AR$426,131,FALSE)</f>
        <v>#N/A</v>
      </c>
      <c r="F79" s="296">
        <v>0</v>
      </c>
      <c r="G79" s="734">
        <f>IF(F79&lt;0,"Error: Enter as positive.",)</f>
        <v>0</v>
      </c>
      <c r="H79" s="17"/>
      <c r="I79" s="79"/>
      <c r="J79" s="579"/>
      <c r="L79" s="708"/>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08">
        <v>532</v>
      </c>
      <c r="B80" s="597" t="s">
        <v>55</v>
      </c>
      <c r="C80" s="597" t="s">
        <v>152</v>
      </c>
      <c r="D80" s="697" t="s">
        <v>1085</v>
      </c>
      <c r="E80" s="673" t="e">
        <f>HLOOKUP($D$2,'2020 Data(H)'!$C$1:$AR$426,182,FALSE)</f>
        <v>#N/A</v>
      </c>
      <c r="F80" s="296">
        <v>0</v>
      </c>
      <c r="G80" s="734">
        <f>IF(F80&lt;0,"Error: Enter as positive.",)</f>
        <v>0</v>
      </c>
      <c r="H80" s="17"/>
      <c r="I80" s="79"/>
      <c r="J80" s="579"/>
      <c r="L80" s="708"/>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08">
        <v>17</v>
      </c>
      <c r="B81" s="597" t="s">
        <v>60</v>
      </c>
      <c r="C81" s="597" t="s">
        <v>152</v>
      </c>
      <c r="D81" s="107" t="s">
        <v>1086</v>
      </c>
      <c r="E81" s="673" t="e">
        <f>HLOOKUP($D$2,'2020 Data(H)'!$C$1:$AR$426,13,FALSE)</f>
        <v>#N/A</v>
      </c>
      <c r="F81" s="296">
        <v>0</v>
      </c>
      <c r="G81" s="734"/>
      <c r="H81" s="17"/>
      <c r="I81" s="79"/>
      <c r="L81" s="708"/>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08">
        <v>20</v>
      </c>
      <c r="B82" s="597" t="s">
        <v>55</v>
      </c>
      <c r="C82" s="597" t="s">
        <v>152</v>
      </c>
      <c r="D82" s="107" t="s">
        <v>1087</v>
      </c>
      <c r="E82" s="673" t="e">
        <f>HLOOKUP($D$2,'2020 Data(H)'!$C$1:$AR$426,15,FALSE)</f>
        <v>#N/A</v>
      </c>
      <c r="F82" s="296">
        <v>0</v>
      </c>
      <c r="G82" s="734">
        <f>IF(F82&lt;0,"Error: Enter as positive.",)</f>
        <v>0</v>
      </c>
      <c r="H82" s="17"/>
      <c r="I82" s="79"/>
      <c r="L82" s="708"/>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08">
        <v>533</v>
      </c>
      <c r="B83" s="597" t="s">
        <v>55</v>
      </c>
      <c r="C83" s="597" t="s">
        <v>152</v>
      </c>
      <c r="D83" s="697" t="s">
        <v>1088</v>
      </c>
      <c r="E83" s="673" t="e">
        <f>HLOOKUP($D$2,'2020 Data(H)'!$C$1:$AR$426,183,FALSE)</f>
        <v>#N/A</v>
      </c>
      <c r="F83" s="296">
        <v>0</v>
      </c>
      <c r="G83" s="744"/>
      <c r="H83" s="17"/>
      <c r="I83" s="79"/>
      <c r="L83" s="708"/>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hidden="1" customHeight="1" thickBot="1" x14ac:dyDescent="0.35">
      <c r="A84" s="108">
        <v>508</v>
      </c>
      <c r="B84" s="597" t="s">
        <v>55</v>
      </c>
      <c r="C84" s="597" t="s">
        <v>152</v>
      </c>
      <c r="D84" s="107" t="s">
        <v>310</v>
      </c>
      <c r="E84" s="673" t="e">
        <f>HLOOKUP($D$2,'2020 Data(H)'!$C$1:$AR$426,158,FALSE)</f>
        <v>#N/A</v>
      </c>
      <c r="F84" s="296">
        <v>0</v>
      </c>
      <c r="G84" s="734"/>
      <c r="H84" s="735"/>
      <c r="I84" s="736"/>
      <c r="L84" s="708"/>
      <c r="N84" s="297"/>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hidden="1" customHeight="1" thickBot="1" x14ac:dyDescent="0.35">
      <c r="A85" s="108">
        <v>509</v>
      </c>
      <c r="B85" s="597" t="s">
        <v>55</v>
      </c>
      <c r="C85" s="597" t="s">
        <v>152</v>
      </c>
      <c r="D85" s="107" t="s">
        <v>308</v>
      </c>
      <c r="E85" s="673" t="e">
        <f>HLOOKUP($D$2,'2020 Data(H)'!$C$1:$AR$426,159,FALSE)</f>
        <v>#N/A</v>
      </c>
      <c r="F85" s="296">
        <v>0</v>
      </c>
      <c r="G85" s="734">
        <f>IF(F85&lt;0,"Error: Enter as positive.",)</f>
        <v>0</v>
      </c>
      <c r="H85" s="735"/>
      <c r="I85" s="736"/>
      <c r="L85" s="708"/>
      <c r="N85" s="297"/>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08">
        <v>22</v>
      </c>
      <c r="B86" s="597" t="s">
        <v>60</v>
      </c>
      <c r="C86" s="597" t="s">
        <v>152</v>
      </c>
      <c r="D86" s="107" t="s">
        <v>309</v>
      </c>
      <c r="E86" s="673" t="e">
        <f>HLOOKUP($D$2,'2020 Data(H)'!$C$1:$AR$426,17,FALSE)</f>
        <v>#N/A</v>
      </c>
      <c r="F86" s="296">
        <v>0</v>
      </c>
      <c r="G86" s="744"/>
      <c r="H86" s="17"/>
      <c r="I86" s="79"/>
      <c r="J86" s="579"/>
      <c r="L86" s="708"/>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08">
        <v>23</v>
      </c>
      <c r="B87" s="597" t="s">
        <v>60</v>
      </c>
      <c r="C87" s="597" t="s">
        <v>152</v>
      </c>
      <c r="D87" s="712" t="s">
        <v>1089</v>
      </c>
      <c r="E87" s="673" t="e">
        <f>HLOOKUP($D$2,'2020 Data(H)'!$C$1:$AR$426,18,FALSE)</f>
        <v>#N/A</v>
      </c>
      <c r="F87" s="296">
        <v>0</v>
      </c>
      <c r="G87" s="734">
        <f>IF(H87=0,,"Error: Total revenues less total expenditures do not equal total change in fund balance.  Account numbers 16-532+17-20+533+22+508-509-23=0  The amount of the formula is located in the cell to the right")</f>
        <v>0</v>
      </c>
      <c r="H87" s="737">
        <f>+F78-F80+F81-F82+F83+F86+F84-F85-F87</f>
        <v>0</v>
      </c>
      <c r="I87" s="79"/>
      <c r="J87" s="579"/>
      <c r="L87" s="708"/>
      <c r="Z87" s="108"/>
      <c r="AA87" s="108"/>
      <c r="AB87" s="108"/>
      <c r="AC87" s="108"/>
      <c r="AD87" s="108"/>
      <c r="AE87" s="108"/>
      <c r="AF87" s="108"/>
      <c r="AG87" s="108"/>
      <c r="AH87" s="108"/>
      <c r="AI87" s="108"/>
      <c r="AJ87" s="108"/>
      <c r="AK87" s="108"/>
      <c r="AL87" s="108"/>
      <c r="AM87" s="108"/>
      <c r="AN87" s="108"/>
      <c r="AO87" s="108"/>
      <c r="AP87" s="108"/>
      <c r="AQ87" s="108"/>
      <c r="AR87" s="108"/>
    </row>
    <row r="88" spans="1:44" ht="194.25" hidden="1" customHeight="1" thickBot="1" x14ac:dyDescent="0.35">
      <c r="A88" s="108">
        <v>590</v>
      </c>
      <c r="B88" s="597" t="s">
        <v>344</v>
      </c>
      <c r="C88" s="597"/>
      <c r="D88" s="712" t="s">
        <v>1199</v>
      </c>
      <c r="E88" s="911"/>
      <c r="F88" s="296"/>
      <c r="G88" s="296"/>
      <c r="H88" s="737"/>
      <c r="I88" s="79"/>
      <c r="K88" s="745"/>
      <c r="L88" s="708"/>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08">
        <v>507</v>
      </c>
      <c r="B89" s="597" t="s">
        <v>60</v>
      </c>
      <c r="C89" s="597" t="s">
        <v>152</v>
      </c>
      <c r="D89" s="712" t="s">
        <v>1090</v>
      </c>
      <c r="E89" s="673" t="e">
        <f>HLOOKUP($D$2,'2020 Data(H)'!$C$1:$AR$426,157,FALSE)</f>
        <v>#N/A</v>
      </c>
      <c r="F89" s="296">
        <v>0</v>
      </c>
      <c r="G89" s="734" t="e">
        <f>IF(F72-F87-F89=E72,,"Error: Beginning Balance does not agree with our records.  (Acct# 9-23-507)= Prior Years Acct # 9 The amount of the formula is in the cell to the right")</f>
        <v>#N/A</v>
      </c>
      <c r="H89" s="737" t="e">
        <f>+F72-F87-F89-E72</f>
        <v>#N/A</v>
      </c>
      <c r="I89" s="1112" t="s">
        <v>1578</v>
      </c>
      <c r="L89" s="708"/>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19" t="s">
        <v>903</v>
      </c>
      <c r="C90" s="819" t="s">
        <v>904</v>
      </c>
      <c r="D90" s="712" t="s">
        <v>905</v>
      </c>
      <c r="E90" s="673" t="e">
        <f>HLOOKUP($D$2,'2020 Data(H)'!$C$1:$AR$426,67,FALSE)</f>
        <v>#N/A</v>
      </c>
      <c r="F90" s="296">
        <v>0</v>
      </c>
      <c r="G90" s="734"/>
      <c r="H90" s="737"/>
      <c r="I90" s="79"/>
      <c r="L90" s="708"/>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19" t="s">
        <v>903</v>
      </c>
      <c r="C91" s="819" t="s">
        <v>904</v>
      </c>
      <c r="D91" s="712" t="s">
        <v>906</v>
      </c>
      <c r="E91" s="673" t="e">
        <f>HLOOKUP($D$2,'2020 Data(H)'!$C$1:$AR$426,235,FALSE)</f>
        <v>#N/A</v>
      </c>
      <c r="F91" s="296">
        <v>0</v>
      </c>
      <c r="G91" s="734"/>
      <c r="H91" s="737"/>
      <c r="I91" s="79"/>
      <c r="L91" s="708"/>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19" t="s">
        <v>903</v>
      </c>
      <c r="C92" s="819" t="s">
        <v>904</v>
      </c>
      <c r="D92" s="712" t="s">
        <v>907</v>
      </c>
      <c r="E92" s="673" t="e">
        <f>HLOOKUP($D$2,'2020 Data(H)'!$C$1:$AR$426,196,FALSE)</f>
        <v>#N/A</v>
      </c>
      <c r="F92" s="296">
        <v>0</v>
      </c>
      <c r="G92" s="734"/>
      <c r="H92" s="737"/>
      <c r="I92" s="79"/>
      <c r="L92" s="708"/>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19" t="s">
        <v>903</v>
      </c>
      <c r="C93" s="819" t="s">
        <v>904</v>
      </c>
      <c r="D93" s="712" t="s">
        <v>908</v>
      </c>
      <c r="E93" s="673" t="e">
        <f>HLOOKUP($D$2,'2020 Data(H)'!$C$1:$AR$426,359,FALSE)</f>
        <v>#N/A</v>
      </c>
      <c r="F93" s="296">
        <v>0</v>
      </c>
      <c r="G93" s="734"/>
      <c r="H93" s="737"/>
      <c r="I93" s="79"/>
      <c r="L93" s="708"/>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563">
        <v>149</v>
      </c>
      <c r="B94" s="597" t="s">
        <v>903</v>
      </c>
      <c r="C94" s="597" t="s">
        <v>904</v>
      </c>
      <c r="D94" s="712" t="s">
        <v>983</v>
      </c>
      <c r="E94" s="673" t="e">
        <f>HLOOKUP($D$2,'2020 Data(H)'!$C$1:$AR$426,69,FALSE)</f>
        <v>#N/A</v>
      </c>
      <c r="F94" s="296">
        <v>0</v>
      </c>
      <c r="G94" s="734"/>
      <c r="H94" s="737"/>
      <c r="I94" s="79"/>
      <c r="L94" s="708"/>
      <c r="Z94" s="563"/>
      <c r="AA94" s="563"/>
      <c r="AB94" s="563"/>
      <c r="AC94" s="563"/>
      <c r="AD94" s="563"/>
      <c r="AE94" s="563"/>
      <c r="AF94" s="563"/>
      <c r="AG94" s="563"/>
      <c r="AH94" s="563"/>
      <c r="AI94" s="563"/>
      <c r="AJ94" s="563"/>
      <c r="AK94" s="563"/>
      <c r="AL94" s="563"/>
      <c r="AM94" s="563"/>
      <c r="AN94" s="563"/>
      <c r="AO94" s="563"/>
      <c r="AP94" s="563"/>
      <c r="AQ94" s="563"/>
      <c r="AR94" s="563"/>
    </row>
    <row r="95" spans="1:44" ht="115.5" hidden="1" customHeight="1" thickBot="1" x14ac:dyDescent="0.35">
      <c r="A95" s="108">
        <v>150</v>
      </c>
      <c r="B95" s="597" t="s">
        <v>903</v>
      </c>
      <c r="C95" s="597" t="s">
        <v>904</v>
      </c>
      <c r="D95" s="712" t="s">
        <v>984</v>
      </c>
      <c r="E95" s="673" t="e">
        <f>HLOOKUP($D$2,'2020 Data(H)'!$C$1:$AR$426,70,FALSE)</f>
        <v>#N/A</v>
      </c>
      <c r="F95" s="296">
        <v>0</v>
      </c>
      <c r="G95" s="734"/>
      <c r="H95" s="737"/>
      <c r="I95" s="79"/>
      <c r="L95" s="708"/>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39" t="s">
        <v>985</v>
      </c>
      <c r="C96" s="639" t="s">
        <v>986</v>
      </c>
      <c r="D96" s="712" t="s">
        <v>1091</v>
      </c>
      <c r="E96" s="673" t="e">
        <f>HLOOKUP($D$2,'2020 Data(H)'!$C$1:$AR$426,237,FALSE)</f>
        <v>#N/A</v>
      </c>
      <c r="F96" s="296">
        <v>0</v>
      </c>
      <c r="G96" s="734"/>
      <c r="H96" s="737"/>
      <c r="I96" s="79"/>
      <c r="L96" s="708"/>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39" t="s">
        <v>985</v>
      </c>
      <c r="C97" s="639" t="s">
        <v>986</v>
      </c>
      <c r="D97" s="712" t="s">
        <v>1092</v>
      </c>
      <c r="E97" s="673" t="e">
        <f>HLOOKUP($D$2,'2020 Data(H)'!$C$1:$AR$426,238,FALSE)</f>
        <v>#N/A</v>
      </c>
      <c r="F97" s="296">
        <v>0</v>
      </c>
      <c r="G97" s="734"/>
      <c r="H97" s="737"/>
      <c r="I97" s="79"/>
      <c r="L97" s="708"/>
      <c r="Z97" s="108"/>
      <c r="AA97" s="108"/>
      <c r="AB97" s="108"/>
      <c r="AC97" s="108"/>
      <c r="AD97" s="108"/>
      <c r="AE97" s="108"/>
      <c r="AF97" s="108"/>
      <c r="AG97" s="108"/>
      <c r="AH97" s="108"/>
      <c r="AI97" s="108"/>
      <c r="AJ97" s="108"/>
      <c r="AK97" s="108"/>
      <c r="AL97" s="108"/>
      <c r="AM97" s="108"/>
      <c r="AN97" s="108"/>
      <c r="AO97" s="108"/>
      <c r="AP97" s="108"/>
      <c r="AQ97" s="108"/>
      <c r="AR97" s="108"/>
    </row>
    <row r="98" spans="1:44" ht="82.5" hidden="1" customHeight="1" thickBot="1" x14ac:dyDescent="0.35">
      <c r="A98" s="309">
        <v>647</v>
      </c>
      <c r="B98" s="815" t="s">
        <v>405</v>
      </c>
      <c r="C98" s="814" t="s">
        <v>407</v>
      </c>
      <c r="D98" s="308" t="s">
        <v>408</v>
      </c>
      <c r="E98" s="673" t="e">
        <f>HLOOKUP($D$2,'2020 Data(H)'!$C$1:$AR$426,306,FALSE)</f>
        <v>#N/A</v>
      </c>
      <c r="F98" s="296">
        <v>0</v>
      </c>
      <c r="G98" s="734">
        <f>IF(F98&lt;0,"Error: Enter as positive.",)</f>
        <v>0</v>
      </c>
      <c r="H98" s="746"/>
      <c r="I98" s="79"/>
      <c r="L98" s="708"/>
      <c r="Z98" s="309"/>
      <c r="AA98" s="309"/>
      <c r="AB98" s="309"/>
      <c r="AC98" s="309"/>
      <c r="AD98" s="309"/>
      <c r="AE98" s="309"/>
      <c r="AF98" s="309"/>
      <c r="AG98" s="309"/>
      <c r="AH98" s="309"/>
      <c r="AI98" s="309"/>
      <c r="AJ98" s="309"/>
      <c r="AK98" s="309"/>
      <c r="AL98" s="309"/>
      <c r="AM98" s="309"/>
      <c r="AN98" s="309"/>
      <c r="AO98" s="309"/>
      <c r="AP98" s="309"/>
      <c r="AQ98" s="309"/>
      <c r="AR98" s="309"/>
    </row>
    <row r="99" spans="1:44" ht="25.5" hidden="1" customHeight="1" thickBot="1" x14ac:dyDescent="0.35">
      <c r="A99" s="108"/>
      <c r="B99" s="845" t="s">
        <v>11</v>
      </c>
      <c r="C99" s="846"/>
      <c r="D99" s="847"/>
      <c r="E99" s="843"/>
      <c r="F99" s="848"/>
      <c r="G99" s="849"/>
      <c r="H99" s="17"/>
      <c r="I99" s="79"/>
      <c r="L99" s="708"/>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597" t="s">
        <v>911</v>
      </c>
      <c r="C100" s="639" t="s">
        <v>909</v>
      </c>
      <c r="D100" s="639" t="s">
        <v>910</v>
      </c>
      <c r="E100" s="673" t="e">
        <f>HLOOKUP($D$2,'2020 Data(H)'!$C$1:$AR$426,68,FALSE)</f>
        <v>#N/A</v>
      </c>
      <c r="F100" s="296">
        <v>0</v>
      </c>
      <c r="G100" s="747"/>
      <c r="H100" s="17"/>
      <c r="I100" s="79"/>
      <c r="L100" s="708"/>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hidden="1" customHeight="1" thickBot="1" x14ac:dyDescent="0.35">
      <c r="A101" s="108">
        <v>171</v>
      </c>
      <c r="B101" s="597" t="s">
        <v>313</v>
      </c>
      <c r="C101" s="597" t="s">
        <v>312</v>
      </c>
      <c r="D101" s="674" t="s">
        <v>1093</v>
      </c>
      <c r="E101" s="673" t="e">
        <f>HLOOKUP($D$2,'2020 Data(H)'!$C$1:$AR$426,71,FALSE)</f>
        <v>#N/A</v>
      </c>
      <c r="F101" s="274">
        <v>0</v>
      </c>
      <c r="G101" s="734">
        <f>IF(F101&lt;0,"Error: Enter as positive.",)</f>
        <v>0</v>
      </c>
      <c r="H101" s="17"/>
      <c r="I101" s="79"/>
      <c r="J101" s="579"/>
      <c r="L101" s="708"/>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hidden="1" customHeight="1" thickBot="1" x14ac:dyDescent="0.35">
      <c r="A102" s="108"/>
      <c r="B102" s="844" t="s">
        <v>973</v>
      </c>
      <c r="C102" s="843"/>
      <c r="D102" s="843"/>
      <c r="E102" s="843"/>
      <c r="F102" s="843"/>
      <c r="G102" s="843"/>
      <c r="H102" s="17"/>
      <c r="I102" s="79"/>
      <c r="J102" s="579"/>
      <c r="L102" s="708"/>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820" t="s">
        <v>405</v>
      </c>
      <c r="C103" s="337" t="s">
        <v>989</v>
      </c>
      <c r="D103" s="672" t="s">
        <v>1012</v>
      </c>
      <c r="E103" s="673" t="e">
        <f>HLOOKUP($D$2,'2020 Data(H)'!$C$1:$AR$426,24,FALSE)</f>
        <v>#N/A</v>
      </c>
      <c r="F103" s="296">
        <v>0</v>
      </c>
      <c r="G103" s="821"/>
      <c r="H103" s="17"/>
      <c r="I103" s="79"/>
      <c r="J103" s="579"/>
      <c r="L103" s="708"/>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5">
      <c r="A104" s="108">
        <v>534</v>
      </c>
      <c r="B104" s="820" t="s">
        <v>405</v>
      </c>
      <c r="C104" s="337" t="s">
        <v>989</v>
      </c>
      <c r="D104" s="712" t="s">
        <v>1013</v>
      </c>
      <c r="E104" s="673" t="e">
        <f>HLOOKUP($D$2,'2020 Data(H)'!$C$1:$AR$426,184,FALSE)</f>
        <v>#N/A</v>
      </c>
      <c r="F104" s="296">
        <v>0</v>
      </c>
      <c r="G104" s="821"/>
      <c r="H104" s="17"/>
      <c r="I104" s="79"/>
      <c r="J104" s="579"/>
      <c r="L104" s="708"/>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hidden="1" customHeight="1" thickBot="1" x14ac:dyDescent="0.35">
      <c r="A105" s="604">
        <v>13</v>
      </c>
      <c r="B105" s="820" t="s">
        <v>344</v>
      </c>
      <c r="C105" s="823" t="s">
        <v>974</v>
      </c>
      <c r="D105" s="823" t="s">
        <v>1179</v>
      </c>
      <c r="E105" s="673" t="e">
        <f>HLOOKUP($D$2,'2020 Data(H)'!$C$1:$AR$426,10,FALSE)</f>
        <v>#N/A</v>
      </c>
      <c r="F105" s="296">
        <v>0</v>
      </c>
      <c r="G105" s="734"/>
      <c r="H105" s="17"/>
      <c r="I105" s="79"/>
      <c r="J105" s="579"/>
      <c r="L105" s="708"/>
      <c r="Z105" s="822"/>
      <c r="AA105" s="822"/>
      <c r="AB105" s="822"/>
      <c r="AC105" s="822"/>
      <c r="AD105" s="822"/>
      <c r="AE105" s="822"/>
      <c r="AF105" s="822"/>
      <c r="AG105" s="822"/>
      <c r="AH105" s="822"/>
      <c r="AI105" s="822"/>
      <c r="AJ105" s="822"/>
      <c r="AK105" s="822"/>
      <c r="AL105" s="822"/>
      <c r="AM105" s="822"/>
      <c r="AN105" s="822"/>
      <c r="AO105" s="822"/>
      <c r="AP105" s="822"/>
      <c r="AQ105" s="822"/>
      <c r="AR105" s="822"/>
    </row>
    <row r="106" spans="1:44" ht="191.25" hidden="1" customHeight="1" thickBot="1" x14ac:dyDescent="0.35">
      <c r="A106" s="604">
        <v>14</v>
      </c>
      <c r="B106" s="820" t="s">
        <v>344</v>
      </c>
      <c r="C106" s="823" t="s">
        <v>974</v>
      </c>
      <c r="D106" s="823" t="s">
        <v>976</v>
      </c>
      <c r="E106" s="673" t="e">
        <f>HLOOKUP($D$2,'2020 Data(H)'!$C$1:$AR$426,11,FALSE)</f>
        <v>#N/A</v>
      </c>
      <c r="F106" s="296">
        <v>0</v>
      </c>
      <c r="G106" s="734"/>
      <c r="H106" s="17"/>
      <c r="I106" s="79"/>
      <c r="J106" s="579"/>
      <c r="L106" s="708"/>
      <c r="Z106" s="822"/>
      <c r="AA106" s="822"/>
      <c r="AB106" s="822"/>
      <c r="AC106" s="822"/>
      <c r="AD106" s="822"/>
      <c r="AE106" s="822"/>
      <c r="AF106" s="822"/>
      <c r="AG106" s="822"/>
      <c r="AH106" s="822"/>
      <c r="AI106" s="822"/>
      <c r="AJ106" s="822"/>
      <c r="AK106" s="822"/>
      <c r="AL106" s="822"/>
      <c r="AM106" s="822"/>
      <c r="AN106" s="822"/>
      <c r="AO106" s="822"/>
      <c r="AP106" s="822"/>
      <c r="AQ106" s="822"/>
      <c r="AR106" s="822"/>
    </row>
    <row r="107" spans="1:44" ht="129.75" hidden="1" customHeight="1" thickBot="1" x14ac:dyDescent="0.35">
      <c r="A107" s="604">
        <v>571</v>
      </c>
      <c r="B107" s="820" t="s">
        <v>344</v>
      </c>
      <c r="C107" s="824" t="s">
        <v>1014</v>
      </c>
      <c r="D107" s="824" t="s">
        <v>1015</v>
      </c>
      <c r="E107" s="673" t="e">
        <f>HLOOKUP($D$2,'2020 Data(H)'!$C$1:$AR$426,221,FALSE)</f>
        <v>#N/A</v>
      </c>
      <c r="F107" s="296">
        <v>0</v>
      </c>
      <c r="G107" s="734"/>
      <c r="H107" s="17"/>
      <c r="I107" s="79"/>
      <c r="J107" s="579"/>
      <c r="L107" s="708"/>
      <c r="Z107" s="822"/>
      <c r="AA107" s="822"/>
      <c r="AB107" s="822"/>
      <c r="AC107" s="822"/>
      <c r="AD107" s="822"/>
      <c r="AE107" s="822"/>
      <c r="AF107" s="822"/>
      <c r="AG107" s="822"/>
      <c r="AH107" s="822"/>
      <c r="AI107" s="822"/>
      <c r="AJ107" s="822"/>
      <c r="AK107" s="822"/>
      <c r="AL107" s="822"/>
      <c r="AM107" s="822"/>
      <c r="AN107" s="822"/>
      <c r="AO107" s="822"/>
      <c r="AP107" s="822"/>
      <c r="AQ107" s="822"/>
      <c r="AR107" s="822"/>
    </row>
    <row r="108" spans="1:44" ht="128.25" hidden="1" customHeight="1" thickBot="1" x14ac:dyDescent="0.35">
      <c r="A108" s="604">
        <v>572</v>
      </c>
      <c r="B108" s="820" t="s">
        <v>59</v>
      </c>
      <c r="C108" s="824" t="s">
        <v>1014</v>
      </c>
      <c r="D108" s="824" t="s">
        <v>1016</v>
      </c>
      <c r="E108" s="673" t="e">
        <f>HLOOKUP($D$2,'2020 Data(H)'!$C$1:$AR$426,222,FALSE)</f>
        <v>#N/A</v>
      </c>
      <c r="F108" s="296">
        <v>0</v>
      </c>
      <c r="G108" s="734"/>
      <c r="H108" s="17"/>
      <c r="I108" s="79"/>
      <c r="J108" s="579"/>
      <c r="L108" s="708"/>
      <c r="Z108" s="822"/>
      <c r="AA108" s="822"/>
      <c r="AB108" s="822"/>
      <c r="AC108" s="822"/>
      <c r="AD108" s="822"/>
      <c r="AE108" s="822"/>
      <c r="AF108" s="822"/>
      <c r="AG108" s="822"/>
      <c r="AH108" s="822"/>
      <c r="AI108" s="822"/>
      <c r="AJ108" s="822"/>
      <c r="AK108" s="822"/>
      <c r="AL108" s="822"/>
      <c r="AM108" s="822"/>
      <c r="AN108" s="822"/>
      <c r="AO108" s="822"/>
      <c r="AP108" s="822"/>
      <c r="AQ108" s="822"/>
      <c r="AR108" s="822"/>
    </row>
    <row r="109" spans="1:44" ht="120.75" hidden="1" customHeight="1" thickBot="1" x14ac:dyDescent="0.35">
      <c r="A109" s="604">
        <v>573</v>
      </c>
      <c r="B109" s="820" t="s">
        <v>344</v>
      </c>
      <c r="C109" s="824" t="s">
        <v>1014</v>
      </c>
      <c r="D109" s="824" t="s">
        <v>1174</v>
      </c>
      <c r="E109" s="673" t="e">
        <f>HLOOKUP($D$2,'2020 Data(H)'!$C$1:$AR$426,223,FALSE)</f>
        <v>#N/A</v>
      </c>
      <c r="F109" s="296">
        <v>0</v>
      </c>
      <c r="G109" s="734"/>
      <c r="H109" s="17"/>
      <c r="I109" s="79"/>
      <c r="J109" s="579"/>
      <c r="L109" s="708"/>
      <c r="Z109" s="822"/>
      <c r="AA109" s="822"/>
      <c r="AB109" s="822"/>
      <c r="AC109" s="822"/>
      <c r="AD109" s="822"/>
      <c r="AE109" s="822"/>
      <c r="AF109" s="822"/>
      <c r="AG109" s="822"/>
      <c r="AH109" s="822"/>
      <c r="AI109" s="822"/>
      <c r="AJ109" s="822"/>
      <c r="AK109" s="822"/>
      <c r="AL109" s="822"/>
      <c r="AM109" s="822"/>
      <c r="AN109" s="822"/>
      <c r="AO109" s="822"/>
      <c r="AP109" s="822"/>
      <c r="AQ109" s="822"/>
      <c r="AR109" s="822"/>
    </row>
    <row r="110" spans="1:44" ht="99.75" hidden="1" customHeight="1" thickBot="1" x14ac:dyDescent="0.35">
      <c r="A110" s="604">
        <v>34</v>
      </c>
      <c r="B110" s="820" t="s">
        <v>344</v>
      </c>
      <c r="C110" s="4" t="s">
        <v>989</v>
      </c>
      <c r="D110" s="663" t="s">
        <v>1169</v>
      </c>
      <c r="E110" s="673" t="e">
        <f>HLOOKUP($D$2,'2020 Data(H)'!$C$1:$AR$426,22,FALSE)</f>
        <v>#N/A</v>
      </c>
      <c r="F110" s="296">
        <v>0</v>
      </c>
      <c r="G110" s="734"/>
      <c r="H110" s="17"/>
      <c r="I110" s="79"/>
      <c r="J110" s="579"/>
      <c r="L110" s="708"/>
      <c r="Z110" s="822"/>
      <c r="AA110" s="822"/>
      <c r="AB110" s="822"/>
      <c r="AC110" s="822"/>
      <c r="AD110" s="822"/>
      <c r="AE110" s="822"/>
      <c r="AF110" s="822"/>
      <c r="AG110" s="822"/>
      <c r="AH110" s="822"/>
      <c r="AI110" s="822"/>
      <c r="AJ110" s="822"/>
      <c r="AK110" s="822"/>
      <c r="AL110" s="822"/>
      <c r="AM110" s="822"/>
      <c r="AN110" s="822"/>
      <c r="AO110" s="822"/>
      <c r="AP110" s="822"/>
      <c r="AQ110" s="822"/>
      <c r="AR110" s="822"/>
    </row>
    <row r="111" spans="1:44" ht="117" hidden="1" customHeight="1" thickBot="1" x14ac:dyDescent="0.35">
      <c r="A111" s="604">
        <v>35</v>
      </c>
      <c r="B111" s="820" t="s">
        <v>344</v>
      </c>
      <c r="C111" s="4" t="s">
        <v>989</v>
      </c>
      <c r="D111" s="663" t="s">
        <v>1181</v>
      </c>
      <c r="E111" s="673" t="e">
        <f>HLOOKUP($D$2,'2020 Data(H)'!$C$1:$AR$426,23,FALSE)</f>
        <v>#N/A</v>
      </c>
      <c r="F111" s="296">
        <v>0</v>
      </c>
      <c r="G111" s="734"/>
      <c r="H111" s="17"/>
      <c r="I111" s="79"/>
      <c r="J111" s="579"/>
      <c r="L111" s="708"/>
      <c r="Z111" s="822"/>
      <c r="AA111" s="822"/>
      <c r="AB111" s="822"/>
      <c r="AC111" s="822"/>
      <c r="AD111" s="822"/>
      <c r="AE111" s="822"/>
      <c r="AF111" s="822"/>
      <c r="AG111" s="822"/>
      <c r="AH111" s="822"/>
      <c r="AI111" s="822"/>
      <c r="AJ111" s="822"/>
      <c r="AK111" s="822"/>
      <c r="AL111" s="822"/>
      <c r="AM111" s="822"/>
      <c r="AN111" s="822"/>
      <c r="AO111" s="822"/>
      <c r="AP111" s="822"/>
      <c r="AQ111" s="822"/>
      <c r="AR111" s="822"/>
    </row>
    <row r="112" spans="1:44" ht="108.75" hidden="1" customHeight="1" thickBot="1" x14ac:dyDescent="0.35">
      <c r="A112" s="604">
        <v>37</v>
      </c>
      <c r="B112" s="820" t="s">
        <v>344</v>
      </c>
      <c r="C112" s="4" t="s">
        <v>989</v>
      </c>
      <c r="D112" s="663" t="s">
        <v>1094</v>
      </c>
      <c r="E112" s="673" t="e">
        <f>HLOOKUP($D$2,'2020 Data(H)'!$C$1:$AR$426,25,FALSE)</f>
        <v>#N/A</v>
      </c>
      <c r="F112" s="296">
        <v>0</v>
      </c>
      <c r="G112" s="734"/>
      <c r="H112" s="17"/>
      <c r="I112" s="79"/>
      <c r="J112" s="579"/>
      <c r="L112" s="708"/>
      <c r="Z112" s="822"/>
      <c r="AA112" s="822"/>
      <c r="AB112" s="822"/>
      <c r="AC112" s="822"/>
      <c r="AD112" s="822"/>
      <c r="AE112" s="822"/>
      <c r="AF112" s="822"/>
      <c r="AG112" s="822"/>
      <c r="AH112" s="822"/>
      <c r="AI112" s="822"/>
      <c r="AJ112" s="822"/>
      <c r="AK112" s="822"/>
      <c r="AL112" s="822"/>
      <c r="AM112" s="822"/>
      <c r="AN112" s="822"/>
      <c r="AO112" s="822"/>
      <c r="AP112" s="822"/>
      <c r="AQ112" s="822"/>
      <c r="AR112" s="822"/>
    </row>
    <row r="113" spans="1:44" ht="102.75" hidden="1" customHeight="1" thickBot="1" x14ac:dyDescent="0.35">
      <c r="A113" s="604">
        <v>38</v>
      </c>
      <c r="B113" s="820" t="s">
        <v>344</v>
      </c>
      <c r="C113" s="4" t="s">
        <v>989</v>
      </c>
      <c r="D113" s="663" t="s">
        <v>992</v>
      </c>
      <c r="E113" s="673" t="e">
        <f>HLOOKUP($D$2,'2020 Data(H)'!$C$1:$AR$426,26,FALSE)</f>
        <v>#N/A</v>
      </c>
      <c r="F113" s="296">
        <v>0</v>
      </c>
      <c r="G113" s="734"/>
      <c r="H113" s="17"/>
      <c r="I113" s="79"/>
      <c r="J113" s="579"/>
      <c r="L113" s="708"/>
      <c r="Z113" s="822"/>
      <c r="AA113" s="822"/>
      <c r="AB113" s="822"/>
      <c r="AC113" s="822"/>
      <c r="AD113" s="822"/>
      <c r="AE113" s="822"/>
      <c r="AF113" s="822"/>
      <c r="AG113" s="822"/>
      <c r="AH113" s="822"/>
      <c r="AI113" s="822"/>
      <c r="AJ113" s="822"/>
      <c r="AK113" s="822"/>
      <c r="AL113" s="822"/>
      <c r="AM113" s="822"/>
      <c r="AN113" s="822"/>
      <c r="AO113" s="822"/>
      <c r="AP113" s="822"/>
      <c r="AQ113" s="822"/>
      <c r="AR113" s="822"/>
    </row>
    <row r="114" spans="1:44" ht="117.75" hidden="1" customHeight="1" thickBot="1" x14ac:dyDescent="0.35">
      <c r="A114" s="604">
        <v>32</v>
      </c>
      <c r="B114" s="820" t="s">
        <v>405</v>
      </c>
      <c r="C114" s="823" t="s">
        <v>977</v>
      </c>
      <c r="D114" s="823" t="s">
        <v>978</v>
      </c>
      <c r="E114" s="673" t="e">
        <f>HLOOKUP($D$2,'2020 Data(H)'!$C$1:$AR$426,20,FALSE)</f>
        <v>#N/A</v>
      </c>
      <c r="F114" s="296">
        <v>0</v>
      </c>
      <c r="G114" s="734"/>
      <c r="H114" s="17"/>
      <c r="I114" s="79"/>
      <c r="J114" s="579"/>
      <c r="L114" s="708"/>
      <c r="Z114" s="822"/>
      <c r="AA114" s="822"/>
      <c r="AB114" s="822"/>
      <c r="AC114" s="822"/>
      <c r="AD114" s="822"/>
      <c r="AE114" s="822"/>
      <c r="AF114" s="822"/>
      <c r="AG114" s="822"/>
      <c r="AH114" s="822"/>
      <c r="AI114" s="822"/>
      <c r="AJ114" s="822"/>
      <c r="AK114" s="822"/>
      <c r="AL114" s="822"/>
      <c r="AM114" s="822"/>
      <c r="AN114" s="822"/>
      <c r="AO114" s="822"/>
      <c r="AP114" s="822"/>
      <c r="AQ114" s="822"/>
      <c r="AR114" s="822"/>
    </row>
    <row r="115" spans="1:44" ht="116.25" hidden="1" customHeight="1" thickBot="1" x14ac:dyDescent="0.35">
      <c r="A115" s="604">
        <v>40</v>
      </c>
      <c r="B115" s="820" t="s">
        <v>344</v>
      </c>
      <c r="C115" s="823" t="s">
        <v>993</v>
      </c>
      <c r="D115" s="663" t="s">
        <v>994</v>
      </c>
      <c r="E115" s="673" t="e">
        <f>HLOOKUP($D$2,'2020 Data(H)'!$C$1:$AR$426,28,FALSE)</f>
        <v>#N/A</v>
      </c>
      <c r="F115" s="296">
        <v>0</v>
      </c>
      <c r="G115" s="734"/>
      <c r="H115" s="17"/>
      <c r="I115" s="79"/>
      <c r="J115" s="579"/>
      <c r="L115" s="708"/>
      <c r="Z115" s="822"/>
      <c r="AA115" s="822"/>
      <c r="AB115" s="822"/>
      <c r="AC115" s="822"/>
      <c r="AD115" s="822"/>
      <c r="AE115" s="822"/>
      <c r="AF115" s="822"/>
      <c r="AG115" s="822"/>
      <c r="AH115" s="822"/>
      <c r="AI115" s="822"/>
      <c r="AJ115" s="822"/>
      <c r="AK115" s="822"/>
      <c r="AL115" s="822"/>
      <c r="AM115" s="822"/>
      <c r="AN115" s="822"/>
      <c r="AO115" s="822"/>
      <c r="AP115" s="822"/>
      <c r="AQ115" s="822"/>
      <c r="AR115" s="822"/>
    </row>
    <row r="116" spans="1:44" ht="104.25" hidden="1" customHeight="1" thickBot="1" x14ac:dyDescent="0.35">
      <c r="A116" s="604">
        <v>107</v>
      </c>
      <c r="B116" s="820" t="s">
        <v>344</v>
      </c>
      <c r="C116" s="823" t="s">
        <v>993</v>
      </c>
      <c r="D116" s="663" t="s">
        <v>995</v>
      </c>
      <c r="E116" s="673" t="e">
        <f>HLOOKUP($D$2,'2020 Data(H)'!$C$1:$AR$426,65,FALSE)</f>
        <v>#N/A</v>
      </c>
      <c r="F116" s="296">
        <v>0</v>
      </c>
      <c r="G116" s="734"/>
      <c r="H116" s="17"/>
      <c r="I116" s="79"/>
      <c r="J116" s="579"/>
      <c r="L116" s="708"/>
      <c r="Z116" s="822"/>
      <c r="AA116" s="822"/>
      <c r="AB116" s="822"/>
      <c r="AC116" s="822"/>
      <c r="AD116" s="822"/>
      <c r="AE116" s="822"/>
      <c r="AF116" s="822"/>
      <c r="AG116" s="822"/>
      <c r="AH116" s="822"/>
      <c r="AI116" s="822"/>
      <c r="AJ116" s="822"/>
      <c r="AK116" s="822"/>
      <c r="AL116" s="822"/>
      <c r="AM116" s="822"/>
      <c r="AN116" s="822"/>
      <c r="AO116" s="822"/>
      <c r="AP116" s="822"/>
      <c r="AQ116" s="822"/>
      <c r="AR116" s="822"/>
    </row>
    <row r="117" spans="1:44" ht="107.25" hidden="1" customHeight="1" thickBot="1" x14ac:dyDescent="0.35">
      <c r="A117" s="604">
        <v>108</v>
      </c>
      <c r="B117" s="820" t="s">
        <v>344</v>
      </c>
      <c r="C117" s="823" t="s">
        <v>993</v>
      </c>
      <c r="D117" s="663" t="s">
        <v>1095</v>
      </c>
      <c r="E117" s="673" t="e">
        <f>HLOOKUP($D$2,'2020 Data(H)'!$C$1:$AR$426,66,FALSE)</f>
        <v>#N/A</v>
      </c>
      <c r="F117" s="296">
        <v>0</v>
      </c>
      <c r="G117" s="734"/>
      <c r="H117" s="17"/>
      <c r="I117" s="79"/>
      <c r="J117" s="579"/>
      <c r="L117" s="708"/>
      <c r="Z117" s="822"/>
      <c r="AA117" s="822"/>
      <c r="AB117" s="822"/>
      <c r="AC117" s="822"/>
      <c r="AD117" s="822"/>
      <c r="AE117" s="822"/>
      <c r="AF117" s="822"/>
      <c r="AG117" s="822"/>
      <c r="AH117" s="822"/>
      <c r="AI117" s="822"/>
      <c r="AJ117" s="822"/>
      <c r="AK117" s="822"/>
      <c r="AL117" s="822"/>
      <c r="AM117" s="822"/>
      <c r="AN117" s="822"/>
      <c r="AO117" s="822"/>
      <c r="AP117" s="822"/>
      <c r="AQ117" s="822"/>
      <c r="AR117" s="822"/>
    </row>
    <row r="118" spans="1:44" ht="93" hidden="1" customHeight="1" thickBot="1" x14ac:dyDescent="0.35">
      <c r="A118" s="604">
        <v>41</v>
      </c>
      <c r="B118" s="820" t="s">
        <v>344</v>
      </c>
      <c r="C118" s="823" t="s">
        <v>993</v>
      </c>
      <c r="D118" s="663" t="s">
        <v>1096</v>
      </c>
      <c r="E118" s="673" t="e">
        <f>HLOOKUP($D$2,'2020 Data(H)'!$C$1:$AR$426,29,FALSE)</f>
        <v>#N/A</v>
      </c>
      <c r="F118" s="296">
        <v>0</v>
      </c>
      <c r="G118" s="734"/>
      <c r="H118" s="17"/>
      <c r="I118" s="79"/>
      <c r="J118" s="579"/>
      <c r="L118" s="708"/>
      <c r="Z118" s="822"/>
      <c r="AA118" s="822"/>
      <c r="AB118" s="822"/>
      <c r="AC118" s="822"/>
      <c r="AD118" s="822"/>
      <c r="AE118" s="822"/>
      <c r="AF118" s="822"/>
      <c r="AG118" s="822"/>
      <c r="AH118" s="822"/>
      <c r="AI118" s="822"/>
      <c r="AJ118" s="822"/>
      <c r="AK118" s="822"/>
      <c r="AL118" s="822"/>
      <c r="AM118" s="822"/>
      <c r="AN118" s="822"/>
      <c r="AO118" s="822"/>
      <c r="AP118" s="822"/>
      <c r="AQ118" s="822"/>
      <c r="AR118" s="822"/>
    </row>
    <row r="119" spans="1:44" ht="120.75" hidden="1" customHeight="1" thickBot="1" x14ac:dyDescent="0.35">
      <c r="A119" s="604">
        <v>194</v>
      </c>
      <c r="B119" s="820" t="s">
        <v>344</v>
      </c>
      <c r="C119" s="823" t="s">
        <v>993</v>
      </c>
      <c r="D119" s="663" t="s">
        <v>996</v>
      </c>
      <c r="E119" s="673" t="e">
        <f>HLOOKUP($D$2,'2020 Data(H)'!$C$1:$AR$426,75,FALSE)</f>
        <v>#N/A</v>
      </c>
      <c r="F119" s="296">
        <v>0</v>
      </c>
      <c r="G119" s="734"/>
      <c r="H119" s="17"/>
      <c r="I119" s="79"/>
      <c r="J119" s="579"/>
      <c r="L119" s="708"/>
      <c r="Z119" s="822"/>
      <c r="AA119" s="822"/>
      <c r="AB119" s="822"/>
      <c r="AC119" s="822"/>
      <c r="AD119" s="822"/>
      <c r="AE119" s="822"/>
      <c r="AF119" s="822"/>
      <c r="AG119" s="822"/>
      <c r="AH119" s="822"/>
      <c r="AI119" s="822"/>
      <c r="AJ119" s="822"/>
      <c r="AK119" s="822"/>
      <c r="AL119" s="822"/>
      <c r="AM119" s="822"/>
      <c r="AN119" s="822"/>
      <c r="AO119" s="822"/>
      <c r="AP119" s="822"/>
      <c r="AQ119" s="822"/>
      <c r="AR119" s="822"/>
    </row>
    <row r="120" spans="1:44" ht="123.75" hidden="1" customHeight="1" thickBot="1" x14ac:dyDescent="0.35">
      <c r="A120" s="604">
        <v>294</v>
      </c>
      <c r="B120" s="820" t="s">
        <v>344</v>
      </c>
      <c r="C120" s="823" t="s">
        <v>993</v>
      </c>
      <c r="D120" s="663" t="s">
        <v>997</v>
      </c>
      <c r="E120" s="673" t="e">
        <f>HLOOKUP($D$2,'2020 Data(H)'!$C$1:$AR$426,83,FALSE)</f>
        <v>#N/A</v>
      </c>
      <c r="F120" s="296">
        <v>0</v>
      </c>
      <c r="G120" s="734"/>
      <c r="H120" s="17"/>
      <c r="I120" s="79"/>
      <c r="J120" s="579"/>
      <c r="L120" s="708"/>
      <c r="Z120" s="822"/>
      <c r="AA120" s="822"/>
      <c r="AB120" s="822"/>
      <c r="AC120" s="822"/>
      <c r="AD120" s="822"/>
      <c r="AE120" s="822"/>
      <c r="AF120" s="822"/>
      <c r="AG120" s="822"/>
      <c r="AH120" s="822"/>
      <c r="AI120" s="822"/>
      <c r="AJ120" s="822"/>
      <c r="AK120" s="822"/>
      <c r="AL120" s="822"/>
      <c r="AM120" s="822"/>
      <c r="AN120" s="822"/>
      <c r="AO120" s="822"/>
      <c r="AP120" s="822"/>
      <c r="AQ120" s="822"/>
      <c r="AR120" s="822"/>
    </row>
    <row r="121" spans="1:44" hidden="1" x14ac:dyDescent="0.3">
      <c r="A121" s="803"/>
      <c r="E121" s="673"/>
      <c r="Z121" s="18"/>
    </row>
    <row r="122" spans="1:44" hidden="1" x14ac:dyDescent="0.3">
      <c r="A122" s="803"/>
      <c r="E122" s="673"/>
      <c r="Z122" s="18"/>
    </row>
    <row r="123" spans="1:44" ht="129.75" hidden="1" customHeight="1" thickBot="1" x14ac:dyDescent="0.35">
      <c r="A123" s="604">
        <v>31</v>
      </c>
      <c r="B123" s="820" t="s">
        <v>405</v>
      </c>
      <c r="C123" s="823" t="s">
        <v>977</v>
      </c>
      <c r="D123" s="823" t="s">
        <v>979</v>
      </c>
      <c r="E123" s="673" t="e">
        <f>HLOOKUP($D$2,'2020 Data(H)'!$C$1:$AR$426,19,FALSE)</f>
        <v>#N/A</v>
      </c>
      <c r="F123" s="296">
        <v>0</v>
      </c>
      <c r="G123" s="734"/>
      <c r="H123" s="17"/>
      <c r="I123" s="79"/>
      <c r="J123" s="579"/>
      <c r="L123" s="708"/>
      <c r="Z123" s="822"/>
      <c r="AA123" s="822"/>
      <c r="AB123" s="822"/>
      <c r="AC123" s="822"/>
      <c r="AD123" s="822"/>
      <c r="AE123" s="822"/>
      <c r="AF123" s="822"/>
      <c r="AG123" s="822"/>
      <c r="AH123" s="822"/>
      <c r="AI123" s="822"/>
      <c r="AJ123" s="822"/>
      <c r="AK123" s="822"/>
      <c r="AL123" s="822"/>
      <c r="AM123" s="822"/>
      <c r="AN123" s="822"/>
      <c r="AO123" s="822"/>
      <c r="AP123" s="822"/>
      <c r="AQ123" s="822"/>
      <c r="AR123" s="822"/>
    </row>
    <row r="124" spans="1:44" ht="94.5" hidden="1" customHeight="1" thickBot="1" x14ac:dyDescent="0.35">
      <c r="A124" s="604" t="s">
        <v>980</v>
      </c>
      <c r="B124" s="820" t="s">
        <v>405</v>
      </c>
      <c r="C124" s="823" t="s">
        <v>981</v>
      </c>
      <c r="D124" s="823" t="s">
        <v>297</v>
      </c>
      <c r="E124" s="673" t="e">
        <f>HLOOKUP($D$2,'2020 Data(H)'!$C$1:$AR$426,74,FALSE)</f>
        <v>#N/A</v>
      </c>
      <c r="F124" s="296">
        <v>0</v>
      </c>
      <c r="G124" s="734"/>
      <c r="H124" s="17"/>
      <c r="I124" s="79"/>
      <c r="J124" s="579"/>
      <c r="L124" s="708"/>
      <c r="Z124" s="822"/>
      <c r="AA124" s="822"/>
      <c r="AB124" s="822"/>
      <c r="AC124" s="822"/>
      <c r="AD124" s="822"/>
      <c r="AE124" s="822"/>
      <c r="AF124" s="822"/>
      <c r="AG124" s="822"/>
      <c r="AH124" s="822"/>
      <c r="AI124" s="822"/>
      <c r="AJ124" s="822"/>
      <c r="AK124" s="822"/>
      <c r="AL124" s="822"/>
      <c r="AM124" s="822"/>
      <c r="AN124" s="822"/>
      <c r="AO124" s="822"/>
      <c r="AP124" s="822"/>
      <c r="AQ124" s="822"/>
      <c r="AR124" s="822"/>
    </row>
    <row r="125" spans="1:44" ht="78" hidden="1" customHeight="1" thickBot="1" x14ac:dyDescent="0.35">
      <c r="A125" s="604" t="s">
        <v>982</v>
      </c>
      <c r="B125" s="820" t="s">
        <v>405</v>
      </c>
      <c r="C125" s="823" t="s">
        <v>981</v>
      </c>
      <c r="D125" s="823" t="s">
        <v>293</v>
      </c>
      <c r="E125" s="673" t="e">
        <f>HLOOKUP($D$2,'2020 Data(H)'!$C$1:$AR$426,21,FALSE)</f>
        <v>#N/A</v>
      </c>
      <c r="F125" s="296">
        <v>0</v>
      </c>
      <c r="G125" s="734"/>
      <c r="H125" s="17"/>
      <c r="I125" s="79"/>
      <c r="J125" s="579"/>
      <c r="L125" s="708"/>
      <c r="Z125" s="822"/>
      <c r="AA125" s="822"/>
      <c r="AB125" s="822"/>
      <c r="AC125" s="822"/>
      <c r="AD125" s="822"/>
      <c r="AE125" s="822"/>
      <c r="AF125" s="822"/>
      <c r="AG125" s="822"/>
      <c r="AH125" s="822"/>
      <c r="AI125" s="822"/>
      <c r="AJ125" s="822"/>
      <c r="AK125" s="822"/>
      <c r="AL125" s="822"/>
      <c r="AM125" s="822"/>
      <c r="AN125" s="822"/>
      <c r="AO125" s="822"/>
      <c r="AP125" s="822"/>
      <c r="AQ125" s="822"/>
      <c r="AR125" s="822"/>
    </row>
    <row r="126" spans="1:44" ht="55.5" hidden="1" customHeight="1" thickBot="1" x14ac:dyDescent="0.35">
      <c r="A126" s="604">
        <v>104</v>
      </c>
      <c r="B126" s="820" t="s">
        <v>405</v>
      </c>
      <c r="C126" s="4" t="s">
        <v>998</v>
      </c>
      <c r="D126" s="663" t="s">
        <v>999</v>
      </c>
      <c r="E126" s="673" t="e">
        <f>HLOOKUP($D$2,'2020 Data(H)'!$C$1:$AR$426,64,FALSE)</f>
        <v>#N/A</v>
      </c>
      <c r="F126" s="296">
        <v>0</v>
      </c>
      <c r="G126" s="734"/>
      <c r="H126" s="17"/>
      <c r="I126" s="79"/>
      <c r="J126" s="579"/>
      <c r="L126" s="708"/>
      <c r="Z126" s="822"/>
      <c r="AA126" s="822"/>
      <c r="AB126" s="822"/>
      <c r="AC126" s="822"/>
      <c r="AD126" s="822"/>
      <c r="AE126" s="822"/>
      <c r="AF126" s="822"/>
      <c r="AG126" s="822"/>
      <c r="AH126" s="822"/>
      <c r="AI126" s="822"/>
      <c r="AJ126" s="822"/>
      <c r="AK126" s="822"/>
      <c r="AL126" s="822"/>
      <c r="AM126" s="822"/>
      <c r="AN126" s="822"/>
      <c r="AO126" s="822"/>
      <c r="AP126" s="822"/>
      <c r="AQ126" s="822"/>
      <c r="AR126" s="822"/>
    </row>
    <row r="127" spans="1:44" ht="70.5" hidden="1" customHeight="1" thickBot="1" x14ac:dyDescent="0.35">
      <c r="A127" s="604">
        <v>39</v>
      </c>
      <c r="B127" s="820" t="s">
        <v>405</v>
      </c>
      <c r="C127" s="4" t="s">
        <v>998</v>
      </c>
      <c r="D127" s="24" t="s">
        <v>1000</v>
      </c>
      <c r="E127" s="673" t="e">
        <f>HLOOKUP($D$2,'2020 Data(H)'!$C$1:$AR$426,27,FALSE)</f>
        <v>#N/A</v>
      </c>
      <c r="F127" s="296">
        <v>0</v>
      </c>
      <c r="G127" s="734"/>
      <c r="H127" s="17"/>
      <c r="I127" s="79"/>
      <c r="J127" s="579"/>
      <c r="L127" s="708"/>
      <c r="Z127" s="822"/>
      <c r="AA127" s="822"/>
      <c r="AB127" s="822"/>
      <c r="AC127" s="822"/>
      <c r="AD127" s="822"/>
      <c r="AE127" s="822"/>
      <c r="AF127" s="822"/>
      <c r="AG127" s="822"/>
      <c r="AH127" s="822"/>
      <c r="AI127" s="822"/>
      <c r="AJ127" s="822"/>
      <c r="AK127" s="822"/>
      <c r="AL127" s="822"/>
      <c r="AM127" s="822"/>
      <c r="AN127" s="822"/>
      <c r="AO127" s="822"/>
      <c r="AP127" s="822"/>
      <c r="AQ127" s="822"/>
      <c r="AR127" s="822"/>
    </row>
    <row r="128" spans="1:44" ht="15" hidden="1" thickBot="1" x14ac:dyDescent="0.35">
      <c r="A128" s="108"/>
      <c r="B128" s="860" t="s">
        <v>1097</v>
      </c>
      <c r="C128" s="860"/>
      <c r="D128" s="844"/>
      <c r="E128" s="844"/>
      <c r="F128" s="864"/>
      <c r="G128" s="865"/>
      <c r="H128" s="17"/>
      <c r="I128" s="79"/>
      <c r="L128" s="708"/>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hidden="1" thickBot="1" x14ac:dyDescent="0.35">
      <c r="A129" s="108"/>
      <c r="B129" s="860" t="s">
        <v>24</v>
      </c>
      <c r="C129" s="860"/>
      <c r="D129" s="860"/>
      <c r="E129" s="842"/>
      <c r="F129" s="866"/>
      <c r="G129" s="867"/>
      <c r="H129" s="17"/>
      <c r="I129" s="79"/>
      <c r="L129" s="708"/>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hidden="1" thickBot="1" x14ac:dyDescent="0.35">
      <c r="A130" s="108"/>
      <c r="B130" s="860" t="s">
        <v>22</v>
      </c>
      <c r="C130" s="860"/>
      <c r="D130" s="860"/>
      <c r="E130" s="842"/>
      <c r="F130" s="866"/>
      <c r="G130" s="867"/>
      <c r="H130" s="748"/>
      <c r="I130" s="79"/>
      <c r="L130" s="708"/>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hidden="1" customHeight="1" thickBot="1" x14ac:dyDescent="0.35">
      <c r="A131" s="108">
        <v>596</v>
      </c>
      <c r="B131" s="675" t="s">
        <v>57</v>
      </c>
      <c r="C131" s="825"/>
      <c r="D131" s="672" t="s">
        <v>353</v>
      </c>
      <c r="E131" s="673" t="e">
        <f>HLOOKUP($D$2,'2020 Data(H)'!$C$1:$AR$426,255,FALSE)</f>
        <v>#N/A</v>
      </c>
      <c r="F131" s="296"/>
      <c r="G131" s="749"/>
      <c r="H131" s="748"/>
      <c r="I131" s="79"/>
      <c r="L131" s="708"/>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hidden="1" customHeight="1" thickBot="1" x14ac:dyDescent="0.35">
      <c r="A132" s="108">
        <v>80</v>
      </c>
      <c r="B132" s="4" t="s">
        <v>62</v>
      </c>
      <c r="C132" s="4" t="s">
        <v>1098</v>
      </c>
      <c r="D132" s="24" t="s">
        <v>1099</v>
      </c>
      <c r="E132" s="673" t="e">
        <f>HLOOKUP($D$2,'2020 Data(H)'!$C$1:$AR$426,44,FALSE)</f>
        <v>#N/A</v>
      </c>
      <c r="F132" s="274">
        <v>0</v>
      </c>
      <c r="G132" s="673" t="e">
        <f>HLOOKUP($D$2,'2020 Data(H)'!C1:U295,249,FALSE)</f>
        <v>#N/A</v>
      </c>
      <c r="H132" s="750"/>
      <c r="I132" s="79"/>
      <c r="L132" s="708"/>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hidden="1" customHeight="1" thickBot="1" x14ac:dyDescent="0.35">
      <c r="A133" s="108">
        <v>81</v>
      </c>
      <c r="B133" s="4" t="s">
        <v>62</v>
      </c>
      <c r="C133" s="4" t="s">
        <v>1098</v>
      </c>
      <c r="D133" s="24" t="s">
        <v>1100</v>
      </c>
      <c r="E133" s="673" t="e">
        <f>HLOOKUP($D$2,'2020 Data(H)'!$C$1:$AR$426,45,FALSE)</f>
        <v>#N/A</v>
      </c>
      <c r="F133" s="296">
        <v>0</v>
      </c>
      <c r="G133" s="744"/>
      <c r="H133" s="17"/>
      <c r="I133" s="79"/>
      <c r="L133" s="708"/>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hidden="1" customHeight="1" thickBot="1" x14ac:dyDescent="0.35">
      <c r="A134" s="108">
        <v>579</v>
      </c>
      <c r="B134" s="826" t="s">
        <v>332</v>
      </c>
      <c r="C134" s="675" t="s">
        <v>1098</v>
      </c>
      <c r="D134" s="827" t="s">
        <v>1101</v>
      </c>
      <c r="E134" s="673" t="e">
        <f>HLOOKUP($D$2,'2020 Data(H)'!$C$1:$AR$426,229,FALSE)</f>
        <v>#N/A</v>
      </c>
      <c r="F134" s="296">
        <v>0</v>
      </c>
      <c r="G134" s="734"/>
      <c r="H134" s="17"/>
      <c r="I134" s="735"/>
      <c r="L134" s="708"/>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hidden="1" customHeight="1" x14ac:dyDescent="0.3">
      <c r="A135" s="108">
        <v>510</v>
      </c>
      <c r="B135" s="4" t="s">
        <v>37</v>
      </c>
      <c r="C135" s="4" t="s">
        <v>1098</v>
      </c>
      <c r="D135" s="29" t="s">
        <v>306</v>
      </c>
      <c r="E135" s="673" t="e">
        <f>HLOOKUP($D$2,'2020 Data(H)'!$C$1:$AR$426,160,FALSE)</f>
        <v>#N/A</v>
      </c>
      <c r="F135" s="296">
        <v>0</v>
      </c>
      <c r="G135" s="744"/>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hidden="1" customHeight="1" x14ac:dyDescent="0.3">
      <c r="A136" s="309">
        <v>654</v>
      </c>
      <c r="B136" s="828" t="s">
        <v>37</v>
      </c>
      <c r="C136" s="828" t="s">
        <v>1098</v>
      </c>
      <c r="D136" s="340" t="s">
        <v>1102</v>
      </c>
      <c r="E136" s="673" t="e">
        <f>HLOOKUP($D$2,'2020 Data(H)'!$C$1:$AR$426,307,FALSE)</f>
        <v>#N/A</v>
      </c>
      <c r="F136" s="296">
        <v>0</v>
      </c>
      <c r="G136" s="734">
        <f>IF((F132+F133+F135)&gt;F136,"Error: Please review components of current assets above.  Account numbers (80+81+510)&gt;654",)</f>
        <v>0</v>
      </c>
      <c r="H136" s="17"/>
      <c r="I136" s="79"/>
      <c r="Z136" s="309"/>
      <c r="AA136" s="309"/>
      <c r="AB136" s="309"/>
      <c r="AC136" s="309"/>
      <c r="AD136" s="309"/>
      <c r="AE136" s="309"/>
      <c r="AF136" s="309"/>
      <c r="AG136" s="309"/>
      <c r="AH136" s="309"/>
      <c r="AI136" s="309"/>
      <c r="AJ136" s="309"/>
      <c r="AK136" s="309"/>
      <c r="AL136" s="309"/>
      <c r="AM136" s="309"/>
      <c r="AN136" s="309"/>
      <c r="AO136" s="309"/>
      <c r="AP136" s="309"/>
      <c r="AQ136" s="309"/>
      <c r="AR136" s="309"/>
    </row>
    <row r="137" spans="1:44" ht="75.75" hidden="1" customHeight="1" x14ac:dyDescent="0.3">
      <c r="A137" s="309">
        <v>655</v>
      </c>
      <c r="B137" s="828" t="s">
        <v>37</v>
      </c>
      <c r="C137" s="828" t="s">
        <v>1098</v>
      </c>
      <c r="D137" s="311" t="s">
        <v>518</v>
      </c>
      <c r="E137" s="673" t="e">
        <f>HLOOKUP($D$2,'2020 Data(H)'!$C$1:$AR$426,308,FALSE)</f>
        <v>#N/A</v>
      </c>
      <c r="F137" s="296">
        <v>0</v>
      </c>
      <c r="G137" s="734"/>
      <c r="H137" s="17"/>
      <c r="I137" s="79"/>
      <c r="Z137" s="309"/>
      <c r="AA137" s="309"/>
      <c r="AB137" s="309"/>
      <c r="AC137" s="309"/>
      <c r="AD137" s="309"/>
      <c r="AE137" s="309"/>
      <c r="AF137" s="309"/>
      <c r="AG137" s="309"/>
      <c r="AH137" s="309"/>
      <c r="AI137" s="309"/>
      <c r="AJ137" s="309"/>
      <c r="AK137" s="309"/>
      <c r="AL137" s="309"/>
      <c r="AM137" s="309"/>
      <c r="AN137" s="309"/>
      <c r="AO137" s="309"/>
      <c r="AP137" s="309"/>
      <c r="AQ137" s="309"/>
      <c r="AR137" s="309"/>
    </row>
    <row r="138" spans="1:44" ht="48" hidden="1" customHeight="1" x14ac:dyDescent="0.3">
      <c r="A138" s="108">
        <v>381</v>
      </c>
      <c r="B138" s="4" t="s">
        <v>37</v>
      </c>
      <c r="C138" s="4" t="s">
        <v>1098</v>
      </c>
      <c r="D138" s="106" t="s">
        <v>130</v>
      </c>
      <c r="E138" s="673" t="e">
        <f>HLOOKUP($D$2,'2020 Data(H)'!$C$1:$AR$426,140,FALSE)</f>
        <v>#N/A</v>
      </c>
      <c r="F138" s="296">
        <v>0</v>
      </c>
      <c r="G138" s="734">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hidden="1" customHeight="1" x14ac:dyDescent="0.3">
      <c r="A139" s="108">
        <v>578</v>
      </c>
      <c r="B139" s="675" t="s">
        <v>59</v>
      </c>
      <c r="C139" s="675" t="s">
        <v>1098</v>
      </c>
      <c r="D139" s="827" t="s">
        <v>1103</v>
      </c>
      <c r="E139" s="673" t="e">
        <f>HLOOKUP($D$2,'2020 Data(H)'!$C$1:$AR$426,228,FALSE)</f>
        <v>#N/A</v>
      </c>
      <c r="F139" s="296">
        <v>0</v>
      </c>
      <c r="G139" s="734"/>
      <c r="H139" s="735"/>
      <c r="I139" s="736"/>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hidden="1" customHeight="1" x14ac:dyDescent="0.3">
      <c r="A140" s="310">
        <v>633</v>
      </c>
      <c r="B140" s="828" t="s">
        <v>517</v>
      </c>
      <c r="C140" s="828" t="s">
        <v>409</v>
      </c>
      <c r="D140" s="340" t="s">
        <v>1182</v>
      </c>
      <c r="E140" s="673" t="e">
        <f>HLOOKUP($D$2,'2020 Data(H)'!$C$1:$AR$426,292,FALSE)</f>
        <v>#N/A</v>
      </c>
      <c r="F140" s="296">
        <v>0</v>
      </c>
      <c r="G140" s="751" t="str">
        <f>IF(F140&gt;=(F141+F142+F143+F144+F145+F146),"","Account 633 is less than the total sum of accounts 634 through 638 + 383")</f>
        <v/>
      </c>
      <c r="H140" s="757">
        <f>F140-(F141+F142+F143+F144+F145+F146)</f>
        <v>0</v>
      </c>
      <c r="I140" s="739" t="str">
        <f>IF(F140&gt;=(F141+F142+F143+F144+F145+F146),"","Account 633 is less than the total sum of accounts 634 through 638 + 383")</f>
        <v/>
      </c>
      <c r="Z140" s="310"/>
      <c r="AA140" s="310"/>
      <c r="AB140" s="310"/>
      <c r="AC140" s="310"/>
      <c r="AD140" s="310"/>
      <c r="AE140" s="310"/>
      <c r="AF140" s="310"/>
      <c r="AG140" s="310"/>
      <c r="AH140" s="310"/>
      <c r="AI140" s="310"/>
      <c r="AJ140" s="310"/>
      <c r="AK140" s="310"/>
      <c r="AL140" s="310"/>
      <c r="AM140" s="310"/>
      <c r="AN140" s="310"/>
      <c r="AO140" s="310"/>
      <c r="AP140" s="310"/>
      <c r="AQ140" s="310"/>
      <c r="AR140" s="310"/>
    </row>
    <row r="141" spans="1:44" ht="109.5" hidden="1" customHeight="1" x14ac:dyDescent="0.3">
      <c r="A141" s="309">
        <v>634</v>
      </c>
      <c r="B141" s="829" t="s">
        <v>405</v>
      </c>
      <c r="C141" s="828" t="s">
        <v>409</v>
      </c>
      <c r="D141" s="340" t="s">
        <v>1184</v>
      </c>
      <c r="E141" s="673" t="e">
        <f>HLOOKUP($D$2,'2020 Data(H)'!$C$1:$AR$426,293,FALSE)</f>
        <v>#N/A</v>
      </c>
      <c r="F141" s="296">
        <v>0</v>
      </c>
      <c r="G141" s="752">
        <f>IF(F141&gt;F140,"Please review account numbers 634&gt;633",)</f>
        <v>0</v>
      </c>
      <c r="H141" s="739"/>
      <c r="I141" s="739"/>
      <c r="Z141" s="309"/>
      <c r="AA141" s="309"/>
      <c r="AB141" s="309"/>
      <c r="AC141" s="309"/>
      <c r="AD141" s="309"/>
      <c r="AE141" s="309"/>
      <c r="AF141" s="309"/>
      <c r="AG141" s="309"/>
      <c r="AH141" s="309"/>
      <c r="AI141" s="309"/>
      <c r="AJ141" s="309"/>
      <c r="AK141" s="309"/>
      <c r="AL141" s="309"/>
      <c r="AM141" s="309"/>
      <c r="AN141" s="309"/>
      <c r="AO141" s="309"/>
      <c r="AP141" s="309"/>
      <c r="AQ141" s="309"/>
      <c r="AR141" s="309"/>
    </row>
    <row r="142" spans="1:44" ht="130.5" hidden="1" customHeight="1" x14ac:dyDescent="0.3">
      <c r="A142" s="309">
        <v>635</v>
      </c>
      <c r="B142" s="829" t="s">
        <v>405</v>
      </c>
      <c r="C142" s="828" t="s">
        <v>409</v>
      </c>
      <c r="D142" s="340" t="s">
        <v>1183</v>
      </c>
      <c r="E142" s="673" t="e">
        <f>HLOOKUP($D$2,'2020 Data(H)'!$C$1:$AR$426,294,FALSE)</f>
        <v>#N/A</v>
      </c>
      <c r="F142" s="296">
        <v>0</v>
      </c>
      <c r="G142" s="752">
        <f>IF(F142&gt;F140,"Please review account numbers 635&gt;633",)</f>
        <v>0</v>
      </c>
      <c r="H142" s="739"/>
      <c r="I142" s="739"/>
      <c r="Z142" s="309"/>
      <c r="AA142" s="309"/>
      <c r="AB142" s="309"/>
      <c r="AC142" s="309"/>
      <c r="AD142" s="309"/>
      <c r="AE142" s="309"/>
      <c r="AF142" s="309"/>
      <c r="AG142" s="309"/>
      <c r="AH142" s="309"/>
      <c r="AI142" s="309"/>
      <c r="AJ142" s="309"/>
      <c r="AK142" s="309"/>
      <c r="AL142" s="309"/>
      <c r="AM142" s="309"/>
      <c r="AN142" s="309"/>
      <c r="AO142" s="309"/>
      <c r="AP142" s="309"/>
      <c r="AQ142" s="309"/>
      <c r="AR142" s="309"/>
    </row>
    <row r="143" spans="1:44" ht="106.5" hidden="1" customHeight="1" x14ac:dyDescent="0.3">
      <c r="A143" s="309">
        <v>636</v>
      </c>
      <c r="B143" s="829" t="s">
        <v>405</v>
      </c>
      <c r="C143" s="828" t="s">
        <v>409</v>
      </c>
      <c r="D143" s="340" t="s">
        <v>1188</v>
      </c>
      <c r="E143" s="673" t="e">
        <f>HLOOKUP($D$2,'2020 Data(H)'!$C$1:$AR$426,295,FALSE)</f>
        <v>#N/A</v>
      </c>
      <c r="F143" s="296">
        <v>0</v>
      </c>
      <c r="G143" s="752">
        <f>IF(F143&gt;F140,"Please review account numbers 636&gt;633",)</f>
        <v>0</v>
      </c>
      <c r="H143" s="739"/>
      <c r="I143" s="739"/>
      <c r="Z143" s="309"/>
      <c r="AA143" s="309"/>
      <c r="AB143" s="309"/>
      <c r="AC143" s="309"/>
      <c r="AD143" s="309"/>
      <c r="AE143" s="309"/>
      <c r="AF143" s="309"/>
      <c r="AG143" s="309"/>
      <c r="AH143" s="309"/>
      <c r="AI143" s="309"/>
      <c r="AJ143" s="309"/>
      <c r="AK143" s="309"/>
      <c r="AL143" s="309"/>
      <c r="AM143" s="309"/>
      <c r="AN143" s="309"/>
      <c r="AO143" s="309"/>
      <c r="AP143" s="309"/>
      <c r="AQ143" s="309"/>
      <c r="AR143" s="309"/>
    </row>
    <row r="144" spans="1:44" ht="80.25" hidden="1" customHeight="1" x14ac:dyDescent="0.3">
      <c r="A144" s="309">
        <v>637</v>
      </c>
      <c r="B144" s="829" t="s">
        <v>405</v>
      </c>
      <c r="C144" s="828" t="s">
        <v>409</v>
      </c>
      <c r="D144" s="340" t="s">
        <v>1187</v>
      </c>
      <c r="E144" s="673" t="e">
        <f>HLOOKUP($D$2,'2020 Data(H)'!$C$1:$AR$426,296,FALSE)</f>
        <v>#N/A</v>
      </c>
      <c r="F144" s="296">
        <v>0</v>
      </c>
      <c r="G144" s="752">
        <f>IF(F144&gt;F140,"Please review account numbers 637&gt;633",)</f>
        <v>0</v>
      </c>
      <c r="H144" s="739"/>
      <c r="I144" s="739"/>
      <c r="Z144" s="309"/>
      <c r="AA144" s="309"/>
      <c r="AB144" s="309"/>
      <c r="AC144" s="309"/>
      <c r="AD144" s="309"/>
      <c r="AE144" s="309"/>
      <c r="AF144" s="309"/>
      <c r="AG144" s="309"/>
      <c r="AH144" s="309"/>
      <c r="AI144" s="309"/>
      <c r="AJ144" s="309"/>
      <c r="AK144" s="309"/>
      <c r="AL144" s="309"/>
      <c r="AM144" s="309"/>
      <c r="AN144" s="309"/>
      <c r="AO144" s="309"/>
      <c r="AP144" s="309"/>
      <c r="AQ144" s="309"/>
      <c r="AR144" s="309"/>
    </row>
    <row r="145" spans="1:44" ht="110.25" hidden="1" customHeight="1" x14ac:dyDescent="0.3">
      <c r="A145" s="309">
        <v>638</v>
      </c>
      <c r="B145" s="829" t="s">
        <v>405</v>
      </c>
      <c r="C145" s="828" t="s">
        <v>409</v>
      </c>
      <c r="D145" s="340" t="s">
        <v>1186</v>
      </c>
      <c r="E145" s="673" t="e">
        <f>HLOOKUP($D$2,'2020 Data(H)'!$C$1:$AR$426,297,FALSE)</f>
        <v>#N/A</v>
      </c>
      <c r="F145" s="296">
        <v>0</v>
      </c>
      <c r="G145" s="752">
        <f>IF(F145&gt;F140,"Please review account numbers 638&gt;633",)</f>
        <v>0</v>
      </c>
      <c r="H145" s="739"/>
      <c r="I145" s="739"/>
      <c r="Z145" s="309"/>
      <c r="AA145" s="309"/>
      <c r="AB145" s="309"/>
      <c r="AC145" s="309"/>
      <c r="AD145" s="309"/>
      <c r="AE145" s="309"/>
      <c r="AF145" s="309"/>
      <c r="AG145" s="309"/>
      <c r="AH145" s="309"/>
      <c r="AI145" s="309"/>
      <c r="AJ145" s="309"/>
      <c r="AK145" s="309"/>
      <c r="AL145" s="309"/>
      <c r="AM145" s="309"/>
      <c r="AN145" s="309"/>
      <c r="AO145" s="309"/>
      <c r="AP145" s="309"/>
      <c r="AQ145" s="309"/>
      <c r="AR145" s="309"/>
    </row>
    <row r="146" spans="1:44" ht="93.75" hidden="1" customHeight="1" x14ac:dyDescent="0.3">
      <c r="A146" s="108">
        <v>383</v>
      </c>
      <c r="B146" s="4" t="s">
        <v>62</v>
      </c>
      <c r="C146" s="4" t="s">
        <v>1098</v>
      </c>
      <c r="D146" s="29" t="s">
        <v>1185</v>
      </c>
      <c r="E146" s="673" t="e">
        <f>HLOOKUP($D$2,'2020 Data(H)'!$C$1:$AR$426,142,FALSE)</f>
        <v>#N/A</v>
      </c>
      <c r="F146" s="296">
        <v>0</v>
      </c>
      <c r="G146" s="753">
        <f>IF(F146&gt;F140,"Error: Please review components of current liabilities above. Account number 383&gt;633",)</f>
        <v>0</v>
      </c>
      <c r="H146" s="754"/>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hidden="1" customHeight="1" x14ac:dyDescent="0.3">
      <c r="A147" s="108">
        <v>349</v>
      </c>
      <c r="B147" s="4" t="s">
        <v>62</v>
      </c>
      <c r="C147" s="4" t="s">
        <v>1098</v>
      </c>
      <c r="D147" s="107" t="s">
        <v>153</v>
      </c>
      <c r="E147" s="673" t="e">
        <f>HLOOKUP($D$2,'2020 Data(H)'!$C$1:$AR$426,113,FALSE)</f>
        <v>#N/A</v>
      </c>
      <c r="F147" s="296">
        <v>0</v>
      </c>
      <c r="G147" s="734"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hidden="1" customHeight="1" x14ac:dyDescent="0.3">
      <c r="A148" s="108">
        <v>375</v>
      </c>
      <c r="B148" s="4" t="s">
        <v>62</v>
      </c>
      <c r="C148" s="4" t="s">
        <v>1098</v>
      </c>
      <c r="D148" s="712" t="s">
        <v>1104</v>
      </c>
      <c r="E148" s="673" t="e">
        <f>HLOOKUP($D$2,'2020 Data(H)'!$C$1:$AR$426,134,FALSE)</f>
        <v>#N/A</v>
      </c>
      <c r="F148" s="296">
        <v>0</v>
      </c>
      <c r="G148" s="744"/>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hidden="1" customHeight="1" x14ac:dyDescent="0.3">
      <c r="A149" s="108">
        <v>83</v>
      </c>
      <c r="B149" s="4" t="s">
        <v>61</v>
      </c>
      <c r="C149" s="4" t="s">
        <v>1098</v>
      </c>
      <c r="D149" s="107" t="s">
        <v>154</v>
      </c>
      <c r="E149" s="673" t="e">
        <f>HLOOKUP($D$2,'2020 Data(H)'!$C$1:$AR$426,47,FALSE)</f>
        <v>#N/A</v>
      </c>
      <c r="F149" s="296">
        <v>0</v>
      </c>
      <c r="G149" s="734">
        <f>IF(F138-F147-F149=0,,"Error: Total assets less total liabilities do not equal total net assets.  Account numbers 381-349-83=0  The amount of the formula is in the cell to the right")</f>
        <v>0</v>
      </c>
      <c r="H149" s="737">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hidden="1" customHeight="1" x14ac:dyDescent="0.3">
      <c r="A150" s="108"/>
      <c r="B150" s="868" t="s">
        <v>155</v>
      </c>
      <c r="C150" s="869"/>
      <c r="D150" s="844"/>
      <c r="E150" s="844"/>
      <c r="F150" s="864"/>
      <c r="G150" s="865"/>
      <c r="H150" s="748"/>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hidden="1" customHeight="1" x14ac:dyDescent="0.3">
      <c r="A151" s="108">
        <v>90</v>
      </c>
      <c r="B151" s="4" t="s">
        <v>63</v>
      </c>
      <c r="C151" s="4" t="s">
        <v>1105</v>
      </c>
      <c r="D151" s="24" t="s">
        <v>1106</v>
      </c>
      <c r="E151" s="673" t="e">
        <f>HLOOKUP($D$2,'2020 Data(H)'!$C$1:$AR$426,52,FALSE)</f>
        <v>#N/A</v>
      </c>
      <c r="F151" s="296">
        <v>0</v>
      </c>
      <c r="G151" s="734">
        <f>IF(F151&lt;0,"Note: Number is normally positive.",)</f>
        <v>0</v>
      </c>
      <c r="H151" s="755"/>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hidden="1" customHeight="1" x14ac:dyDescent="0.3">
      <c r="A152" s="108">
        <v>91</v>
      </c>
      <c r="B152" s="4" t="s">
        <v>58</v>
      </c>
      <c r="C152" s="4" t="s">
        <v>1105</v>
      </c>
      <c r="D152" s="24" t="s">
        <v>1107</v>
      </c>
      <c r="E152" s="673" t="e">
        <f>HLOOKUP($D$2,'2020 Data(H)'!$C$1:$AR$426,53,FALSE)</f>
        <v>#N/A</v>
      </c>
      <c r="F152" s="296">
        <v>0</v>
      </c>
      <c r="G152" s="734">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hidden="1" customHeight="1" x14ac:dyDescent="0.3">
      <c r="A153" s="108">
        <v>581</v>
      </c>
      <c r="B153" s="675" t="s">
        <v>333</v>
      </c>
      <c r="C153" s="675" t="s">
        <v>1105</v>
      </c>
      <c r="D153" s="827" t="s">
        <v>1108</v>
      </c>
      <c r="E153" s="673" t="e">
        <f>HLOOKUP($D$2,'2020 Data(H)'!$C$1:$AR$426,231,FALSE)</f>
        <v>#N/A</v>
      </c>
      <c r="F153" s="296">
        <v>0</v>
      </c>
      <c r="G153" s="734"/>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hidden="1" customHeight="1" x14ac:dyDescent="0.3">
      <c r="A154" s="108">
        <v>511</v>
      </c>
      <c r="B154" s="4" t="s">
        <v>58</v>
      </c>
      <c r="C154" s="4" t="s">
        <v>1105</v>
      </c>
      <c r="D154" s="25" t="s">
        <v>156</v>
      </c>
      <c r="E154" s="673" t="e">
        <f>HLOOKUP($D$2,'2020 Data(H)'!$C$1:$AR$426,161,FALSE)</f>
        <v>#N/A</v>
      </c>
      <c r="F154" s="296">
        <v>0</v>
      </c>
      <c r="G154" s="734">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hidden="1" customHeight="1" x14ac:dyDescent="0.3">
      <c r="A155" s="309">
        <v>657</v>
      </c>
      <c r="B155" s="828" t="s">
        <v>58</v>
      </c>
      <c r="C155" s="828" t="s">
        <v>1105</v>
      </c>
      <c r="D155" s="340" t="s">
        <v>1109</v>
      </c>
      <c r="E155" s="673" t="e">
        <f>HLOOKUP($D$2,'2020 Data(H)'!$C$1:$AR$426,310,FALSE)</f>
        <v>#N/A</v>
      </c>
      <c r="F155" s="296">
        <v>0</v>
      </c>
      <c r="G155" s="756">
        <f>IF((F151+F152+F154)&gt;F155,"Error: Please review components of current assets above.  Account numbers (90+91+511)&gt;657",)</f>
        <v>0</v>
      </c>
      <c r="H155" s="17"/>
      <c r="I155" s="79"/>
      <c r="Z155" s="309"/>
      <c r="AA155" s="309"/>
      <c r="AB155" s="309"/>
      <c r="AC155" s="309"/>
      <c r="AD155" s="309"/>
      <c r="AE155" s="309"/>
      <c r="AF155" s="309"/>
      <c r="AG155" s="309"/>
      <c r="AH155" s="309"/>
      <c r="AI155" s="309"/>
      <c r="AJ155" s="309"/>
      <c r="AK155" s="309"/>
      <c r="AL155" s="309"/>
      <c r="AM155" s="309"/>
      <c r="AN155" s="309"/>
      <c r="AO155" s="309"/>
      <c r="AP155" s="309"/>
      <c r="AQ155" s="309"/>
      <c r="AR155" s="309"/>
    </row>
    <row r="156" spans="1:44" ht="70.5" hidden="1" customHeight="1" x14ac:dyDescent="0.3">
      <c r="A156" s="309">
        <v>658</v>
      </c>
      <c r="B156" s="828" t="s">
        <v>58</v>
      </c>
      <c r="C156" s="828" t="s">
        <v>1105</v>
      </c>
      <c r="D156" s="311" t="s">
        <v>519</v>
      </c>
      <c r="E156" s="673" t="e">
        <f>HLOOKUP($D$2,'2020 Data(H)'!$C$1:$AR$426,311,FALSE)</f>
        <v>#N/A</v>
      </c>
      <c r="F156" s="296">
        <v>0</v>
      </c>
      <c r="G156" s="734"/>
      <c r="H156" s="17"/>
      <c r="I156" s="79"/>
      <c r="Z156" s="309"/>
      <c r="AA156" s="309"/>
      <c r="AB156" s="309"/>
      <c r="AC156" s="309"/>
      <c r="AD156" s="309"/>
      <c r="AE156" s="309"/>
      <c r="AF156" s="309"/>
      <c r="AG156" s="309"/>
      <c r="AH156" s="309"/>
      <c r="AI156" s="309"/>
      <c r="AJ156" s="309"/>
      <c r="AK156" s="309"/>
      <c r="AL156" s="309"/>
      <c r="AM156" s="309"/>
      <c r="AN156" s="309"/>
      <c r="AO156" s="309"/>
      <c r="AP156" s="309"/>
      <c r="AQ156" s="309"/>
      <c r="AR156" s="309"/>
    </row>
    <row r="157" spans="1:44" ht="50.25" hidden="1" customHeight="1" x14ac:dyDescent="0.3">
      <c r="A157" s="108">
        <v>382</v>
      </c>
      <c r="B157" s="4" t="s">
        <v>60</v>
      </c>
      <c r="C157" s="4" t="s">
        <v>1105</v>
      </c>
      <c r="D157" s="106" t="s">
        <v>130</v>
      </c>
      <c r="E157" s="673" t="e">
        <f>HLOOKUP($D$2,'2020 Data(H)'!$C$1:$AR$426,141,FALSE)</f>
        <v>#N/A</v>
      </c>
      <c r="F157" s="296">
        <v>0</v>
      </c>
      <c r="G157" s="756">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hidden="1" customHeight="1" x14ac:dyDescent="0.3">
      <c r="A158" s="108">
        <v>360</v>
      </c>
      <c r="B158" s="4" t="s">
        <v>56</v>
      </c>
      <c r="C158" s="4" t="s">
        <v>1105</v>
      </c>
      <c r="D158" s="107" t="s">
        <v>157</v>
      </c>
      <c r="E158" s="673" t="e">
        <f>HLOOKUP($D$2,'2020 Data(H)'!$C$1:$AR$426,121,FALSE)</f>
        <v>#N/A</v>
      </c>
      <c r="F158" s="296">
        <v>0</v>
      </c>
      <c r="G158" s="734"/>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hidden="1" customHeight="1" x14ac:dyDescent="0.3">
      <c r="A159" s="108">
        <v>580</v>
      </c>
      <c r="B159" s="675" t="s">
        <v>333</v>
      </c>
      <c r="C159" s="675" t="s">
        <v>1105</v>
      </c>
      <c r="D159" s="827" t="s">
        <v>1110</v>
      </c>
      <c r="E159" s="673" t="e">
        <f>HLOOKUP($D$2,'2020 Data(H)'!$C$1:$AR$426,230,FALSE)</f>
        <v>#N/A</v>
      </c>
      <c r="F159" s="296">
        <v>0</v>
      </c>
      <c r="G159" s="734"/>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hidden="1" customHeight="1" x14ac:dyDescent="0.3">
      <c r="A160" s="310">
        <v>639</v>
      </c>
      <c r="B160" s="828" t="s">
        <v>517</v>
      </c>
      <c r="C160" s="828" t="s">
        <v>1105</v>
      </c>
      <c r="D160" s="340" t="s">
        <v>1189</v>
      </c>
      <c r="E160" s="673" t="e">
        <f>HLOOKUP($D$2,'2020 Data(H)'!$C$1:$AR$426,298,FALSE)</f>
        <v>#N/A</v>
      </c>
      <c r="F160" s="296">
        <v>0</v>
      </c>
      <c r="G160" s="751" t="str">
        <f>IF(F160&gt;=(F161+F162+F163+F164+F165+F166),"","Account 639 is less than the total sum of accounts 640 through 644 + 384")</f>
        <v/>
      </c>
      <c r="H160" s="757">
        <f>F160-(F161+F162+F163+F164+F165+F166)</f>
        <v>0</v>
      </c>
      <c r="I160" s="739"/>
      <c r="Z160" s="310"/>
      <c r="AA160" s="310"/>
      <c r="AB160" s="310"/>
      <c r="AC160" s="310"/>
      <c r="AD160" s="310"/>
      <c r="AE160" s="310"/>
      <c r="AF160" s="310"/>
      <c r="AG160" s="310"/>
      <c r="AH160" s="310"/>
      <c r="AI160" s="310"/>
      <c r="AJ160" s="310"/>
      <c r="AK160" s="310"/>
      <c r="AL160" s="310"/>
      <c r="AM160" s="310"/>
      <c r="AN160" s="310"/>
      <c r="AO160" s="310"/>
      <c r="AP160" s="310"/>
      <c r="AQ160" s="310"/>
      <c r="AR160" s="310"/>
    </row>
    <row r="161" spans="1:44" ht="124.5" hidden="1" customHeight="1" x14ac:dyDescent="0.3">
      <c r="A161" s="309">
        <v>640</v>
      </c>
      <c r="B161" s="829" t="s">
        <v>405</v>
      </c>
      <c r="C161" s="828" t="s">
        <v>1105</v>
      </c>
      <c r="D161" s="340" t="s">
        <v>1190</v>
      </c>
      <c r="E161" s="673" t="e">
        <f>HLOOKUP($D$2,'2020 Data(H)'!$C$1:$AR$426,299,FALSE)</f>
        <v>#N/A</v>
      </c>
      <c r="F161" s="296">
        <v>0</v>
      </c>
      <c r="G161" s="756">
        <f>IF(F161&gt;F160,"Error: Please review components of current liabilities above. Account numbers 640&gt;639",)</f>
        <v>0</v>
      </c>
      <c r="H161" s="739"/>
      <c r="I161" s="757"/>
      <c r="Z161" s="309"/>
      <c r="AA161" s="309"/>
      <c r="AB161" s="309"/>
      <c r="AC161" s="309"/>
      <c r="AD161" s="309"/>
      <c r="AE161" s="309"/>
      <c r="AF161" s="309"/>
      <c r="AG161" s="309"/>
      <c r="AH161" s="309"/>
      <c r="AI161" s="309"/>
      <c r="AJ161" s="309"/>
      <c r="AK161" s="309"/>
      <c r="AL161" s="309"/>
      <c r="AM161" s="309"/>
      <c r="AN161" s="309"/>
      <c r="AO161" s="309"/>
      <c r="AP161" s="309"/>
      <c r="AQ161" s="309"/>
      <c r="AR161" s="309"/>
    </row>
    <row r="162" spans="1:44" ht="133.5" hidden="1" customHeight="1" x14ac:dyDescent="0.3">
      <c r="A162" s="309">
        <v>641</v>
      </c>
      <c r="B162" s="829" t="s">
        <v>405</v>
      </c>
      <c r="C162" s="828" t="s">
        <v>1105</v>
      </c>
      <c r="D162" s="340" t="s">
        <v>1191</v>
      </c>
      <c r="E162" s="673" t="e">
        <f>HLOOKUP($D$2,'2020 Data(H)'!$C$1:$AR$426,300,FALSE)</f>
        <v>#N/A</v>
      </c>
      <c r="F162" s="296">
        <v>0</v>
      </c>
      <c r="G162" s="756">
        <f>IF(F162&gt;F160,"Error: Please review components of current liabilities above. Account numbers 641&gt;639",)</f>
        <v>0</v>
      </c>
      <c r="H162" s="739"/>
      <c r="I162" s="739"/>
      <c r="Z162" s="309"/>
      <c r="AA162" s="309"/>
      <c r="AB162" s="309"/>
      <c r="AC162" s="309"/>
      <c r="AD162" s="309"/>
      <c r="AE162" s="309"/>
      <c r="AF162" s="309"/>
      <c r="AG162" s="309"/>
      <c r="AH162" s="309"/>
      <c r="AI162" s="309"/>
      <c r="AJ162" s="309"/>
      <c r="AK162" s="309"/>
      <c r="AL162" s="309"/>
      <c r="AM162" s="309"/>
      <c r="AN162" s="309"/>
      <c r="AO162" s="309"/>
      <c r="AP162" s="309"/>
      <c r="AQ162" s="309"/>
      <c r="AR162" s="309"/>
    </row>
    <row r="163" spans="1:44" ht="118.5" hidden="1" customHeight="1" x14ac:dyDescent="0.3">
      <c r="A163" s="309">
        <v>642</v>
      </c>
      <c r="B163" s="829" t="s">
        <v>405</v>
      </c>
      <c r="C163" s="828" t="s">
        <v>1105</v>
      </c>
      <c r="D163" s="340" t="s">
        <v>1192</v>
      </c>
      <c r="E163" s="673" t="e">
        <f>HLOOKUP($D$2,'2020 Data(H)'!$C$1:$AR$426,301,FALSE)</f>
        <v>#N/A</v>
      </c>
      <c r="F163" s="296">
        <v>0</v>
      </c>
      <c r="G163" s="756">
        <f>IF(F163&gt;F160,"Error: Please review components of current liabilities above. Account numbers  642&gt;639",)</f>
        <v>0</v>
      </c>
      <c r="H163" s="739"/>
      <c r="I163" s="739"/>
      <c r="Z163" s="309"/>
      <c r="AA163" s="309"/>
      <c r="AB163" s="309"/>
      <c r="AC163" s="309"/>
      <c r="AD163" s="309"/>
      <c r="AE163" s="309"/>
      <c r="AF163" s="309"/>
      <c r="AG163" s="309"/>
      <c r="AH163" s="309"/>
      <c r="AI163" s="309"/>
      <c r="AJ163" s="309"/>
      <c r="AK163" s="309"/>
      <c r="AL163" s="309"/>
      <c r="AM163" s="309"/>
      <c r="AN163" s="309"/>
      <c r="AO163" s="309"/>
      <c r="AP163" s="309"/>
      <c r="AQ163" s="309"/>
      <c r="AR163" s="309"/>
    </row>
    <row r="164" spans="1:44" ht="81.75" hidden="1" customHeight="1" x14ac:dyDescent="0.3">
      <c r="A164" s="309">
        <v>643</v>
      </c>
      <c r="B164" s="829" t="s">
        <v>405</v>
      </c>
      <c r="C164" s="828" t="s">
        <v>1105</v>
      </c>
      <c r="D164" s="340" t="s">
        <v>1193</v>
      </c>
      <c r="E164" s="673" t="e">
        <f>HLOOKUP($D$2,'2020 Data(H)'!$C$1:$AR$426,302,FALSE)</f>
        <v>#N/A</v>
      </c>
      <c r="F164" s="296">
        <v>0</v>
      </c>
      <c r="G164" s="756">
        <f>IF(F164&gt;F160,"Error: Please review components of current liabilities above. Account numbers 643&gt;639",)</f>
        <v>0</v>
      </c>
      <c r="H164" s="739"/>
      <c r="I164" s="739"/>
      <c r="Z164" s="309"/>
      <c r="AA164" s="309"/>
      <c r="AB164" s="309"/>
      <c r="AC164" s="309"/>
      <c r="AD164" s="309"/>
      <c r="AE164" s="309"/>
      <c r="AF164" s="309"/>
      <c r="AG164" s="309"/>
      <c r="AH164" s="309"/>
      <c r="AI164" s="309"/>
      <c r="AJ164" s="309"/>
      <c r="AK164" s="309"/>
      <c r="AL164" s="309"/>
      <c r="AM164" s="309"/>
      <c r="AN164" s="309"/>
      <c r="AO164" s="309"/>
      <c r="AP164" s="309"/>
      <c r="AQ164" s="309"/>
      <c r="AR164" s="309"/>
    </row>
    <row r="165" spans="1:44" ht="108" hidden="1" customHeight="1" x14ac:dyDescent="0.3">
      <c r="A165" s="309">
        <v>644</v>
      </c>
      <c r="B165" s="829" t="s">
        <v>405</v>
      </c>
      <c r="C165" s="828" t="s">
        <v>1105</v>
      </c>
      <c r="D165" s="340" t="s">
        <v>1194</v>
      </c>
      <c r="E165" s="673" t="e">
        <f>HLOOKUP($D$2,'2020 Data(H)'!$C$1:$AR$426,303,FALSE)</f>
        <v>#N/A</v>
      </c>
      <c r="F165" s="296">
        <v>0</v>
      </c>
      <c r="G165" s="756">
        <f>IF(F165&gt;F160,"Error: Please review components of current liabilities above. Account number 644&gt;639",)</f>
        <v>0</v>
      </c>
      <c r="H165" s="739"/>
      <c r="I165" s="739"/>
      <c r="Z165" s="309"/>
      <c r="AA165" s="309"/>
      <c r="AB165" s="309"/>
      <c r="AC165" s="309"/>
      <c r="AD165" s="309"/>
      <c r="AE165" s="309"/>
      <c r="AF165" s="309"/>
      <c r="AG165" s="309"/>
      <c r="AH165" s="309"/>
      <c r="AI165" s="309"/>
      <c r="AJ165" s="309"/>
      <c r="AK165" s="309"/>
      <c r="AL165" s="309"/>
      <c r="AM165" s="309"/>
      <c r="AN165" s="309"/>
      <c r="AO165" s="309"/>
      <c r="AP165" s="309"/>
      <c r="AQ165" s="309"/>
      <c r="AR165" s="309"/>
    </row>
    <row r="166" spans="1:44" ht="99.75" hidden="1" customHeight="1" x14ac:dyDescent="0.3">
      <c r="A166" s="108">
        <v>384</v>
      </c>
      <c r="B166" s="4" t="s">
        <v>63</v>
      </c>
      <c r="C166" s="4" t="s">
        <v>1105</v>
      </c>
      <c r="D166" s="29" t="s">
        <v>1195</v>
      </c>
      <c r="E166" s="673" t="e">
        <f>HLOOKUP($D$2,'2020 Data(H)'!$C$1:$AR$426,143,FALSE)</f>
        <v>#N/A</v>
      </c>
      <c r="F166" s="742">
        <v>0</v>
      </c>
      <c r="G166" s="753">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hidden="1" customHeight="1" x14ac:dyDescent="0.3">
      <c r="A167" s="108">
        <v>361</v>
      </c>
      <c r="B167" s="4" t="s">
        <v>56</v>
      </c>
      <c r="C167" s="4" t="s">
        <v>1105</v>
      </c>
      <c r="D167" s="712" t="s">
        <v>1111</v>
      </c>
      <c r="E167" s="673" t="e">
        <f>HLOOKUP($D$2,'2020 Data(H)'!$C$1:$AR$426,122,FALSE)</f>
        <v>#N/A</v>
      </c>
      <c r="F167" s="296">
        <v>0</v>
      </c>
      <c r="G167" s="744"/>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hidden="1" customHeight="1" x14ac:dyDescent="0.3">
      <c r="A168" s="108">
        <v>362</v>
      </c>
      <c r="B168" s="4" t="s">
        <v>56</v>
      </c>
      <c r="C168" s="4" t="s">
        <v>1105</v>
      </c>
      <c r="D168" s="107" t="s">
        <v>158</v>
      </c>
      <c r="E168" s="673" t="e">
        <f>HLOOKUP($D$2,'2020 Data(H)'!$C$1:$AR$426,123,FALSE)</f>
        <v>#N/A</v>
      </c>
      <c r="F168" s="296">
        <v>0</v>
      </c>
      <c r="G168" s="734">
        <f>IF(H168=0,,"Error: Total assets less total liabilities do not equal total net position. Account numbers 382-360-362=0  The amount of the formula is in the cell to the right")</f>
        <v>0</v>
      </c>
      <c r="H168" s="737">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hidden="1" customHeight="1" x14ac:dyDescent="0.3">
      <c r="A169" s="108"/>
      <c r="B169" s="857" t="s">
        <v>182</v>
      </c>
      <c r="C169" s="858"/>
      <c r="D169" s="870"/>
      <c r="E169" s="851"/>
      <c r="F169" s="856"/>
      <c r="G169" s="856"/>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hidden="1" customHeight="1" x14ac:dyDescent="0.3">
      <c r="A170" s="108"/>
      <c r="B170" s="1124" t="s">
        <v>1211</v>
      </c>
      <c r="C170" s="1124"/>
      <c r="D170" s="1124"/>
      <c r="E170" s="844"/>
      <c r="F170" s="865"/>
      <c r="G170" s="865"/>
      <c r="H170" s="17"/>
      <c r="I170" s="79"/>
      <c r="N170" s="297"/>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hidden="1" customHeight="1" x14ac:dyDescent="0.3">
      <c r="A171" s="108">
        <v>88</v>
      </c>
      <c r="B171" s="4" t="s">
        <v>61</v>
      </c>
      <c r="C171" s="4" t="s">
        <v>1112</v>
      </c>
      <c r="D171" s="24" t="s">
        <v>1113</v>
      </c>
      <c r="E171" s="673" t="e">
        <f>HLOOKUP($D$2,'2020 Data(H)'!$C$1:$AR$426,50,FALSE)</f>
        <v>#N/A</v>
      </c>
      <c r="F171" s="296">
        <v>0</v>
      </c>
      <c r="G171" s="744"/>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hidden="1" customHeight="1" x14ac:dyDescent="0.3">
      <c r="A172" s="108">
        <v>84</v>
      </c>
      <c r="B172" s="4" t="s">
        <v>61</v>
      </c>
      <c r="C172" s="4" t="s">
        <v>1112</v>
      </c>
      <c r="D172" s="29" t="s">
        <v>159</v>
      </c>
      <c r="E172" s="673" t="e">
        <f>HLOOKUP($D$2,'2020 Data(H)'!$C$1:$AR$426,48,FALSE)</f>
        <v>#N/A</v>
      </c>
      <c r="F172" s="296">
        <v>0</v>
      </c>
      <c r="G172" s="734">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hidden="1" customHeight="1" x14ac:dyDescent="0.3">
      <c r="A173" s="108">
        <v>49</v>
      </c>
      <c r="B173" s="4" t="s">
        <v>57</v>
      </c>
      <c r="C173" s="4" t="s">
        <v>1112</v>
      </c>
      <c r="D173" s="29" t="s">
        <v>160</v>
      </c>
      <c r="E173" s="673" t="e">
        <f>HLOOKUP($D$2,'2020 Data(H)'!$C$1:$AR$426,36,FALSE)</f>
        <v>#N/A</v>
      </c>
      <c r="F173" s="296">
        <v>0</v>
      </c>
      <c r="G173" s="734">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hidden="1" customHeight="1" x14ac:dyDescent="0.3">
      <c r="A174" s="108">
        <v>85</v>
      </c>
      <c r="B174" s="4" t="s">
        <v>68</v>
      </c>
      <c r="C174" s="4" t="s">
        <v>1112</v>
      </c>
      <c r="D174" s="29" t="s">
        <v>161</v>
      </c>
      <c r="E174" s="673" t="e">
        <f>HLOOKUP($D$2,'2020 Data(H)'!$C$1:$AR$426,49,FALSE)</f>
        <v>#N/A</v>
      </c>
      <c r="F174" s="296">
        <v>0</v>
      </c>
      <c r="G174" s="734">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hidden="1" customHeight="1" x14ac:dyDescent="0.3">
      <c r="A175" s="108">
        <v>89</v>
      </c>
      <c r="B175" s="4" t="s">
        <v>56</v>
      </c>
      <c r="C175" s="4" t="s">
        <v>1112</v>
      </c>
      <c r="D175" s="29" t="s">
        <v>162</v>
      </c>
      <c r="E175" s="673" t="e">
        <f>HLOOKUP($D$2,'2020 Data(H)'!$C$1:$AR$426,51,FALSE)</f>
        <v>#N/A</v>
      </c>
      <c r="F175" s="296">
        <v>0</v>
      </c>
      <c r="G175" s="734">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hidden="1" customHeight="1" x14ac:dyDescent="0.3">
      <c r="A176" s="108">
        <v>350</v>
      </c>
      <c r="B176" s="4" t="s">
        <v>56</v>
      </c>
      <c r="C176" s="4" t="s">
        <v>1112</v>
      </c>
      <c r="D176" s="24" t="s">
        <v>1114</v>
      </c>
      <c r="E176" s="673" t="e">
        <f>HLOOKUP($D$2,'2020 Data(H)'!$C$1:$AR$426,114,FALSE)</f>
        <v>#N/A</v>
      </c>
      <c r="F176" s="296">
        <v>0</v>
      </c>
      <c r="G176" s="744"/>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hidden="1" customHeight="1" x14ac:dyDescent="0.3">
      <c r="A177" s="108">
        <v>351</v>
      </c>
      <c r="B177" s="4" t="s">
        <v>56</v>
      </c>
      <c r="C177" s="4" t="s">
        <v>1112</v>
      </c>
      <c r="D177" s="24" t="s">
        <v>1115</v>
      </c>
      <c r="E177" s="673" t="e">
        <f>HLOOKUP($D$2,'2020 Data(H)'!$C$1:$AR$426,115,FALSE)</f>
        <v>#N/A</v>
      </c>
      <c r="F177" s="296">
        <v>0</v>
      </c>
      <c r="G177" s="734">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hidden="1" customHeight="1" x14ac:dyDescent="0.3">
      <c r="A178" s="108">
        <v>191</v>
      </c>
      <c r="B178" s="4" t="s">
        <v>57</v>
      </c>
      <c r="C178" s="4" t="s">
        <v>1112</v>
      </c>
      <c r="D178" s="24" t="s">
        <v>1116</v>
      </c>
      <c r="E178" s="673" t="e">
        <f>HLOOKUP($D$2,'2020 Data(H)'!$C$1:$AR$426,72,FALSE)</f>
        <v>#N/A</v>
      </c>
      <c r="F178" s="296">
        <v>0</v>
      </c>
      <c r="G178" s="734">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hidden="1" customHeight="1" x14ac:dyDescent="0.3">
      <c r="A179" s="108">
        <v>352</v>
      </c>
      <c r="B179" s="4" t="s">
        <v>68</v>
      </c>
      <c r="C179" s="4" t="s">
        <v>1112</v>
      </c>
      <c r="D179" s="29" t="s">
        <v>958</v>
      </c>
      <c r="E179" s="673" t="e">
        <f>HLOOKUP($D$2,'2020 Data(H)'!$C$1:$AR$426,116,FALSE)</f>
        <v>#N/A</v>
      </c>
      <c r="F179" s="296">
        <v>0</v>
      </c>
      <c r="G179" s="734">
        <f>IF(F179&lt;0,"Error: Enter as positive.",)</f>
        <v>0</v>
      </c>
      <c r="H179" s="713"/>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hidden="1" customHeight="1" x14ac:dyDescent="0.3">
      <c r="A180" s="108">
        <v>986</v>
      </c>
      <c r="B180" s="832" t="s">
        <v>709</v>
      </c>
      <c r="C180" s="832" t="s">
        <v>1112</v>
      </c>
      <c r="D180" s="314" t="s">
        <v>737</v>
      </c>
      <c r="E180" s="673" t="s">
        <v>710</v>
      </c>
      <c r="F180" s="296">
        <v>0</v>
      </c>
      <c r="G180" s="734">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hidden="1" customHeight="1" x14ac:dyDescent="0.3">
      <c r="A181" s="108">
        <v>353</v>
      </c>
      <c r="B181" s="4" t="s">
        <v>68</v>
      </c>
      <c r="C181" s="4" t="s">
        <v>1112</v>
      </c>
      <c r="D181" s="29" t="s">
        <v>143</v>
      </c>
      <c r="E181" s="673" t="e">
        <f>HLOOKUP($D$2,'2020 Data(H)'!$C$1:$AR$426,117,FALSE)</f>
        <v>#N/A</v>
      </c>
      <c r="F181" s="296">
        <v>0</v>
      </c>
      <c r="G181" s="734">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hidden="1" customHeight="1" x14ac:dyDescent="0.3">
      <c r="A182" s="108">
        <v>50</v>
      </c>
      <c r="B182" s="4" t="s">
        <v>64</v>
      </c>
      <c r="C182" s="4" t="s">
        <v>1112</v>
      </c>
      <c r="D182" s="712" t="s">
        <v>1117</v>
      </c>
      <c r="E182" s="673" t="e">
        <f>HLOOKUP($D$2,'2020 Data(H)'!$C$1:$AR$426,37,FALSE)</f>
        <v>#N/A</v>
      </c>
      <c r="F182" s="294">
        <v>0</v>
      </c>
      <c r="G182" s="734">
        <f>IF(H182=0,,"Error: Total revenues less total expenses do not equal total change in net position. Account number 84-85+350-351+191+352-353-50=0  The amount of the formula is in the cell to the right")</f>
        <v>0</v>
      </c>
      <c r="H182" s="737">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hidden="1" customHeight="1" x14ac:dyDescent="0.3">
      <c r="A183" s="108">
        <v>377</v>
      </c>
      <c r="B183" s="4" t="s">
        <v>68</v>
      </c>
      <c r="C183" s="4" t="s">
        <v>1112</v>
      </c>
      <c r="D183" s="712" t="s">
        <v>1118</v>
      </c>
      <c r="E183" s="673" t="e">
        <f>HLOOKUP($D$2,'2020 Data(H)'!$C$1:$AR$426,136,FALSE)</f>
        <v>#N/A</v>
      </c>
      <c r="F183" s="294">
        <v>0</v>
      </c>
      <c r="G183" s="734" t="e">
        <f>IF(F149-F182-F183=E149,,"Error: Beginning Balance does not agree with our records.  Acct #s (83-50-377)=prior year 83 The amount of the formula is in the cell to the right")</f>
        <v>#N/A</v>
      </c>
      <c r="H183" s="737"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hidden="1" customHeight="1" x14ac:dyDescent="0.3">
      <c r="A184" s="108">
        <v>537</v>
      </c>
      <c r="B184" s="675" t="s">
        <v>59</v>
      </c>
      <c r="C184" s="675" t="s">
        <v>1112</v>
      </c>
      <c r="D184" s="672" t="s">
        <v>1119</v>
      </c>
      <c r="E184" s="59" t="e">
        <f>HLOOKUP($D$2,'2020 Data(H)'!$C$1:$AR$426,250,FALSE)</f>
        <v>#N/A</v>
      </c>
      <c r="F184" s="296"/>
      <c r="G184" s="734"/>
      <c r="H184" s="735"/>
      <c r="I184" s="736"/>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hidden="1" customHeight="1" x14ac:dyDescent="0.3">
      <c r="A185" s="108">
        <v>538</v>
      </c>
      <c r="B185" s="675" t="s">
        <v>59</v>
      </c>
      <c r="C185" s="675" t="s">
        <v>1112</v>
      </c>
      <c r="D185" s="672" t="s">
        <v>1120</v>
      </c>
      <c r="E185" s="673" t="e">
        <f>HLOOKUP($D$2,'2020 Data(H)'!$C$1:$AR$426,251,FALSE)</f>
        <v>#N/A</v>
      </c>
      <c r="F185" s="296"/>
      <c r="G185" s="734"/>
      <c r="H185" s="735"/>
      <c r="I185" s="736"/>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hidden="1" customHeight="1" x14ac:dyDescent="0.3">
      <c r="A186" s="108"/>
      <c r="B186" s="868" t="s">
        <v>6</v>
      </c>
      <c r="C186" s="869"/>
      <c r="D186" s="844"/>
      <c r="E186" s="844"/>
      <c r="F186" s="864"/>
      <c r="G186" s="865"/>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hidden="1" customHeight="1" x14ac:dyDescent="0.3">
      <c r="A187" s="108">
        <v>97</v>
      </c>
      <c r="B187" s="4" t="s">
        <v>68</v>
      </c>
      <c r="C187" s="4" t="s">
        <v>1121</v>
      </c>
      <c r="D187" s="29" t="s">
        <v>163</v>
      </c>
      <c r="E187" s="673" t="e">
        <f>HLOOKUP($D$2,'2020 Data(H)'!$C$1:$AR$426,57,FALSE)</f>
        <v>#N/A</v>
      </c>
      <c r="F187" s="294">
        <v>0</v>
      </c>
      <c r="G187" s="744"/>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hidden="1" customHeight="1" x14ac:dyDescent="0.3">
      <c r="A188" s="108">
        <v>93</v>
      </c>
      <c r="B188" s="4" t="s">
        <v>66</v>
      </c>
      <c r="C188" s="4" t="s">
        <v>1121</v>
      </c>
      <c r="D188" s="29" t="s">
        <v>159</v>
      </c>
      <c r="E188" s="673" t="e">
        <f>HLOOKUP($D$2,'2020 Data(H)'!$C$1:$AR$426,55,FALSE)</f>
        <v>#N/A</v>
      </c>
      <c r="F188" s="295">
        <v>0</v>
      </c>
      <c r="G188" s="734">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hidden="1" customHeight="1" x14ac:dyDescent="0.3">
      <c r="A189" s="108">
        <v>99</v>
      </c>
      <c r="B189" s="4" t="s">
        <v>58</v>
      </c>
      <c r="C189" s="4" t="s">
        <v>1121</v>
      </c>
      <c r="D189" s="29" t="s">
        <v>164</v>
      </c>
      <c r="E189" s="673" t="e">
        <f>HLOOKUP($D$2,'2020 Data(H)'!$C$1:$AR$426,59,FALSE)</f>
        <v>#N/A</v>
      </c>
      <c r="F189" s="295">
        <v>0</v>
      </c>
      <c r="G189" s="734">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hidden="1" customHeight="1" x14ac:dyDescent="0.3">
      <c r="A190" s="108">
        <v>52</v>
      </c>
      <c r="B190" s="4" t="s">
        <v>58</v>
      </c>
      <c r="C190" s="4" t="s">
        <v>1121</v>
      </c>
      <c r="D190" s="29" t="s">
        <v>160</v>
      </c>
      <c r="E190" s="673" t="e">
        <f>HLOOKUP($D$2,'2020 Data(H)'!$C$1:$AR$426,39,FALSE)</f>
        <v>#N/A</v>
      </c>
      <c r="F190" s="295">
        <v>0</v>
      </c>
      <c r="G190" s="734">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hidden="1" customHeight="1" x14ac:dyDescent="0.3">
      <c r="A191" s="108">
        <v>94</v>
      </c>
      <c r="B191" s="4" t="s">
        <v>66</v>
      </c>
      <c r="C191" s="4" t="s">
        <v>1121</v>
      </c>
      <c r="D191" s="29" t="s">
        <v>161</v>
      </c>
      <c r="E191" s="673" t="e">
        <f>HLOOKUP($D$2,'2020 Data(H)'!$C$1:$AR$426,56,FALSE)</f>
        <v>#N/A</v>
      </c>
      <c r="F191" s="295">
        <v>0</v>
      </c>
      <c r="G191" s="734">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hidden="1" customHeight="1" x14ac:dyDescent="0.3">
      <c r="A192" s="108">
        <v>98</v>
      </c>
      <c r="B192" s="4" t="s">
        <v>66</v>
      </c>
      <c r="C192" s="4" t="s">
        <v>1121</v>
      </c>
      <c r="D192" s="29" t="s">
        <v>162</v>
      </c>
      <c r="E192" s="673" t="e">
        <f>HLOOKUP($D$2,'2020 Data(H)'!$C$1:$AR$426,58,FALSE)</f>
        <v>#N/A</v>
      </c>
      <c r="F192" s="295">
        <v>0</v>
      </c>
      <c r="G192" s="734">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hidden="1" customHeight="1" x14ac:dyDescent="0.3">
      <c r="A193" s="108">
        <v>363</v>
      </c>
      <c r="B193" s="4" t="s">
        <v>56</v>
      </c>
      <c r="C193" s="4" t="s">
        <v>1121</v>
      </c>
      <c r="D193" s="24" t="s">
        <v>1122</v>
      </c>
      <c r="E193" s="673" t="e">
        <f>HLOOKUP($D$2,'2020 Data(H)'!$C$1:$AR$426,124,FALSE)</f>
        <v>#N/A</v>
      </c>
      <c r="F193" s="295">
        <v>0</v>
      </c>
      <c r="G193" s="734">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hidden="1" customHeight="1" x14ac:dyDescent="0.3">
      <c r="A194" s="108">
        <v>364</v>
      </c>
      <c r="B194" s="4" t="s">
        <v>56</v>
      </c>
      <c r="C194" s="4" t="s">
        <v>1121</v>
      </c>
      <c r="D194" s="24" t="s">
        <v>1123</v>
      </c>
      <c r="E194" s="673" t="e">
        <f>HLOOKUP($D$2,'2020 Data(H)'!$C$1:$AR$426,125,FALSE)</f>
        <v>#N/A</v>
      </c>
      <c r="F194" s="295">
        <v>0</v>
      </c>
      <c r="G194" s="734">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hidden="1" customHeight="1" x14ac:dyDescent="0.3">
      <c r="A195" s="108">
        <v>192</v>
      </c>
      <c r="B195" s="4" t="s">
        <v>58</v>
      </c>
      <c r="C195" s="4" t="s">
        <v>1121</v>
      </c>
      <c r="D195" s="24" t="s">
        <v>1124</v>
      </c>
      <c r="E195" s="673" t="e">
        <f>HLOOKUP($D$2,'2020 Data(H)'!$C$1:$AR$426,73,FALSE)</f>
        <v>#N/A</v>
      </c>
      <c r="F195" s="295">
        <v>0</v>
      </c>
      <c r="G195" s="734">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hidden="1" customHeight="1" x14ac:dyDescent="0.3">
      <c r="A196" s="108">
        <v>365</v>
      </c>
      <c r="B196" s="4" t="s">
        <v>66</v>
      </c>
      <c r="C196" s="4" t="s">
        <v>1121</v>
      </c>
      <c r="D196" s="24" t="s">
        <v>1125</v>
      </c>
      <c r="E196" s="673" t="e">
        <f>HLOOKUP($D$2,'2020 Data(H)'!$C$1:$AR$426,126,FALSE)</f>
        <v>#N/A</v>
      </c>
      <c r="F196" s="295">
        <v>0</v>
      </c>
      <c r="G196" s="734">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hidden="1" customHeight="1" x14ac:dyDescent="0.3">
      <c r="A197" s="108">
        <v>366</v>
      </c>
      <c r="B197" s="4" t="s">
        <v>66</v>
      </c>
      <c r="C197" s="4" t="s">
        <v>1121</v>
      </c>
      <c r="D197" s="24" t="s">
        <v>1126</v>
      </c>
      <c r="E197" s="673" t="e">
        <f>HLOOKUP($D$2,'2020 Data(H)'!$C$1:$AR$426,127,FALSE)</f>
        <v>#N/A</v>
      </c>
      <c r="F197" s="295">
        <v>0</v>
      </c>
      <c r="G197" s="734">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hidden="1" customHeight="1" x14ac:dyDescent="0.3">
      <c r="A198" s="108">
        <v>53</v>
      </c>
      <c r="B198" s="675" t="s">
        <v>66</v>
      </c>
      <c r="C198" s="675" t="s">
        <v>1121</v>
      </c>
      <c r="D198" s="712" t="s">
        <v>1127</v>
      </c>
      <c r="E198" s="673" t="e">
        <f>HLOOKUP($D$2,'2020 Data(H)'!$C$1:$AR$426,40,FALSE)</f>
        <v>#N/A</v>
      </c>
      <c r="F198" s="295">
        <v>0</v>
      </c>
      <c r="G198" s="734">
        <f>IF(H198=0,,"Error: Total revenues less total expenses do not equal total change in net position. Account number 93-94+363-364+192+365-366-53=0  The amount of the formula is in the cell to the right")</f>
        <v>0</v>
      </c>
      <c r="H198" s="737">
        <f>+F188-F191+F193-F194+F195+F196-F197-F198</f>
        <v>0</v>
      </c>
      <c r="I198" s="79"/>
      <c r="N198" s="297"/>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hidden="1" customHeight="1" x14ac:dyDescent="0.3">
      <c r="A199" s="108">
        <v>378</v>
      </c>
      <c r="B199" s="5" t="s">
        <v>56</v>
      </c>
      <c r="C199" s="4" t="s">
        <v>1121</v>
      </c>
      <c r="D199" s="712" t="s">
        <v>1128</v>
      </c>
      <c r="E199" s="673" t="e">
        <f>HLOOKUP($D$2,'2020 Data(H)'!$C$1:$AR$426,137,FALSE)</f>
        <v>#N/A</v>
      </c>
      <c r="F199" s="294">
        <v>0</v>
      </c>
      <c r="G199" s="734" t="e">
        <f>IF(F168-F198-F199=E168,,"Error: Beginning Balance does not agree with our records.  Acct #s (362-53-378)=prior year 362  The amount of the formula is in the cell to the right")</f>
        <v>#N/A</v>
      </c>
      <c r="H199" s="737" t="e">
        <f>+F168-F198-F199-E168</f>
        <v>#N/A</v>
      </c>
      <c r="I199" s="79"/>
      <c r="N199" s="297"/>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hidden="1" customHeight="1" x14ac:dyDescent="0.3">
      <c r="A200" s="108"/>
      <c r="B200" s="868" t="s">
        <v>493</v>
      </c>
      <c r="C200" s="868"/>
      <c r="D200" s="871"/>
      <c r="E200" s="851"/>
      <c r="F200" s="872"/>
      <c r="G200" s="853"/>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hidden="1" customHeight="1" x14ac:dyDescent="0.3">
      <c r="A201" s="108"/>
      <c r="B201" s="873" t="s">
        <v>1129</v>
      </c>
      <c r="C201" s="869"/>
      <c r="D201" s="844"/>
      <c r="E201" s="844"/>
      <c r="F201" s="874"/>
      <c r="G201" s="865"/>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hidden="1" customHeight="1" x14ac:dyDescent="0.3">
      <c r="A202" s="108"/>
      <c r="B202" s="869" t="s">
        <v>1130</v>
      </c>
      <c r="C202" s="869"/>
      <c r="D202" s="860"/>
      <c r="E202" s="842"/>
      <c r="F202" s="875"/>
      <c r="G202" s="867"/>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hidden="1" customHeight="1" x14ac:dyDescent="0.3">
      <c r="A203" s="108"/>
      <c r="B203" s="869" t="s">
        <v>23</v>
      </c>
      <c r="C203" s="869"/>
      <c r="D203" s="860"/>
      <c r="E203" s="842"/>
      <c r="F203" s="875"/>
      <c r="G203" s="867"/>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hidden="1" customHeight="1" x14ac:dyDescent="0.3">
      <c r="A204" s="108">
        <v>51</v>
      </c>
      <c r="B204" s="4" t="s">
        <v>302</v>
      </c>
      <c r="C204" s="833" t="s">
        <v>1131</v>
      </c>
      <c r="D204" s="24" t="s">
        <v>1132</v>
      </c>
      <c r="E204" s="673" t="e">
        <f>HLOOKUP($D$2,'2020 Data(H)'!$C$1:$AR$426,38,FALSE)</f>
        <v>#N/A</v>
      </c>
      <c r="F204" s="295">
        <v>0</v>
      </c>
      <c r="G204" s="744"/>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hidden="1" customHeight="1" x14ac:dyDescent="0.3">
      <c r="A205" s="108">
        <v>332</v>
      </c>
      <c r="B205" s="4" t="s">
        <v>37</v>
      </c>
      <c r="C205" s="833" t="s">
        <v>1131</v>
      </c>
      <c r="D205" s="24" t="s">
        <v>1133</v>
      </c>
      <c r="E205" s="673" t="e">
        <f>HLOOKUP($D$2,'2020 Data(H)'!$C$1:$AR$426,98,FALSE)</f>
        <v>#N/A</v>
      </c>
      <c r="F205" s="295">
        <v>0</v>
      </c>
      <c r="G205" s="734">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hidden="1" customHeight="1" x14ac:dyDescent="0.3">
      <c r="A206" s="108">
        <v>331</v>
      </c>
      <c r="B206" s="4" t="s">
        <v>302</v>
      </c>
      <c r="C206" s="833" t="s">
        <v>1131</v>
      </c>
      <c r="D206" s="24" t="s">
        <v>1134</v>
      </c>
      <c r="E206" s="673" t="e">
        <f>HLOOKUP($D$2,'2020 Data(H)'!$C$1:$AR$426,97,FALSE)</f>
        <v>#N/A</v>
      </c>
      <c r="F206" s="295">
        <v>0</v>
      </c>
      <c r="G206" s="734">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hidden="1" x14ac:dyDescent="0.3">
      <c r="A207" s="108"/>
      <c r="B207" s="868" t="s">
        <v>6</v>
      </c>
      <c r="C207" s="869"/>
      <c r="D207" s="869"/>
      <c r="E207" s="844"/>
      <c r="F207" s="874"/>
      <c r="G207" s="876"/>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hidden="1" customHeight="1" x14ac:dyDescent="0.3">
      <c r="A208" s="108">
        <v>55</v>
      </c>
      <c r="B208" s="4" t="s">
        <v>59</v>
      </c>
      <c r="C208" s="833" t="s">
        <v>1135</v>
      </c>
      <c r="D208" s="24" t="s">
        <v>1136</v>
      </c>
      <c r="E208" s="673" t="e">
        <f>HLOOKUP($D$2,'2020 Data(H)'!$C$1:$AR$426,42,FALSE)</f>
        <v>#N/A</v>
      </c>
      <c r="F208" s="295">
        <v>0</v>
      </c>
      <c r="G208" s="744"/>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hidden="1" customHeight="1" x14ac:dyDescent="0.3">
      <c r="A209" s="108">
        <v>101</v>
      </c>
      <c r="B209" s="4" t="s">
        <v>65</v>
      </c>
      <c r="C209" s="833" t="s">
        <v>1135</v>
      </c>
      <c r="D209" s="24" t="s">
        <v>1137</v>
      </c>
      <c r="E209" s="673" t="e">
        <f>HLOOKUP($D$2,'2020 Data(H)'!$C$1:$AR$426,61,FALSE)</f>
        <v>#N/A</v>
      </c>
      <c r="F209" s="295">
        <v>0</v>
      </c>
      <c r="G209" s="734">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hidden="1" customHeight="1" x14ac:dyDescent="0.3">
      <c r="A210" s="108">
        <v>100</v>
      </c>
      <c r="B210" s="4" t="s">
        <v>66</v>
      </c>
      <c r="C210" s="833" t="s">
        <v>1135</v>
      </c>
      <c r="D210" s="24" t="s">
        <v>1134</v>
      </c>
      <c r="E210" s="673" t="e">
        <f>HLOOKUP($D$2,'2020 Data(H)'!$C$1:$AR$426,60,FALSE)</f>
        <v>#N/A</v>
      </c>
      <c r="F210" s="295">
        <v>0</v>
      </c>
      <c r="G210" s="734">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08"/>
      <c r="B211" s="844" t="s">
        <v>71</v>
      </c>
      <c r="C211" s="860"/>
      <c r="D211" s="844"/>
      <c r="E211" s="844"/>
      <c r="F211" s="877"/>
      <c r="G211" s="863"/>
      <c r="H211" s="17"/>
      <c r="I211" s="79"/>
      <c r="J211" s="579"/>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08">
        <v>512</v>
      </c>
      <c r="B212" s="563"/>
      <c r="C212" s="833" t="s">
        <v>165</v>
      </c>
      <c r="D212" s="24" t="s">
        <v>1138</v>
      </c>
      <c r="E212" s="673" t="e">
        <f>HLOOKUP($D$2,'2020 Data(H)'!$C$1:$AR$426,162,FALSE)</f>
        <v>#N/A</v>
      </c>
      <c r="F212" s="295">
        <v>0</v>
      </c>
      <c r="G212" s="734">
        <f>IF(F212&lt;0,"Error: Enter as positive.",)</f>
        <v>0</v>
      </c>
      <c r="H212" s="17"/>
      <c r="I212" s="79"/>
      <c r="J212" s="579"/>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hidden="1" x14ac:dyDescent="0.3">
      <c r="A213" s="108"/>
      <c r="B213" s="868" t="s">
        <v>480</v>
      </c>
      <c r="C213" s="869"/>
      <c r="D213" s="871"/>
      <c r="E213" s="878"/>
      <c r="F213" s="877"/>
      <c r="G213" s="863"/>
      <c r="H213" s="735"/>
      <c r="I213" s="736"/>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hidden="1" customHeight="1" x14ac:dyDescent="0.3">
      <c r="A214" s="309">
        <v>656</v>
      </c>
      <c r="B214" s="309"/>
      <c r="C214" s="309"/>
      <c r="D214" s="759" t="s">
        <v>481</v>
      </c>
      <c r="E214" s="673" t="e">
        <f>HLOOKUP($D$2,'2020 Data(H)'!$C$1:$AR$426,309,FALSE)</f>
        <v>#N/A</v>
      </c>
      <c r="F214" s="295">
        <v>0</v>
      </c>
      <c r="G214" s="734"/>
      <c r="H214" s="17"/>
      <c r="I214" s="79"/>
      <c r="J214" s="579"/>
      <c r="Z214" s="309"/>
      <c r="AA214" s="309"/>
      <c r="AB214" s="309"/>
      <c r="AC214" s="309"/>
      <c r="AD214" s="309"/>
      <c r="AE214" s="309"/>
      <c r="AF214" s="309"/>
      <c r="AG214" s="309"/>
      <c r="AH214" s="309"/>
      <c r="AI214" s="309"/>
      <c r="AJ214" s="309"/>
      <c r="AK214" s="309"/>
      <c r="AL214" s="309"/>
      <c r="AM214" s="309"/>
      <c r="AN214" s="309"/>
      <c r="AO214" s="309"/>
      <c r="AP214" s="309"/>
      <c r="AQ214" s="309"/>
      <c r="AR214" s="309"/>
    </row>
    <row r="215" spans="1:44" hidden="1" x14ac:dyDescent="0.3">
      <c r="A215" s="108"/>
      <c r="B215" s="868" t="s">
        <v>305</v>
      </c>
      <c r="C215" s="869"/>
      <c r="D215" s="871"/>
      <c r="E215" s="878"/>
      <c r="F215" s="877"/>
      <c r="G215" s="863"/>
      <c r="H215" s="735"/>
      <c r="I215" s="736"/>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hidden="1" customHeight="1" x14ac:dyDescent="0.3">
      <c r="A216" s="108">
        <v>535</v>
      </c>
      <c r="B216" s="675" t="s">
        <v>55</v>
      </c>
      <c r="C216" s="675" t="s">
        <v>166</v>
      </c>
      <c r="D216" s="24" t="s">
        <v>1139</v>
      </c>
      <c r="E216" s="673" t="e">
        <f>HLOOKUP($D$2,'2020 Data(H)'!$C$1:$AR$426,185,FALSE)</f>
        <v>#N/A</v>
      </c>
      <c r="F216" s="295">
        <v>0</v>
      </c>
      <c r="G216" s="734" t="str">
        <f>IF(F216&lt;1,"Reminder: Please make sure you have entered all cash and investments from bond/Debt proceeds, if applicable.",)</f>
        <v>Reminder: Please make sure you have entered all cash and investments from bond/Debt proceeds, if applicable.</v>
      </c>
      <c r="H216" s="735"/>
      <c r="I216" s="736"/>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hidden="1" x14ac:dyDescent="0.3">
      <c r="A217" s="108"/>
      <c r="B217" s="868" t="s">
        <v>29</v>
      </c>
      <c r="C217" s="869"/>
      <c r="D217" s="845"/>
      <c r="E217" s="845"/>
      <c r="F217" s="874"/>
      <c r="G217" s="865"/>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hidden="1" x14ac:dyDescent="0.3">
      <c r="A218" s="108"/>
      <c r="B218" s="563"/>
      <c r="C218" s="563"/>
      <c r="D218" s="760" t="s">
        <v>2</v>
      </c>
      <c r="E218" s="1"/>
      <c r="F218" s="164"/>
      <c r="G218" s="744"/>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hidden="1" customHeight="1" x14ac:dyDescent="0.3">
      <c r="A219" s="108"/>
      <c r="B219" s="563"/>
      <c r="C219" s="563"/>
      <c r="D219" s="674" t="s">
        <v>1140</v>
      </c>
      <c r="E219" s="1"/>
      <c r="F219" s="164"/>
      <c r="G219" s="744"/>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hidden="1" customHeight="1" x14ac:dyDescent="0.3">
      <c r="A220" s="108">
        <v>334</v>
      </c>
      <c r="B220" s="4" t="s">
        <v>56</v>
      </c>
      <c r="C220" s="4" t="s">
        <v>173</v>
      </c>
      <c r="D220" s="24" t="s">
        <v>1141</v>
      </c>
      <c r="E220" s="673" t="e">
        <f>HLOOKUP($D$2,'2020 Data(H)'!$C$1:$AR$426,100,FALSE)</f>
        <v>#N/A</v>
      </c>
      <c r="F220" s="295">
        <v>0</v>
      </c>
      <c r="G220" s="744"/>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hidden="1" customHeight="1" x14ac:dyDescent="0.3">
      <c r="A221" s="108">
        <v>373</v>
      </c>
      <c r="B221" s="4" t="s">
        <v>56</v>
      </c>
      <c r="C221" s="4" t="s">
        <v>173</v>
      </c>
      <c r="D221" s="29" t="s">
        <v>172</v>
      </c>
      <c r="E221" s="673" t="e">
        <f>HLOOKUP($D$2,'2020 Data(H)'!$C$1:$AR$426,133,FALSE)</f>
        <v>#N/A</v>
      </c>
      <c r="F221" s="295">
        <v>0</v>
      </c>
      <c r="G221" s="734">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hidden="1" customHeight="1" x14ac:dyDescent="0.3">
      <c r="A222" s="108">
        <v>987</v>
      </c>
      <c r="B222" s="832" t="s">
        <v>709</v>
      </c>
      <c r="C222" s="832"/>
      <c r="D222" s="761" t="s">
        <v>943</v>
      </c>
      <c r="E222" s="673" t="s">
        <v>710</v>
      </c>
      <c r="F222" s="295">
        <v>0</v>
      </c>
      <c r="G222" s="762" t="str">
        <f>IF(F222="","If this question is not applicable please place a zero in the cell to the left","")</f>
        <v/>
      </c>
      <c r="H222" s="713"/>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hidden="1" customHeight="1" x14ac:dyDescent="0.3">
      <c r="A223" s="108">
        <v>988</v>
      </c>
      <c r="B223" s="832" t="s">
        <v>709</v>
      </c>
      <c r="C223" s="832"/>
      <c r="D223" s="761" t="s">
        <v>941</v>
      </c>
      <c r="E223" s="673" t="s">
        <v>710</v>
      </c>
      <c r="F223" s="295"/>
      <c r="G223" s="734"/>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hidden="1" customHeight="1" x14ac:dyDescent="0.3">
      <c r="A224" s="108">
        <v>989</v>
      </c>
      <c r="B224" s="832" t="s">
        <v>709</v>
      </c>
      <c r="C224" s="832"/>
      <c r="D224" s="761" t="s">
        <v>1196</v>
      </c>
      <c r="E224" s="673" t="s">
        <v>738</v>
      </c>
      <c r="F224" s="295"/>
      <c r="G224" s="734"/>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hidden="1" x14ac:dyDescent="0.3">
      <c r="A225" s="108"/>
      <c r="B225" s="879"/>
      <c r="C225" s="879"/>
      <c r="D225" s="880"/>
      <c r="E225" s="881"/>
      <c r="F225" s="882"/>
      <c r="G225" s="883"/>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hidden="1" customHeight="1" x14ac:dyDescent="0.3">
      <c r="A226" s="108"/>
      <c r="B226" s="563"/>
      <c r="C226" s="563"/>
      <c r="D226" s="763" t="s">
        <v>1142</v>
      </c>
      <c r="E226" s="1"/>
      <c r="F226" s="376"/>
      <c r="G226" s="744"/>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hidden="1" customHeight="1" x14ac:dyDescent="0.3">
      <c r="A227" s="108"/>
      <c r="B227" s="563"/>
      <c r="C227" s="563"/>
      <c r="D227" s="24" t="s">
        <v>1143</v>
      </c>
      <c r="E227" s="1"/>
      <c r="F227" s="376"/>
      <c r="G227" s="744"/>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hidden="1" customHeight="1" x14ac:dyDescent="0.3">
      <c r="A228" s="108">
        <v>327</v>
      </c>
      <c r="B228" s="675" t="s">
        <v>37</v>
      </c>
      <c r="C228" s="675" t="s">
        <v>174</v>
      </c>
      <c r="D228" s="764" t="s">
        <v>1144</v>
      </c>
      <c r="E228" s="673" t="e">
        <f>HLOOKUP($D$2,'2020 Data(H)'!$C$1:$AR$426,94,FALSE)</f>
        <v>#N/A</v>
      </c>
      <c r="F228" s="274">
        <v>0</v>
      </c>
      <c r="G228" s="744"/>
      <c r="H228" s="17"/>
      <c r="I228" s="736"/>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hidden="1" customHeight="1" x14ac:dyDescent="0.3">
      <c r="A229" s="108">
        <v>328</v>
      </c>
      <c r="B229" s="675" t="s">
        <v>37</v>
      </c>
      <c r="C229" s="675" t="s">
        <v>174</v>
      </c>
      <c r="D229" s="30" t="s">
        <v>7</v>
      </c>
      <c r="E229" s="673" t="e">
        <f>HLOOKUP($D$2,'2020 Data(H)'!$C$1:$AR$426,95,FALSE)</f>
        <v>#N/A</v>
      </c>
      <c r="F229" s="274">
        <v>0</v>
      </c>
      <c r="G229" s="744"/>
      <c r="H229" s="17"/>
      <c r="I229" s="736"/>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hidden="1" customHeight="1" x14ac:dyDescent="0.3">
      <c r="A230" s="108"/>
      <c r="B230" s="563"/>
      <c r="C230" s="563"/>
      <c r="D230" s="31" t="s">
        <v>1145</v>
      </c>
      <c r="E230" s="101" t="e">
        <f>SUM(E228:E229)</f>
        <v>#N/A</v>
      </c>
      <c r="F230" s="101">
        <f>SUM(F228:F229)</f>
        <v>0</v>
      </c>
      <c r="G230" s="744"/>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hidden="1" x14ac:dyDescent="0.3">
      <c r="A231" s="108"/>
      <c r="B231" s="563"/>
      <c r="C231" s="563"/>
      <c r="D231" s="24" t="s">
        <v>1146</v>
      </c>
      <c r="E231" s="1"/>
      <c r="F231" s="376"/>
      <c r="G231" s="744"/>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hidden="1" customHeight="1" x14ac:dyDescent="0.3">
      <c r="A232" s="108"/>
      <c r="B232" s="563"/>
      <c r="C232" s="563"/>
      <c r="D232" s="28" t="s">
        <v>9</v>
      </c>
      <c r="F232" s="765"/>
      <c r="G232" s="744"/>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hidden="1" customHeight="1" x14ac:dyDescent="0.3">
      <c r="A233" s="108">
        <v>515</v>
      </c>
      <c r="B233" s="675" t="s">
        <v>301</v>
      </c>
      <c r="C233" s="675" t="s">
        <v>175</v>
      </c>
      <c r="D233" s="32" t="s">
        <v>3</v>
      </c>
      <c r="E233" s="673" t="e">
        <f>HLOOKUP($D$2,'2020 Data(H)'!$C$1:$AR$426,165,FALSE)</f>
        <v>#N/A</v>
      </c>
      <c r="F233" s="295">
        <v>0</v>
      </c>
      <c r="G233" s="734"/>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hidden="1" customHeight="1" x14ac:dyDescent="0.3">
      <c r="A234" s="108">
        <v>516</v>
      </c>
      <c r="B234" s="675" t="s">
        <v>301</v>
      </c>
      <c r="C234" s="675" t="s">
        <v>175</v>
      </c>
      <c r="D234" s="32" t="s">
        <v>4</v>
      </c>
      <c r="E234" s="673" t="e">
        <f>HLOOKUP($D$2,'2020 Data(H)'!$C$1:$AR$426,166,FALSE)</f>
        <v>#N/A</v>
      </c>
      <c r="F234" s="295">
        <v>0</v>
      </c>
      <c r="G234" s="734"/>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hidden="1" customHeight="1" x14ac:dyDescent="0.3">
      <c r="A235" s="108">
        <v>517</v>
      </c>
      <c r="B235" s="675" t="s">
        <v>301</v>
      </c>
      <c r="C235" s="675" t="s">
        <v>175</v>
      </c>
      <c r="D235" s="32" t="s">
        <v>5</v>
      </c>
      <c r="E235" s="673" t="e">
        <f>HLOOKUP($D$2,'2020 Data(H)'!$C$1:$AR$426,167,FALSE)</f>
        <v>#N/A</v>
      </c>
      <c r="F235" s="295">
        <v>0</v>
      </c>
      <c r="G235" s="734"/>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hidden="1" customHeight="1" x14ac:dyDescent="0.3">
      <c r="A236" s="108">
        <v>518</v>
      </c>
      <c r="B236" s="675" t="s">
        <v>301</v>
      </c>
      <c r="C236" s="675" t="s">
        <v>175</v>
      </c>
      <c r="D236" s="32" t="s">
        <v>39</v>
      </c>
      <c r="E236" s="673" t="e">
        <f>HLOOKUP($D$2,'2020 Data(H)'!$C$1:$AR$426,168,FALSE)</f>
        <v>#N/A</v>
      </c>
      <c r="F236" s="295">
        <v>0</v>
      </c>
      <c r="G236" s="734"/>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hidden="1" customHeight="1" x14ac:dyDescent="0.3">
      <c r="A237" s="299"/>
      <c r="B237" s="563"/>
      <c r="C237" s="563"/>
      <c r="D237" s="766" t="s">
        <v>1147</v>
      </c>
      <c r="E237" s="101" t="e">
        <f>SUM(E233:E236)</f>
        <v>#N/A</v>
      </c>
      <c r="F237" s="101">
        <f>SUM(F233:F236)</f>
        <v>0</v>
      </c>
      <c r="G237" s="744"/>
      <c r="H237" s="17"/>
      <c r="I237" s="79"/>
      <c r="Z237" s="299"/>
      <c r="AA237" s="299"/>
      <c r="AB237" s="299"/>
      <c r="AC237" s="299"/>
      <c r="AD237" s="299"/>
      <c r="AE237" s="299"/>
      <c r="AF237" s="299"/>
      <c r="AG237" s="299"/>
      <c r="AH237" s="299"/>
      <c r="AI237" s="299"/>
      <c r="AJ237" s="299"/>
      <c r="AK237" s="299"/>
      <c r="AL237" s="299"/>
      <c r="AM237" s="299"/>
      <c r="AN237" s="299"/>
      <c r="AO237" s="299"/>
      <c r="AP237" s="299"/>
      <c r="AQ237" s="299"/>
      <c r="AR237" s="299"/>
    </row>
    <row r="238" spans="1:44" ht="30.75" hidden="1" customHeight="1" x14ac:dyDescent="0.3">
      <c r="A238" s="108"/>
      <c r="B238" s="563"/>
      <c r="C238" s="563"/>
      <c r="D238" s="28" t="s">
        <v>48</v>
      </c>
      <c r="E238" s="1"/>
      <c r="F238" s="376"/>
      <c r="G238" s="744"/>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hidden="1" customHeight="1" x14ac:dyDescent="0.3">
      <c r="A239" s="108">
        <v>519</v>
      </c>
      <c r="B239" s="675" t="s">
        <v>37</v>
      </c>
      <c r="C239" s="675" t="s">
        <v>176</v>
      </c>
      <c r="D239" s="32" t="s">
        <v>14</v>
      </c>
      <c r="E239" s="673" t="e">
        <f>HLOOKUP($D$2,'2020 Data(H)'!$C$1:$AR$426,169,FALSE)</f>
        <v>#N/A</v>
      </c>
      <c r="F239" s="295">
        <v>0</v>
      </c>
      <c r="G239" s="734">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hidden="1" customHeight="1" x14ac:dyDescent="0.3">
      <c r="A240" s="108">
        <v>520</v>
      </c>
      <c r="B240" s="675" t="s">
        <v>37</v>
      </c>
      <c r="C240" s="675" t="s">
        <v>176</v>
      </c>
      <c r="D240" s="32" t="s">
        <v>16</v>
      </c>
      <c r="E240" s="673" t="e">
        <f>HLOOKUP($D$2,'2020 Data(H)'!$C$1:$AR$426,170,FALSE)</f>
        <v>#N/A</v>
      </c>
      <c r="F240" s="295">
        <v>0</v>
      </c>
      <c r="G240" s="734">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hidden="1" customHeight="1" x14ac:dyDescent="0.3">
      <c r="A241" s="108">
        <v>521</v>
      </c>
      <c r="B241" s="675" t="s">
        <v>37</v>
      </c>
      <c r="C241" s="675" t="s">
        <v>176</v>
      </c>
      <c r="D241" s="32" t="s">
        <v>18</v>
      </c>
      <c r="E241" s="673" t="e">
        <f>HLOOKUP($D$2,'2020 Data(H)'!$C$1:$AR$426,171,FALSE)</f>
        <v>#N/A</v>
      </c>
      <c r="F241" s="295">
        <v>0</v>
      </c>
      <c r="G241" s="734">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hidden="1" customHeight="1" x14ac:dyDescent="0.3">
      <c r="A242" s="108">
        <v>522</v>
      </c>
      <c r="B242" s="675" t="s">
        <v>37</v>
      </c>
      <c r="C242" s="675" t="s">
        <v>176</v>
      </c>
      <c r="D242" s="32" t="s">
        <v>40</v>
      </c>
      <c r="E242" s="673" t="e">
        <f>HLOOKUP($D$2,'2020 Data(H)'!$C$1:$AR$426,172,FALSE)</f>
        <v>#N/A</v>
      </c>
      <c r="F242" s="295">
        <v>0</v>
      </c>
      <c r="G242" s="734">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hidden="1" customHeight="1" x14ac:dyDescent="0.3">
      <c r="A243" s="6"/>
      <c r="B243" s="563"/>
      <c r="C243" s="563"/>
      <c r="D243" s="767"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hidden="1" customHeight="1" x14ac:dyDescent="0.3">
      <c r="A244" s="6"/>
      <c r="B244" s="563"/>
      <c r="C244" s="563"/>
      <c r="D244" s="28" t="s">
        <v>32</v>
      </c>
      <c r="E244" s="6"/>
      <c r="F244" s="768"/>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hidden="1" customHeight="1" x14ac:dyDescent="0.3">
      <c r="A245" s="108">
        <v>523</v>
      </c>
      <c r="B245" s="675" t="s">
        <v>301</v>
      </c>
      <c r="C245" s="675" t="s">
        <v>177</v>
      </c>
      <c r="D245" s="32" t="s">
        <v>15</v>
      </c>
      <c r="E245" s="673" t="e">
        <f>HLOOKUP($D$2,'2020 Data(H)'!$C$1:$AR$426,173,FALSE)</f>
        <v>#N/A</v>
      </c>
      <c r="F245" s="295">
        <v>0</v>
      </c>
      <c r="G245" s="734">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hidden="1" customHeight="1" x14ac:dyDescent="0.3">
      <c r="A246" s="108">
        <v>524</v>
      </c>
      <c r="B246" s="675" t="s">
        <v>301</v>
      </c>
      <c r="C246" s="675" t="s">
        <v>177</v>
      </c>
      <c r="D246" s="32" t="s">
        <v>17</v>
      </c>
      <c r="E246" s="673" t="e">
        <f>HLOOKUP($D$2,'2020 Data(H)'!$C$1:$AR$426,174,FALSE)</f>
        <v>#N/A</v>
      </c>
      <c r="F246" s="295">
        <v>0</v>
      </c>
      <c r="G246" s="734">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hidden="1" customHeight="1" x14ac:dyDescent="0.3">
      <c r="A247" s="108">
        <v>525</v>
      </c>
      <c r="B247" s="675" t="s">
        <v>301</v>
      </c>
      <c r="C247" s="675" t="s">
        <v>177</v>
      </c>
      <c r="D247" s="32" t="s">
        <v>19</v>
      </c>
      <c r="E247" s="673" t="e">
        <f>HLOOKUP($D$2,'2020 Data(H)'!$C$1:$AR$426,175,FALSE)</f>
        <v>#N/A</v>
      </c>
      <c r="F247" s="295">
        <v>0</v>
      </c>
      <c r="G247" s="734">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hidden="1" customHeight="1" x14ac:dyDescent="0.3">
      <c r="A248" s="108">
        <v>526</v>
      </c>
      <c r="B248" s="675" t="s">
        <v>301</v>
      </c>
      <c r="C248" s="675" t="s">
        <v>177</v>
      </c>
      <c r="D248" s="32" t="s">
        <v>41</v>
      </c>
      <c r="E248" s="673" t="e">
        <f>HLOOKUP($D$2,'2020 Data(H)'!$C$1:$AR$426,176,FALSE)</f>
        <v>#N/A</v>
      </c>
      <c r="F248" s="295">
        <v>0</v>
      </c>
      <c r="G248" s="734">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hidden="1" customHeight="1" x14ac:dyDescent="0.3">
      <c r="A249" s="108"/>
      <c r="B249" s="834"/>
      <c r="C249" s="834"/>
      <c r="D249" s="767" t="s">
        <v>33</v>
      </c>
      <c r="E249" s="101" t="e">
        <f>SUM(E245:E248)</f>
        <v>#N/A</v>
      </c>
      <c r="F249" s="101">
        <f>SUM(F245:F248)</f>
        <v>0</v>
      </c>
      <c r="G249" s="744"/>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hidden="1" customHeight="1" x14ac:dyDescent="0.3">
      <c r="A250" s="108"/>
      <c r="B250" s="834"/>
      <c r="C250" s="834"/>
      <c r="D250" s="769" t="s">
        <v>35</v>
      </c>
      <c r="E250" s="101" t="e">
        <f>E230+E237-E249</f>
        <v>#N/A</v>
      </c>
      <c r="F250" s="101">
        <f>F230+F237-F249</f>
        <v>0</v>
      </c>
      <c r="G250" s="744"/>
      <c r="H250" s="17"/>
      <c r="I250" s="79"/>
      <c r="J250" s="579"/>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hidden="1" customHeight="1" x14ac:dyDescent="0.3">
      <c r="A251" s="108"/>
      <c r="B251" s="563"/>
      <c r="C251" s="563"/>
      <c r="D251" s="760"/>
      <c r="E251" s="1"/>
      <c r="F251" s="376"/>
      <c r="G251" s="744"/>
      <c r="H251" s="17"/>
      <c r="I251" s="79"/>
      <c r="J251" s="579"/>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hidden="1" customHeight="1" x14ac:dyDescent="0.3">
      <c r="A252" s="108"/>
      <c r="B252" s="879"/>
      <c r="C252" s="879"/>
      <c r="D252" s="870" t="s">
        <v>8</v>
      </c>
      <c r="E252" s="881"/>
      <c r="F252" s="882"/>
      <c r="G252" s="883"/>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hidden="1" customHeight="1" x14ac:dyDescent="0.3">
      <c r="A253" s="108">
        <v>527</v>
      </c>
      <c r="B253" s="675" t="s">
        <v>58</v>
      </c>
      <c r="C253" s="675" t="s">
        <v>178</v>
      </c>
      <c r="D253" s="29" t="s">
        <v>1148</v>
      </c>
      <c r="E253" s="673" t="e">
        <f>HLOOKUP($D$2,'2020 Data(H)'!$C$1:$AR$426,177,FALSE)</f>
        <v>#N/A</v>
      </c>
      <c r="F253" s="295">
        <v>0</v>
      </c>
      <c r="G253" s="744"/>
      <c r="H253" s="17"/>
      <c r="I253" s="736"/>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hidden="1" customHeight="1" x14ac:dyDescent="0.3">
      <c r="A254" s="108">
        <v>356</v>
      </c>
      <c r="B254" s="675" t="s">
        <v>66</v>
      </c>
      <c r="C254" s="675" t="s">
        <v>178</v>
      </c>
      <c r="D254" s="107" t="s">
        <v>20</v>
      </c>
      <c r="E254" s="673" t="e">
        <f>HLOOKUP($D$2,'2020 Data(H)'!$C$1:$AR$426,118,FALSE)</f>
        <v>#N/A</v>
      </c>
      <c r="F254" s="295">
        <v>0</v>
      </c>
      <c r="G254" s="744"/>
      <c r="H254" s="17"/>
      <c r="I254" s="736"/>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hidden="1" customHeight="1" x14ac:dyDescent="0.3">
      <c r="A255" s="108">
        <v>357</v>
      </c>
      <c r="B255" s="675" t="s">
        <v>56</v>
      </c>
      <c r="C255" s="675" t="s">
        <v>179</v>
      </c>
      <c r="D255" s="107" t="s">
        <v>21</v>
      </c>
      <c r="E255" s="673" t="e">
        <f>HLOOKUP($D$2,'2020 Data(H)'!$C$1:$AR$426,119,FALSE)</f>
        <v>#N/A</v>
      </c>
      <c r="F255" s="295">
        <v>0</v>
      </c>
      <c r="G255" s="734">
        <f>IF(F255&lt;0,"Error: Enter as positive.",)</f>
        <v>0</v>
      </c>
      <c r="H255" s="17"/>
      <c r="I255" s="736"/>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hidden="1" customHeight="1" x14ac:dyDescent="0.3">
      <c r="A256" s="108"/>
      <c r="B256" s="868" t="s">
        <v>10</v>
      </c>
      <c r="C256" s="869"/>
      <c r="D256" s="844"/>
      <c r="E256" s="845"/>
      <c r="F256" s="884"/>
      <c r="G256" s="865"/>
      <c r="H256" s="17"/>
      <c r="I256" s="79"/>
      <c r="N256" s="297"/>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hidden="1" customHeight="1" x14ac:dyDescent="0.3">
      <c r="A257" s="108">
        <v>337</v>
      </c>
      <c r="B257" s="4" t="s">
        <v>56</v>
      </c>
      <c r="C257" s="4" t="s">
        <v>1149</v>
      </c>
      <c r="D257" s="24" t="s">
        <v>945</v>
      </c>
      <c r="E257" s="673" t="e">
        <f>HLOOKUP($D$2,'2020 Data(H)'!$C$1:$AR$426,103,FALSE)</f>
        <v>#N/A</v>
      </c>
      <c r="F257" s="295">
        <v>0</v>
      </c>
      <c r="G257" s="734">
        <f>IF(F257&lt;0,"Error: Enter as positive.",)</f>
        <v>0</v>
      </c>
      <c r="H257" s="17"/>
      <c r="I257" s="79"/>
      <c r="N257" s="297"/>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hidden="1" customHeight="1" x14ac:dyDescent="0.3">
      <c r="A258" s="108">
        <v>343</v>
      </c>
      <c r="B258" s="4" t="s">
        <v>56</v>
      </c>
      <c r="C258" s="4" t="s">
        <v>370</v>
      </c>
      <c r="D258" s="29" t="s">
        <v>1150</v>
      </c>
      <c r="E258" s="673" t="e">
        <f>HLOOKUP($D$2,'2020 Data(H)'!$C$1:$AR$426,109,FALSE)</f>
        <v>#N/A</v>
      </c>
      <c r="F258" s="295">
        <v>0</v>
      </c>
      <c r="G258" s="734">
        <f>IF(F258&lt;0,"Error: Enter as positive.",)</f>
        <v>0</v>
      </c>
      <c r="H258" s="17"/>
      <c r="I258" s="79"/>
      <c r="M258" s="98"/>
      <c r="N258" s="297"/>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hidden="1" customHeight="1" x14ac:dyDescent="0.3">
      <c r="A259" s="108">
        <v>82</v>
      </c>
      <c r="B259" s="4" t="s">
        <v>61</v>
      </c>
      <c r="C259" s="4" t="s">
        <v>1151</v>
      </c>
      <c r="D259" s="24" t="s">
        <v>527</v>
      </c>
      <c r="E259" s="673" t="e">
        <f>HLOOKUP($D$2,'2020 Data(H)'!$C$1:$AR$426,46,FALSE)</f>
        <v>#N/A</v>
      </c>
      <c r="F259" s="295">
        <v>0</v>
      </c>
      <c r="G259" s="734">
        <f>IF(F259&lt;0,"Error: Enter as positive.",)</f>
        <v>0</v>
      </c>
      <c r="H259" s="17"/>
      <c r="I259" s="770"/>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hidden="1" customHeight="1" x14ac:dyDescent="0.3">
      <c r="A260" s="108">
        <v>359</v>
      </c>
      <c r="B260" s="4" t="s">
        <v>56</v>
      </c>
      <c r="C260" s="4" t="s">
        <v>1152</v>
      </c>
      <c r="D260" s="24" t="s">
        <v>527</v>
      </c>
      <c r="E260" s="673" t="e">
        <f>HLOOKUP($D$2,'2020 Data(H)'!$C$1:$AR$426,120,FALSE)</f>
        <v>#N/A</v>
      </c>
      <c r="F260" s="295">
        <v>0</v>
      </c>
      <c r="G260" s="734">
        <f>IF(F260&lt;0,"Error: Enter as positive.",)</f>
        <v>0</v>
      </c>
      <c r="H260" s="17"/>
      <c r="I260" s="770"/>
      <c r="J260" s="579"/>
      <c r="L260" s="771"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73" customFormat="1" ht="33" customHeight="1" x14ac:dyDescent="0.3">
      <c r="A261" s="108"/>
      <c r="B261" s="830" t="s">
        <v>399</v>
      </c>
      <c r="C261" s="831"/>
      <c r="D261" s="96"/>
      <c r="E261" s="772"/>
      <c r="F261" s="758"/>
      <c r="G261" s="733"/>
      <c r="H261" s="17"/>
      <c r="I261" s="770"/>
      <c r="J261" s="18"/>
      <c r="K261" s="18"/>
      <c r="L261" s="18"/>
      <c r="M261" s="18"/>
      <c r="N261" s="297"/>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73" customFormat="1" ht="110.25" customHeight="1" x14ac:dyDescent="0.3">
      <c r="A262" s="124">
        <v>622</v>
      </c>
      <c r="B262" s="774" t="s">
        <v>347</v>
      </c>
      <c r="C262" s="124" t="s">
        <v>398</v>
      </c>
      <c r="D262" s="124" t="s">
        <v>1045</v>
      </c>
      <c r="E262" s="673" t="e">
        <f>HLOOKUP($D$2,'2020 Data(H)'!$C$1:$AR$426,282,FALSE)</f>
        <v>#N/A</v>
      </c>
      <c r="F262" s="295">
        <v>0</v>
      </c>
      <c r="G262" s="734"/>
      <c r="H262" s="17"/>
      <c r="I262" s="770"/>
      <c r="J262" s="18"/>
      <c r="K262" s="18"/>
      <c r="L262" s="18"/>
      <c r="M262" s="18"/>
      <c r="N262" s="297"/>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73" customFormat="1" ht="225" customHeight="1" x14ac:dyDescent="0.3">
      <c r="A263" s="108">
        <v>577</v>
      </c>
      <c r="B263" s="675"/>
      <c r="C263" s="675" t="s">
        <v>316</v>
      </c>
      <c r="D263" s="353" t="s">
        <v>367</v>
      </c>
      <c r="E263" s="1079"/>
      <c r="F263" s="295"/>
      <c r="G263" s="1080" t="str">
        <f>IF(F263="Yes","In this cell - Please include the name of the plan, a brief description of the benefit and the population group that received the benefits."," ")</f>
        <v xml:space="preserve"> </v>
      </c>
      <c r="H263" s="17"/>
      <c r="I263" s="770"/>
      <c r="J263" s="579"/>
      <c r="K263" s="18"/>
      <c r="L263" s="18"/>
      <c r="M263" s="18"/>
      <c r="N263" s="297"/>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73" customFormat="1" ht="30.75" hidden="1" customHeight="1" x14ac:dyDescent="0.3">
      <c r="A264" s="108"/>
      <c r="B264" s="830" t="s">
        <v>303</v>
      </c>
      <c r="C264" s="831"/>
      <c r="D264" s="96"/>
      <c r="E264" s="772"/>
      <c r="F264" s="775"/>
      <c r="G264" s="733"/>
      <c r="H264" s="17"/>
      <c r="I264" s="79"/>
      <c r="J264" s="18"/>
      <c r="K264" s="18"/>
      <c r="L264" s="18"/>
      <c r="M264" s="18"/>
      <c r="N264" s="297"/>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73" customFormat="1" ht="81.75" hidden="1" customHeight="1" x14ac:dyDescent="0.3">
      <c r="A265" s="108">
        <v>598</v>
      </c>
      <c r="B265" s="675" t="s">
        <v>59</v>
      </c>
      <c r="C265" s="675" t="s">
        <v>304</v>
      </c>
      <c r="D265" s="712" t="s">
        <v>371</v>
      </c>
      <c r="E265" s="673" t="e">
        <f>HLOOKUP($D$2,'2020 Data(H)'!$C$1:$AR$426,258,FALSE)</f>
        <v>#N/A</v>
      </c>
      <c r="F265" s="295">
        <v>0</v>
      </c>
      <c r="G265" s="734">
        <f>IF(F265&lt;0,"Error: Enter as positive.",)</f>
        <v>0</v>
      </c>
      <c r="H265" s="734"/>
      <c r="I265" s="770"/>
      <c r="J265" s="579"/>
      <c r="K265" s="18"/>
      <c r="L265" s="18"/>
      <c r="M265" s="18"/>
      <c r="N265" s="297"/>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73" customFormat="1" ht="53.25" hidden="1" customHeight="1" x14ac:dyDescent="0.3">
      <c r="A266" s="108">
        <v>599</v>
      </c>
      <c r="B266" s="675" t="s">
        <v>59</v>
      </c>
      <c r="C266" s="675" t="s">
        <v>304</v>
      </c>
      <c r="D266" s="29" t="s">
        <v>372</v>
      </c>
      <c r="E266" s="673" t="e">
        <f>HLOOKUP($D$2,'2020 Data(H)'!$C$1:$AR$426,259,FALSE)</f>
        <v>#N/A</v>
      </c>
      <c r="F266" s="295">
        <v>0</v>
      </c>
      <c r="G266" s="777" t="str">
        <f>IF(ISBLANK(F266),"Please do not leave blank","")</f>
        <v/>
      </c>
      <c r="H266" s="734">
        <f>IF(F266&lt;0,"Error: Enter as positive.",)</f>
        <v>0</v>
      </c>
      <c r="I266" s="79"/>
      <c r="J266" s="771"/>
      <c r="K266" s="18"/>
      <c r="L266" s="18"/>
      <c r="M266" s="18"/>
      <c r="N266" s="297"/>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73" customFormat="1" ht="78.75" hidden="1" customHeight="1" x14ac:dyDescent="0.3">
      <c r="A267" s="108">
        <v>602</v>
      </c>
      <c r="B267" s="675" t="s">
        <v>59</v>
      </c>
      <c r="C267" s="675" t="s">
        <v>304</v>
      </c>
      <c r="D267" s="107" t="s">
        <v>376</v>
      </c>
      <c r="E267" s="673" t="e">
        <f>HLOOKUP($D$2,'2020 Data(H)'!$C$1:$AR$426,262,FALSE)</f>
        <v>#N/A</v>
      </c>
      <c r="F267" s="295">
        <v>0</v>
      </c>
      <c r="G267" s="777" t="str">
        <f>IF(ISBLANK(F267),"Please do not leave blank","")</f>
        <v/>
      </c>
      <c r="H267" s="734">
        <f>IF(F267&lt;0,"Note: Number is normally positive.",)</f>
        <v>0</v>
      </c>
      <c r="I267" s="79"/>
      <c r="J267" s="579"/>
      <c r="K267" s="18"/>
      <c r="L267" s="18"/>
      <c r="M267" s="18"/>
      <c r="N267" s="297"/>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73" customFormat="1" ht="90" hidden="1" customHeight="1" x14ac:dyDescent="0.3">
      <c r="A268" s="108">
        <v>619</v>
      </c>
      <c r="B268" s="675" t="s">
        <v>59</v>
      </c>
      <c r="C268" s="675" t="s">
        <v>391</v>
      </c>
      <c r="D268" s="94" t="s">
        <v>395</v>
      </c>
      <c r="E268" s="35" t="e">
        <f>HLOOKUP($D$2,'2020 Data(H)'!$C$1:$AR$426,279,FALSE)</f>
        <v>#N/A</v>
      </c>
      <c r="F268" s="903">
        <v>0</v>
      </c>
      <c r="G268" s="777" t="str">
        <f>IF(ISBLANK(F268),"Please do not leave blank ",IF(F268=H268,"","Please review percentage"))</f>
        <v/>
      </c>
      <c r="H268" s="778">
        <f>ROUND(IFERROR((F267/F266)*100,0),1)</f>
        <v>0</v>
      </c>
      <c r="I268" s="297"/>
      <c r="J268" s="18"/>
      <c r="K268" s="18"/>
      <c r="L268" s="18"/>
      <c r="M268" s="18"/>
      <c r="N268" s="297"/>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68" t="s">
        <v>25</v>
      </c>
      <c r="C269" s="869"/>
      <c r="D269" s="871"/>
      <c r="E269" s="885"/>
      <c r="F269" s="886"/>
      <c r="G269" s="853"/>
      <c r="H269" s="17"/>
      <c r="I269" s="79"/>
      <c r="J269" s="579"/>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hidden="1" customHeight="1" x14ac:dyDescent="0.3">
      <c r="A270" s="125">
        <v>621</v>
      </c>
      <c r="B270" s="125" t="s">
        <v>347</v>
      </c>
      <c r="C270" s="124" t="s">
        <v>400</v>
      </c>
      <c r="D270" s="124" t="s">
        <v>1046</v>
      </c>
      <c r="E270" s="673" t="e">
        <f>HLOOKUP($D$2,'2020 Data(H)'!$C$1:$AR$426,281,FALSE)</f>
        <v>#N/A</v>
      </c>
      <c r="F270" s="295">
        <v>0</v>
      </c>
      <c r="G270" s="777" t="s">
        <v>1047</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75"/>
      <c r="C271" s="675" t="s">
        <v>167</v>
      </c>
      <c r="D271" s="672" t="s">
        <v>307</v>
      </c>
      <c r="E271" s="673" t="e">
        <f>HLOOKUP($D$2,'2020 Data(H)'!$C$1:$AR$426,197,FALSE)</f>
        <v>#N/A</v>
      </c>
      <c r="F271" s="742"/>
      <c r="G271" s="776" t="str">
        <f>IF(F271&lt;1,"Please answer this question","")</f>
        <v>Please answer this question</v>
      </c>
      <c r="H271" s="735"/>
      <c r="I271" s="736"/>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09">
        <v>659</v>
      </c>
      <c r="B272" s="828" t="s">
        <v>59</v>
      </c>
      <c r="C272" s="828" t="s">
        <v>386</v>
      </c>
      <c r="D272" s="312" t="s">
        <v>1048</v>
      </c>
      <c r="E272" s="673" t="e">
        <f>HLOOKUP($D$2,'2020 Data(H)'!$C$1:$AR$426,312,FALSE)</f>
        <v>#N/A</v>
      </c>
      <c r="F272" s="296">
        <v>0</v>
      </c>
      <c r="G272" s="777" t="s">
        <v>1049</v>
      </c>
      <c r="H272" s="734">
        <f>IF(F269&lt;0,"Error: Enter as positive.",)</f>
        <v>0</v>
      </c>
      <c r="I272" s="375"/>
      <c r="N272" s="297"/>
      <c r="Z272" s="309"/>
      <c r="AA272" s="309"/>
      <c r="AB272" s="309"/>
      <c r="AC272" s="309"/>
      <c r="AD272" s="309"/>
      <c r="AE272" s="309"/>
      <c r="AF272" s="309"/>
      <c r="AG272" s="309"/>
      <c r="AH272" s="309"/>
      <c r="AI272" s="309"/>
      <c r="AJ272" s="309"/>
      <c r="AK272" s="309"/>
      <c r="AL272" s="309"/>
      <c r="AM272" s="309"/>
      <c r="AN272" s="309"/>
      <c r="AO272" s="309"/>
      <c r="AP272" s="309"/>
      <c r="AQ272" s="309"/>
      <c r="AR272" s="309"/>
    </row>
    <row r="273" spans="1:44" ht="65.25" customHeight="1" x14ac:dyDescent="0.3">
      <c r="A273" s="309">
        <v>660</v>
      </c>
      <c r="B273" s="828" t="s">
        <v>59</v>
      </c>
      <c r="C273" s="828" t="s">
        <v>386</v>
      </c>
      <c r="D273" s="312" t="s">
        <v>1050</v>
      </c>
      <c r="E273" s="673" t="e">
        <f>HLOOKUP($D$2,'2020 Data(H)'!$C$1:$AR$426,313,FALSE)</f>
        <v>#N/A</v>
      </c>
      <c r="F273" s="296">
        <v>0</v>
      </c>
      <c r="G273" s="777" t="str">
        <f>IF(ISBLANK(F273),"Please do not leave blank","")</f>
        <v/>
      </c>
      <c r="H273" s="734">
        <f>IF(F270&lt;0,"Note: Number is normally positive.",)</f>
        <v>0</v>
      </c>
      <c r="I273" s="17"/>
      <c r="Z273" s="309"/>
      <c r="AA273" s="309"/>
      <c r="AB273" s="309"/>
      <c r="AC273" s="309"/>
      <c r="AD273" s="309"/>
      <c r="AE273" s="309"/>
      <c r="AF273" s="309"/>
      <c r="AG273" s="309"/>
      <c r="AH273" s="309"/>
      <c r="AI273" s="309"/>
      <c r="AJ273" s="309"/>
      <c r="AK273" s="309"/>
      <c r="AL273" s="309"/>
      <c r="AM273" s="309"/>
      <c r="AN273" s="309"/>
      <c r="AO273" s="309"/>
      <c r="AP273" s="309"/>
      <c r="AQ273" s="309"/>
      <c r="AR273" s="309"/>
    </row>
    <row r="274" spans="1:44" ht="94.5" customHeight="1" x14ac:dyDescent="0.3">
      <c r="A274" s="309">
        <v>661</v>
      </c>
      <c r="B274" s="828" t="s">
        <v>59</v>
      </c>
      <c r="C274" s="828" t="s">
        <v>390</v>
      </c>
      <c r="D274" s="640" t="s">
        <v>1051</v>
      </c>
      <c r="E274" s="377" t="e">
        <f>HLOOKUP($D$2,'2020 Data(H)'!$C$1:$AR$426,314,FALSE)</f>
        <v>#N/A</v>
      </c>
      <c r="F274" s="273">
        <v>0</v>
      </c>
      <c r="G274" s="777" t="str">
        <f>IF(ISBLANK(F274),"Please do not leave blank ",IF(F274=H274,"","Please review percentage"))</f>
        <v/>
      </c>
      <c r="H274" s="778">
        <f>ROUND(IFERROR((F273/F272)*100,0),1)</f>
        <v>0</v>
      </c>
      <c r="I274" s="778"/>
      <c r="Z274" s="309"/>
      <c r="AA274" s="309"/>
      <c r="AB274" s="309"/>
      <c r="AC274" s="309"/>
      <c r="AD274" s="309"/>
      <c r="AE274" s="309"/>
      <c r="AF274" s="309"/>
      <c r="AG274" s="309"/>
      <c r="AH274" s="309"/>
      <c r="AI274" s="309"/>
      <c r="AJ274" s="309"/>
      <c r="AK274" s="309"/>
      <c r="AL274" s="309"/>
      <c r="AM274" s="309"/>
      <c r="AN274" s="309"/>
      <c r="AO274" s="309"/>
      <c r="AP274" s="309"/>
      <c r="AQ274" s="309"/>
      <c r="AR274" s="309"/>
    </row>
    <row r="275" spans="1:44" ht="111.75" customHeight="1" x14ac:dyDescent="0.3">
      <c r="A275" s="108"/>
      <c r="B275" s="675"/>
      <c r="C275" s="675"/>
      <c r="D275" s="27" t="s">
        <v>26</v>
      </c>
      <c r="E275" s="677"/>
      <c r="F275" s="680"/>
      <c r="G275" s="777"/>
      <c r="H275" s="778"/>
      <c r="I275" s="779"/>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hidden="1" customHeight="1" x14ac:dyDescent="0.3">
      <c r="A276" s="108"/>
      <c r="B276" s="868" t="s">
        <v>27</v>
      </c>
      <c r="C276" s="869"/>
      <c r="D276" s="871"/>
      <c r="E276" s="885"/>
      <c r="F276" s="885"/>
      <c r="G276" s="853"/>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hidden="1" customHeight="1" x14ac:dyDescent="0.3">
      <c r="A277" s="33">
        <v>371</v>
      </c>
      <c r="B277" s="4" t="s">
        <v>56</v>
      </c>
      <c r="C277" s="4" t="s">
        <v>168</v>
      </c>
      <c r="D277" s="24" t="s">
        <v>1153</v>
      </c>
      <c r="E277" s="673" t="e">
        <f>HLOOKUP($D$2,'2020 Data(H)'!$C$1:$AR$426,132,FALSE)</f>
        <v>#N/A</v>
      </c>
      <c r="F277" s="296">
        <v>0</v>
      </c>
      <c r="G277" s="734">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hidden="1" customHeight="1" x14ac:dyDescent="0.3">
      <c r="A278" s="108">
        <v>513</v>
      </c>
      <c r="B278" s="826" t="s">
        <v>58</v>
      </c>
      <c r="C278" s="4" t="s">
        <v>168</v>
      </c>
      <c r="D278" s="24" t="s">
        <v>1154</v>
      </c>
      <c r="E278" s="673" t="e">
        <f>HLOOKUP($D$2,'2020 Data(H)'!$C$1:$AR$426,163,FALSE)</f>
        <v>#N/A</v>
      </c>
      <c r="F278" s="296">
        <v>0</v>
      </c>
      <c r="G278" s="734">
        <f>IF(F278&lt;0,"Error: Enter as positive.",)</f>
        <v>0</v>
      </c>
      <c r="H278" s="735"/>
      <c r="I278" s="736"/>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hidden="1" customHeight="1" x14ac:dyDescent="0.3">
      <c r="A279" s="108">
        <v>514</v>
      </c>
      <c r="B279" s="826" t="s">
        <v>58</v>
      </c>
      <c r="C279" s="4" t="s">
        <v>168</v>
      </c>
      <c r="D279" s="24" t="s">
        <v>1155</v>
      </c>
      <c r="E279" s="673" t="e">
        <f>HLOOKUP($D$2,'2020 Data(H)'!$C$1:$AR$426,164,FALSE)</f>
        <v>#N/A</v>
      </c>
      <c r="F279" s="296">
        <v>0</v>
      </c>
      <c r="G279" s="734">
        <f>IF(F279&lt;0,"Error: Enter as positive.",)</f>
        <v>0</v>
      </c>
      <c r="H279" s="17"/>
      <c r="I279" s="736"/>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hidden="1" customHeight="1" x14ac:dyDescent="0.3">
      <c r="A280" s="108">
        <v>990</v>
      </c>
      <c r="B280" s="835" t="s">
        <v>702</v>
      </c>
      <c r="C280" s="832" t="s">
        <v>168</v>
      </c>
      <c r="D280" s="761" t="s">
        <v>703</v>
      </c>
      <c r="E280" s="675" t="s">
        <v>679</v>
      </c>
      <c r="F280" s="296">
        <v>0</v>
      </c>
      <c r="G280" s="734"/>
      <c r="H280" s="17"/>
      <c r="I280" s="736"/>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08"/>
      <c r="B281" s="868" t="s">
        <v>28</v>
      </c>
      <c r="C281" s="869"/>
      <c r="D281" s="871"/>
      <c r="E281" s="885"/>
      <c r="F281" s="853"/>
      <c r="G281" s="853"/>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08">
        <v>6</v>
      </c>
      <c r="B282" s="4" t="s">
        <v>55</v>
      </c>
      <c r="C282" s="4" t="s">
        <v>169</v>
      </c>
      <c r="D282" s="24" t="s">
        <v>1156</v>
      </c>
      <c r="E282" s="673" t="e">
        <f>HLOOKUP($D$2,'2020 Data(H)'!$C$1:$AR$426,5,FALSE)</f>
        <v>#N/A</v>
      </c>
      <c r="F282" s="296">
        <v>0</v>
      </c>
      <c r="G282" s="734">
        <f>IF(F282&lt;0,"Error: Enter as positive.",)</f>
        <v>0</v>
      </c>
      <c r="H282" s="17"/>
      <c r="I282" s="79"/>
      <c r="J282" s="579"/>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hidden="1" customHeight="1" x14ac:dyDescent="0.3">
      <c r="A283" s="108"/>
      <c r="B283" s="868" t="s">
        <v>180</v>
      </c>
      <c r="C283" s="869"/>
      <c r="D283" s="871"/>
      <c r="E283" s="887"/>
      <c r="F283" s="863"/>
      <c r="G283" s="863"/>
      <c r="H283" s="735"/>
      <c r="I283" s="736"/>
      <c r="J283" s="579"/>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hidden="1" customHeight="1" x14ac:dyDescent="0.3">
      <c r="A284" s="108">
        <v>541</v>
      </c>
      <c r="B284" s="675" t="s">
        <v>59</v>
      </c>
      <c r="C284" s="675" t="s">
        <v>1157</v>
      </c>
      <c r="D284" s="672" t="s">
        <v>1158</v>
      </c>
      <c r="E284" s="673" t="e">
        <f>HLOOKUP($D$2,'2020 Data(H)'!$C$1:$AR$426,191,FALSE)</f>
        <v>#N/A</v>
      </c>
      <c r="F284" s="296">
        <v>0</v>
      </c>
      <c r="G284" s="734"/>
      <c r="H284" s="735"/>
      <c r="I284" s="736"/>
      <c r="J284" s="579"/>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hidden="1" customHeight="1" x14ac:dyDescent="0.3">
      <c r="A285" s="108"/>
      <c r="B285" s="869" t="s">
        <v>50</v>
      </c>
      <c r="C285" s="869"/>
      <c r="D285" s="871"/>
      <c r="E285" s="887"/>
      <c r="F285" s="883"/>
      <c r="G285" s="883"/>
      <c r="H285" s="735"/>
      <c r="I285" s="736"/>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hidden="1" customHeight="1" x14ac:dyDescent="0.3">
      <c r="A286" s="108">
        <v>542</v>
      </c>
      <c r="B286" s="675" t="s">
        <v>59</v>
      </c>
      <c r="C286" s="836" t="s">
        <v>1159</v>
      </c>
      <c r="D286" s="29" t="s">
        <v>170</v>
      </c>
      <c r="E286" s="673" t="e">
        <f>HLOOKUP($D$2,'2020 Data(H)'!$C$1:$AR$426,192,FALSE)</f>
        <v>#N/A</v>
      </c>
      <c r="F286" s="296">
        <v>0</v>
      </c>
      <c r="G286" s="734"/>
      <c r="H286" s="735"/>
      <c r="I286" s="780"/>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hidden="1" customHeight="1" x14ac:dyDescent="0.3">
      <c r="A287" s="108"/>
      <c r="B287" s="868" t="s">
        <v>1160</v>
      </c>
      <c r="C287" s="868"/>
      <c r="D287" s="844"/>
      <c r="E287" s="845"/>
      <c r="F287" s="865"/>
      <c r="G287" s="865"/>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hidden="1" customHeight="1" x14ac:dyDescent="0.3">
      <c r="A288" s="108"/>
      <c r="B288" s="888" t="s">
        <v>12</v>
      </c>
      <c r="C288" s="888"/>
      <c r="D288" s="844"/>
      <c r="E288" s="845"/>
      <c r="F288" s="889"/>
      <c r="G288" s="865"/>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hidden="1" customHeight="1" x14ac:dyDescent="0.3">
      <c r="A289" s="34">
        <v>528</v>
      </c>
      <c r="B289" s="675" t="s">
        <v>55</v>
      </c>
      <c r="C289" s="4" t="s">
        <v>171</v>
      </c>
      <c r="D289" s="612" t="s">
        <v>1197</v>
      </c>
      <c r="E289" s="673" t="e">
        <f>HLOOKUP($D$2,'2020 Data(H)'!$C$1:$AR$426,178,FALSE)</f>
        <v>#N/A</v>
      </c>
      <c r="F289" s="296">
        <v>0</v>
      </c>
      <c r="G289" s="734">
        <f>IF(F289="","Error: Unit must enter this information if they levy taxes.",)</f>
        <v>0</v>
      </c>
      <c r="H289" s="781"/>
      <c r="I289" s="79"/>
      <c r="J289" s="782"/>
      <c r="Z289" s="34"/>
      <c r="AA289" s="34"/>
      <c r="AB289" s="34"/>
      <c r="AC289" s="34"/>
      <c r="AD289" s="34"/>
      <c r="AE289" s="34"/>
      <c r="AF289" s="34"/>
      <c r="AG289" s="34"/>
      <c r="AH289" s="34"/>
      <c r="AI289" s="34"/>
      <c r="AJ289" s="34"/>
      <c r="AK289" s="34"/>
      <c r="AL289" s="34"/>
      <c r="AM289" s="34"/>
      <c r="AN289" s="34"/>
      <c r="AO289" s="34"/>
      <c r="AP289" s="34"/>
      <c r="AQ289" s="34"/>
      <c r="AR289" s="34"/>
    </row>
    <row r="290" spans="1:44" ht="69" hidden="1" customHeight="1" x14ac:dyDescent="0.3">
      <c r="A290" s="34">
        <v>529</v>
      </c>
      <c r="B290" s="675" t="s">
        <v>55</v>
      </c>
      <c r="C290" s="4" t="s">
        <v>171</v>
      </c>
      <c r="D290" s="612" t="s">
        <v>1161</v>
      </c>
      <c r="E290" s="673" t="e">
        <f>HLOOKUP($D$2,'2020 Data(H)'!$C$1:$AR$426,179,FALSE)</f>
        <v>#N/A</v>
      </c>
      <c r="F290" s="296">
        <v>0</v>
      </c>
      <c r="G290" s="734">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hidden="1" customHeight="1" x14ac:dyDescent="0.3">
      <c r="A291" s="34">
        <v>530</v>
      </c>
      <c r="B291" s="675" t="s">
        <v>55</v>
      </c>
      <c r="C291" s="4" t="s">
        <v>171</v>
      </c>
      <c r="D291" s="837" t="s">
        <v>1162</v>
      </c>
      <c r="E291" s="673" t="e">
        <f>HLOOKUP($D$2,'2020 Data(H)'!$C$1:$AR$426,180,FALSE)</f>
        <v>#N/A</v>
      </c>
      <c r="F291" s="296">
        <v>0</v>
      </c>
      <c r="G291" s="734">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hidden="1" customHeight="1" x14ac:dyDescent="0.3">
      <c r="A292" s="34">
        <v>531</v>
      </c>
      <c r="B292" s="675" t="s">
        <v>55</v>
      </c>
      <c r="C292" s="4" t="s">
        <v>171</v>
      </c>
      <c r="D292" s="837" t="s">
        <v>1163</v>
      </c>
      <c r="E292" s="673" t="e">
        <f>HLOOKUP($D$2,'2020 Data(H)'!$C$1:$AR$426,181,FALSE)</f>
        <v>#N/A</v>
      </c>
      <c r="F292" s="296">
        <v>0</v>
      </c>
      <c r="G292" s="734">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hidden="1" customHeight="1" x14ac:dyDescent="0.3">
      <c r="A293" s="108">
        <v>61</v>
      </c>
      <c r="B293" s="4" t="s">
        <v>59</v>
      </c>
      <c r="C293" s="4" t="s">
        <v>171</v>
      </c>
      <c r="D293" s="29" t="s">
        <v>1164</v>
      </c>
      <c r="E293" s="35" t="e">
        <f>HLOOKUP($D$2,'2020 Data(H)'!$C$1:$AR$426,43,FALSE)</f>
        <v>#N/A</v>
      </c>
      <c r="F293" s="282">
        <v>0</v>
      </c>
      <c r="G293" s="734" t="e">
        <f>IF(F293=H293," ","Please check values in account 528, 529, 530 and  531.")</f>
        <v>#DIV/0!</v>
      </c>
      <c r="H293" s="783"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hidden="1" customHeight="1" x14ac:dyDescent="0.3">
      <c r="A294" s="108">
        <v>102</v>
      </c>
      <c r="B294" s="4" t="s">
        <v>59</v>
      </c>
      <c r="C294" s="4" t="s">
        <v>171</v>
      </c>
      <c r="D294" s="60" t="s">
        <v>1165</v>
      </c>
      <c r="E294" s="35" t="e">
        <f>HLOOKUP($D$2,'2020 Data(H)'!$C$1:$AR$426,62,FALSE)</f>
        <v>#N/A</v>
      </c>
      <c r="F294" s="282">
        <v>0</v>
      </c>
      <c r="G294" s="734" t="e">
        <f>IF(F294=H294," ","Please check values in account 528 and 530.")</f>
        <v>#DIV/0!</v>
      </c>
      <c r="H294" s="783"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hidden="1" customHeight="1" x14ac:dyDescent="0.3">
      <c r="A295" s="108">
        <v>103</v>
      </c>
      <c r="B295" s="4" t="s">
        <v>59</v>
      </c>
      <c r="C295" s="4" t="s">
        <v>171</v>
      </c>
      <c r="D295" s="29" t="s">
        <v>1166</v>
      </c>
      <c r="E295" s="35" t="e">
        <f>HLOOKUP($D$2,'2020 Data(H)'!$C$1:$AR$426,63,FALSE)</f>
        <v>#N/A</v>
      </c>
      <c r="F295" s="282">
        <v>0</v>
      </c>
      <c r="G295" s="734" t="e">
        <f>IF(F295=H295," ","Please check values in account 529 and 531.")</f>
        <v>#DIV/0!</v>
      </c>
      <c r="H295" s="783" t="e">
        <f>ROUND((F290-F292)/F290*100,2)</f>
        <v>#DIV/0!</v>
      </c>
      <c r="I295" s="79"/>
      <c r="M295" s="18" t="s">
        <v>680</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hidden="1" customHeight="1" x14ac:dyDescent="0.3">
      <c r="A296" s="108">
        <v>544</v>
      </c>
      <c r="B296" s="675" t="s">
        <v>59</v>
      </c>
      <c r="C296" s="675" t="s">
        <v>171</v>
      </c>
      <c r="D296" s="24" t="s">
        <v>1167</v>
      </c>
      <c r="E296" s="36" t="e">
        <f>HLOOKUP($D$2,'2020 Data(H)'!$C$1:$AR$426,194,FALSE)</f>
        <v>#N/A</v>
      </c>
      <c r="F296" s="366">
        <v>0</v>
      </c>
      <c r="G296" s="734"/>
      <c r="H296" s="17"/>
      <c r="I296" s="108"/>
      <c r="J296" s="838"/>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hidden="1" customHeight="1" x14ac:dyDescent="0.3">
      <c r="A297" s="108">
        <v>545</v>
      </c>
      <c r="B297" s="675" t="s">
        <v>59</v>
      </c>
      <c r="C297" s="675" t="s">
        <v>171</v>
      </c>
      <c r="D297" s="24" t="s">
        <v>1168</v>
      </c>
      <c r="E297" s="36"/>
      <c r="F297" s="366">
        <v>0</v>
      </c>
      <c r="G297" s="734"/>
      <c r="H297" s="17"/>
      <c r="I297" s="137"/>
      <c r="J297" s="838"/>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hidden="1" customHeight="1" x14ac:dyDescent="0.3">
      <c r="A298" s="125">
        <v>624</v>
      </c>
      <c r="B298" s="124" t="s">
        <v>59</v>
      </c>
      <c r="C298" s="124"/>
      <c r="D298" s="124" t="s">
        <v>401</v>
      </c>
      <c r="E298" s="36"/>
      <c r="F298" s="272"/>
      <c r="G298" s="776" t="str">
        <f>IF(+F298&lt;1,"Please answer this question","")</f>
        <v>Please answer this question</v>
      </c>
      <c r="H298" s="17"/>
      <c r="I298" s="108"/>
      <c r="J298" s="838"/>
      <c r="M298" s="18" t="s">
        <v>681</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hidden="1" customHeight="1" x14ac:dyDescent="0.3">
      <c r="A299" s="676">
        <v>648</v>
      </c>
      <c r="B299" s="316" t="s">
        <v>767</v>
      </c>
      <c r="C299" s="832" t="s">
        <v>171</v>
      </c>
      <c r="D299" s="316" t="s">
        <v>1030</v>
      </c>
      <c r="E299" s="675" t="s">
        <v>679</v>
      </c>
      <c r="F299" s="366">
        <v>0</v>
      </c>
      <c r="G299" s="776"/>
      <c r="H299" s="17"/>
      <c r="I299" s="108"/>
      <c r="J299" s="838"/>
      <c r="Z299" s="676"/>
      <c r="AA299" s="676"/>
      <c r="AB299" s="676"/>
      <c r="AC299" s="676"/>
      <c r="AD299" s="676"/>
      <c r="AE299" s="676"/>
      <c r="AF299" s="676"/>
      <c r="AG299" s="676"/>
      <c r="AH299" s="676"/>
      <c r="AI299" s="676"/>
      <c r="AJ299" s="676"/>
      <c r="AK299" s="676"/>
      <c r="AL299" s="676"/>
      <c r="AM299" s="676"/>
      <c r="AN299" s="676"/>
      <c r="AO299" s="676"/>
      <c r="AP299" s="676"/>
      <c r="AQ299" s="676"/>
      <c r="AR299" s="676"/>
    </row>
    <row r="300" spans="1:44" ht="171" hidden="1" customHeight="1" x14ac:dyDescent="0.3">
      <c r="A300" s="676">
        <v>991</v>
      </c>
      <c r="B300" s="315" t="s">
        <v>709</v>
      </c>
      <c r="C300" s="316"/>
      <c r="D300" s="784" t="s">
        <v>959</v>
      </c>
      <c r="E300" s="675" t="s">
        <v>679</v>
      </c>
      <c r="F300" s="272"/>
      <c r="G300" s="776"/>
      <c r="H300" s="785" t="s">
        <v>705</v>
      </c>
      <c r="I300" s="254"/>
      <c r="J300" s="838"/>
      <c r="M300" s="18" t="s">
        <v>706</v>
      </c>
      <c r="Z300" s="676"/>
      <c r="AA300" s="676"/>
      <c r="AB300" s="676"/>
      <c r="AC300" s="676"/>
      <c r="AD300" s="676"/>
      <c r="AE300" s="676"/>
      <c r="AF300" s="676"/>
      <c r="AG300" s="676"/>
      <c r="AH300" s="676"/>
      <c r="AI300" s="676"/>
      <c r="AJ300" s="676"/>
      <c r="AK300" s="676"/>
      <c r="AL300" s="676"/>
      <c r="AM300" s="676"/>
      <c r="AN300" s="676"/>
      <c r="AO300" s="676"/>
      <c r="AP300" s="676"/>
      <c r="AQ300" s="676"/>
      <c r="AR300" s="676"/>
    </row>
    <row r="301" spans="1:44" ht="27.75" hidden="1" customHeight="1" x14ac:dyDescent="0.3">
      <c r="A301" s="108"/>
      <c r="B301" s="868" t="s">
        <v>393</v>
      </c>
      <c r="C301" s="868"/>
      <c r="D301" s="868"/>
      <c r="E301" s="890"/>
      <c r="F301" s="890"/>
      <c r="G301" s="891"/>
      <c r="H301" s="17"/>
      <c r="I301" s="108"/>
      <c r="J301" s="838"/>
      <c r="M301" s="18" t="s">
        <v>707</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hidden="1" customHeight="1" x14ac:dyDescent="0.3">
      <c r="A302" s="108">
        <v>620</v>
      </c>
      <c r="B302" s="675" t="s">
        <v>59</v>
      </c>
      <c r="C302" s="675"/>
      <c r="D302" s="24" t="s">
        <v>392</v>
      </c>
      <c r="E302" s="911"/>
      <c r="F302" s="272"/>
      <c r="G302" s="776" t="str">
        <f>IF(F302&lt;1,"Please answer this question","")</f>
        <v>Please answer this question</v>
      </c>
      <c r="H302" s="17"/>
      <c r="I302" s="108"/>
      <c r="J302" s="838"/>
      <c r="M302" s="18" t="s">
        <v>708</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39"/>
      <c r="B303" s="1128" t="s">
        <v>535</v>
      </c>
      <c r="C303" s="1128"/>
      <c r="D303" s="1128"/>
      <c r="E303" s="904"/>
      <c r="F303" s="904"/>
      <c r="G303" s="904"/>
      <c r="H303" s="17"/>
      <c r="I303" s="108"/>
      <c r="J303" s="838"/>
      <c r="M303" s="18" t="s">
        <v>540</v>
      </c>
      <c r="Z303" s="839"/>
      <c r="AA303" s="839"/>
      <c r="AB303" s="839"/>
      <c r="AC303" s="839"/>
      <c r="AD303" s="839"/>
      <c r="AE303" s="839"/>
      <c r="AF303" s="839"/>
      <c r="AG303" s="839"/>
      <c r="AH303" s="839"/>
      <c r="AI303" s="839"/>
      <c r="AJ303" s="839"/>
      <c r="AK303" s="839"/>
      <c r="AL303" s="839"/>
      <c r="AM303" s="839"/>
      <c r="AN303" s="839"/>
      <c r="AO303" s="839"/>
      <c r="AP303" s="839"/>
      <c r="AQ303" s="839"/>
      <c r="AR303" s="839"/>
    </row>
    <row r="304" spans="1:44" ht="63" customHeight="1" x14ac:dyDescent="0.3">
      <c r="A304" s="1108">
        <v>947</v>
      </c>
      <c r="B304" s="840"/>
      <c r="C304" s="840"/>
      <c r="D304" s="174" t="s">
        <v>488</v>
      </c>
      <c r="E304" s="678"/>
      <c r="F304" s="786"/>
      <c r="G304" s="776" t="str">
        <f>IF(ISBLANK(F304),"Please do not leave blank","")</f>
        <v>Please do not leave blank</v>
      </c>
      <c r="H304" s="17"/>
      <c r="I304" s="297"/>
      <c r="J304" s="713"/>
      <c r="K304" s="297"/>
      <c r="L304" s="297"/>
      <c r="M304" s="297"/>
      <c r="O304" s="297"/>
      <c r="Z304" s="309"/>
      <c r="AA304" s="309"/>
      <c r="AB304" s="309"/>
      <c r="AC304" s="309"/>
      <c r="AD304" s="309"/>
      <c r="AE304" s="309"/>
      <c r="AF304" s="309"/>
      <c r="AG304" s="309"/>
      <c r="AH304" s="309"/>
      <c r="AI304" s="309"/>
      <c r="AJ304" s="309"/>
      <c r="AK304" s="309"/>
      <c r="AL304" s="309"/>
      <c r="AM304" s="309"/>
      <c r="AN304" s="309"/>
      <c r="AO304" s="309"/>
      <c r="AP304" s="309"/>
      <c r="AQ304" s="309"/>
      <c r="AR304" s="309"/>
    </row>
    <row r="305" spans="1:44" ht="65.25" customHeight="1" x14ac:dyDescent="0.3">
      <c r="A305" s="1108">
        <v>948</v>
      </c>
      <c r="B305" s="840"/>
      <c r="C305" s="840"/>
      <c r="D305" s="174" t="s">
        <v>489</v>
      </c>
      <c r="E305" s="678"/>
      <c r="F305" s="786"/>
      <c r="G305" s="776" t="str">
        <f t="shared" ref="G305:G311" si="3">IF(ISBLANK(F305),"Please do not leave blank","")</f>
        <v>Please do not leave blank</v>
      </c>
      <c r="H305" s="17"/>
      <c r="I305" s="297"/>
      <c r="J305" s="713"/>
      <c r="K305" s="297"/>
      <c r="L305" s="297"/>
      <c r="M305" s="297"/>
      <c r="O305" s="297"/>
      <c r="Z305" s="309"/>
      <c r="AA305" s="309"/>
      <c r="AB305" s="309"/>
      <c r="AC305" s="309"/>
      <c r="AD305" s="309"/>
      <c r="AE305" s="309"/>
      <c r="AF305" s="309"/>
      <c r="AG305" s="309"/>
      <c r="AH305" s="309"/>
      <c r="AI305" s="309"/>
      <c r="AJ305" s="309"/>
      <c r="AK305" s="309"/>
      <c r="AL305" s="309"/>
      <c r="AM305" s="309"/>
      <c r="AN305" s="309"/>
      <c r="AO305" s="309"/>
      <c r="AP305" s="309"/>
      <c r="AQ305" s="309"/>
      <c r="AR305" s="309"/>
    </row>
    <row r="306" spans="1:44" ht="76.5" customHeight="1" x14ac:dyDescent="0.3">
      <c r="A306" s="1108">
        <v>949</v>
      </c>
      <c r="B306" s="840"/>
      <c r="C306" s="840"/>
      <c r="D306" s="174" t="s">
        <v>490</v>
      </c>
      <c r="E306" s="678"/>
      <c r="F306" s="786"/>
      <c r="G306" s="776" t="str">
        <f t="shared" si="3"/>
        <v>Please do not leave blank</v>
      </c>
      <c r="H306" s="17"/>
      <c r="I306" s="297"/>
      <c r="J306" s="713"/>
      <c r="K306" s="297"/>
      <c r="L306" s="297"/>
      <c r="M306" s="297"/>
      <c r="O306" s="297"/>
      <c r="Z306" s="309"/>
      <c r="AA306" s="309"/>
      <c r="AB306" s="309"/>
      <c r="AC306" s="309"/>
      <c r="AD306" s="309"/>
      <c r="AE306" s="309"/>
      <c r="AF306" s="309"/>
      <c r="AG306" s="309"/>
      <c r="AH306" s="309"/>
      <c r="AI306" s="309"/>
      <c r="AJ306" s="309"/>
      <c r="AK306" s="309"/>
      <c r="AL306" s="309"/>
      <c r="AM306" s="309"/>
      <c r="AN306" s="309"/>
      <c r="AO306" s="309"/>
      <c r="AP306" s="309"/>
      <c r="AQ306" s="309"/>
      <c r="AR306" s="309"/>
    </row>
    <row r="307" spans="1:44" ht="60" customHeight="1" x14ac:dyDescent="0.3">
      <c r="A307" s="1108">
        <v>950</v>
      </c>
      <c r="B307" s="840"/>
      <c r="C307" s="840"/>
      <c r="D307" s="174" t="s">
        <v>473</v>
      </c>
      <c r="E307" s="678"/>
      <c r="F307" s="786"/>
      <c r="G307" s="776" t="str">
        <f t="shared" si="3"/>
        <v>Please do not leave blank</v>
      </c>
      <c r="H307" s="17"/>
      <c r="I307" s="297"/>
      <c r="J307" s="713"/>
      <c r="K307" s="297"/>
      <c r="L307" s="297"/>
      <c r="M307" s="297"/>
      <c r="O307" s="297"/>
      <c r="Z307" s="309"/>
      <c r="AA307" s="309"/>
      <c r="AB307" s="309"/>
      <c r="AC307" s="309"/>
      <c r="AD307" s="309"/>
      <c r="AE307" s="309"/>
      <c r="AF307" s="309"/>
      <c r="AG307" s="309"/>
      <c r="AH307" s="309"/>
      <c r="AI307" s="309"/>
      <c r="AJ307" s="309"/>
      <c r="AK307" s="309"/>
      <c r="AL307" s="309"/>
      <c r="AM307" s="309"/>
      <c r="AN307" s="309"/>
      <c r="AO307" s="309"/>
      <c r="AP307" s="309"/>
      <c r="AQ307" s="309"/>
      <c r="AR307" s="309"/>
    </row>
    <row r="308" spans="1:44" ht="72" x14ac:dyDescent="0.3">
      <c r="A308" s="1108">
        <v>952</v>
      </c>
      <c r="B308" s="840"/>
      <c r="C308" s="840"/>
      <c r="D308" s="787" t="s">
        <v>1052</v>
      </c>
      <c r="E308" s="678"/>
      <c r="F308" s="788"/>
      <c r="G308" s="776" t="s">
        <v>1198</v>
      </c>
      <c r="H308" s="17"/>
      <c r="I308" s="789"/>
      <c r="J308" s="713"/>
      <c r="K308" s="297"/>
      <c r="L308" s="297"/>
      <c r="M308" s="297"/>
      <c r="O308" s="297"/>
      <c r="Z308" s="309"/>
      <c r="AA308" s="309"/>
      <c r="AB308" s="309"/>
      <c r="AC308" s="309"/>
      <c r="AD308" s="309"/>
      <c r="AE308" s="309"/>
      <c r="AF308" s="309"/>
      <c r="AG308" s="309"/>
      <c r="AH308" s="309"/>
      <c r="AI308" s="309"/>
      <c r="AJ308" s="309"/>
      <c r="AK308" s="309"/>
      <c r="AL308" s="309"/>
      <c r="AM308" s="309"/>
      <c r="AN308" s="309"/>
      <c r="AO308" s="309"/>
      <c r="AP308" s="309"/>
      <c r="AQ308" s="309"/>
      <c r="AR308" s="309"/>
    </row>
    <row r="309" spans="1:44" ht="93" customHeight="1" x14ac:dyDescent="0.3">
      <c r="A309" s="1108">
        <v>954</v>
      </c>
      <c r="B309" s="840"/>
      <c r="C309" s="840"/>
      <c r="D309" s="787" t="s">
        <v>474</v>
      </c>
      <c r="E309" s="678"/>
      <c r="F309" s="786"/>
      <c r="G309" s="776" t="str">
        <f t="shared" si="3"/>
        <v>Please do not leave blank</v>
      </c>
      <c r="H309" s="17"/>
      <c r="I309" s="297"/>
      <c r="J309" s="713"/>
      <c r="K309" s="297"/>
      <c r="L309" s="297"/>
      <c r="M309" s="297"/>
      <c r="O309" s="297"/>
      <c r="Z309" s="309"/>
      <c r="AA309" s="309"/>
      <c r="AB309" s="309"/>
      <c r="AC309" s="309"/>
      <c r="AD309" s="309"/>
      <c r="AE309" s="309"/>
      <c r="AF309" s="309"/>
      <c r="AG309" s="309"/>
      <c r="AH309" s="309"/>
      <c r="AI309" s="309"/>
      <c r="AJ309" s="309"/>
      <c r="AK309" s="309"/>
      <c r="AL309" s="309"/>
      <c r="AM309" s="309"/>
      <c r="AN309" s="309"/>
      <c r="AO309" s="309"/>
      <c r="AP309" s="309"/>
      <c r="AQ309" s="309"/>
      <c r="AR309" s="309"/>
    </row>
    <row r="310" spans="1:44" ht="98.25" customHeight="1" x14ac:dyDescent="0.3">
      <c r="A310" s="1108">
        <v>956</v>
      </c>
      <c r="B310" s="840"/>
      <c r="C310" s="840"/>
      <c r="D310" s="787" t="s">
        <v>475</v>
      </c>
      <c r="E310" s="678"/>
      <c r="F310" s="786"/>
      <c r="G310" s="776" t="str">
        <f t="shared" si="3"/>
        <v>Please do not leave blank</v>
      </c>
      <c r="H310" s="17"/>
      <c r="I310" s="297"/>
      <c r="J310" s="301"/>
      <c r="K310" s="297"/>
      <c r="L310" s="297"/>
      <c r="M310" s="297"/>
      <c r="O310" s="297"/>
      <c r="Z310" s="309"/>
      <c r="AA310" s="309"/>
      <c r="AB310" s="309"/>
      <c r="AC310" s="309"/>
      <c r="AD310" s="309"/>
      <c r="AE310" s="309"/>
      <c r="AF310" s="309"/>
      <c r="AG310" s="309"/>
      <c r="AH310" s="309"/>
      <c r="AI310" s="309"/>
      <c r="AJ310" s="309"/>
      <c r="AK310" s="309"/>
      <c r="AL310" s="309"/>
      <c r="AM310" s="309"/>
      <c r="AN310" s="309"/>
      <c r="AO310" s="309"/>
      <c r="AP310" s="309"/>
      <c r="AQ310" s="309"/>
      <c r="AR310" s="309"/>
    </row>
    <row r="311" spans="1:44" ht="218.25" customHeight="1" x14ac:dyDescent="0.3">
      <c r="A311" s="1108">
        <v>958</v>
      </c>
      <c r="B311" s="840"/>
      <c r="C311" s="840"/>
      <c r="D311" s="784" t="s">
        <v>902</v>
      </c>
      <c r="E311" s="678"/>
      <c r="F311" s="786"/>
      <c r="G311" s="776" t="str">
        <f t="shared" si="3"/>
        <v>Please do not leave blank</v>
      </c>
      <c r="H311" s="17"/>
      <c r="I311" s="297"/>
      <c r="J311" s="297"/>
      <c r="K311" s="297"/>
      <c r="L311" s="297"/>
      <c r="M311" s="297"/>
      <c r="O311" s="297"/>
      <c r="Z311" s="309"/>
      <c r="AA311" s="309"/>
      <c r="AB311" s="309"/>
      <c r="AC311" s="309"/>
      <c r="AD311" s="309"/>
      <c r="AE311" s="309"/>
      <c r="AF311" s="309"/>
      <c r="AG311" s="309"/>
      <c r="AH311" s="309"/>
      <c r="AI311" s="309"/>
      <c r="AJ311" s="309"/>
      <c r="AK311" s="309"/>
      <c r="AL311" s="309"/>
      <c r="AM311" s="309"/>
      <c r="AN311" s="309"/>
      <c r="AO311" s="309"/>
      <c r="AP311" s="309"/>
      <c r="AQ311" s="309"/>
      <c r="AR311" s="309"/>
    </row>
    <row r="312" spans="1:44" ht="15" thickBot="1" x14ac:dyDescent="0.35">
      <c r="A312" s="108"/>
      <c r="B312" s="892"/>
      <c r="C312" s="893"/>
      <c r="D312" s="894" t="s">
        <v>477</v>
      </c>
      <c r="E312" s="878"/>
      <c r="F312" s="895"/>
      <c r="G312" s="896"/>
      <c r="H312" s="897"/>
      <c r="I312" s="297"/>
      <c r="J312" s="297"/>
      <c r="K312" s="297"/>
      <c r="L312" s="297"/>
      <c r="M312" s="297"/>
      <c r="O312" s="297"/>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125" t="s">
        <v>536</v>
      </c>
      <c r="C313" s="1126"/>
      <c r="D313" s="1126"/>
      <c r="E313" s="1127"/>
      <c r="F313" s="79"/>
      <c r="G313" s="776"/>
      <c r="H313" s="17"/>
      <c r="I313" s="108"/>
      <c r="Z313" s="18"/>
    </row>
    <row r="314" spans="1:44" ht="75.75" customHeight="1" x14ac:dyDescent="0.3">
      <c r="B314" s="1129" t="s">
        <v>537</v>
      </c>
      <c r="C314" s="1129"/>
      <c r="D314" s="1129"/>
      <c r="E314" s="1129"/>
      <c r="F314" s="79"/>
      <c r="G314" s="776"/>
      <c r="H314" s="17"/>
      <c r="I314" s="108"/>
      <c r="Z314" s="18"/>
    </row>
    <row r="315" spans="1:44" ht="15" thickBot="1" x14ac:dyDescent="0.35">
      <c r="A315" s="790"/>
      <c r="B315" s="791"/>
      <c r="C315" s="791"/>
      <c r="D315" s="792"/>
      <c r="E315" s="673"/>
      <c r="F315" s="79"/>
      <c r="G315" s="776"/>
      <c r="H315" s="17"/>
      <c r="I315" s="108"/>
      <c r="Z315" s="790"/>
      <c r="AA315" s="790"/>
      <c r="AB315" s="790"/>
      <c r="AC315" s="790"/>
      <c r="AD315" s="790"/>
      <c r="AE315" s="790"/>
      <c r="AF315" s="790"/>
      <c r="AG315" s="790"/>
      <c r="AH315" s="790"/>
      <c r="AI315" s="790"/>
      <c r="AJ315" s="790"/>
      <c r="AK315" s="790"/>
      <c r="AL315" s="790"/>
      <c r="AM315" s="790"/>
      <c r="AN315" s="790"/>
      <c r="AO315" s="790"/>
      <c r="AP315" s="790"/>
      <c r="AQ315" s="790"/>
      <c r="AR315" s="790"/>
    </row>
    <row r="316" spans="1:44" ht="15" thickBot="1" x14ac:dyDescent="0.35">
      <c r="B316" s="159" t="s">
        <v>465</v>
      </c>
      <c r="C316" s="160" t="s">
        <v>466</v>
      </c>
      <c r="D316" s="793"/>
      <c r="E316" s="794"/>
      <c r="F316" s="100"/>
      <c r="G316" s="776"/>
      <c r="H316" s="17"/>
      <c r="I316" s="108"/>
      <c r="Z316" s="18"/>
    </row>
    <row r="317" spans="1:44" ht="44.25" customHeight="1" thickBot="1" x14ac:dyDescent="0.35">
      <c r="B317" s="163" t="s">
        <v>494</v>
      </c>
      <c r="C317" s="162"/>
      <c r="D317" s="161"/>
      <c r="E317" s="679"/>
      <c r="F317" s="795"/>
      <c r="G317" s="776"/>
      <c r="H317" s="17"/>
      <c r="I317" s="108"/>
      <c r="Z317" s="18"/>
    </row>
    <row r="318" spans="1:44" ht="44.25" customHeight="1" thickBot="1" x14ac:dyDescent="0.35">
      <c r="B318" s="163"/>
      <c r="C318" s="173"/>
      <c r="D318" s="796" t="s">
        <v>525</v>
      </c>
      <c r="E318" s="797"/>
      <c r="F318" s="798"/>
      <c r="G318" s="798"/>
      <c r="H318" s="17"/>
      <c r="I318" s="108"/>
      <c r="Z318" s="18"/>
    </row>
    <row r="319" spans="1:44" ht="64.5" customHeight="1" thickBot="1" x14ac:dyDescent="0.35">
      <c r="A319" s="563">
        <v>960</v>
      </c>
      <c r="B319" s="1134" t="s">
        <v>495</v>
      </c>
      <c r="C319" s="1135"/>
      <c r="D319" s="799"/>
      <c r="E319" s="905" t="str">
        <f>IF(ISBLANK($D319),"&lt;&lt;&lt;&lt;&lt;&lt;&lt;&lt;&lt;&lt;&lt;&lt;&lt;&lt;&lt;","")</f>
        <v>&lt;&lt;&lt;&lt;&lt;&lt;&lt;&lt;&lt;&lt;&lt;&lt;&lt;&lt;&lt;</v>
      </c>
      <c r="F319" s="906" t="str">
        <f>IF(ISBLANK($D319),"Required","")</f>
        <v>Required</v>
      </c>
      <c r="G319" s="908"/>
      <c r="H319" s="735"/>
      <c r="I319" s="108"/>
      <c r="Z319" s="563"/>
      <c r="AA319" s="563"/>
      <c r="AB319" s="563"/>
      <c r="AC319" s="563"/>
      <c r="AD319" s="563"/>
      <c r="AE319" s="563"/>
      <c r="AF319" s="563"/>
      <c r="AG319" s="563"/>
      <c r="AH319" s="563"/>
      <c r="AI319" s="563"/>
      <c r="AJ319" s="563"/>
      <c r="AK319" s="563"/>
      <c r="AL319" s="563"/>
      <c r="AM319" s="563"/>
      <c r="AN319" s="563"/>
      <c r="AO319" s="563"/>
      <c r="AP319" s="563"/>
      <c r="AQ319" s="563"/>
      <c r="AR319" s="563"/>
    </row>
    <row r="320" spans="1:44" ht="30.75" customHeight="1" thickBot="1" x14ac:dyDescent="0.35">
      <c r="A320" s="563">
        <v>962</v>
      </c>
      <c r="B320" s="1130" t="s">
        <v>467</v>
      </c>
      <c r="C320" s="1131"/>
      <c r="D320" s="799"/>
      <c r="E320" s="905" t="str">
        <f>IF(ISBLANK($D320),"&lt;&lt;&lt;&lt;&lt;&lt;&lt;&lt;&lt;&lt;&lt;&lt;&lt;&lt;&lt;","")</f>
        <v>&lt;&lt;&lt;&lt;&lt;&lt;&lt;&lt;&lt;&lt;&lt;&lt;&lt;&lt;&lt;</v>
      </c>
      <c r="F320" s="906" t="str">
        <f>IF(ISBLANK($D320),"Required","")</f>
        <v>Required</v>
      </c>
      <c r="H320" s="17"/>
      <c r="I320" s="108"/>
      <c r="Z320" s="563"/>
      <c r="AA320" s="563"/>
      <c r="AB320" s="563"/>
      <c r="AC320" s="563"/>
      <c r="AD320" s="563"/>
      <c r="AE320" s="563"/>
      <c r="AF320" s="563"/>
      <c r="AG320" s="563"/>
      <c r="AH320" s="563"/>
      <c r="AI320" s="563"/>
      <c r="AJ320" s="563"/>
      <c r="AK320" s="563"/>
      <c r="AL320" s="563"/>
      <c r="AM320" s="563"/>
      <c r="AN320" s="563"/>
      <c r="AO320" s="563"/>
      <c r="AP320" s="563"/>
      <c r="AQ320" s="563"/>
      <c r="AR320" s="563"/>
    </row>
    <row r="321" spans="1:44" ht="30.75" customHeight="1" thickBot="1" x14ac:dyDescent="0.35">
      <c r="A321" s="563">
        <v>964</v>
      </c>
      <c r="B321" s="1130" t="s">
        <v>468</v>
      </c>
      <c r="C321" s="1131"/>
      <c r="D321" s="800"/>
      <c r="E321" s="905" t="str">
        <f>IF(ISBLANK($D321),"&lt;&lt;&lt;&lt;&lt;&lt;&lt;&lt;&lt;&lt;&lt;&lt;&lt;&lt;&lt;","")</f>
        <v>&lt;&lt;&lt;&lt;&lt;&lt;&lt;&lt;&lt;&lt;&lt;&lt;&lt;&lt;&lt;</v>
      </c>
      <c r="F321" s="906" t="str">
        <f>IF(ISBLANK($D321),"Required","")</f>
        <v>Required</v>
      </c>
      <c r="H321" s="17"/>
      <c r="I321" s="367"/>
      <c r="Z321" s="563"/>
      <c r="AA321" s="563"/>
      <c r="AB321" s="563"/>
      <c r="AC321" s="563"/>
      <c r="AD321" s="563"/>
      <c r="AE321" s="563"/>
      <c r="AF321" s="563"/>
      <c r="AG321" s="563"/>
      <c r="AH321" s="563"/>
      <c r="AI321" s="563"/>
      <c r="AJ321" s="563"/>
      <c r="AK321" s="563"/>
      <c r="AL321" s="563"/>
      <c r="AM321" s="563"/>
      <c r="AN321" s="563"/>
      <c r="AO321" s="563"/>
      <c r="AP321" s="563"/>
      <c r="AQ321" s="563"/>
      <c r="AR321" s="563"/>
    </row>
    <row r="322" spans="1:44" ht="30.75" customHeight="1" thickBot="1" x14ac:dyDescent="0.35">
      <c r="A322" s="563">
        <v>966</v>
      </c>
      <c r="B322" s="1130" t="s">
        <v>469</v>
      </c>
      <c r="C322" s="1131"/>
      <c r="D322" s="799"/>
      <c r="E322" s="905" t="str">
        <f>IF(ISBLANK($D322),"&lt;&lt;&lt;&lt;&lt;&lt;&lt;&lt;&lt;&lt;&lt;&lt;&lt;&lt;&lt;","")</f>
        <v>&lt;&lt;&lt;&lt;&lt;&lt;&lt;&lt;&lt;&lt;&lt;&lt;&lt;&lt;&lt;</v>
      </c>
      <c r="F322" s="906" t="str">
        <f>IF(ISBLANK($D322),"Required","")</f>
        <v>Required</v>
      </c>
      <c r="H322" s="17"/>
      <c r="I322" s="108"/>
      <c r="Z322" s="563"/>
      <c r="AA322" s="563"/>
      <c r="AB322" s="563"/>
      <c r="AC322" s="563"/>
      <c r="AD322" s="563"/>
      <c r="AE322" s="563"/>
      <c r="AF322" s="563"/>
      <c r="AG322" s="563"/>
      <c r="AH322" s="563"/>
      <c r="AI322" s="563"/>
      <c r="AJ322" s="563"/>
      <c r="AK322" s="563"/>
      <c r="AL322" s="563"/>
      <c r="AM322" s="563"/>
      <c r="AN322" s="563"/>
      <c r="AO322" s="563"/>
      <c r="AP322" s="563"/>
      <c r="AQ322" s="563"/>
      <c r="AR322" s="563"/>
    </row>
    <row r="323" spans="1:44" ht="30.75" customHeight="1" thickBot="1" x14ac:dyDescent="0.35">
      <c r="A323" s="563">
        <v>968</v>
      </c>
      <c r="B323" s="1132" t="s">
        <v>470</v>
      </c>
      <c r="C323" s="1133"/>
      <c r="D323" s="801"/>
      <c r="E323" s="907" t="str">
        <f>IF(ISBLANK($D323),"&lt;&lt;&lt;&lt;&lt;&lt;&lt;&lt;&lt;&lt;&lt;&lt;&lt;&lt;&lt;","")</f>
        <v>&lt;&lt;&lt;&lt;&lt;&lt;&lt;&lt;&lt;&lt;&lt;&lt;&lt;&lt;&lt;</v>
      </c>
      <c r="F323" s="906" t="str">
        <f>IF(ISBLANK($D323),"Required","")</f>
        <v>Required</v>
      </c>
      <c r="H323" s="17"/>
      <c r="I323" s="108"/>
      <c r="Z323" s="563"/>
      <c r="AA323" s="563"/>
      <c r="AB323" s="563"/>
      <c r="AC323" s="563"/>
      <c r="AD323" s="563"/>
      <c r="AE323" s="563"/>
      <c r="AF323" s="563"/>
      <c r="AG323" s="563"/>
      <c r="AH323" s="563"/>
      <c r="AI323" s="563"/>
      <c r="AJ323" s="563"/>
      <c r="AK323" s="563"/>
      <c r="AL323" s="563"/>
      <c r="AM323" s="563"/>
      <c r="AN323" s="563"/>
      <c r="AO323" s="563"/>
      <c r="AP323" s="563"/>
      <c r="AQ323" s="563"/>
      <c r="AR323" s="563"/>
    </row>
    <row r="324" spans="1:44" x14ac:dyDescent="0.3">
      <c r="A324" s="108"/>
      <c r="B324" s="898"/>
      <c r="C324" s="898"/>
      <c r="D324" s="909" t="s">
        <v>46</v>
      </c>
      <c r="E324" s="899"/>
      <c r="F324" s="899"/>
      <c r="G324" s="899"/>
      <c r="H324" s="900"/>
      <c r="I324" s="108"/>
    </row>
    <row r="325" spans="1:44" x14ac:dyDescent="0.3">
      <c r="A325" s="108"/>
      <c r="B325" s="675"/>
      <c r="C325" s="675"/>
      <c r="D325" s="171"/>
      <c r="E325" s="299"/>
      <c r="F325" s="802"/>
      <c r="G325" s="802"/>
      <c r="H325" s="17"/>
      <c r="I325" s="108"/>
    </row>
    <row r="326" spans="1:44" x14ac:dyDescent="0.3">
      <c r="A326" s="108"/>
      <c r="B326" s="675"/>
      <c r="C326" s="675"/>
      <c r="D326" s="24"/>
      <c r="E326" s="673"/>
      <c r="F326" s="802"/>
      <c r="G326" s="802"/>
      <c r="H326" s="17"/>
      <c r="I326" s="108"/>
    </row>
    <row r="327" spans="1:44" x14ac:dyDescent="0.3">
      <c r="A327" s="18">
        <f>SUBTOTAL(109,A7:A323)</f>
        <v>36440</v>
      </c>
    </row>
    <row r="328" spans="1:44" x14ac:dyDescent="0.3">
      <c r="A328" s="108"/>
      <c r="B328" s="841"/>
      <c r="C328" s="841"/>
      <c r="D328" s="803"/>
      <c r="E328" s="408"/>
      <c r="F328" s="18"/>
      <c r="G328" s="804"/>
      <c r="H328" s="17"/>
      <c r="I328" s="108"/>
    </row>
    <row r="329" spans="1:44" x14ac:dyDescent="0.3">
      <c r="A329" s="563"/>
      <c r="B329" s="563"/>
      <c r="C329" s="563"/>
      <c r="D329" s="803"/>
      <c r="E329" s="408"/>
      <c r="F329" s="297"/>
      <c r="G329" s="804"/>
      <c r="H329" s="17"/>
      <c r="I329" s="108"/>
    </row>
    <row r="330" spans="1:44" x14ac:dyDescent="0.3">
      <c r="A330" s="563"/>
      <c r="B330" s="563"/>
      <c r="C330" s="563"/>
      <c r="D330" s="805"/>
      <c r="E330" s="408"/>
      <c r="F330" s="297"/>
      <c r="G330" s="804"/>
      <c r="H330" s="17"/>
      <c r="I330" s="108"/>
    </row>
    <row r="331" spans="1:44" x14ac:dyDescent="0.3">
      <c r="A331" s="563"/>
      <c r="B331" s="563"/>
      <c r="C331" s="563"/>
      <c r="D331" s="805"/>
      <c r="E331" s="408"/>
      <c r="F331" s="297"/>
      <c r="G331" s="804"/>
      <c r="H331" s="17"/>
      <c r="I331" s="108"/>
    </row>
    <row r="332" spans="1:44" x14ac:dyDescent="0.3">
      <c r="A332" s="563"/>
      <c r="B332" s="563"/>
      <c r="C332" s="563"/>
      <c r="D332" s="805"/>
      <c r="E332" s="408"/>
      <c r="F332" s="297"/>
      <c r="G332" s="804"/>
      <c r="H332" s="17"/>
      <c r="I332" s="108"/>
    </row>
    <row r="333" spans="1:44" x14ac:dyDescent="0.3">
      <c r="A333" s="563"/>
      <c r="B333" s="563"/>
      <c r="C333" s="563"/>
      <c r="D333" s="805"/>
      <c r="E333" s="408"/>
      <c r="F333" s="297"/>
      <c r="G333" s="804"/>
      <c r="H333" s="17"/>
      <c r="I333" s="108"/>
    </row>
    <row r="334" spans="1:44" x14ac:dyDescent="0.3">
      <c r="A334" s="563"/>
      <c r="D334" s="603"/>
      <c r="E334" s="408"/>
      <c r="F334" s="297"/>
      <c r="H334" s="17"/>
      <c r="I334" s="108"/>
    </row>
    <row r="335" spans="1:44" x14ac:dyDescent="0.3">
      <c r="D335" s="603"/>
      <c r="E335" s="409"/>
      <c r="F335" s="297"/>
      <c r="H335" s="17"/>
      <c r="I335" s="108"/>
    </row>
    <row r="336" spans="1:44" x14ac:dyDescent="0.3">
      <c r="D336" s="603"/>
      <c r="E336" s="299"/>
      <c r="F336" s="297"/>
      <c r="H336" s="17"/>
      <c r="I336" s="108"/>
    </row>
    <row r="337" spans="4:12" x14ac:dyDescent="0.3">
      <c r="D337" s="603"/>
      <c r="E337" s="299"/>
      <c r="F337" s="297"/>
      <c r="I337" s="108"/>
    </row>
    <row r="338" spans="4:12" x14ac:dyDescent="0.3">
      <c r="E338" s="299"/>
      <c r="F338" s="297"/>
      <c r="G338" s="807"/>
      <c r="I338" s="108"/>
    </row>
    <row r="339" spans="4:12" x14ac:dyDescent="0.3">
      <c r="E339" s="299"/>
      <c r="F339" s="297"/>
      <c r="I339" s="108"/>
    </row>
    <row r="340" spans="4:12" x14ac:dyDescent="0.3">
      <c r="E340" s="299"/>
      <c r="F340" s="297"/>
      <c r="I340" s="108"/>
    </row>
    <row r="341" spans="4:12" x14ac:dyDescent="0.3">
      <c r="E341" s="299"/>
      <c r="F341" s="297"/>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7"/>
    </row>
    <row r="350" spans="4:12" x14ac:dyDescent="0.3">
      <c r="I350" s="297"/>
      <c r="K350" s="299"/>
      <c r="L350" s="299"/>
    </row>
    <row r="351" spans="4:12" x14ac:dyDescent="0.3">
      <c r="I351" s="297"/>
      <c r="K351" s="299"/>
      <c r="L351" s="299"/>
    </row>
    <row r="352" spans="4:12" x14ac:dyDescent="0.3">
      <c r="I352" s="297"/>
      <c r="K352" s="299"/>
      <c r="L352" s="299"/>
    </row>
    <row r="353" spans="9:12" x14ac:dyDescent="0.3">
      <c r="I353" s="297"/>
      <c r="K353" s="299"/>
      <c r="L353" s="299"/>
    </row>
    <row r="354" spans="9:12" x14ac:dyDescent="0.3">
      <c r="I354" s="297"/>
      <c r="K354" s="299"/>
      <c r="L354" s="299"/>
    </row>
    <row r="355" spans="9:12" x14ac:dyDescent="0.3">
      <c r="I355" s="297"/>
      <c r="K355" s="299"/>
      <c r="L355" s="299"/>
    </row>
    <row r="356" spans="9:12" x14ac:dyDescent="0.3">
      <c r="I356" s="108"/>
      <c r="K356" s="299"/>
      <c r="L356" s="299"/>
    </row>
    <row r="357" spans="9:12" x14ac:dyDescent="0.3">
      <c r="I357" s="108"/>
      <c r="K357" s="299"/>
      <c r="L357" s="299"/>
    </row>
    <row r="358" spans="9:12" x14ac:dyDescent="0.3">
      <c r="I358" s="108"/>
      <c r="J358" s="299"/>
      <c r="K358" s="299"/>
      <c r="L358" s="299"/>
    </row>
    <row r="359" spans="9:12" x14ac:dyDescent="0.3">
      <c r="I359" s="108"/>
      <c r="J359" s="299"/>
      <c r="K359" s="299"/>
      <c r="L359" s="299"/>
    </row>
    <row r="360" spans="9:12" x14ac:dyDescent="0.3">
      <c r="I360" s="108"/>
      <c r="J360" s="299"/>
      <c r="K360" s="299"/>
      <c r="L360" s="299"/>
    </row>
    <row r="361" spans="9:12" x14ac:dyDescent="0.3">
      <c r="I361" s="108"/>
      <c r="J361" s="299"/>
      <c r="K361" s="299"/>
      <c r="L361" s="299"/>
    </row>
    <row r="362" spans="9:12" x14ac:dyDescent="0.3">
      <c r="I362" s="108"/>
      <c r="J362" s="299"/>
      <c r="K362" s="299"/>
      <c r="L362" s="299"/>
    </row>
    <row r="363" spans="9:12" x14ac:dyDescent="0.3">
      <c r="I363" s="108"/>
      <c r="J363" s="299"/>
      <c r="K363" s="299"/>
      <c r="L363" s="299"/>
    </row>
    <row r="364" spans="9:12" x14ac:dyDescent="0.3">
      <c r="I364" s="108"/>
      <c r="J364" s="299"/>
      <c r="K364" s="299"/>
      <c r="L364" s="299"/>
    </row>
    <row r="365" spans="9:12" x14ac:dyDescent="0.3">
      <c r="I365" s="297"/>
      <c r="J365" s="299"/>
      <c r="K365" s="299"/>
      <c r="L365" s="299"/>
    </row>
    <row r="366" spans="9:12" x14ac:dyDescent="0.3">
      <c r="I366" s="297"/>
      <c r="J366" s="299"/>
      <c r="K366" s="299"/>
      <c r="L366" s="299"/>
    </row>
    <row r="367" spans="9:12" x14ac:dyDescent="0.3">
      <c r="I367" s="297"/>
      <c r="J367" s="299"/>
      <c r="K367" s="299"/>
      <c r="L367" s="299"/>
    </row>
    <row r="368" spans="9:12" x14ac:dyDescent="0.3">
      <c r="I368" s="297"/>
      <c r="J368" s="299"/>
      <c r="K368" s="299"/>
      <c r="L368" s="299"/>
    </row>
    <row r="369" spans="9:12" x14ac:dyDescent="0.3">
      <c r="I369" s="297"/>
      <c r="J369" s="299"/>
      <c r="K369" s="299"/>
      <c r="L369" s="299"/>
    </row>
    <row r="370" spans="9:12" x14ac:dyDescent="0.3">
      <c r="I370" s="297"/>
      <c r="J370" s="299"/>
      <c r="K370" s="299"/>
      <c r="L370" s="299"/>
    </row>
    <row r="371" spans="9:12" x14ac:dyDescent="0.3">
      <c r="I371" s="297"/>
      <c r="J371" s="299"/>
      <c r="K371" s="299"/>
      <c r="L371" s="299"/>
    </row>
    <row r="372" spans="9:12" x14ac:dyDescent="0.3">
      <c r="I372" s="297"/>
      <c r="J372" s="299"/>
      <c r="K372" s="299"/>
      <c r="L372" s="299"/>
    </row>
    <row r="373" spans="9:12" x14ac:dyDescent="0.3">
      <c r="I373" s="297"/>
      <c r="J373" s="299"/>
      <c r="K373" s="299"/>
      <c r="L373" s="299"/>
    </row>
    <row r="374" spans="9:12" x14ac:dyDescent="0.3">
      <c r="I374" s="297"/>
      <c r="J374" s="299"/>
      <c r="K374" s="299"/>
      <c r="L374" s="299"/>
    </row>
    <row r="375" spans="9:12" x14ac:dyDescent="0.3">
      <c r="I375" s="297"/>
      <c r="J375" s="299"/>
      <c r="K375" s="299"/>
      <c r="L375" s="299"/>
    </row>
    <row r="376" spans="9:12" x14ac:dyDescent="0.3">
      <c r="I376" s="297"/>
      <c r="J376" s="299"/>
      <c r="K376" s="299"/>
      <c r="L376" s="299"/>
    </row>
    <row r="377" spans="9:12" x14ac:dyDescent="0.3">
      <c r="I377" s="297"/>
      <c r="J377" s="299"/>
      <c r="K377" s="299"/>
      <c r="L377" s="299"/>
    </row>
    <row r="378" spans="9:12" x14ac:dyDescent="0.3">
      <c r="I378" s="297"/>
      <c r="J378" s="299"/>
      <c r="K378" s="299"/>
      <c r="L378" s="299"/>
    </row>
    <row r="379" spans="9:12" x14ac:dyDescent="0.3">
      <c r="I379" s="297"/>
      <c r="J379" s="299"/>
      <c r="K379" s="299"/>
      <c r="L379" s="299"/>
    </row>
    <row r="380" spans="9:12" x14ac:dyDescent="0.3">
      <c r="I380" s="297"/>
      <c r="J380" s="299"/>
      <c r="K380" s="299"/>
      <c r="L380" s="299"/>
    </row>
    <row r="381" spans="9:12" x14ac:dyDescent="0.3">
      <c r="I381" s="297"/>
      <c r="J381" s="299"/>
      <c r="K381" s="299"/>
      <c r="L381" s="299"/>
    </row>
    <row r="382" spans="9:12" x14ac:dyDescent="0.3">
      <c r="I382" s="297"/>
      <c r="J382" s="299"/>
      <c r="K382" s="299"/>
      <c r="L382" s="299"/>
    </row>
    <row r="383" spans="9:12" x14ac:dyDescent="0.3">
      <c r="I383" s="297"/>
      <c r="J383" s="299"/>
      <c r="K383" s="299"/>
      <c r="L383" s="299"/>
    </row>
    <row r="384" spans="9:12" x14ac:dyDescent="0.3">
      <c r="I384" s="297"/>
      <c r="J384" s="299"/>
      <c r="K384" s="299"/>
      <c r="L384" s="299"/>
    </row>
    <row r="385" spans="9:12" x14ac:dyDescent="0.3">
      <c r="I385" s="297"/>
      <c r="J385" s="299"/>
      <c r="K385" s="299"/>
      <c r="L385" s="299"/>
    </row>
    <row r="386" spans="9:12" x14ac:dyDescent="0.3">
      <c r="I386" s="297"/>
      <c r="J386" s="299"/>
      <c r="K386" s="299"/>
      <c r="L386" s="299"/>
    </row>
    <row r="387" spans="9:12" x14ac:dyDescent="0.3">
      <c r="I387" s="297"/>
      <c r="J387" s="299"/>
      <c r="K387" s="299"/>
      <c r="L387" s="299"/>
    </row>
    <row r="388" spans="9:12" x14ac:dyDescent="0.3">
      <c r="I388" s="297"/>
      <c r="J388" s="299"/>
      <c r="K388" s="299"/>
      <c r="L388" s="299"/>
    </row>
    <row r="389" spans="9:12" x14ac:dyDescent="0.3">
      <c r="I389" s="297"/>
      <c r="J389" s="299"/>
      <c r="K389" s="299"/>
      <c r="L389" s="299"/>
    </row>
    <row r="390" spans="9:12" x14ac:dyDescent="0.3">
      <c r="I390" s="297"/>
      <c r="J390" s="299"/>
      <c r="K390" s="299"/>
      <c r="L390" s="299"/>
    </row>
    <row r="391" spans="9:12" x14ac:dyDescent="0.3">
      <c r="I391" s="297"/>
      <c r="J391" s="299"/>
      <c r="K391" s="299"/>
      <c r="L391" s="299"/>
    </row>
    <row r="392" spans="9:12" x14ac:dyDescent="0.3">
      <c r="I392" s="297"/>
      <c r="J392" s="299"/>
      <c r="K392" s="299"/>
      <c r="L392" s="299"/>
    </row>
    <row r="393" spans="9:12" x14ac:dyDescent="0.3">
      <c r="I393" s="297"/>
      <c r="J393" s="299"/>
      <c r="K393" s="299"/>
      <c r="L393" s="299"/>
    </row>
    <row r="394" spans="9:12" x14ac:dyDescent="0.3">
      <c r="I394" s="297"/>
      <c r="J394" s="299"/>
      <c r="K394" s="299"/>
      <c r="L394" s="299"/>
    </row>
    <row r="395" spans="9:12" x14ac:dyDescent="0.3">
      <c r="I395" s="297"/>
      <c r="J395" s="299"/>
      <c r="K395" s="299"/>
      <c r="L395" s="299"/>
    </row>
    <row r="396" spans="9:12" x14ac:dyDescent="0.3">
      <c r="I396" s="297"/>
      <c r="J396" s="299"/>
      <c r="K396" s="299"/>
      <c r="L396" s="299"/>
    </row>
    <row r="397" spans="9:12" x14ac:dyDescent="0.3">
      <c r="I397" s="297"/>
      <c r="J397" s="299"/>
      <c r="K397" s="299"/>
      <c r="L397" s="299"/>
    </row>
    <row r="398" spans="9:12" x14ac:dyDescent="0.3">
      <c r="I398" s="297"/>
      <c r="J398" s="299"/>
      <c r="K398" s="299"/>
      <c r="L398" s="299"/>
    </row>
    <row r="399" spans="9:12" x14ac:dyDescent="0.3">
      <c r="I399" s="297"/>
      <c r="J399" s="299"/>
      <c r="K399" s="299"/>
      <c r="L399" s="299"/>
    </row>
    <row r="400" spans="9:12" x14ac:dyDescent="0.3">
      <c r="I400" s="297"/>
      <c r="J400" s="299"/>
      <c r="K400" s="299"/>
      <c r="L400" s="299"/>
    </row>
    <row r="401" spans="9:12" x14ac:dyDescent="0.3">
      <c r="I401" s="297"/>
      <c r="J401" s="299"/>
      <c r="K401" s="299"/>
      <c r="L401" s="299"/>
    </row>
    <row r="402" spans="9:12" x14ac:dyDescent="0.3">
      <c r="I402" s="297"/>
      <c r="J402" s="299"/>
      <c r="K402" s="299"/>
      <c r="L402" s="299"/>
    </row>
    <row r="403" spans="9:12" x14ac:dyDescent="0.3">
      <c r="I403" s="297"/>
      <c r="J403" s="299"/>
      <c r="K403" s="299"/>
      <c r="L403" s="299"/>
    </row>
    <row r="404" spans="9:12" x14ac:dyDescent="0.3">
      <c r="I404" s="297"/>
      <c r="J404" s="299"/>
      <c r="K404" s="299"/>
      <c r="L404" s="299"/>
    </row>
    <row r="405" spans="9:12" x14ac:dyDescent="0.3">
      <c r="I405" s="297"/>
      <c r="J405" s="299"/>
      <c r="K405" s="299"/>
      <c r="L405" s="299"/>
    </row>
    <row r="406" spans="9:12" x14ac:dyDescent="0.3">
      <c r="I406" s="297"/>
      <c r="J406" s="299"/>
      <c r="K406" s="299"/>
      <c r="L406" s="299"/>
    </row>
    <row r="407" spans="9:12" x14ac:dyDescent="0.3">
      <c r="I407" s="297"/>
      <c r="J407" s="299"/>
      <c r="K407" s="299"/>
      <c r="L407" s="299"/>
    </row>
    <row r="408" spans="9:12" x14ac:dyDescent="0.3">
      <c r="I408" s="297"/>
      <c r="J408" s="299"/>
      <c r="K408" s="299"/>
      <c r="L408" s="299"/>
    </row>
    <row r="409" spans="9:12" x14ac:dyDescent="0.3">
      <c r="I409" s="297"/>
      <c r="J409" s="299"/>
      <c r="K409" s="299"/>
      <c r="L409" s="299"/>
    </row>
    <row r="410" spans="9:12" x14ac:dyDescent="0.3">
      <c r="I410" s="297"/>
      <c r="J410" s="299"/>
      <c r="K410" s="299"/>
      <c r="L410" s="299"/>
    </row>
    <row r="411" spans="9:12" x14ac:dyDescent="0.3">
      <c r="I411" s="297"/>
      <c r="J411" s="299"/>
      <c r="K411" s="299"/>
      <c r="L411" s="299"/>
    </row>
    <row r="412" spans="9:12" x14ac:dyDescent="0.3">
      <c r="I412" s="297"/>
      <c r="J412" s="299"/>
      <c r="K412" s="299"/>
      <c r="L412" s="299"/>
    </row>
    <row r="413" spans="9:12" x14ac:dyDescent="0.3">
      <c r="I413" s="297"/>
      <c r="J413" s="299"/>
      <c r="K413" s="299"/>
      <c r="L413" s="299"/>
    </row>
    <row r="414" spans="9:12" x14ac:dyDescent="0.3">
      <c r="I414" s="297"/>
      <c r="J414" s="299"/>
      <c r="K414" s="299"/>
      <c r="L414" s="299"/>
    </row>
    <row r="415" spans="9:12" x14ac:dyDescent="0.3">
      <c r="I415" s="297"/>
      <c r="J415" s="299"/>
      <c r="K415" s="299"/>
      <c r="L415" s="299"/>
    </row>
    <row r="416" spans="9:12" x14ac:dyDescent="0.3">
      <c r="I416" s="297"/>
      <c r="J416" s="299"/>
      <c r="K416" s="299"/>
      <c r="L416" s="299"/>
    </row>
    <row r="417" spans="9:12" x14ac:dyDescent="0.3">
      <c r="I417" s="297"/>
      <c r="J417" s="299"/>
      <c r="K417" s="299"/>
      <c r="L417" s="299"/>
    </row>
    <row r="418" spans="9:12" x14ac:dyDescent="0.3">
      <c r="I418" s="297"/>
      <c r="J418" s="299"/>
      <c r="K418" s="299"/>
      <c r="L418" s="299"/>
    </row>
    <row r="419" spans="9:12" x14ac:dyDescent="0.3">
      <c r="I419" s="297"/>
      <c r="J419" s="299"/>
    </row>
    <row r="420" spans="9:12" x14ac:dyDescent="0.3">
      <c r="I420" s="297"/>
      <c r="J420" s="299"/>
    </row>
    <row r="421" spans="9:12" x14ac:dyDescent="0.3">
      <c r="I421" s="297"/>
      <c r="J421" s="299"/>
    </row>
    <row r="422" spans="9:12" x14ac:dyDescent="0.3">
      <c r="I422" s="297"/>
      <c r="J422" s="299"/>
    </row>
    <row r="423" spans="9:12" x14ac:dyDescent="0.3">
      <c r="I423" s="297"/>
      <c r="J423" s="299"/>
    </row>
    <row r="424" spans="9:12" x14ac:dyDescent="0.3">
      <c r="I424" s="297"/>
      <c r="J424" s="299"/>
    </row>
    <row r="425" spans="9:12" x14ac:dyDescent="0.3">
      <c r="I425" s="297"/>
      <c r="J425" s="299"/>
    </row>
    <row r="426" spans="9:12" x14ac:dyDescent="0.3">
      <c r="I426" s="297"/>
      <c r="J426" s="299"/>
    </row>
    <row r="427" spans="9:12" x14ac:dyDescent="0.3">
      <c r="I427" s="297"/>
    </row>
    <row r="428" spans="9:12" x14ac:dyDescent="0.3">
      <c r="I428" s="297"/>
    </row>
    <row r="429" spans="9:12" x14ac:dyDescent="0.3">
      <c r="I429" s="297"/>
    </row>
    <row r="430" spans="9:12" x14ac:dyDescent="0.3">
      <c r="I430" s="297"/>
    </row>
    <row r="431" spans="9:12" x14ac:dyDescent="0.3">
      <c r="I431" s="297"/>
    </row>
    <row r="432" spans="9:12" x14ac:dyDescent="0.3">
      <c r="I432" s="297"/>
    </row>
    <row r="433" spans="9:9" x14ac:dyDescent="0.3">
      <c r="I433" s="297"/>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IiqRhJK9COEam/G578jid8YGl17sTGav1OZSk+CPJWaR9uAHaz76g3Gf4sF5uoCKXY9B3KmPtbbTby4VN7XB/w==" saltValue="YgDbEOe1eCc85kmaK+wdyQ=="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6" type="noConversion"/>
  <conditionalFormatting sqref="H198 H87:H98">
    <cfRule type="cellIs" dxfId="112" priority="107" stopIfTrue="1" operator="notEqual">
      <formula>0</formula>
    </cfRule>
  </conditionalFormatting>
  <conditionalFormatting sqref="H199">
    <cfRule type="cellIs" dxfId="111" priority="105" stopIfTrue="1" operator="notEqual">
      <formula>0</formula>
    </cfRule>
  </conditionalFormatting>
  <conditionalFormatting sqref="G289:G292 G296:G297">
    <cfRule type="cellIs" dxfId="110" priority="104" stopIfTrue="1" operator="notEqual">
      <formula>0</formula>
    </cfRule>
  </conditionalFormatting>
  <conditionalFormatting sqref="H23">
    <cfRule type="cellIs" dxfId="109" priority="103" stopIfTrue="1" operator="notEqual">
      <formula>0</formula>
    </cfRule>
  </conditionalFormatting>
  <conditionalFormatting sqref="H37:H38">
    <cfRule type="cellIs" dxfId="108" priority="102" stopIfTrue="1" operator="notEqual">
      <formula>0</formula>
    </cfRule>
  </conditionalFormatting>
  <conditionalFormatting sqref="H72">
    <cfRule type="cellIs" dxfId="107" priority="101" stopIfTrue="1" operator="notEqual">
      <formula>0</formula>
    </cfRule>
  </conditionalFormatting>
  <conditionalFormatting sqref="H149">
    <cfRule type="cellIs" dxfId="106" priority="99" stopIfTrue="1" operator="notEqual">
      <formula>0</formula>
    </cfRule>
  </conditionalFormatting>
  <conditionalFormatting sqref="H168">
    <cfRule type="cellIs" dxfId="105" priority="98" stopIfTrue="1" operator="notEqual">
      <formula>0</formula>
    </cfRule>
  </conditionalFormatting>
  <conditionalFormatting sqref="H182">
    <cfRule type="cellIs" dxfId="104" priority="97" stopIfTrue="1" operator="notEqual">
      <formula>0</formula>
    </cfRule>
  </conditionalFormatting>
  <conditionalFormatting sqref="H183">
    <cfRule type="cellIs" dxfId="103"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02" priority="67" stopIfTrue="1" operator="equal">
      <formula>0</formula>
    </cfRule>
  </conditionalFormatting>
  <conditionalFormatting sqref="L260">
    <cfRule type="cellIs" dxfId="101" priority="66" stopIfTrue="1" operator="equal">
      <formula>0</formula>
    </cfRule>
  </conditionalFormatting>
  <conditionalFormatting sqref="G274">
    <cfRule type="cellIs" priority="65" stopIfTrue="1" operator="equal">
      <formula>";;;"</formula>
    </cfRule>
  </conditionalFormatting>
  <conditionalFormatting sqref="G274">
    <cfRule type="cellIs" dxfId="100" priority="64" stopIfTrue="1" operator="equal">
      <formula>0</formula>
    </cfRule>
  </conditionalFormatting>
  <conditionalFormatting sqref="G274">
    <cfRule type="cellIs" dxfId="99" priority="63" stopIfTrue="1" operator="equal">
      <formula>0</formula>
    </cfRule>
  </conditionalFormatting>
  <conditionalFormatting sqref="G273">
    <cfRule type="cellIs" priority="53" stopIfTrue="1" operator="equal">
      <formula>";;;"</formula>
    </cfRule>
  </conditionalFormatting>
  <conditionalFormatting sqref="G273">
    <cfRule type="cellIs" dxfId="98" priority="52" stopIfTrue="1" operator="equal">
      <formula>0</formula>
    </cfRule>
  </conditionalFormatting>
  <conditionalFormatting sqref="G273">
    <cfRule type="cellIs" dxfId="97" priority="51" stopIfTrue="1" operator="equal">
      <formula>0</formula>
    </cfRule>
  </conditionalFormatting>
  <conditionalFormatting sqref="J266">
    <cfRule type="cellIs" priority="50" stopIfTrue="1" operator="equal">
      <formula>";;;"</formula>
    </cfRule>
  </conditionalFormatting>
  <conditionalFormatting sqref="J266">
    <cfRule type="cellIs" dxfId="96" priority="49" stopIfTrue="1" operator="equal">
      <formula>0</formula>
    </cfRule>
  </conditionalFormatting>
  <conditionalFormatting sqref="J266">
    <cfRule type="cellIs" dxfId="95" priority="48" stopIfTrue="1" operator="equal">
      <formula>0</formula>
    </cfRule>
  </conditionalFormatting>
  <conditionalFormatting sqref="G268">
    <cfRule type="cellIs" priority="20" stopIfTrue="1" operator="equal">
      <formula>";;;"</formula>
    </cfRule>
  </conditionalFormatting>
  <conditionalFormatting sqref="G268">
    <cfRule type="cellIs" dxfId="94" priority="19" stopIfTrue="1" operator="equal">
      <formula>0</formula>
    </cfRule>
  </conditionalFormatting>
  <conditionalFormatting sqref="G268">
    <cfRule type="cellIs" dxfId="93" priority="18" stopIfTrue="1" operator="equal">
      <formula>0</formula>
    </cfRule>
  </conditionalFormatting>
  <conditionalFormatting sqref="G266">
    <cfRule type="cellIs" priority="17" stopIfTrue="1" operator="equal">
      <formula>";;;"</formula>
    </cfRule>
  </conditionalFormatting>
  <conditionalFormatting sqref="G266">
    <cfRule type="cellIs" dxfId="92" priority="16" stopIfTrue="1" operator="equal">
      <formula>0</formula>
    </cfRule>
  </conditionalFormatting>
  <conditionalFormatting sqref="G266">
    <cfRule type="cellIs" dxfId="91" priority="15" stopIfTrue="1" operator="equal">
      <formula>0</formula>
    </cfRule>
  </conditionalFormatting>
  <conditionalFormatting sqref="G267">
    <cfRule type="cellIs" priority="14" stopIfTrue="1" operator="equal">
      <formula>";;;"</formula>
    </cfRule>
  </conditionalFormatting>
  <conditionalFormatting sqref="G267">
    <cfRule type="cellIs" dxfId="90" priority="13" stopIfTrue="1" operator="equal">
      <formula>0</formula>
    </cfRule>
  </conditionalFormatting>
  <conditionalFormatting sqref="G267">
    <cfRule type="cellIs" dxfId="89" priority="12" stopIfTrue="1" operator="equal">
      <formula>0</formula>
    </cfRule>
  </conditionalFormatting>
  <conditionalFormatting sqref="G270">
    <cfRule type="cellIs" priority="11" stopIfTrue="1" operator="equal">
      <formula>";;;"</formula>
    </cfRule>
  </conditionalFormatting>
  <conditionalFormatting sqref="G270">
    <cfRule type="cellIs" dxfId="88" priority="10" stopIfTrue="1" operator="equal">
      <formula>0</formula>
    </cfRule>
  </conditionalFormatting>
  <conditionalFormatting sqref="G270">
    <cfRule type="cellIs" dxfId="87" priority="9" stopIfTrue="1" operator="equal">
      <formula>0</formula>
    </cfRule>
  </conditionalFormatting>
  <conditionalFormatting sqref="G272">
    <cfRule type="cellIs" priority="3" stopIfTrue="1" operator="equal">
      <formula>";;;"</formula>
    </cfRule>
  </conditionalFormatting>
  <conditionalFormatting sqref="G272">
    <cfRule type="cellIs" dxfId="86" priority="2" stopIfTrue="1" operator="equal">
      <formula>0</formula>
    </cfRule>
  </conditionalFormatting>
  <conditionalFormatting sqref="G272">
    <cfRule type="cellIs" dxfId="85" priority="1" stopIfTrue="1" operator="equal">
      <formula>0</formula>
    </cfRule>
  </conditionalFormatting>
  <dataValidations xWindow="829" yWindow="690" count="24">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prompt="Select from drop down list" sqref="G88" xr:uid="{03FCCE46-B0EA-4672-8B51-281D65C01346}">
      <formula1>#REF!</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8"/>
  <sheetViews>
    <sheetView showGridLines="0" zoomScaleNormal="100" workbookViewId="0">
      <selection activeCell="G41" sqref="G41"/>
    </sheetView>
  </sheetViews>
  <sheetFormatPr defaultColWidth="9.33203125" defaultRowHeight="14.4" x14ac:dyDescent="0.3"/>
  <cols>
    <col min="1" max="1" width="2.6640625" style="194" customWidth="1"/>
    <col min="2" max="3" width="2.33203125" style="194" customWidth="1"/>
    <col min="4" max="4" width="7.44140625" style="261" customWidth="1"/>
    <col min="5" max="5" width="43.6640625" style="249" customWidth="1"/>
    <col min="6" max="6" width="53.33203125" style="249" customWidth="1"/>
    <col min="7" max="7" width="18.6640625" style="194" customWidth="1"/>
    <col min="8" max="8" width="44.44140625" style="194" customWidth="1"/>
    <col min="9" max="9" width="9.44140625" style="194" customWidth="1"/>
    <col min="10" max="10" width="9.33203125" style="249"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2" max="43" width="9.33203125" style="195"/>
    <col min="44" max="16384" width="9.33203125" style="194"/>
  </cols>
  <sheetData>
    <row r="1" spans="1:43" ht="87" customHeight="1" thickBot="1" x14ac:dyDescent="0.35">
      <c r="B1" s="1158" t="s">
        <v>1574</v>
      </c>
      <c r="C1" s="1159"/>
      <c r="D1" s="1159"/>
      <c r="E1" s="1159"/>
      <c r="F1" s="1159"/>
      <c r="G1" s="1159"/>
      <c r="H1" s="1159"/>
      <c r="I1" s="1159"/>
      <c r="J1" s="1160"/>
    </row>
    <row r="2" spans="1:43" s="196" customFormat="1" ht="16.8" hidden="1" thickBot="1" x14ac:dyDescent="0.35">
      <c r="B2" s="1161" t="s">
        <v>541</v>
      </c>
      <c r="C2" s="1162"/>
      <c r="D2" s="1162"/>
      <c r="E2" s="1162"/>
      <c r="F2" s="1162"/>
      <c r="G2" s="1162"/>
      <c r="H2" s="1162"/>
      <c r="I2" s="1162"/>
      <c r="J2" s="1163"/>
      <c r="K2"/>
      <c r="L2"/>
      <c r="M2"/>
      <c r="N2"/>
      <c r="O2"/>
      <c r="P2"/>
      <c r="Q2"/>
      <c r="R2"/>
      <c r="S2"/>
      <c r="T2"/>
      <c r="U2"/>
      <c r="V2"/>
      <c r="W2"/>
      <c r="X2"/>
      <c r="Y2"/>
      <c r="Z2"/>
      <c r="AA2"/>
      <c r="AB2"/>
      <c r="AC2"/>
      <c r="AD2"/>
      <c r="AE2"/>
      <c r="AF2"/>
      <c r="AG2"/>
      <c r="AH2"/>
      <c r="AI2"/>
      <c r="AJ2"/>
      <c r="AK2"/>
      <c r="AL2"/>
      <c r="AM2"/>
      <c r="AN2"/>
      <c r="AO2"/>
      <c r="AP2" s="195"/>
      <c r="AQ2" s="195"/>
    </row>
    <row r="3" spans="1:43" s="198" customFormat="1" ht="39" hidden="1" customHeight="1" thickBot="1" x14ac:dyDescent="0.35">
      <c r="A3" s="194"/>
      <c r="B3" s="1164" t="s">
        <v>542</v>
      </c>
      <c r="C3" s="1165"/>
      <c r="D3" s="1165"/>
      <c r="E3" s="1165"/>
      <c r="F3" s="1165"/>
      <c r="G3" s="1165"/>
      <c r="H3" s="1165"/>
      <c r="I3" s="1165"/>
      <c r="J3" s="1166"/>
      <c r="K3"/>
      <c r="L3"/>
      <c r="M3"/>
      <c r="N3"/>
      <c r="O3"/>
      <c r="P3"/>
      <c r="Q3"/>
      <c r="R3"/>
      <c r="S3"/>
      <c r="T3"/>
      <c r="U3"/>
      <c r="V3"/>
      <c r="W3"/>
      <c r="X3"/>
      <c r="Y3"/>
      <c r="Z3"/>
      <c r="AA3"/>
      <c r="AB3"/>
      <c r="AC3"/>
      <c r="AD3"/>
      <c r="AE3"/>
      <c r="AF3"/>
      <c r="AG3"/>
      <c r="AH3"/>
      <c r="AI3"/>
      <c r="AJ3"/>
      <c r="AK3"/>
      <c r="AL3"/>
      <c r="AM3"/>
      <c r="AN3"/>
      <c r="AO3"/>
      <c r="AP3" s="197"/>
      <c r="AQ3" s="197"/>
    </row>
    <row r="4" spans="1:43" ht="20.25" customHeight="1" x14ac:dyDescent="0.3">
      <c r="B4" s="1105" t="s">
        <v>1576</v>
      </c>
      <c r="C4" s="1106"/>
      <c r="D4" s="1106"/>
      <c r="E4" s="1106"/>
      <c r="F4" s="1106"/>
      <c r="G4" s="1106"/>
      <c r="H4" s="1106"/>
      <c r="I4" s="1106"/>
      <c r="J4" s="1107"/>
    </row>
    <row r="5" spans="1:43" ht="27" hidden="1" customHeight="1" x14ac:dyDescent="0.3">
      <c r="B5" s="1150" t="s">
        <v>1219</v>
      </c>
      <c r="C5" s="1151"/>
      <c r="D5" s="1151"/>
      <c r="E5" s="1151"/>
      <c r="F5" s="1151"/>
      <c r="G5" s="1151"/>
      <c r="H5" s="1151"/>
      <c r="I5" s="1151"/>
      <c r="J5" s="1152"/>
    </row>
    <row r="6" spans="1:43" ht="27" hidden="1" customHeight="1" x14ac:dyDescent="0.3">
      <c r="B6" s="948"/>
      <c r="C6" s="949"/>
      <c r="D6" s="949"/>
      <c r="E6" s="949"/>
      <c r="F6" s="949"/>
      <c r="G6" s="949"/>
      <c r="H6" s="949"/>
      <c r="I6" s="949"/>
      <c r="J6" s="950"/>
    </row>
    <row r="7" spans="1:43" ht="20.25" customHeight="1" thickBot="1" x14ac:dyDescent="0.35">
      <c r="B7" s="1147" t="s">
        <v>1575</v>
      </c>
      <c r="C7" s="1148"/>
      <c r="D7" s="1148"/>
      <c r="E7" s="1148"/>
      <c r="F7" s="1148"/>
      <c r="G7" s="1148"/>
      <c r="H7" s="1148"/>
      <c r="I7" s="1148"/>
      <c r="J7" s="1149"/>
    </row>
    <row r="8" spans="1:43" ht="39" hidden="1" customHeight="1" thickBot="1" x14ac:dyDescent="0.35">
      <c r="B8" s="199"/>
      <c r="C8" s="200"/>
      <c r="D8" s="201" t="s">
        <v>543</v>
      </c>
      <c r="E8" s="202"/>
      <c r="F8" s="203"/>
      <c r="G8" s="203"/>
      <c r="H8" s="203"/>
      <c r="I8" s="203"/>
      <c r="J8" s="204"/>
    </row>
    <row r="9" spans="1:43" s="205" customFormat="1" ht="15" hidden="1" thickBot="1" x14ac:dyDescent="0.35">
      <c r="B9" s="206"/>
      <c r="C9" s="207"/>
      <c r="D9" s="256" t="s">
        <v>436</v>
      </c>
      <c r="E9" s="208"/>
      <c r="F9" s="208"/>
      <c r="G9" s="208"/>
      <c r="H9" s="209"/>
      <c r="I9" s="209"/>
      <c r="J9" s="210"/>
      <c r="K9"/>
      <c r="L9"/>
      <c r="M9"/>
      <c r="N9"/>
      <c r="O9"/>
      <c r="P9"/>
      <c r="Q9"/>
      <c r="R9"/>
      <c r="S9"/>
      <c r="T9"/>
      <c r="U9"/>
      <c r="V9"/>
      <c r="W9"/>
      <c r="X9"/>
      <c r="Y9"/>
      <c r="Z9"/>
      <c r="AA9"/>
      <c r="AB9"/>
      <c r="AC9"/>
      <c r="AD9"/>
      <c r="AE9"/>
      <c r="AF9"/>
      <c r="AG9"/>
      <c r="AH9"/>
      <c r="AI9"/>
      <c r="AJ9"/>
      <c r="AK9"/>
      <c r="AL9"/>
      <c r="AM9"/>
      <c r="AN9"/>
      <c r="AO9"/>
      <c r="AP9" s="195"/>
      <c r="AQ9" s="195"/>
    </row>
    <row r="10" spans="1:43" ht="19.5" hidden="1" customHeight="1" thickBot="1" x14ac:dyDescent="0.35">
      <c r="B10" s="211"/>
      <c r="C10" s="212"/>
      <c r="D10" s="306" t="s">
        <v>771</v>
      </c>
      <c r="E10" s="1142" t="s">
        <v>544</v>
      </c>
      <c r="F10" s="1142"/>
      <c r="G10" s="1136"/>
      <c r="H10" s="1137"/>
      <c r="I10" s="1138"/>
      <c r="J10" s="213"/>
    </row>
    <row r="11" spans="1:43" ht="14.25" hidden="1" customHeight="1" thickBot="1" x14ac:dyDescent="0.35">
      <c r="B11" s="211"/>
      <c r="C11" s="212"/>
      <c r="D11" s="256"/>
      <c r="E11" s="208"/>
      <c r="F11" s="208"/>
      <c r="G11" s="214" t="str">
        <f>IF(U9&gt;0,"PLEASE SEE INSTRUCTIONS REGARDING NAME","")</f>
        <v/>
      </c>
      <c r="H11" s="215"/>
      <c r="I11" s="215"/>
      <c r="J11" s="213"/>
    </row>
    <row r="12" spans="1:43" ht="21" hidden="1" customHeight="1" thickBot="1" x14ac:dyDescent="0.35">
      <c r="B12" s="211"/>
      <c r="C12" s="212"/>
      <c r="D12" s="307" t="s">
        <v>772</v>
      </c>
      <c r="E12" s="1142" t="s">
        <v>961</v>
      </c>
      <c r="F12" s="1142"/>
      <c r="G12" s="216"/>
      <c r="H12" s="215"/>
      <c r="I12" s="215"/>
      <c r="J12" s="213"/>
    </row>
    <row r="13" spans="1:43" ht="6.75" hidden="1" customHeight="1" thickBot="1" x14ac:dyDescent="0.35">
      <c r="B13" s="211"/>
      <c r="C13" s="212"/>
      <c r="D13" s="256"/>
      <c r="E13" s="217"/>
      <c r="F13" s="217"/>
      <c r="G13" s="215"/>
      <c r="H13" s="215"/>
      <c r="I13" s="215"/>
      <c r="J13" s="213"/>
    </row>
    <row r="14" spans="1:43" ht="26.25" hidden="1" customHeight="1" thickBot="1" x14ac:dyDescent="0.35">
      <c r="B14" s="211"/>
      <c r="C14" s="212"/>
      <c r="D14" s="262">
        <v>900</v>
      </c>
      <c r="E14" s="1142" t="s">
        <v>545</v>
      </c>
      <c r="F14" s="1142"/>
      <c r="G14" s="218"/>
      <c r="H14" s="215"/>
      <c r="I14" s="215"/>
      <c r="J14" s="213"/>
    </row>
    <row r="15" spans="1:43" ht="6.75" hidden="1" customHeight="1" thickBot="1" x14ac:dyDescent="0.35">
      <c r="B15" s="211"/>
      <c r="C15" s="212"/>
      <c r="D15" s="262"/>
      <c r="E15" s="217"/>
      <c r="F15" s="217"/>
      <c r="G15" s="215"/>
      <c r="H15" s="215"/>
      <c r="I15" s="215"/>
      <c r="J15" s="213"/>
    </row>
    <row r="16" spans="1:43" ht="26.25" hidden="1" customHeight="1" thickBot="1" x14ac:dyDescent="0.35">
      <c r="B16" s="211"/>
      <c r="C16" s="212"/>
      <c r="D16" s="262" t="s">
        <v>721</v>
      </c>
      <c r="E16" s="1170" t="s">
        <v>546</v>
      </c>
      <c r="F16" s="1170"/>
      <c r="G16" s="1171"/>
      <c r="H16" s="1137"/>
      <c r="I16" s="1138"/>
      <c r="J16" s="213"/>
    </row>
    <row r="17" spans="2:10" ht="6.75" hidden="1" customHeight="1" thickBot="1" x14ac:dyDescent="0.35">
      <c r="B17" s="211"/>
      <c r="C17" s="212"/>
      <c r="D17" s="262"/>
      <c r="E17" s="217"/>
      <c r="F17" s="217"/>
      <c r="G17" s="215"/>
      <c r="H17" s="215"/>
      <c r="I17" s="215"/>
      <c r="J17" s="213"/>
    </row>
    <row r="18" spans="2:10" ht="24" hidden="1" customHeight="1" thickBot="1" x14ac:dyDescent="0.35">
      <c r="B18" s="211"/>
      <c r="C18" s="212"/>
      <c r="D18" s="262" t="s">
        <v>722</v>
      </c>
      <c r="E18" s="1170" t="s">
        <v>547</v>
      </c>
      <c r="F18" s="1170"/>
      <c r="G18" s="1136"/>
      <c r="H18" s="1137"/>
      <c r="I18" s="1138"/>
      <c r="J18" s="213"/>
    </row>
    <row r="19" spans="2:10" ht="6.75" hidden="1" customHeight="1" thickBot="1" x14ac:dyDescent="0.35">
      <c r="B19" s="211"/>
      <c r="C19" s="212"/>
      <c r="D19" s="262"/>
      <c r="E19" s="217"/>
      <c r="F19" s="217"/>
      <c r="G19" s="215"/>
      <c r="H19" s="215"/>
      <c r="I19" s="215"/>
      <c r="J19" s="213"/>
    </row>
    <row r="20" spans="2:10" ht="24" hidden="1" customHeight="1" thickBot="1" x14ac:dyDescent="0.35">
      <c r="B20" s="211"/>
      <c r="C20" s="212"/>
      <c r="D20" s="262" t="s">
        <v>723</v>
      </c>
      <c r="E20" s="1170" t="s">
        <v>548</v>
      </c>
      <c r="F20" s="1170"/>
      <c r="G20" s="1136"/>
      <c r="H20" s="1137"/>
      <c r="I20" s="1138"/>
      <c r="J20" s="213"/>
    </row>
    <row r="21" spans="2:10" ht="6.75" hidden="1" customHeight="1" thickBot="1" x14ac:dyDescent="0.35">
      <c r="B21" s="211"/>
      <c r="C21" s="212"/>
      <c r="D21" s="262"/>
      <c r="E21" s="217"/>
      <c r="F21" s="217"/>
      <c r="G21" s="215"/>
      <c r="H21" s="215"/>
      <c r="I21" s="215"/>
      <c r="J21" s="213"/>
    </row>
    <row r="22" spans="2:10" ht="24" hidden="1" customHeight="1" thickBot="1" x14ac:dyDescent="0.35">
      <c r="B22" s="211"/>
      <c r="C22" s="212"/>
      <c r="D22" s="262" t="s">
        <v>724</v>
      </c>
      <c r="E22" s="1170" t="s">
        <v>549</v>
      </c>
      <c r="F22" s="1170"/>
      <c r="G22" s="1171"/>
      <c r="H22" s="1137"/>
      <c r="I22" s="1138"/>
      <c r="J22" s="213"/>
    </row>
    <row r="23" spans="2:10" ht="6.75" hidden="1" customHeight="1" thickBot="1" x14ac:dyDescent="0.35">
      <c r="B23" s="211"/>
      <c r="C23" s="212"/>
      <c r="D23" s="262"/>
      <c r="E23" s="217"/>
      <c r="F23" s="217"/>
      <c r="G23" s="215"/>
      <c r="H23" s="215"/>
      <c r="I23" s="215"/>
      <c r="J23" s="213"/>
    </row>
    <row r="24" spans="2:10" ht="24" hidden="1" customHeight="1" thickBot="1" x14ac:dyDescent="0.35">
      <c r="B24" s="211"/>
      <c r="C24" s="212"/>
      <c r="D24" s="262" t="s">
        <v>725</v>
      </c>
      <c r="E24" s="1170" t="s">
        <v>550</v>
      </c>
      <c r="F24" s="1170"/>
      <c r="G24" s="1171"/>
      <c r="H24" s="1137"/>
      <c r="I24" s="1138"/>
      <c r="J24" s="213"/>
    </row>
    <row r="25" spans="2:10" ht="6.75" hidden="1" customHeight="1" thickBot="1" x14ac:dyDescent="0.35">
      <c r="B25" s="211"/>
      <c r="C25" s="212"/>
      <c r="D25" s="263"/>
      <c r="E25" s="208"/>
      <c r="F25" s="208"/>
      <c r="G25" s="212"/>
      <c r="H25" s="212"/>
      <c r="I25" s="212"/>
      <c r="J25" s="213"/>
    </row>
    <row r="26" spans="2:10" ht="18.75" hidden="1" customHeight="1" thickBot="1" x14ac:dyDescent="0.35">
      <c r="B26" s="211"/>
      <c r="C26" s="212"/>
      <c r="D26" s="262" t="s">
        <v>773</v>
      </c>
      <c r="E26" s="1142" t="s">
        <v>551</v>
      </c>
      <c r="F26" s="1142"/>
      <c r="G26" s="1172"/>
      <c r="H26" s="1173"/>
      <c r="I26" s="219"/>
      <c r="J26" s="213"/>
    </row>
    <row r="27" spans="2:10" ht="28.5" hidden="1" customHeight="1" thickBot="1" x14ac:dyDescent="0.35">
      <c r="B27" s="211"/>
      <c r="C27" s="212"/>
      <c r="D27" s="262"/>
      <c r="E27" s="1174" t="str">
        <f>IF(G26="Housing Authority", CONCATENATE("SKIP Questions ",D28,"-",D66),"")</f>
        <v/>
      </c>
      <c r="F27" s="1174"/>
      <c r="G27" s="1174"/>
      <c r="H27" s="1174"/>
      <c r="I27" s="219"/>
      <c r="J27" s="213"/>
    </row>
    <row r="28" spans="2:10" ht="28.5" hidden="1" customHeight="1" thickBot="1" x14ac:dyDescent="0.35">
      <c r="B28" s="211"/>
      <c r="C28" s="212"/>
      <c r="D28" s="262" t="s">
        <v>727</v>
      </c>
      <c r="E28" s="1142" t="s">
        <v>552</v>
      </c>
      <c r="F28" s="1142"/>
      <c r="G28" s="220"/>
      <c r="H28" s="1175">
        <f>+O28</f>
        <v>0</v>
      </c>
      <c r="I28" s="1176"/>
      <c r="J28" s="213"/>
    </row>
    <row r="29" spans="2:10" ht="6.75" hidden="1" customHeight="1" thickBot="1" x14ac:dyDescent="0.35">
      <c r="B29" s="211"/>
      <c r="C29" s="212"/>
      <c r="D29" s="263"/>
      <c r="E29" s="208"/>
      <c r="F29" s="208"/>
      <c r="G29" s="221"/>
      <c r="H29" s="208"/>
      <c r="I29" s="222"/>
      <c r="J29" s="213"/>
    </row>
    <row r="30" spans="2:10" ht="18.75" hidden="1" customHeight="1" thickBot="1" x14ac:dyDescent="0.35">
      <c r="B30" s="211"/>
      <c r="C30" s="212"/>
      <c r="D30" s="262" t="s">
        <v>726</v>
      </c>
      <c r="E30" s="1142" t="s">
        <v>553</v>
      </c>
      <c r="F30" s="1142"/>
      <c r="G30" s="223"/>
      <c r="H30" s="1177"/>
      <c r="I30" s="1177"/>
      <c r="J30" s="213"/>
    </row>
    <row r="31" spans="2:10" ht="6.75" hidden="1" customHeight="1" thickBot="1" x14ac:dyDescent="0.35">
      <c r="B31" s="211"/>
      <c r="C31" s="212"/>
      <c r="D31" s="263"/>
      <c r="E31" s="208"/>
      <c r="F31" s="208"/>
      <c r="G31" s="212"/>
      <c r="H31" s="212"/>
      <c r="I31" s="212"/>
      <c r="J31" s="213"/>
    </row>
    <row r="32" spans="2:10" ht="27.75" hidden="1" customHeight="1" thickBot="1" x14ac:dyDescent="0.35">
      <c r="B32" s="211"/>
      <c r="C32" s="212"/>
      <c r="D32" s="262" t="s">
        <v>728</v>
      </c>
      <c r="E32" s="1178" t="s">
        <v>554</v>
      </c>
      <c r="F32" s="1179"/>
      <c r="G32" s="1167"/>
      <c r="H32" s="1168"/>
      <c r="I32" s="1169"/>
      <c r="J32" s="213"/>
    </row>
    <row r="33" spans="2:10" ht="6.75" hidden="1" customHeight="1" thickBot="1" x14ac:dyDescent="0.35">
      <c r="B33" s="211"/>
      <c r="C33" s="212"/>
      <c r="D33" s="263"/>
      <c r="E33" s="208"/>
      <c r="F33" s="208"/>
      <c r="G33" s="212"/>
      <c r="H33" s="212"/>
      <c r="I33" s="212"/>
      <c r="J33" s="213"/>
    </row>
    <row r="34" spans="2:10" ht="17.25" hidden="1" customHeight="1" thickBot="1" x14ac:dyDescent="0.35">
      <c r="B34" s="211"/>
      <c r="C34" s="212"/>
      <c r="D34" s="262" t="s">
        <v>729</v>
      </c>
      <c r="E34" s="217" t="s">
        <v>555</v>
      </c>
      <c r="F34" s="217"/>
      <c r="G34" s="1136"/>
      <c r="H34" s="1137"/>
      <c r="I34" s="1138"/>
      <c r="J34" s="213"/>
    </row>
    <row r="35" spans="2:10" ht="6.75" hidden="1" customHeight="1" thickBot="1" x14ac:dyDescent="0.35">
      <c r="B35" s="211"/>
      <c r="C35" s="212"/>
      <c r="D35" s="263"/>
      <c r="E35" s="208"/>
      <c r="F35" s="208"/>
      <c r="G35" s="212"/>
      <c r="H35" s="212"/>
      <c r="I35" s="212"/>
      <c r="J35" s="213"/>
    </row>
    <row r="36" spans="2:10" ht="18" hidden="1" customHeight="1" thickBot="1" x14ac:dyDescent="0.35">
      <c r="B36" s="211"/>
      <c r="C36" s="212"/>
      <c r="D36" s="262" t="s">
        <v>730</v>
      </c>
      <c r="E36" s="1142" t="s">
        <v>556</v>
      </c>
      <c r="F36" s="1153"/>
      <c r="G36" s="1136"/>
      <c r="H36" s="1137"/>
      <c r="I36" s="1138"/>
      <c r="J36" s="213"/>
    </row>
    <row r="37" spans="2:10" ht="8.25" hidden="1" customHeight="1" thickBot="1" x14ac:dyDescent="0.35">
      <c r="B37" s="211"/>
      <c r="C37" s="212"/>
      <c r="D37" s="256"/>
      <c r="E37" s="1154"/>
      <c r="F37" s="1154"/>
      <c r="G37" s="1154"/>
      <c r="H37" s="1154"/>
      <c r="I37" s="219"/>
      <c r="J37" s="213"/>
    </row>
    <row r="38" spans="2:10" ht="39" customHeight="1" thickBot="1" x14ac:dyDescent="0.35">
      <c r="B38" s="1155" t="s">
        <v>1218</v>
      </c>
      <c r="C38" s="1156"/>
      <c r="D38" s="1156"/>
      <c r="E38" s="1156"/>
      <c r="F38" s="1156"/>
      <c r="G38" s="1156"/>
      <c r="H38" s="1156"/>
      <c r="I38" s="1156"/>
      <c r="J38" s="1157"/>
    </row>
    <row r="39" spans="2:10" ht="4.5" customHeight="1" x14ac:dyDescent="0.3">
      <c r="B39" s="211"/>
      <c r="C39" s="212"/>
      <c r="D39" s="257"/>
      <c r="E39" s="208"/>
      <c r="F39" s="208"/>
      <c r="G39" s="212"/>
      <c r="H39" s="212"/>
      <c r="I39" s="212"/>
      <c r="J39" s="213"/>
    </row>
    <row r="40" spans="2:10" ht="4.5" customHeight="1" thickBot="1" x14ac:dyDescent="0.35">
      <c r="B40" s="211"/>
      <c r="C40" s="212"/>
      <c r="D40" s="257"/>
      <c r="E40" s="208"/>
      <c r="F40" s="208"/>
      <c r="G40" s="212"/>
      <c r="H40" s="212"/>
      <c r="I40" s="212"/>
      <c r="J40" s="213"/>
    </row>
    <row r="41" spans="2:10" ht="30.75" customHeight="1" thickBot="1" x14ac:dyDescent="0.35">
      <c r="B41" s="211"/>
      <c r="C41" s="212"/>
      <c r="D41" s="256">
        <v>906</v>
      </c>
      <c r="E41" s="1142" t="s">
        <v>557</v>
      </c>
      <c r="F41" s="1142"/>
      <c r="G41" s="220"/>
      <c r="H41" s="303" t="str">
        <f>IF(G41="","This Question must be answered before uploading, the report will not be processed if left blank","")</f>
        <v>This Question must be answered before uploading, the report will not be processed if left blank</v>
      </c>
      <c r="I41" s="212"/>
      <c r="J41" s="213"/>
    </row>
    <row r="42" spans="2:10" ht="6.75" customHeight="1" thickBot="1" x14ac:dyDescent="0.35">
      <c r="B42" s="211"/>
      <c r="C42" s="212"/>
      <c r="D42" s="256"/>
      <c r="E42" s="217"/>
      <c r="F42" s="217"/>
      <c r="G42" s="221"/>
      <c r="H42" s="212"/>
      <c r="I42" s="212"/>
      <c r="J42" s="213"/>
    </row>
    <row r="43" spans="2:10" ht="32.25" customHeight="1" thickBot="1" x14ac:dyDescent="0.35">
      <c r="B43" s="211"/>
      <c r="C43" s="212"/>
      <c r="D43" s="256">
        <v>907</v>
      </c>
      <c r="E43" s="1142" t="s">
        <v>558</v>
      </c>
      <c r="F43" s="1142"/>
      <c r="G43" s="220"/>
      <c r="H43" s="303" t="str">
        <f>IF(G43="","This Question must be answered before uploading, the report will not be processed if left blank","")</f>
        <v>This Question must be answered before uploading, the report will not be processed if left blank</v>
      </c>
      <c r="I43" s="212"/>
      <c r="J43" s="213"/>
    </row>
    <row r="44" spans="2:10" ht="6.75" customHeight="1" thickBot="1" x14ac:dyDescent="0.35">
      <c r="B44" s="211"/>
      <c r="C44" s="212"/>
      <c r="D44" s="256"/>
      <c r="E44" s="217"/>
      <c r="F44" s="217"/>
      <c r="G44" s="221"/>
      <c r="H44" s="212"/>
      <c r="I44" s="212"/>
      <c r="J44" s="213"/>
    </row>
    <row r="45" spans="2:10" ht="32.25" customHeight="1" thickBot="1" x14ac:dyDescent="0.35">
      <c r="B45" s="211"/>
      <c r="C45" s="212"/>
      <c r="D45" s="256">
        <v>951</v>
      </c>
      <c r="E45" s="1142" t="s">
        <v>559</v>
      </c>
      <c r="F45" s="1142"/>
      <c r="G45" s="220"/>
      <c r="H45" s="303" t="str">
        <f>IF(G45="","This Question must be answered before uploading, the report will not be processed if left blank","")</f>
        <v>This Question must be answered before uploading, the report will not be processed if left blank</v>
      </c>
      <c r="I45" s="208"/>
      <c r="J45" s="213"/>
    </row>
    <row r="46" spans="2:10" ht="6.75" customHeight="1" thickBot="1" x14ac:dyDescent="0.35">
      <c r="B46" s="211"/>
      <c r="C46" s="212"/>
      <c r="D46" s="256"/>
      <c r="E46" s="217"/>
      <c r="F46" s="217"/>
      <c r="G46" s="221"/>
      <c r="H46" s="212"/>
      <c r="I46" s="212"/>
      <c r="J46" s="213"/>
    </row>
    <row r="47" spans="2:10" ht="33" customHeight="1" thickBot="1" x14ac:dyDescent="0.35">
      <c r="B47" s="211"/>
      <c r="C47" s="212"/>
      <c r="D47" s="256">
        <v>953</v>
      </c>
      <c r="E47" s="1142" t="s">
        <v>560</v>
      </c>
      <c r="F47" s="1142"/>
      <c r="G47" s="220"/>
      <c r="H47" s="303" t="str">
        <f>IF(G47="","This Question must be answered before uploading, the report will not be processed if left blank","")</f>
        <v>This Question must be answered before uploading, the report will not be processed if left blank</v>
      </c>
      <c r="I47" s="208"/>
      <c r="J47" s="213"/>
    </row>
    <row r="48" spans="2:10" ht="6.75" customHeight="1" thickBot="1" x14ac:dyDescent="0.35">
      <c r="B48" s="211"/>
      <c r="C48" s="212"/>
      <c r="D48" s="258"/>
      <c r="E48" s="217"/>
      <c r="F48" s="217"/>
      <c r="G48" s="221"/>
      <c r="H48" s="212"/>
      <c r="I48" s="212"/>
      <c r="J48" s="213"/>
    </row>
    <row r="49" spans="2:43" ht="32.25" customHeight="1" thickBot="1" x14ac:dyDescent="0.35">
      <c r="B49" s="211"/>
      <c r="C49" s="212"/>
      <c r="D49" s="256">
        <v>955</v>
      </c>
      <c r="E49" s="1142" t="s">
        <v>561</v>
      </c>
      <c r="F49" s="1142"/>
      <c r="G49" s="225"/>
      <c r="H49" s="303" t="str">
        <f>IF(G49="","This Question must be answered before uploading, the report will not be processed if left blank","")</f>
        <v>This Question must be answered before uploading, the report will not be processed if left blank</v>
      </c>
      <c r="I49" s="226"/>
      <c r="J49" s="227"/>
    </row>
    <row r="50" spans="2:43" ht="6.75" customHeight="1" thickBot="1" x14ac:dyDescent="0.35">
      <c r="B50" s="211"/>
      <c r="C50" s="212"/>
      <c r="D50" s="256"/>
      <c r="E50" s="217"/>
      <c r="F50" s="217"/>
      <c r="G50" s="221"/>
      <c r="H50" s="226"/>
      <c r="I50" s="226"/>
      <c r="J50" s="227"/>
    </row>
    <row r="51" spans="2:43" ht="39.75" customHeight="1" thickBot="1" x14ac:dyDescent="0.35">
      <c r="B51" s="211"/>
      <c r="C51" s="212"/>
      <c r="D51" s="256">
        <v>957</v>
      </c>
      <c r="E51" s="1142" t="s">
        <v>562</v>
      </c>
      <c r="F51" s="1142"/>
      <c r="G51" s="225"/>
      <c r="H51" s="303" t="str">
        <f>IF(G51="","This Question must be answered before uploading, the report will not be processed if left blank","")</f>
        <v>This Question must be answered before uploading, the report will not be processed if left blank</v>
      </c>
      <c r="I51" s="226"/>
      <c r="J51" s="227"/>
    </row>
    <row r="52" spans="2:43" ht="7.2" customHeight="1" x14ac:dyDescent="0.3">
      <c r="B52" s="211"/>
      <c r="C52" s="212"/>
      <c r="D52" s="257"/>
      <c r="E52" s="208"/>
      <c r="F52" s="208"/>
      <c r="G52" s="212"/>
      <c r="H52" s="212"/>
      <c r="I52" s="212"/>
      <c r="J52" s="213"/>
    </row>
    <row r="53" spans="2:43" ht="35.1" hidden="1" customHeight="1" thickBot="1" x14ac:dyDescent="0.35">
      <c r="B53" s="211"/>
      <c r="C53" s="212"/>
      <c r="D53" s="256">
        <v>959</v>
      </c>
      <c r="E53" s="1141" t="s">
        <v>956</v>
      </c>
      <c r="F53" s="1141"/>
      <c r="G53" s="220"/>
      <c r="H53" s="303" t="str">
        <f>IF(G53="","This Question must be answered before uploading, the report will not be processed if left blank","")</f>
        <v>This Question must be answered before uploading, the report will not be processed if left blank</v>
      </c>
      <c r="I53" s="212"/>
      <c r="J53" s="213"/>
    </row>
    <row r="54" spans="2:43" ht="8.25" hidden="1" customHeight="1" thickBot="1" x14ac:dyDescent="0.35">
      <c r="B54" s="211"/>
      <c r="C54" s="212"/>
      <c r="D54" s="256"/>
      <c r="E54" s="381"/>
      <c r="F54" s="381"/>
      <c r="G54" s="212"/>
      <c r="H54" s="212"/>
      <c r="I54" s="212"/>
      <c r="J54" s="213"/>
    </row>
    <row r="55" spans="2:43" ht="67.5" hidden="1" customHeight="1" thickBot="1" x14ac:dyDescent="0.35">
      <c r="B55" s="211"/>
      <c r="C55" s="228"/>
      <c r="D55" s="256">
        <v>973</v>
      </c>
      <c r="E55" s="1141" t="s">
        <v>1029</v>
      </c>
      <c r="F55" s="1141"/>
      <c r="G55" s="386"/>
      <c r="H55" s="303" t="str">
        <f>IF(G55="","This Question must be answered before uploading, the report will not be processed if left blank","")</f>
        <v>This Question must be answered before uploading, the report will not be processed if left blank</v>
      </c>
      <c r="I55" s="281"/>
      <c r="J55" s="213"/>
    </row>
    <row r="56" spans="2:43" ht="6.75" hidden="1" customHeight="1" thickBot="1" x14ac:dyDescent="0.35">
      <c r="B56" s="211"/>
      <c r="C56" s="228"/>
      <c r="D56" s="259"/>
      <c r="E56" s="208"/>
      <c r="F56" s="208"/>
      <c r="G56" s="255"/>
      <c r="H56" s="212"/>
      <c r="I56" s="212"/>
      <c r="J56" s="213"/>
    </row>
    <row r="57" spans="2:43" ht="98.25" hidden="1" customHeight="1" thickBot="1" x14ac:dyDescent="0.35">
      <c r="B57" s="211"/>
      <c r="C57" s="212"/>
      <c r="D57" s="256">
        <v>974</v>
      </c>
      <c r="E57" s="1142" t="s">
        <v>960</v>
      </c>
      <c r="F57" s="1143"/>
      <c r="G57" s="220"/>
      <c r="H57" s="302" t="str">
        <f>IF(G57="","This Question must be answered before uploading, the report will not be processed if left blank","")</f>
        <v>This Question must be answered before uploading, the report will not be processed if left blank</v>
      </c>
      <c r="I57" s="229"/>
      <c r="J57" s="213"/>
    </row>
    <row r="58" spans="2:43" ht="6.75" hidden="1" customHeight="1" x14ac:dyDescent="0.3">
      <c r="B58" s="211"/>
      <c r="C58" s="212"/>
      <c r="D58" s="256"/>
      <c r="E58" s="217"/>
      <c r="F58" s="217"/>
      <c r="G58" s="221"/>
      <c r="H58" s="212"/>
      <c r="I58" s="212"/>
      <c r="J58" s="213"/>
    </row>
    <row r="59" spans="2:43" ht="6.75" hidden="1" customHeight="1" thickBot="1" x14ac:dyDescent="0.35">
      <c r="B59" s="211"/>
      <c r="C59" s="212"/>
      <c r="D59" s="256"/>
      <c r="E59" s="217"/>
      <c r="F59" s="217"/>
      <c r="G59" s="221"/>
      <c r="H59" s="208"/>
      <c r="I59" s="212"/>
      <c r="J59" s="213"/>
    </row>
    <row r="60" spans="2:43" ht="29.25" hidden="1" customHeight="1" thickBot="1" x14ac:dyDescent="0.35">
      <c r="B60" s="211"/>
      <c r="C60" s="212"/>
      <c r="D60" s="256">
        <v>965</v>
      </c>
      <c r="E60" s="1142" t="s">
        <v>563</v>
      </c>
      <c r="F60" s="1142"/>
      <c r="G60" s="223"/>
      <c r="H60" s="303" t="str">
        <f>IF(G60="","This Question must be answered before uploading, the report will not be processed if left blank","")</f>
        <v>This Question must be answered before uploading, the report will not be processed if left blank</v>
      </c>
      <c r="I60" s="222"/>
      <c r="J60" s="213"/>
    </row>
    <row r="61" spans="2:43" ht="6.75" customHeight="1" thickBot="1" x14ac:dyDescent="0.35">
      <c r="B61" s="211"/>
      <c r="C61" s="212"/>
      <c r="D61" s="257"/>
      <c r="E61" s="208"/>
      <c r="F61" s="208"/>
      <c r="G61" s="221"/>
      <c r="H61" s="208"/>
      <c r="I61" s="222"/>
      <c r="J61" s="213"/>
    </row>
    <row r="62" spans="2:43" s="234" customFormat="1" ht="30.75" customHeight="1" thickBot="1" x14ac:dyDescent="0.35">
      <c r="B62" s="230"/>
      <c r="C62" s="231"/>
      <c r="D62" s="256" t="s">
        <v>774</v>
      </c>
      <c r="E62" s="232" t="s">
        <v>564</v>
      </c>
      <c r="F62" s="233" t="str">
        <f>IF(G62="Yes", "Please Submit Management Letter","")</f>
        <v/>
      </c>
      <c r="G62" s="220"/>
      <c r="H62" s="303" t="str">
        <f>IF(G62="","This Question must be answered before uploading, the report will not be processed if left blank","")</f>
        <v>This Question must be answered before uploading, the report will not be processed if left blank</v>
      </c>
      <c r="I62" s="280"/>
      <c r="J62" s="213"/>
      <c r="K62"/>
      <c r="L62"/>
      <c r="M62"/>
      <c r="N62"/>
      <c r="O62"/>
      <c r="P62"/>
      <c r="Q62"/>
      <c r="R62"/>
      <c r="S62"/>
      <c r="T62"/>
      <c r="U62"/>
      <c r="V62"/>
      <c r="W62"/>
      <c r="X62"/>
      <c r="Y62"/>
      <c r="Z62"/>
      <c r="AA62"/>
      <c r="AB62"/>
      <c r="AC62"/>
      <c r="AD62"/>
      <c r="AE62"/>
      <c r="AF62"/>
      <c r="AG62"/>
      <c r="AH62"/>
      <c r="AI62"/>
      <c r="AJ62"/>
      <c r="AK62"/>
      <c r="AL62"/>
      <c r="AM62"/>
      <c r="AN62"/>
      <c r="AO62"/>
      <c r="AP62" s="224"/>
      <c r="AQ62" s="224"/>
    </row>
    <row r="63" spans="2:43" s="234" customFormat="1" ht="9.75" customHeight="1" thickBot="1" x14ac:dyDescent="0.35">
      <c r="B63" s="230"/>
      <c r="C63" s="231"/>
      <c r="D63" s="257"/>
      <c r="E63" s="235"/>
      <c r="F63" s="236"/>
      <c r="G63" s="221"/>
      <c r="H63" s="208"/>
      <c r="I63" s="222"/>
      <c r="J63" s="213"/>
      <c r="K63"/>
      <c r="L63"/>
      <c r="M63"/>
      <c r="N63"/>
      <c r="O63"/>
      <c r="P63"/>
      <c r="Q63"/>
      <c r="R63"/>
      <c r="S63"/>
      <c r="T63"/>
      <c r="U63"/>
      <c r="V63"/>
      <c r="W63"/>
      <c r="X63"/>
      <c r="Y63"/>
      <c r="Z63"/>
      <c r="AA63"/>
      <c r="AB63"/>
      <c r="AC63"/>
      <c r="AD63"/>
      <c r="AE63"/>
      <c r="AF63"/>
      <c r="AG63"/>
      <c r="AH63"/>
      <c r="AI63"/>
      <c r="AJ63"/>
      <c r="AK63"/>
      <c r="AL63"/>
      <c r="AM63"/>
      <c r="AN63"/>
      <c r="AO63"/>
      <c r="AP63" s="224"/>
      <c r="AQ63" s="224"/>
    </row>
    <row r="64" spans="2:43" s="234" customFormat="1" ht="31.5" customHeight="1" thickBot="1" x14ac:dyDescent="0.35">
      <c r="B64" s="230"/>
      <c r="C64" s="231"/>
      <c r="D64" s="256" t="s">
        <v>775</v>
      </c>
      <c r="E64" s="232" t="s">
        <v>565</v>
      </c>
      <c r="F64" s="233" t="str">
        <f>IF(G64="Yes", "Please Submit AU-C 260 Letter","")</f>
        <v/>
      </c>
      <c r="G64" s="220"/>
      <c r="H64" s="303" t="str">
        <f>IF(G64="","This Question must be answered before uploading, the report will not be processed if left blank","")</f>
        <v>This Question must be answered before uploading, the report will not be processed if left blank</v>
      </c>
      <c r="I64" s="280"/>
      <c r="J64" s="213"/>
      <c r="K64"/>
      <c r="L64"/>
      <c r="M64"/>
      <c r="N64"/>
      <c r="O64"/>
      <c r="P64"/>
      <c r="Q64"/>
      <c r="R64"/>
      <c r="S64"/>
      <c r="T64"/>
      <c r="U64"/>
      <c r="V64"/>
      <c r="W64"/>
      <c r="X64"/>
      <c r="Y64"/>
      <c r="Z64"/>
      <c r="AA64"/>
      <c r="AB64"/>
      <c r="AC64"/>
      <c r="AD64"/>
      <c r="AE64"/>
      <c r="AF64"/>
      <c r="AG64"/>
      <c r="AH64"/>
      <c r="AI64"/>
      <c r="AJ64"/>
      <c r="AK64"/>
      <c r="AL64"/>
      <c r="AM64"/>
      <c r="AN64"/>
      <c r="AO64"/>
      <c r="AP64" s="224"/>
      <c r="AQ64" s="224"/>
    </row>
    <row r="65" spans="2:43" s="234" customFormat="1" ht="8.25" customHeight="1" thickBot="1" x14ac:dyDescent="0.35">
      <c r="B65" s="230"/>
      <c r="C65" s="231"/>
      <c r="D65" s="257"/>
      <c r="E65" s="237"/>
      <c r="F65" s="236"/>
      <c r="G65" s="221"/>
      <c r="H65" s="208"/>
      <c r="I65" s="222"/>
      <c r="J65" s="213"/>
      <c r="K65"/>
      <c r="L65"/>
      <c r="M65"/>
      <c r="N65"/>
      <c r="O65"/>
      <c r="P65"/>
      <c r="Q65"/>
      <c r="R65"/>
      <c r="S65"/>
      <c r="T65"/>
      <c r="U65"/>
      <c r="V65"/>
      <c r="W65"/>
      <c r="X65"/>
      <c r="Y65"/>
      <c r="Z65"/>
      <c r="AA65"/>
      <c r="AB65"/>
      <c r="AC65"/>
      <c r="AD65"/>
      <c r="AE65"/>
      <c r="AF65"/>
      <c r="AG65"/>
      <c r="AH65"/>
      <c r="AI65"/>
      <c r="AJ65"/>
      <c r="AK65"/>
      <c r="AL65"/>
      <c r="AM65"/>
      <c r="AN65"/>
      <c r="AO65"/>
      <c r="AP65" s="224"/>
      <c r="AQ65" s="224"/>
    </row>
    <row r="66" spans="2:43" s="234" customFormat="1" ht="33.75" customHeight="1" thickBot="1" x14ac:dyDescent="0.35">
      <c r="B66" s="230"/>
      <c r="C66" s="231"/>
      <c r="D66" s="256" t="s">
        <v>776</v>
      </c>
      <c r="E66" s="232" t="s">
        <v>566</v>
      </c>
      <c r="F66" s="233" t="str">
        <f>IF(G66="Yes", "Please Submit AU-C 265 Letter","")</f>
        <v/>
      </c>
      <c r="G66" s="220"/>
      <c r="H66" s="303" t="str">
        <f>IF(G66="","This Question must be answered before uploading, the report will not be processed if left blank","")</f>
        <v>This Question must be answered before uploading, the report will not be processed if left blank</v>
      </c>
      <c r="I66" s="280"/>
      <c r="J66" s="213"/>
      <c r="K66"/>
      <c r="L66"/>
      <c r="M66"/>
      <c r="N66"/>
      <c r="O66"/>
      <c r="P66"/>
      <c r="Q66"/>
      <c r="R66"/>
      <c r="S66"/>
      <c r="T66"/>
      <c r="U66"/>
      <c r="V66"/>
      <c r="W66"/>
      <c r="X66"/>
      <c r="Y66"/>
      <c r="Z66"/>
      <c r="AA66"/>
      <c r="AB66"/>
      <c r="AC66"/>
      <c r="AD66"/>
      <c r="AE66"/>
      <c r="AF66"/>
      <c r="AG66"/>
      <c r="AH66"/>
      <c r="AI66"/>
      <c r="AJ66"/>
      <c r="AK66"/>
      <c r="AL66"/>
      <c r="AM66"/>
      <c r="AN66"/>
      <c r="AO66"/>
      <c r="AP66" s="224"/>
      <c r="AQ66" s="224"/>
    </row>
    <row r="67" spans="2:43" ht="6.75" customHeight="1" thickBot="1" x14ac:dyDescent="0.35">
      <c r="B67" s="211"/>
      <c r="C67" s="212"/>
      <c r="D67" s="257"/>
      <c r="E67" s="238"/>
      <c r="F67" s="238"/>
      <c r="G67" s="215"/>
      <c r="H67" s="208"/>
      <c r="I67" s="208"/>
      <c r="J67" s="213"/>
    </row>
    <row r="68" spans="2:43" s="234" customFormat="1" ht="35.25" hidden="1" customHeight="1" thickBot="1" x14ac:dyDescent="0.35">
      <c r="B68" s="230"/>
      <c r="C68" s="215"/>
      <c r="D68" s="389">
        <v>977</v>
      </c>
      <c r="E68" s="1144" t="s">
        <v>942</v>
      </c>
      <c r="F68" s="1145"/>
      <c r="G68" s="387"/>
      <c r="H68" s="303" t="str">
        <f>IF(G68="","This Question must be answered before uploading, the report will not be processed if left blank","")</f>
        <v>This Question must be answered before uploading, the report will not be processed if left blank</v>
      </c>
      <c r="I68" s="222"/>
      <c r="J68" s="213"/>
      <c r="K68"/>
      <c r="L68"/>
      <c r="M68"/>
      <c r="N68"/>
      <c r="O68"/>
      <c r="P68"/>
      <c r="Q68"/>
      <c r="R68"/>
      <c r="S68"/>
      <c r="T68"/>
      <c r="U68"/>
      <c r="V68"/>
      <c r="W68"/>
      <c r="X68"/>
      <c r="Y68"/>
      <c r="Z68"/>
      <c r="AA68"/>
      <c r="AB68"/>
      <c r="AC68"/>
      <c r="AD68"/>
      <c r="AE68"/>
      <c r="AF68"/>
      <c r="AG68"/>
      <c r="AH68"/>
      <c r="AI68"/>
      <c r="AJ68"/>
      <c r="AK68"/>
      <c r="AL68"/>
      <c r="AM68"/>
      <c r="AN68"/>
      <c r="AO68"/>
      <c r="AP68" s="224"/>
      <c r="AQ68" s="224"/>
    </row>
    <row r="69" spans="2:43" s="234" customFormat="1" ht="8.25" hidden="1" customHeight="1" thickBot="1" x14ac:dyDescent="0.35">
      <c r="B69" s="230"/>
      <c r="C69" s="215"/>
      <c r="D69" s="256"/>
      <c r="E69" s="264"/>
      <c r="F69" s="265"/>
      <c r="G69" s="221"/>
      <c r="H69" s="208"/>
      <c r="I69" s="222"/>
      <c r="J69" s="213"/>
      <c r="K69"/>
      <c r="L69"/>
      <c r="M69"/>
      <c r="N69"/>
      <c r="O69"/>
      <c r="P69"/>
      <c r="Q69"/>
      <c r="R69"/>
      <c r="S69"/>
      <c r="T69"/>
      <c r="U69"/>
      <c r="V69"/>
      <c r="W69"/>
      <c r="X69"/>
      <c r="Y69"/>
      <c r="Z69"/>
      <c r="AA69"/>
      <c r="AB69"/>
      <c r="AC69"/>
      <c r="AD69"/>
      <c r="AE69"/>
      <c r="AF69"/>
      <c r="AG69"/>
      <c r="AH69"/>
      <c r="AI69"/>
      <c r="AJ69"/>
      <c r="AK69"/>
      <c r="AL69"/>
      <c r="AM69"/>
      <c r="AN69"/>
      <c r="AO69"/>
      <c r="AP69" s="224"/>
      <c r="AQ69" s="224"/>
    </row>
    <row r="70" spans="2:43" s="234" customFormat="1" ht="30" customHeight="1" thickBot="1" x14ac:dyDescent="0.35">
      <c r="B70" s="230"/>
      <c r="C70" s="215"/>
      <c r="D70" s="389">
        <v>978</v>
      </c>
      <c r="E70" s="1144" t="s">
        <v>732</v>
      </c>
      <c r="F70" s="1145"/>
      <c r="G70" s="387"/>
      <c r="H70" s="303" t="str">
        <f>IF(G70="","This Question must be answered before uploading, the report will not be processed if left blank","")</f>
        <v>This Question must be answered before uploading, the report will not be processed if left blank</v>
      </c>
      <c r="I70" s="222"/>
      <c r="J70" s="213"/>
      <c r="K70"/>
      <c r="L70"/>
      <c r="M70"/>
      <c r="N70"/>
      <c r="O70"/>
      <c r="P70"/>
      <c r="Q70"/>
      <c r="R70"/>
      <c r="S70"/>
      <c r="T70"/>
      <c r="U70"/>
      <c r="V70"/>
      <c r="W70"/>
      <c r="X70"/>
      <c r="Y70"/>
      <c r="Z70"/>
      <c r="AA70"/>
      <c r="AB70"/>
      <c r="AC70"/>
      <c r="AD70"/>
      <c r="AE70"/>
      <c r="AF70"/>
      <c r="AG70"/>
      <c r="AH70"/>
      <c r="AI70"/>
      <c r="AJ70"/>
      <c r="AK70"/>
      <c r="AL70"/>
      <c r="AM70"/>
      <c r="AN70"/>
      <c r="AO70"/>
      <c r="AP70" s="224"/>
      <c r="AQ70" s="224"/>
    </row>
    <row r="71" spans="2:43" s="234" customFormat="1" ht="8.25" customHeight="1" thickBot="1" x14ac:dyDescent="0.35">
      <c r="B71" s="230"/>
      <c r="C71" s="215"/>
      <c r="D71" s="389"/>
      <c r="E71" s="264"/>
      <c r="F71" s="265"/>
      <c r="G71" s="221"/>
      <c r="H71" s="208"/>
      <c r="I71" s="222"/>
      <c r="J71" s="213"/>
      <c r="K71"/>
      <c r="L71"/>
      <c r="M71"/>
      <c r="N71"/>
      <c r="O71"/>
      <c r="P71"/>
      <c r="Q71"/>
      <c r="R71"/>
      <c r="S71"/>
      <c r="T71"/>
      <c r="U71"/>
      <c r="V71"/>
      <c r="W71"/>
      <c r="X71"/>
      <c r="Y71"/>
      <c r="Z71"/>
      <c r="AA71"/>
      <c r="AB71"/>
      <c r="AC71"/>
      <c r="AD71"/>
      <c r="AE71"/>
      <c r="AF71"/>
      <c r="AG71"/>
      <c r="AH71"/>
      <c r="AI71"/>
      <c r="AJ71"/>
      <c r="AK71"/>
      <c r="AL71"/>
      <c r="AM71"/>
      <c r="AN71"/>
      <c r="AO71"/>
      <c r="AP71" s="224"/>
      <c r="AQ71" s="224"/>
    </row>
    <row r="72" spans="2:43" s="234" customFormat="1" ht="36.75" customHeight="1" thickBot="1" x14ac:dyDescent="0.35">
      <c r="B72" s="230"/>
      <c r="C72" s="215"/>
      <c r="D72" s="389">
        <v>979</v>
      </c>
      <c r="E72" s="1144" t="s">
        <v>1542</v>
      </c>
      <c r="F72" s="1145"/>
      <c r="G72" s="387"/>
      <c r="H72" s="303" t="str">
        <f>IF(G72="","This Question must be answered before uploading, the report will not be processed if left blank","")</f>
        <v>This Question must be answered before uploading, the report will not be processed if left blank</v>
      </c>
      <c r="I72" s="222"/>
      <c r="J72" s="213"/>
      <c r="K72"/>
      <c r="L72"/>
      <c r="M72"/>
      <c r="N72"/>
      <c r="O72"/>
      <c r="P72"/>
      <c r="Q72"/>
      <c r="R72"/>
      <c r="S72"/>
      <c r="T72"/>
      <c r="U72"/>
      <c r="V72"/>
      <c r="W72"/>
      <c r="X72"/>
      <c r="Y72"/>
      <c r="Z72"/>
      <c r="AA72"/>
      <c r="AB72"/>
      <c r="AC72"/>
      <c r="AD72"/>
      <c r="AE72"/>
      <c r="AF72"/>
      <c r="AG72"/>
      <c r="AH72"/>
      <c r="AI72"/>
      <c r="AJ72"/>
      <c r="AK72"/>
      <c r="AL72"/>
      <c r="AM72"/>
      <c r="AN72"/>
      <c r="AO72"/>
      <c r="AP72" s="224"/>
      <c r="AQ72" s="224"/>
    </row>
    <row r="73" spans="2:43" s="266" customFormat="1" ht="6.75" customHeight="1" thickBot="1" x14ac:dyDescent="0.35">
      <c r="B73" s="230"/>
      <c r="C73" s="215"/>
      <c r="D73" s="256"/>
      <c r="E73" s="264"/>
      <c r="F73" s="265"/>
      <c r="G73" s="221"/>
      <c r="H73" s="208"/>
      <c r="I73" s="222"/>
      <c r="J73" s="213"/>
      <c r="K73"/>
      <c r="L73"/>
      <c r="M73"/>
      <c r="N73"/>
      <c r="O73"/>
      <c r="P73"/>
      <c r="Q73"/>
      <c r="R73"/>
      <c r="S73"/>
      <c r="T73"/>
      <c r="U73"/>
      <c r="V73"/>
      <c r="W73"/>
      <c r="X73"/>
      <c r="Y73"/>
      <c r="Z73"/>
      <c r="AA73"/>
      <c r="AB73"/>
      <c r="AC73"/>
      <c r="AD73"/>
      <c r="AE73"/>
      <c r="AF73"/>
      <c r="AG73"/>
      <c r="AH73"/>
      <c r="AI73"/>
      <c r="AJ73"/>
      <c r="AK73"/>
      <c r="AL73"/>
      <c r="AM73"/>
      <c r="AN73"/>
      <c r="AO73"/>
      <c r="AP73" s="267"/>
      <c r="AQ73" s="267"/>
    </row>
    <row r="74" spans="2:43" s="234" customFormat="1" ht="39" customHeight="1" thickBot="1" x14ac:dyDescent="0.35">
      <c r="B74" s="230"/>
      <c r="C74" s="215"/>
      <c r="D74" s="389">
        <v>980</v>
      </c>
      <c r="E74" s="1146" t="s">
        <v>731</v>
      </c>
      <c r="F74" s="1146"/>
      <c r="G74" s="388"/>
      <c r="H74" s="303" t="str">
        <f>IF(G74="","This Question must be answered before uploading, the report will not be processed if left blank","")</f>
        <v>This Question must be answered before uploading, the report will not be processed if left blank</v>
      </c>
      <c r="I74" s="222"/>
      <c r="J74" s="213"/>
      <c r="K74"/>
      <c r="L74"/>
      <c r="M74"/>
      <c r="N74"/>
      <c r="O74"/>
      <c r="P74"/>
      <c r="Q74"/>
      <c r="R74"/>
      <c r="S74"/>
      <c r="T74"/>
      <c r="U74"/>
      <c r="V74"/>
      <c r="W74"/>
      <c r="X74"/>
      <c r="Y74"/>
      <c r="Z74"/>
      <c r="AA74"/>
      <c r="AB74"/>
      <c r="AC74"/>
      <c r="AD74"/>
      <c r="AE74"/>
      <c r="AF74"/>
      <c r="AG74"/>
      <c r="AH74"/>
      <c r="AI74"/>
      <c r="AJ74"/>
      <c r="AK74"/>
      <c r="AL74"/>
      <c r="AM74"/>
      <c r="AN74"/>
      <c r="AO74"/>
      <c r="AP74" s="224"/>
      <c r="AQ74" s="224"/>
    </row>
    <row r="75" spans="2:43" s="266" customFormat="1" ht="6.75" customHeight="1" thickBot="1" x14ac:dyDescent="0.35">
      <c r="B75" s="230"/>
      <c r="C75" s="215"/>
      <c r="D75" s="256"/>
      <c r="E75" s="1088"/>
      <c r="F75" s="265"/>
      <c r="G75" s="221"/>
      <c r="H75" s="1087"/>
      <c r="I75" s="222"/>
      <c r="J75" s="213"/>
      <c r="K75"/>
      <c r="L75"/>
      <c r="M75"/>
      <c r="N75"/>
      <c r="O75"/>
      <c r="P75"/>
      <c r="Q75"/>
      <c r="R75"/>
      <c r="S75"/>
      <c r="T75"/>
      <c r="U75"/>
      <c r="V75"/>
      <c r="W75"/>
      <c r="X75"/>
      <c r="Y75"/>
      <c r="Z75"/>
      <c r="AA75"/>
      <c r="AB75"/>
      <c r="AC75"/>
      <c r="AD75"/>
      <c r="AE75"/>
      <c r="AF75"/>
      <c r="AG75"/>
      <c r="AH75"/>
      <c r="AI75"/>
      <c r="AJ75"/>
      <c r="AK75"/>
      <c r="AL75"/>
      <c r="AM75"/>
      <c r="AN75"/>
      <c r="AO75"/>
      <c r="AP75" s="267"/>
      <c r="AQ75" s="267"/>
    </row>
    <row r="76" spans="2:43" ht="32.25" customHeight="1" thickBot="1" x14ac:dyDescent="0.35">
      <c r="B76" s="211"/>
      <c r="C76" s="228"/>
      <c r="D76" s="256">
        <v>975</v>
      </c>
      <c r="E76" s="1142" t="s">
        <v>734</v>
      </c>
      <c r="F76" s="1143"/>
      <c r="G76" s="220"/>
      <c r="H76" s="302" t="str">
        <f>IF(G76="","This Question must be answered before uploading, the report will not be processed if left blank","")</f>
        <v>This Question must be answered before uploading, the report will not be processed if left blank</v>
      </c>
      <c r="I76" s="226"/>
      <c r="J76" s="227"/>
    </row>
    <row r="77" spans="2:43" s="266" customFormat="1" ht="6.75" customHeight="1" thickBot="1" x14ac:dyDescent="0.35">
      <c r="B77" s="230"/>
      <c r="C77" s="215"/>
      <c r="D77" s="256"/>
      <c r="E77" s="1081"/>
      <c r="F77" s="265"/>
      <c r="G77" s="221"/>
      <c r="H77" s="1082"/>
      <c r="I77" s="222"/>
      <c r="J77" s="213"/>
      <c r="K77"/>
      <c r="L77"/>
      <c r="M77"/>
      <c r="N77"/>
      <c r="O77"/>
      <c r="P77"/>
      <c r="Q77"/>
      <c r="R77"/>
      <c r="S77"/>
      <c r="T77"/>
      <c r="U77"/>
      <c r="V77"/>
      <c r="W77"/>
      <c r="X77"/>
      <c r="Y77"/>
      <c r="Z77"/>
      <c r="AA77"/>
      <c r="AB77"/>
      <c r="AC77"/>
      <c r="AD77"/>
      <c r="AE77"/>
      <c r="AF77"/>
      <c r="AG77"/>
      <c r="AH77"/>
      <c r="AI77"/>
      <c r="AJ77"/>
      <c r="AK77"/>
      <c r="AL77"/>
      <c r="AM77"/>
      <c r="AN77"/>
      <c r="AO77"/>
      <c r="AP77" s="267"/>
      <c r="AQ77" s="267"/>
    </row>
    <row r="78" spans="2:43" ht="61.5" customHeight="1" thickBot="1" x14ac:dyDescent="0.35">
      <c r="B78" s="211"/>
      <c r="C78" s="228"/>
      <c r="D78" s="256">
        <v>976</v>
      </c>
      <c r="E78" s="1142" t="s">
        <v>914</v>
      </c>
      <c r="F78" s="1143"/>
      <c r="G78" s="220"/>
      <c r="H78" s="302" t="str">
        <f>IF(G78="","This Question must be answered before uploading, the report will not be processed if left blank","")</f>
        <v>This Question must be answered before uploading, the report will not be processed if left blank</v>
      </c>
      <c r="I78" s="226"/>
      <c r="J78" s="227"/>
    </row>
    <row r="79" spans="2:43" ht="7.5" hidden="1" customHeight="1" thickBot="1" x14ac:dyDescent="0.35">
      <c r="B79" s="211"/>
      <c r="C79" s="212"/>
      <c r="D79" s="256"/>
      <c r="E79" s="304"/>
      <c r="F79" s="304"/>
      <c r="G79" s="221"/>
      <c r="H79" s="212"/>
      <c r="I79" s="212"/>
      <c r="J79" s="213"/>
    </row>
    <row r="80" spans="2:43" ht="39" customHeight="1" thickBot="1" x14ac:dyDescent="0.35">
      <c r="B80" s="199"/>
      <c r="C80" s="200"/>
      <c r="D80" s="201"/>
      <c r="E80" s="202"/>
      <c r="F80" s="203"/>
      <c r="G80" s="276"/>
      <c r="H80" s="203"/>
      <c r="I80" s="203"/>
      <c r="J80" s="204"/>
    </row>
    <row r="81" spans="1:10" ht="10.5" customHeight="1" thickBot="1" x14ac:dyDescent="0.35">
      <c r="B81" s="211"/>
      <c r="C81" s="212"/>
      <c r="D81" s="257"/>
      <c r="E81" s="208"/>
      <c r="F81" s="208"/>
      <c r="G81" s="215"/>
      <c r="H81" s="212"/>
      <c r="I81" s="212"/>
      <c r="J81" s="213"/>
    </row>
    <row r="82" spans="1:10" ht="37.200000000000003" customHeight="1" thickBot="1" x14ac:dyDescent="0.35">
      <c r="B82" s="211"/>
      <c r="C82" s="212"/>
      <c r="D82" s="257" t="s">
        <v>777</v>
      </c>
      <c r="E82" s="1119" t="str">
        <f>IF(G82="","This Question must be answered before uploading, the report will not be processed if left blank","")</f>
        <v>This Question must be answered before uploading, the report will not be processed if left blank</v>
      </c>
      <c r="F82" s="1115" t="s">
        <v>567</v>
      </c>
      <c r="G82" s="1136"/>
      <c r="H82" s="1137"/>
      <c r="I82" s="1138"/>
      <c r="J82" s="213"/>
    </row>
    <row r="83" spans="1:10" ht="6.75" customHeight="1" thickBot="1" x14ac:dyDescent="0.35">
      <c r="B83" s="211"/>
      <c r="C83" s="212"/>
      <c r="D83" s="257"/>
      <c r="E83" s="238"/>
      <c r="F83" s="238"/>
      <c r="G83" s="215"/>
      <c r="H83" s="215"/>
      <c r="I83" s="215"/>
      <c r="J83" s="213"/>
    </row>
    <row r="84" spans="1:10" ht="34.799999999999997" customHeight="1" thickBot="1" x14ac:dyDescent="0.35">
      <c r="B84" s="211"/>
      <c r="C84" s="212"/>
      <c r="D84" s="257" t="s">
        <v>778</v>
      </c>
      <c r="E84" s="1119" t="str">
        <f>IF(G84="","This Question must be answered before uploading, the report will not be processed if left blank","")</f>
        <v>This Question must be answered before uploading, the report will not be processed if left blank</v>
      </c>
      <c r="F84" s="1115" t="s">
        <v>568</v>
      </c>
      <c r="G84" s="1136"/>
      <c r="H84" s="1137"/>
      <c r="I84" s="1138"/>
      <c r="J84" s="213"/>
    </row>
    <row r="85" spans="1:10" ht="6.75" customHeight="1" thickBot="1" x14ac:dyDescent="0.35">
      <c r="B85" s="211"/>
      <c r="C85" s="212"/>
      <c r="D85" s="257"/>
      <c r="E85" s="238"/>
      <c r="F85" s="238"/>
      <c r="G85" s="239"/>
      <c r="H85" s="215"/>
      <c r="I85" s="215"/>
      <c r="J85" s="213"/>
    </row>
    <row r="86" spans="1:10" ht="32.4" customHeight="1" thickBot="1" x14ac:dyDescent="0.35">
      <c r="B86" s="211"/>
      <c r="C86" s="212"/>
      <c r="D86" s="257" t="s">
        <v>1549</v>
      </c>
      <c r="E86" s="1119" t="str">
        <f>IF(G86="","This Question must be answered before uploading, the report will not be processed if left blank","")</f>
        <v>This Question must be answered before uploading, the report will not be processed if left blank</v>
      </c>
      <c r="F86" s="1115" t="s">
        <v>962</v>
      </c>
      <c r="G86" s="216"/>
      <c r="H86" s="215"/>
      <c r="I86" s="215"/>
      <c r="J86" s="213"/>
    </row>
    <row r="87" spans="1:10" ht="6.75" customHeight="1" x14ac:dyDescent="0.3">
      <c r="B87" s="211"/>
      <c r="C87" s="212"/>
      <c r="D87" s="257"/>
      <c r="E87" s="238"/>
      <c r="F87" s="238"/>
      <c r="G87" s="215"/>
      <c r="H87" s="215"/>
      <c r="I87" s="215"/>
      <c r="J87" s="213"/>
    </row>
    <row r="88" spans="1:10" ht="30" hidden="1" customHeight="1" x14ac:dyDescent="0.3">
      <c r="B88" s="211"/>
      <c r="C88" s="212"/>
      <c r="D88" s="257"/>
      <c r="E88" s="1139"/>
      <c r="F88" s="1139"/>
      <c r="G88" s="240" t="str">
        <f>CONCATENATE(G10," 2021 TD.xlsx")</f>
        <v xml:space="preserve"> 2021 TD.xlsx</v>
      </c>
      <c r="H88" s="240"/>
      <c r="I88" s="241"/>
      <c r="J88" s="213"/>
    </row>
    <row r="89" spans="1:10" ht="16.8" customHeight="1" x14ac:dyDescent="0.3">
      <c r="B89" s="211"/>
      <c r="C89" s="212"/>
      <c r="D89" s="1118"/>
      <c r="E89" s="1118"/>
      <c r="F89" s="1118"/>
      <c r="G89" s="1140" t="str">
        <f>IF(G11="","","Please review the Transmittal Instructions and your answer to Question 1")</f>
        <v/>
      </c>
      <c r="H89" s="1140"/>
      <c r="I89" s="1140"/>
      <c r="J89" s="213"/>
    </row>
    <row r="90" spans="1:10" ht="8.4" customHeight="1" x14ac:dyDescent="0.3">
      <c r="B90" s="211"/>
      <c r="C90" s="212"/>
      <c r="D90" s="1118"/>
      <c r="E90" s="1118"/>
      <c r="F90" s="1118"/>
      <c r="G90" s="1140" t="str">
        <f>IF(G89="Currently the file name is incorrect, please correct before uploading",CONCATENATE("File current name is ",O90),"")</f>
        <v/>
      </c>
      <c r="H90" s="1140"/>
      <c r="I90" s="242"/>
      <c r="J90" s="243"/>
    </row>
    <row r="91" spans="1:10" ht="6.75" customHeight="1" thickBot="1" x14ac:dyDescent="0.35">
      <c r="B91" s="244"/>
      <c r="C91" s="245"/>
      <c r="D91" s="260"/>
      <c r="E91" s="246"/>
      <c r="F91" s="246"/>
      <c r="G91" s="247"/>
      <c r="H91" s="247"/>
      <c r="I91" s="247"/>
      <c r="J91" s="248"/>
    </row>
    <row r="94" spans="1:10" x14ac:dyDescent="0.3">
      <c r="B94" s="194" t="s">
        <v>569</v>
      </c>
      <c r="D94" s="198"/>
      <c r="E94" s="250">
        <v>1.01</v>
      </c>
      <c r="F94" s="251"/>
    </row>
    <row r="95" spans="1:10" x14ac:dyDescent="0.3">
      <c r="A95" s="198"/>
      <c r="B95" s="194" t="s">
        <v>570</v>
      </c>
      <c r="D95" s="198"/>
      <c r="E95" s="252">
        <v>44427</v>
      </c>
      <c r="F95" s="253"/>
    </row>
    <row r="96" spans="1:10" x14ac:dyDescent="0.3">
      <c r="E96" s="251"/>
      <c r="F96" s="251"/>
    </row>
    <row r="98" spans="5:5" x14ac:dyDescent="0.3">
      <c r="E98" s="249">
        <f>SUBTOTAL(109,D3:D90)</f>
        <v>10517</v>
      </c>
    </row>
  </sheetData>
  <sheetProtection algorithmName="SHA-512" hashValue="MZgeHm6t6a96ZWn2guAZor4aEj17FNjkdhBwgwtMsj7LXGAamzPOpWzLCAmzi7U8+aoJChV+M5CjOPS2LaXH5w==" saltValue="GfTQAXStqpJUZ6kaSeObqA==" spinCount="100000" sheet="1" selectLockedCells="1"/>
  <mergeCells count="54">
    <mergeCell ref="E20:F20"/>
    <mergeCell ref="G20:I20"/>
    <mergeCell ref="E12:F12"/>
    <mergeCell ref="E14:F14"/>
    <mergeCell ref="E16:F16"/>
    <mergeCell ref="G16:I16"/>
    <mergeCell ref="E18:F18"/>
    <mergeCell ref="G18:I18"/>
    <mergeCell ref="B1:J1"/>
    <mergeCell ref="B2:J2"/>
    <mergeCell ref="B3:J3"/>
    <mergeCell ref="G32:I32"/>
    <mergeCell ref="E22:F22"/>
    <mergeCell ref="G22:I22"/>
    <mergeCell ref="E24:F24"/>
    <mergeCell ref="G24:I24"/>
    <mergeCell ref="E26:F26"/>
    <mergeCell ref="G26:H26"/>
    <mergeCell ref="E27:H27"/>
    <mergeCell ref="E28:F28"/>
    <mergeCell ref="H28:I28"/>
    <mergeCell ref="E30:F30"/>
    <mergeCell ref="H30:I30"/>
    <mergeCell ref="E32:F32"/>
    <mergeCell ref="B7:J7"/>
    <mergeCell ref="E10:F10"/>
    <mergeCell ref="G10:I10"/>
    <mergeCell ref="B5:J5"/>
    <mergeCell ref="E55:F55"/>
    <mergeCell ref="G34:I34"/>
    <mergeCell ref="E36:F36"/>
    <mergeCell ref="G36:I36"/>
    <mergeCell ref="E37:H37"/>
    <mergeCell ref="B38:J38"/>
    <mergeCell ref="E41:F41"/>
    <mergeCell ref="E43:F43"/>
    <mergeCell ref="E45:F45"/>
    <mergeCell ref="E47:F47"/>
    <mergeCell ref="E49:F49"/>
    <mergeCell ref="E51:F51"/>
    <mergeCell ref="G84:I84"/>
    <mergeCell ref="E88:F88"/>
    <mergeCell ref="G89:I89"/>
    <mergeCell ref="G90:H90"/>
    <mergeCell ref="E53:F53"/>
    <mergeCell ref="G82:I82"/>
    <mergeCell ref="E76:F76"/>
    <mergeCell ref="E78:F78"/>
    <mergeCell ref="E57:F57"/>
    <mergeCell ref="E60:F60"/>
    <mergeCell ref="E68:F68"/>
    <mergeCell ref="E70:F70"/>
    <mergeCell ref="E72:F72"/>
    <mergeCell ref="E74:F74"/>
  </mergeCells>
  <conditionalFormatting sqref="G10 G41 G43 G45 G47 G49 G57 G66 G60 G51 G78 G76">
    <cfRule type="expression" dxfId="84" priority="41">
      <formula>$T10</formula>
    </cfRule>
  </conditionalFormatting>
  <conditionalFormatting sqref="G10">
    <cfRule type="containsText" priority="40" operator="containsText" text="The, City,Village,of">
      <formula>NOT(ISERROR(SEARCH("The, City,Village,of",G10)))</formula>
    </cfRule>
  </conditionalFormatting>
  <conditionalFormatting sqref="G26">
    <cfRule type="expression" dxfId="83" priority="39">
      <formula>$T26</formula>
    </cfRule>
  </conditionalFormatting>
  <conditionalFormatting sqref="G41 G43 G45 G47 G49 G60 G62 G64 G66 G30 G32 G76 G51:G57 G78">
    <cfRule type="expression" dxfId="82" priority="38">
      <formula>$G$26="Housing Authority"</formula>
    </cfRule>
  </conditionalFormatting>
  <conditionalFormatting sqref="G14">
    <cfRule type="expression" dxfId="81" priority="37">
      <formula>$T14</formula>
    </cfRule>
  </conditionalFormatting>
  <conditionalFormatting sqref="G12">
    <cfRule type="expression" dxfId="80" priority="36">
      <formula>$T12</formula>
    </cfRule>
  </conditionalFormatting>
  <conditionalFormatting sqref="G86">
    <cfRule type="expression" dxfId="79" priority="35">
      <formula>$T86</formula>
    </cfRule>
  </conditionalFormatting>
  <conditionalFormatting sqref="G82">
    <cfRule type="expression" dxfId="78" priority="34">
      <formula>$T82</formula>
    </cfRule>
  </conditionalFormatting>
  <conditionalFormatting sqref="G82">
    <cfRule type="containsText" priority="33" operator="containsText" text="The, City,Village,of">
      <formula>NOT(ISERROR(SEARCH("The, City,Village,of",G82)))</formula>
    </cfRule>
  </conditionalFormatting>
  <conditionalFormatting sqref="G84">
    <cfRule type="expression" dxfId="77" priority="32">
      <formula>$T84</formula>
    </cfRule>
  </conditionalFormatting>
  <conditionalFormatting sqref="G84">
    <cfRule type="containsText" priority="31" operator="containsText" text="The, City,Village,of">
      <formula>NOT(ISERROR(SEARCH("The, City,Village,of",G84)))</formula>
    </cfRule>
  </conditionalFormatting>
  <conditionalFormatting sqref="G18">
    <cfRule type="expression" dxfId="76" priority="30">
      <formula>$T18</formula>
    </cfRule>
  </conditionalFormatting>
  <conditionalFormatting sqref="G18">
    <cfRule type="containsText" priority="29" operator="containsText" text="The, City,Village,of">
      <formula>NOT(ISERROR(SEARCH("The, City,Village,of",G18)))</formula>
    </cfRule>
  </conditionalFormatting>
  <conditionalFormatting sqref="G60">
    <cfRule type="expression" dxfId="75" priority="23">
      <formula>$G$26="Housing Authority"</formula>
    </cfRule>
  </conditionalFormatting>
  <conditionalFormatting sqref="G64">
    <cfRule type="expression" dxfId="74" priority="28">
      <formula>$T64</formula>
    </cfRule>
  </conditionalFormatting>
  <conditionalFormatting sqref="G64">
    <cfRule type="expression" dxfId="73" priority="27">
      <formula>$G$26="Housing Authority"</formula>
    </cfRule>
  </conditionalFormatting>
  <conditionalFormatting sqref="G66">
    <cfRule type="expression" dxfId="72" priority="26">
      <formula>$G$26="Housing Authority"</formula>
    </cfRule>
  </conditionalFormatting>
  <conditionalFormatting sqref="G62">
    <cfRule type="expression" dxfId="71" priority="25">
      <formula>$T62</formula>
    </cfRule>
  </conditionalFormatting>
  <conditionalFormatting sqref="G62">
    <cfRule type="expression" dxfId="70" priority="24">
      <formula>$G$26="Housing Authority"</formula>
    </cfRule>
  </conditionalFormatting>
  <conditionalFormatting sqref="G31">
    <cfRule type="expression" dxfId="69" priority="22">
      <formula>$T31</formula>
    </cfRule>
  </conditionalFormatting>
  <conditionalFormatting sqref="G28">
    <cfRule type="expression" dxfId="68" priority="21">
      <formula>$T28</formula>
    </cfRule>
  </conditionalFormatting>
  <conditionalFormatting sqref="G28">
    <cfRule type="expression" dxfId="67" priority="20">
      <formula>$G$26="Housing Authority"</formula>
    </cfRule>
  </conditionalFormatting>
  <conditionalFormatting sqref="G30">
    <cfRule type="expression" dxfId="66" priority="19">
      <formula>$T30</formula>
    </cfRule>
  </conditionalFormatting>
  <conditionalFormatting sqref="G16">
    <cfRule type="expression" dxfId="65" priority="17">
      <formula>$T16</formula>
    </cfRule>
  </conditionalFormatting>
  <conditionalFormatting sqref="G16">
    <cfRule type="containsText" priority="16" operator="containsText" text="The, City,Village,of">
      <formula>NOT(ISERROR(SEARCH("The, City,Village,of",G16)))</formula>
    </cfRule>
  </conditionalFormatting>
  <conditionalFormatting sqref="G20">
    <cfRule type="expression" dxfId="64" priority="15">
      <formula>$T20</formula>
    </cfRule>
  </conditionalFormatting>
  <conditionalFormatting sqref="G20">
    <cfRule type="containsText" priority="14" operator="containsText" text="The, City,Village,of">
      <formula>NOT(ISERROR(SEARCH("The, City,Village,of",G20)))</formula>
    </cfRule>
  </conditionalFormatting>
  <conditionalFormatting sqref="G22">
    <cfRule type="expression" dxfId="63" priority="13">
      <formula>$T22</formula>
    </cfRule>
  </conditionalFormatting>
  <conditionalFormatting sqref="G22">
    <cfRule type="containsText" priority="12" operator="containsText" text="The, City,Village,of">
      <formula>NOT(ISERROR(SEARCH("The, City,Village,of",G22)))</formula>
    </cfRule>
  </conditionalFormatting>
  <conditionalFormatting sqref="G28">
    <cfRule type="expression" dxfId="62" priority="10">
      <formula>$G$26="Housing Authority"</formula>
    </cfRule>
  </conditionalFormatting>
  <conditionalFormatting sqref="G32">
    <cfRule type="expression" dxfId="61" priority="11">
      <formula>$P$32</formula>
    </cfRule>
    <cfRule type="expression" dxfId="60" priority="18">
      <formula>$T32</formula>
    </cfRule>
  </conditionalFormatting>
  <conditionalFormatting sqref="G36">
    <cfRule type="expression" dxfId="59" priority="7">
      <formula>$G$26="Housing Authority"</formula>
    </cfRule>
  </conditionalFormatting>
  <conditionalFormatting sqref="G36">
    <cfRule type="expression" dxfId="58" priority="8">
      <formula>$P$32</formula>
    </cfRule>
    <cfRule type="expression" dxfId="57" priority="9">
      <formula>$T36</formula>
    </cfRule>
  </conditionalFormatting>
  <conditionalFormatting sqref="G34">
    <cfRule type="expression" dxfId="56" priority="4">
      <formula>$G$26="Housing Authority"</formula>
    </cfRule>
  </conditionalFormatting>
  <conditionalFormatting sqref="G34">
    <cfRule type="expression" dxfId="55" priority="5">
      <formula>$P$32</formula>
    </cfRule>
    <cfRule type="expression" dxfId="54" priority="6">
      <formula>$T34</formula>
    </cfRule>
  </conditionalFormatting>
  <conditionalFormatting sqref="G24">
    <cfRule type="expression" dxfId="53" priority="3">
      <formula>$T24</formula>
    </cfRule>
  </conditionalFormatting>
  <conditionalFormatting sqref="G24">
    <cfRule type="containsText" priority="2" operator="containsText" text="The, City,Village,of">
      <formula>NOT(ISERROR(SEARCH("The, City,Village,of",G24)))</formula>
    </cfRule>
  </conditionalFormatting>
  <conditionalFormatting sqref="G53">
    <cfRule type="expression" dxfId="52" priority="1">
      <formula>$T53</formula>
    </cfRule>
  </conditionalFormatting>
  <dataValidations xWindow="873" yWindow="799" count="29">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90:G91 G65 G80:G81 G86:G87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1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8"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90:I91 H80:H81 I63 H86:I88 H65:I65 H69 H71 G82 H76:H77 H73 I68:I81"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G77 G79" xr:uid="{FA296981-A236-46B7-9FFE-5DC3167CFD46}">
      <formula1>44377</formula1>
    </dataValidation>
    <dataValidation type="date" operator="greaterThan" allowBlank="1" showInputMessage="1" showErrorMessage="1" prompt="MM/DD/YYYY" sqref="G74:G75 G77 G79"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8" xr:uid="{1CB4710E-81E8-4DA8-BB55-72CEC5ACBD8A}">
      <formula1>44377</formula1>
    </dataValidation>
    <dataValidation type="list" allowBlank="1" showInputMessage="1" showErrorMessage="1" sqref="G76" xr:uid="{0143531C-6F78-4E28-8A00-12FF15D44BD8}">
      <formula1>"6/30/2020"</formula1>
    </dataValidation>
    <dataValidation type="list" showInputMessage="1" showErrorMessage="1" sqref="G76" xr:uid="{619D0B9E-051A-4F9B-820A-A6B548761DE4}">
      <formula1>"Yes,No"</formula1>
    </dataValidation>
    <dataValidation type="date" operator="greaterThan" showInputMessage="1" showErrorMessage="1" sqref="G76" xr:uid="{FB345118-054D-4B69-83EB-991DF4A0B8D4}">
      <formula1>44377</formula1>
    </dataValidation>
    <dataValidation type="date" operator="greaterThan" showInputMessage="1" showErrorMessage="1" prompt="This cannot be blank" sqref="G78" xr:uid="{EBEADD4A-C03E-45C1-87EA-B268873B242B}">
      <formula1>44377</formula1>
    </dataValidation>
    <dataValidation type="list" allowBlank="1" showInputMessage="1" showErrorMessage="1" sqref="G76" xr:uid="{092D4FD0-61B3-430E-8120-37E24AA780A5}">
      <formula1>"yes,No"</formula1>
    </dataValidation>
    <dataValidation type="list" allowBlank="1" showInputMessage="1" showErrorMessage="1" sqref="G78" xr:uid="{82EA0201-7F55-4FE1-B4F7-D32A39E65E9A}">
      <formula1>"Yes,No,N/A"</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63" customWidth="1"/>
    <col min="4" max="4" width="20.88671875" style="3" bestFit="1" customWidth="1"/>
    <col min="5" max="5" width="17.5546875" style="3" customWidth="1"/>
    <col min="6" max="6" width="22.6640625" style="3" customWidth="1"/>
    <col min="7" max="7" width="17.44140625" style="560" bestFit="1" customWidth="1"/>
    <col min="8" max="8" width="9.6640625" style="3" bestFit="1" customWidth="1"/>
    <col min="9" max="9" width="1" style="594" customWidth="1"/>
    <col min="10" max="10" width="18.109375" style="5" customWidth="1"/>
    <col min="11" max="11" width="36.88671875" style="9" customWidth="1"/>
    <col min="12" max="12" width="15.44140625" style="671" bestFit="1" customWidth="1"/>
    <col min="13" max="13" width="1.44140625" style="3" customWidth="1"/>
    <col min="14" max="14" width="18.109375" style="3" customWidth="1"/>
    <col min="15" max="15" width="17.88671875" style="3" customWidth="1"/>
    <col min="16" max="16" width="8.6640625" style="299"/>
    <col min="17" max="17" width="10.33203125" style="563"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478</v>
      </c>
      <c r="D1" s="13">
        <f>L65-(L52+L53-L57-L58-L233)-L61</f>
        <v>0</v>
      </c>
      <c r="I1" s="561"/>
      <c r="J1" s="48"/>
      <c r="K1" s="14" t="s">
        <v>47</v>
      </c>
      <c r="L1" s="63"/>
      <c r="M1" s="562"/>
      <c r="S1" s="3">
        <v>100</v>
      </c>
      <c r="T1" s="3">
        <v>1</v>
      </c>
    </row>
    <row r="2" spans="1:25" ht="36" x14ac:dyDescent="0.4">
      <c r="C2" s="74" t="str">
        <f>'Unit Data from Audit Worksheet'!D2</f>
        <v>Select Unit Name from Drop Down List</v>
      </c>
      <c r="D2" s="145">
        <v>2021</v>
      </c>
      <c r="E2" s="12">
        <v>2021</v>
      </c>
      <c r="F2" s="12"/>
      <c r="G2" s="70"/>
      <c r="H2" s="12"/>
      <c r="I2" s="561"/>
      <c r="J2" s="43" t="s">
        <v>43</v>
      </c>
      <c r="K2" s="8" t="s">
        <v>42</v>
      </c>
      <c r="L2" s="68" t="s">
        <v>30</v>
      </c>
      <c r="S2" s="3">
        <v>200</v>
      </c>
      <c r="T2" s="3">
        <v>2</v>
      </c>
    </row>
    <row r="3" spans="1:25" ht="31.2" x14ac:dyDescent="0.3">
      <c r="A3" s="564" t="s">
        <v>43</v>
      </c>
      <c r="B3" s="565"/>
      <c r="C3" s="46" t="s">
        <v>1</v>
      </c>
      <c r="D3" s="15" t="s">
        <v>44</v>
      </c>
      <c r="E3" s="15" t="s">
        <v>45</v>
      </c>
      <c r="F3" s="16" t="s">
        <v>49</v>
      </c>
      <c r="G3" s="75" t="s">
        <v>330</v>
      </c>
      <c r="H3" s="16" t="s">
        <v>389</v>
      </c>
      <c r="I3" s="561"/>
      <c r="J3" s="566"/>
      <c r="K3" s="146"/>
      <c r="L3" s="567"/>
      <c r="O3" s="3" t="s">
        <v>292</v>
      </c>
      <c r="Q3" s="86" t="s">
        <v>331</v>
      </c>
      <c r="S3" s="3">
        <v>300</v>
      </c>
      <c r="T3" s="3">
        <v>3</v>
      </c>
    </row>
    <row r="4" spans="1:25" ht="18" x14ac:dyDescent="0.35">
      <c r="A4" s="568"/>
      <c r="B4" s="569"/>
      <c r="C4" s="50"/>
      <c r="D4" s="7"/>
      <c r="E4" s="7"/>
      <c r="F4" s="7"/>
      <c r="G4" s="71"/>
      <c r="H4" s="7"/>
      <c r="I4" s="561"/>
      <c r="J4" s="45">
        <v>999</v>
      </c>
      <c r="K4" s="11" t="s">
        <v>289</v>
      </c>
      <c r="L4" s="134" t="e">
        <f>'Unit Data from Audit Worksheet'!D3</f>
        <v>#N/A</v>
      </c>
      <c r="S4" s="3">
        <v>400</v>
      </c>
      <c r="T4" s="3">
        <v>4</v>
      </c>
      <c r="W4" s="3" t="b">
        <f t="shared" ref="W4:W35" si="0">EXACT(A4,J4)</f>
        <v>0</v>
      </c>
      <c r="X4" s="570" t="e">
        <f>E4-L4</f>
        <v>#N/A</v>
      </c>
      <c r="Y4" s="570" t="e">
        <f>D4-L4</f>
        <v>#N/A</v>
      </c>
    </row>
    <row r="5" spans="1:25" ht="57" customHeight="1" x14ac:dyDescent="0.3">
      <c r="A5" s="571">
        <f>'Unit Data from Audit Worksheet'!A7</f>
        <v>333</v>
      </c>
      <c r="B5" s="54" t="str">
        <f>'Unit Data from Audit Worksheet'!C7</f>
        <v>Net Position-Governmental Activities</v>
      </c>
      <c r="C5" s="572" t="str">
        <f>'Unit Data from Audit Worksheet'!D7</f>
        <v xml:space="preserve"> All unrestricted Cash and investments.  
Exclude: restricted cash 
                   cash held by a third party. </v>
      </c>
      <c r="D5" s="144"/>
      <c r="E5" s="152">
        <f>'Unit Data from Audit Worksheet'!F7</f>
        <v>0</v>
      </c>
      <c r="F5" s="349">
        <f>IF(L5&lt;0,"Error: Number is normally positive.",)</f>
        <v>0</v>
      </c>
      <c r="G5" s="72"/>
      <c r="H5" s="348">
        <f>'Unit Data from Audit Worksheet'!I7</f>
        <v>0</v>
      </c>
      <c r="I5" s="38"/>
      <c r="J5" s="42">
        <v>333</v>
      </c>
      <c r="K5" s="51" t="s">
        <v>184</v>
      </c>
      <c r="L5" s="573">
        <f>IF(D5="",E5,D5)</f>
        <v>0</v>
      </c>
      <c r="P5" s="317"/>
      <c r="S5" s="3">
        <v>500</v>
      </c>
      <c r="T5" s="3">
        <v>5</v>
      </c>
      <c r="W5" s="3" t="b">
        <f t="shared" si="0"/>
        <v>1</v>
      </c>
      <c r="X5" s="570">
        <f t="shared" ref="X5:X116" si="1">E5-L5</f>
        <v>0</v>
      </c>
      <c r="Y5" s="570">
        <f t="shared" ref="Y5:Y116" si="2">D5-L5</f>
        <v>0</v>
      </c>
    </row>
    <row r="6" spans="1:25" ht="39.75" customHeight="1" x14ac:dyDescent="0.3">
      <c r="A6" s="336">
        <f>'Unit Data from Audit Worksheet'!A8</f>
        <v>500</v>
      </c>
      <c r="B6" s="350" t="str">
        <f>'Unit Data from Audit Worksheet'!C8</f>
        <v>Net Position-Governmental Activities</v>
      </c>
      <c r="C6" s="335" t="str">
        <f>'Unit Data from Audit Worksheet'!D8</f>
        <v xml:space="preserve"> All restricted Cash and investments</v>
      </c>
      <c r="D6" s="144"/>
      <c r="E6" s="356">
        <f>'Unit Data from Audit Worksheet'!F8</f>
        <v>0</v>
      </c>
      <c r="F6" s="349">
        <f>IF(L6&lt;0,"Error: Number is normally positive.",)</f>
        <v>0</v>
      </c>
      <c r="G6" s="351"/>
      <c r="H6" s="348">
        <f>'Unit Data from Audit Worksheet'!I8</f>
        <v>0</v>
      </c>
      <c r="I6" s="38"/>
      <c r="J6" s="347">
        <v>500</v>
      </c>
      <c r="K6" s="346" t="s">
        <v>183</v>
      </c>
      <c r="L6" s="573">
        <f>IF(D6="",E6,D6)</f>
        <v>0</v>
      </c>
      <c r="P6" s="318"/>
      <c r="T6" s="3">
        <v>6</v>
      </c>
      <c r="W6" s="3" t="b">
        <f t="shared" si="0"/>
        <v>1</v>
      </c>
      <c r="X6" s="570">
        <f t="shared" si="1"/>
        <v>0</v>
      </c>
      <c r="Y6" s="570">
        <f t="shared" si="2"/>
        <v>0</v>
      </c>
    </row>
    <row r="7" spans="1:25" ht="43.5" customHeight="1" x14ac:dyDescent="0.3">
      <c r="A7" s="336">
        <f>'Unit Data from Audit Worksheet'!A9</f>
        <v>385</v>
      </c>
      <c r="B7" s="350" t="str">
        <f>'Unit Data from Audit Worksheet'!C9</f>
        <v>Net Position-Governmental Activities</v>
      </c>
      <c r="C7" s="335" t="str">
        <f>'Unit Data from Audit Worksheet'!D9</f>
        <v>Total Assets and deferred outflows</v>
      </c>
      <c r="D7" s="144"/>
      <c r="E7" s="356">
        <f>'Unit Data from Audit Worksheet'!F9</f>
        <v>0</v>
      </c>
      <c r="F7" s="135">
        <f>IF((L5+L6)&gt;L7,"Error: Please review accts (333 + 500) &gt; 385",)</f>
        <v>0</v>
      </c>
      <c r="G7" s="351" t="str">
        <f>IF(Q7=1," Included in error count"," ")</f>
        <v xml:space="preserve"> </v>
      </c>
      <c r="H7" s="348">
        <f>'Unit Data from Audit Worksheet'!I9</f>
        <v>0</v>
      </c>
      <c r="I7" s="38"/>
      <c r="J7" s="76">
        <v>385</v>
      </c>
      <c r="K7" s="77" t="s">
        <v>115</v>
      </c>
      <c r="L7" s="574">
        <f>IF(D7="",E7,D7)+IF(D9="",E9,D9)</f>
        <v>0</v>
      </c>
      <c r="N7" s="78" t="s">
        <v>317</v>
      </c>
      <c r="P7" s="318"/>
      <c r="T7" s="3">
        <v>7</v>
      </c>
      <c r="W7" s="3" t="b">
        <f t="shared" si="0"/>
        <v>1</v>
      </c>
      <c r="X7" s="570">
        <f t="shared" si="1"/>
        <v>0</v>
      </c>
      <c r="Y7" s="570">
        <f t="shared" si="2"/>
        <v>0</v>
      </c>
    </row>
    <row r="8" spans="1:25" ht="90.75" customHeight="1" x14ac:dyDescent="0.3">
      <c r="A8" s="336">
        <f>'Unit Data from Audit Worksheet'!A10</f>
        <v>575</v>
      </c>
      <c r="B8" s="350" t="str">
        <f>'Unit Data from Audit Worksheet'!C10</f>
        <v>Net Position-Governmental Activities</v>
      </c>
      <c r="C8" s="335" t="str">
        <f>'Unit Data from Audit Worksheet'!D10</f>
        <v>Record any positive Internal balances on the net position statements that appear in the Asset Section of the Net Position Statement</v>
      </c>
      <c r="D8" s="144"/>
      <c r="E8" s="356">
        <f>'Unit Data from Audit Worksheet'!F10</f>
        <v>0</v>
      </c>
      <c r="F8" s="349">
        <f>IF(L8&lt;0,"Error: Number is normally positive.",)</f>
        <v>0</v>
      </c>
      <c r="G8" s="351"/>
      <c r="H8" s="348">
        <f>'Unit Data from Audit Worksheet'!I10</f>
        <v>0</v>
      </c>
      <c r="I8" s="38"/>
      <c r="J8" s="347">
        <v>575</v>
      </c>
      <c r="K8" s="353" t="s">
        <v>320</v>
      </c>
      <c r="L8" s="573">
        <f>IF(D8="",E8,D8)</f>
        <v>0</v>
      </c>
      <c r="N8" s="64"/>
      <c r="P8" s="318"/>
      <c r="W8" s="3" t="b">
        <f t="shared" si="0"/>
        <v>1</v>
      </c>
      <c r="X8" s="570">
        <f t="shared" si="1"/>
        <v>0</v>
      </c>
      <c r="Y8" s="570">
        <f t="shared" si="2"/>
        <v>0</v>
      </c>
    </row>
    <row r="9" spans="1:25" ht="103.5" customHeight="1" x14ac:dyDescent="0.3">
      <c r="A9" s="336">
        <f>'Unit Data from Audit Worksheet'!A11</f>
        <v>576</v>
      </c>
      <c r="B9" s="350" t="str">
        <f>'Unit Data from Audit Worksheet'!C11</f>
        <v>Net Position-Governmental Activities</v>
      </c>
      <c r="C9" s="575" t="str">
        <f>'Unit Data from Audit Worksheet'!D11</f>
        <v>Record any negative Internal balances on the net position statements that appear in the Asset Section of the Net Position Statement.
Enter as a positive</v>
      </c>
      <c r="D9" s="110"/>
      <c r="E9" s="155">
        <f>'Unit Data from Audit Worksheet'!F11</f>
        <v>0</v>
      </c>
      <c r="F9" s="345">
        <f>IF(E9&lt;0,"Error: Enter as positive.",)</f>
        <v>0</v>
      </c>
      <c r="G9" s="112"/>
      <c r="H9" s="113">
        <f>'Unit Data from Audit Worksheet'!I11</f>
        <v>0</v>
      </c>
      <c r="I9" s="38"/>
      <c r="J9" s="105">
        <v>576</v>
      </c>
      <c r="K9" s="353" t="s">
        <v>321</v>
      </c>
      <c r="L9" s="573">
        <f>IF(D9="",E9,D9)</f>
        <v>0</v>
      </c>
      <c r="N9" s="64"/>
      <c r="P9" s="319"/>
      <c r="W9" s="3" t="b">
        <f t="shared" si="0"/>
        <v>1</v>
      </c>
      <c r="X9" s="570">
        <f t="shared" si="1"/>
        <v>0</v>
      </c>
      <c r="Y9" s="570">
        <f t="shared" si="2"/>
        <v>0</v>
      </c>
    </row>
    <row r="10" spans="1:25" s="18" customFormat="1" ht="100.5" customHeight="1" x14ac:dyDescent="0.3">
      <c r="A10" s="336">
        <f>'Unit Data from Audit Worksheet'!A12</f>
        <v>626</v>
      </c>
      <c r="B10" s="341" t="str">
        <f>'Unit Data from Audit Worksheet'!C12</f>
        <v>Net Position-Governmental Activities</v>
      </c>
      <c r="C10" s="340"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2">
        <f>'Unit Data from Audit Worksheet'!F12</f>
        <v>0</v>
      </c>
      <c r="F10" s="344">
        <f>IF(L10&lt;0,"Error: Enter as a positive.",)</f>
        <v>0</v>
      </c>
      <c r="G10" s="329"/>
      <c r="H10" s="344">
        <f>'Unit Data from Audit Worksheet'!I12</f>
        <v>0</v>
      </c>
      <c r="I10" s="38"/>
      <c r="J10" s="343">
        <v>626</v>
      </c>
      <c r="K10" s="311" t="s">
        <v>423</v>
      </c>
      <c r="L10" s="576">
        <f>IF(D10="",E10,D10)+IF(D9="",E9,D9)</f>
        <v>0</v>
      </c>
      <c r="M10" s="577"/>
      <c r="N10" s="182" t="s">
        <v>317</v>
      </c>
      <c r="O10" s="577"/>
      <c r="P10" s="320"/>
      <c r="Q10" s="578"/>
      <c r="R10" s="3"/>
      <c r="W10" s="18" t="b">
        <f t="shared" si="0"/>
        <v>1</v>
      </c>
      <c r="X10" s="579">
        <f t="shared" si="1"/>
        <v>0</v>
      </c>
      <c r="Y10" s="579">
        <f t="shared" si="2"/>
        <v>0</v>
      </c>
    </row>
    <row r="11" spans="1:25" s="18" customFormat="1" ht="86.25" customHeight="1" x14ac:dyDescent="0.3">
      <c r="A11" s="336">
        <f>'Unit Data from Audit Worksheet'!A13</f>
        <v>627</v>
      </c>
      <c r="B11" s="341" t="str">
        <f>'Unit Data from Audit Worksheet'!C13</f>
        <v>Net Position-Governmental Activities</v>
      </c>
      <c r="C11" s="340"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2">
        <f>'Unit Data from Audit Worksheet'!F13</f>
        <v>0</v>
      </c>
      <c r="F11" s="344"/>
      <c r="G11" s="329"/>
      <c r="H11" s="344"/>
      <c r="I11" s="38"/>
      <c r="J11" s="343">
        <v>627</v>
      </c>
      <c r="K11" s="311" t="s">
        <v>415</v>
      </c>
      <c r="L11" s="580">
        <f t="shared" ref="L11:L16" si="3">IF(D11="",E11,D11)</f>
        <v>0</v>
      </c>
      <c r="M11" s="577"/>
      <c r="N11" s="181"/>
      <c r="O11" s="577"/>
      <c r="P11" s="320"/>
      <c r="Q11" s="578"/>
      <c r="R11" s="3"/>
      <c r="W11" s="18" t="b">
        <f t="shared" si="0"/>
        <v>1</v>
      </c>
      <c r="X11" s="579">
        <f t="shared" si="1"/>
        <v>0</v>
      </c>
      <c r="Y11" s="579">
        <f t="shared" si="2"/>
        <v>0</v>
      </c>
    </row>
    <row r="12" spans="1:25" s="18" customFormat="1" ht="86.25" customHeight="1" x14ac:dyDescent="0.3">
      <c r="A12" s="336">
        <f>'Unit Data from Audit Worksheet'!A14</f>
        <v>628</v>
      </c>
      <c r="B12" s="341" t="str">
        <f>'Unit Data from Audit Worksheet'!C14</f>
        <v>Net Position-Governmental Activities</v>
      </c>
      <c r="C12" s="340"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2">
        <f>'Unit Data from Audit Worksheet'!F14</f>
        <v>0</v>
      </c>
      <c r="F12" s="344"/>
      <c r="G12" s="329"/>
      <c r="H12" s="344"/>
      <c r="I12" s="38"/>
      <c r="J12" s="343">
        <v>628</v>
      </c>
      <c r="K12" s="311" t="s">
        <v>420</v>
      </c>
      <c r="L12" s="580">
        <f t="shared" si="3"/>
        <v>0</v>
      </c>
      <c r="M12" s="577"/>
      <c r="N12" s="181"/>
      <c r="O12" s="577"/>
      <c r="P12" s="320"/>
      <c r="Q12" s="578"/>
      <c r="R12" s="3"/>
      <c r="W12" s="18" t="b">
        <f t="shared" si="0"/>
        <v>1</v>
      </c>
      <c r="X12" s="579">
        <f t="shared" si="1"/>
        <v>0</v>
      </c>
      <c r="Y12" s="579">
        <f t="shared" si="2"/>
        <v>0</v>
      </c>
    </row>
    <row r="13" spans="1:25" s="18" customFormat="1" ht="93" customHeight="1" x14ac:dyDescent="0.3">
      <c r="A13" s="336">
        <f>'Unit Data from Audit Worksheet'!A15</f>
        <v>629</v>
      </c>
      <c r="B13" s="341" t="str">
        <f>'Unit Data from Audit Worksheet'!C15</f>
        <v>Net Position-Governmental Activities</v>
      </c>
      <c r="C13" s="340" t="str">
        <f>'Unit Data from Audit Worksheet'!D15</f>
        <v>Please enter any pension liabilities that are classified as current liabilities and included in account 626 above (amounts entered should agree to the current amount included in the changes to long-term debt note)</v>
      </c>
      <c r="D13" s="110"/>
      <c r="E13" s="362">
        <f>'Unit Data from Audit Worksheet'!F15</f>
        <v>0</v>
      </c>
      <c r="F13" s="344"/>
      <c r="G13" s="329"/>
      <c r="H13" s="344"/>
      <c r="I13" s="38"/>
      <c r="J13" s="343">
        <v>629</v>
      </c>
      <c r="K13" s="311" t="s">
        <v>419</v>
      </c>
      <c r="L13" s="580">
        <f t="shared" si="3"/>
        <v>0</v>
      </c>
      <c r="M13" s="577"/>
      <c r="N13" s="181"/>
      <c r="O13" s="577"/>
      <c r="P13" s="320"/>
      <c r="Q13" s="578"/>
      <c r="R13" s="3"/>
      <c r="W13" s="18" t="b">
        <f t="shared" si="0"/>
        <v>1</v>
      </c>
      <c r="X13" s="579">
        <f t="shared" si="1"/>
        <v>0</v>
      </c>
      <c r="Y13" s="579">
        <f t="shared" si="2"/>
        <v>0</v>
      </c>
    </row>
    <row r="14" spans="1:25" s="18" customFormat="1" ht="67.5" customHeight="1" x14ac:dyDescent="0.3">
      <c r="A14" s="336">
        <f>'Unit Data from Audit Worksheet'!A16</f>
        <v>630</v>
      </c>
      <c r="B14" s="341" t="str">
        <f>'Unit Data from Audit Worksheet'!C16</f>
        <v>Net Position-Governmental Activities</v>
      </c>
      <c r="C14" s="340" t="str">
        <f>'Unit Data from Audit Worksheet'!D16</f>
        <v>Please enter any current liabilities that are payable from restricted assets and included in account 626 above</v>
      </c>
      <c r="D14" s="110"/>
      <c r="E14" s="362">
        <f>'Unit Data from Audit Worksheet'!F16</f>
        <v>0</v>
      </c>
      <c r="F14" s="344"/>
      <c r="G14" s="329"/>
      <c r="H14" s="344"/>
      <c r="I14" s="38"/>
      <c r="J14" s="343">
        <v>630</v>
      </c>
      <c r="K14" s="311" t="s">
        <v>418</v>
      </c>
      <c r="L14" s="580">
        <f t="shared" si="3"/>
        <v>0</v>
      </c>
      <c r="M14" s="577"/>
      <c r="N14" s="181"/>
      <c r="O14" s="577"/>
      <c r="P14" s="320"/>
      <c r="Q14" s="578"/>
      <c r="R14" s="3"/>
      <c r="W14" s="18" t="b">
        <f t="shared" si="0"/>
        <v>1</v>
      </c>
      <c r="X14" s="579">
        <f t="shared" si="1"/>
        <v>0</v>
      </c>
      <c r="Y14" s="579">
        <f t="shared" si="2"/>
        <v>0</v>
      </c>
    </row>
    <row r="15" spans="1:25" s="18" customFormat="1" ht="102.75" customHeight="1" x14ac:dyDescent="0.3">
      <c r="A15" s="336">
        <f>'Unit Data from Audit Worksheet'!A17</f>
        <v>631</v>
      </c>
      <c r="B15" s="350" t="str">
        <f>'Unit Data from Audit Worksheet'!C17</f>
        <v>Net Position-Governmental Activities</v>
      </c>
      <c r="C15" s="330" t="str">
        <f>'Unit Data from Audit Worksheet'!D17</f>
        <v>Please enter any OPEB liabilities that are classified as current liabilities and included in account 626 above (amounts entered should agree to the current amount included in the changes to long-term debt note)</v>
      </c>
      <c r="D15" s="110"/>
      <c r="E15" s="362">
        <f>'Unit Data from Audit Worksheet'!F17</f>
        <v>0</v>
      </c>
      <c r="F15" s="344"/>
      <c r="G15" s="329"/>
      <c r="H15" s="344"/>
      <c r="I15" s="38"/>
      <c r="J15" s="343">
        <v>631</v>
      </c>
      <c r="K15" s="311" t="s">
        <v>417</v>
      </c>
      <c r="L15" s="580">
        <f t="shared" si="3"/>
        <v>0</v>
      </c>
      <c r="M15" s="577"/>
      <c r="N15" s="181"/>
      <c r="O15" s="577"/>
      <c r="P15" s="320"/>
      <c r="Q15" s="578"/>
      <c r="R15" s="3"/>
      <c r="W15" s="18" t="b">
        <f t="shared" si="0"/>
        <v>1</v>
      </c>
      <c r="X15" s="579">
        <f t="shared" si="1"/>
        <v>0</v>
      </c>
      <c r="Y15" s="579">
        <f t="shared" si="2"/>
        <v>0</v>
      </c>
    </row>
    <row r="16" spans="1:25" s="18" customFormat="1" ht="119.25" customHeight="1" x14ac:dyDescent="0.3">
      <c r="A16" s="336">
        <f>'Unit Data from Audit Worksheet'!A18</f>
        <v>632</v>
      </c>
      <c r="B16" s="350" t="str">
        <f>'Unit Data from Audit Worksheet'!C18</f>
        <v>Net Position-Governmental Activities</v>
      </c>
      <c r="C16" s="330"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2">
        <f>'Unit Data from Audit Worksheet'!F18</f>
        <v>0</v>
      </c>
      <c r="F16" s="344"/>
      <c r="G16" s="329"/>
      <c r="H16" s="344"/>
      <c r="I16" s="38"/>
      <c r="J16" s="343">
        <v>632</v>
      </c>
      <c r="K16" s="311" t="s">
        <v>416</v>
      </c>
      <c r="L16" s="580">
        <f t="shared" si="3"/>
        <v>0</v>
      </c>
      <c r="M16" s="577"/>
      <c r="N16" s="181"/>
      <c r="O16" s="577"/>
      <c r="P16" s="320"/>
      <c r="Q16" s="578"/>
      <c r="R16" s="3"/>
      <c r="W16" s="18" t="b">
        <f t="shared" si="0"/>
        <v>1</v>
      </c>
      <c r="X16" s="579">
        <f t="shared" si="1"/>
        <v>0</v>
      </c>
      <c r="Y16" s="579">
        <f t="shared" si="2"/>
        <v>0</v>
      </c>
    </row>
    <row r="17" spans="1:25" ht="30.6" x14ac:dyDescent="0.3">
      <c r="A17" s="336">
        <f>'Unit Data from Audit Worksheet'!A19</f>
        <v>338</v>
      </c>
      <c r="B17" s="350" t="str">
        <f>'Unit Data from Audit Worksheet'!C19</f>
        <v>Net Position-Governmental Activities</v>
      </c>
      <c r="C17" s="335" t="str">
        <f>'Unit Data from Audit Worksheet'!D19</f>
        <v>Total Liabilities and total deferred inflows</v>
      </c>
      <c r="D17" s="110"/>
      <c r="E17" s="152">
        <f>'Unit Data from Audit Worksheet'!F19</f>
        <v>0</v>
      </c>
      <c r="F17" s="135" t="str">
        <f>IF(L10&gt;L17,"Please review accounts 626 greater than 338","")</f>
        <v/>
      </c>
      <c r="G17" s="72"/>
      <c r="H17" s="348">
        <f>'Unit Data from Audit Worksheet'!I19</f>
        <v>0</v>
      </c>
      <c r="I17" s="38"/>
      <c r="J17" s="114">
        <v>338</v>
      </c>
      <c r="K17" s="115" t="s">
        <v>116</v>
      </c>
      <c r="L17" s="574">
        <f>IF(D17="",E17,D17)+IF(D9="",E9,D9)</f>
        <v>0</v>
      </c>
      <c r="N17" s="78" t="s">
        <v>317</v>
      </c>
      <c r="P17" s="317"/>
      <c r="W17" s="3" t="b">
        <f t="shared" si="0"/>
        <v>1</v>
      </c>
      <c r="X17" s="570">
        <f t="shared" si="1"/>
        <v>0</v>
      </c>
      <c r="Y17" s="570">
        <f t="shared" si="2"/>
        <v>0</v>
      </c>
    </row>
    <row r="18" spans="1:25" ht="100.5" customHeight="1" x14ac:dyDescent="0.3">
      <c r="A18" s="336">
        <f>'Unit Data from Audit Worksheet'!A20</f>
        <v>335</v>
      </c>
      <c r="B18" s="350" t="str">
        <f>'Unit Data from Audit Worksheet'!C20</f>
        <v>Net Position-Governmental Activities</v>
      </c>
      <c r="C18" s="335" t="str">
        <f>'Unit Data from Audit Worksheet'!D20</f>
        <v>Unearned revenues that were included in current liabilities in your audit report or entered in acct # 626 above. 
Exclude - unearned revenues that are listed in deferred inflows.</v>
      </c>
      <c r="D18" s="110"/>
      <c r="E18" s="356">
        <f>'Unit Data from Audit Worksheet'!F20</f>
        <v>0</v>
      </c>
      <c r="F18" s="349">
        <f>IF(L18&lt;0,"Error: Enter as a positive.",)</f>
        <v>0</v>
      </c>
      <c r="G18" s="351"/>
      <c r="H18" s="348">
        <f>'Unit Data from Audit Worksheet'!I20</f>
        <v>0</v>
      </c>
      <c r="I18" s="38"/>
      <c r="J18" s="347">
        <v>335</v>
      </c>
      <c r="K18" s="346" t="s">
        <v>117</v>
      </c>
      <c r="L18" s="573">
        <f>IF(D18="",E18,D18)</f>
        <v>0</v>
      </c>
      <c r="P18" s="318"/>
      <c r="W18" s="3" t="b">
        <f t="shared" si="0"/>
        <v>1</v>
      </c>
      <c r="X18" s="570">
        <f t="shared" si="1"/>
        <v>0</v>
      </c>
      <c r="Y18" s="570">
        <f t="shared" si="2"/>
        <v>0</v>
      </c>
    </row>
    <row r="19" spans="1:25" ht="20.399999999999999" x14ac:dyDescent="0.3">
      <c r="A19" s="336">
        <f>'Unit Data from Audit Worksheet'!A21</f>
        <v>252</v>
      </c>
      <c r="B19" s="350" t="str">
        <f>'Unit Data from Audit Worksheet'!C21</f>
        <v>Net Position-Governmental Activities</v>
      </c>
      <c r="C19" s="335" t="str">
        <f>'Unit Data from Audit Worksheet'!D21</f>
        <v xml:space="preserve"> Total Net investment in capital assets</v>
      </c>
      <c r="D19" s="110"/>
      <c r="E19" s="356">
        <f>'Unit Data from Audit Worksheet'!F21</f>
        <v>0</v>
      </c>
      <c r="F19" s="349"/>
      <c r="G19" s="351"/>
      <c r="H19" s="348">
        <f>'Unit Data from Audit Worksheet'!I21</f>
        <v>0</v>
      </c>
      <c r="I19" s="38"/>
      <c r="J19" s="347">
        <v>252</v>
      </c>
      <c r="K19" s="346" t="s">
        <v>103</v>
      </c>
      <c r="L19" s="573">
        <f t="shared" ref="L19:L51" si="4">IF(D19="",E19,D19)</f>
        <v>0</v>
      </c>
      <c r="O19" s="581" t="e">
        <f>'Unit Data from Audit Worksheet'!E21</f>
        <v>#N/A</v>
      </c>
      <c r="P19" s="318"/>
      <c r="W19" s="3" t="b">
        <f t="shared" si="0"/>
        <v>1</v>
      </c>
      <c r="X19" s="570">
        <f t="shared" si="1"/>
        <v>0</v>
      </c>
      <c r="Y19" s="570">
        <f t="shared" si="2"/>
        <v>0</v>
      </c>
    </row>
    <row r="20" spans="1:25" ht="20.399999999999999" x14ac:dyDescent="0.3">
      <c r="A20" s="336">
        <f>'Unit Data from Audit Worksheet'!A22</f>
        <v>253</v>
      </c>
      <c r="B20" s="350" t="str">
        <f>'Unit Data from Audit Worksheet'!C22</f>
        <v>Net Position-Governmental Activities</v>
      </c>
      <c r="C20" s="335" t="str">
        <f>'Unit Data from Audit Worksheet'!D22</f>
        <v xml:space="preserve"> Total Net Position, Restricted</v>
      </c>
      <c r="D20" s="110"/>
      <c r="E20" s="356">
        <f>'Unit Data from Audit Worksheet'!F22</f>
        <v>0</v>
      </c>
      <c r="F20" s="349"/>
      <c r="G20" s="351"/>
      <c r="H20" s="348">
        <f>'Unit Data from Audit Worksheet'!I22</f>
        <v>0</v>
      </c>
      <c r="I20" s="38"/>
      <c r="J20" s="347">
        <v>253</v>
      </c>
      <c r="K20" s="346" t="s">
        <v>104</v>
      </c>
      <c r="L20" s="573">
        <f t="shared" si="4"/>
        <v>0</v>
      </c>
      <c r="O20" s="581" t="e">
        <f>'Unit Data from Audit Worksheet'!E22</f>
        <v>#N/A</v>
      </c>
      <c r="P20" s="318"/>
      <c r="W20" s="3" t="b">
        <f t="shared" si="0"/>
        <v>1</v>
      </c>
      <c r="X20" s="570">
        <f t="shared" si="1"/>
        <v>0</v>
      </c>
      <c r="Y20" s="570">
        <f t="shared" si="2"/>
        <v>0</v>
      </c>
    </row>
    <row r="21" spans="1:25" ht="73.5" customHeight="1" x14ac:dyDescent="0.3">
      <c r="A21" s="336">
        <f>'Unit Data from Audit Worksheet'!A23</f>
        <v>254</v>
      </c>
      <c r="B21" s="350" t="str">
        <f>'Unit Data from Audit Worksheet'!C23</f>
        <v>Net Position-Governmental Activities</v>
      </c>
      <c r="C21" s="335" t="str">
        <f>'Unit Data from Audit Worksheet'!D23</f>
        <v>Total Net Position, Unrestricted - enter negative unrestricted net position as a negative)</v>
      </c>
      <c r="D21" s="110"/>
      <c r="E21" s="356">
        <f>'Unit Data from Audit Worksheet'!F23</f>
        <v>0</v>
      </c>
      <c r="F21" s="349">
        <f>IF((L7-L17-L19-L20-L21)=0,,"Error: Total assets and deferred outflows less total liabilities and deferred inflows do not equal total net position accts 385-338-252-253-254")</f>
        <v>0</v>
      </c>
      <c r="G21" s="90">
        <f>+L7-L17-L19-L20-L21</f>
        <v>0</v>
      </c>
      <c r="H21" s="348">
        <f>'Unit Data from Audit Worksheet'!I23</f>
        <v>0</v>
      </c>
      <c r="I21" s="38"/>
      <c r="J21" s="347">
        <v>254</v>
      </c>
      <c r="K21" s="346" t="s">
        <v>105</v>
      </c>
      <c r="L21" s="573">
        <f t="shared" si="4"/>
        <v>0</v>
      </c>
      <c r="O21" s="581" t="e">
        <f>'Unit Data from Audit Worksheet'!E23</f>
        <v>#N/A</v>
      </c>
      <c r="P21" s="318"/>
      <c r="Q21" s="563">
        <f>IF(G21&lt;&gt;0,1,0)</f>
        <v>0</v>
      </c>
      <c r="W21" s="3" t="b">
        <f t="shared" si="0"/>
        <v>1</v>
      </c>
      <c r="X21" s="570">
        <f t="shared" si="1"/>
        <v>0</v>
      </c>
      <c r="Y21" s="570">
        <f t="shared" si="2"/>
        <v>0</v>
      </c>
    </row>
    <row r="22" spans="1:25" ht="51.75" customHeight="1" x14ac:dyDescent="0.3">
      <c r="A22" s="336">
        <f>'Unit Data from Audit Worksheet'!A25</f>
        <v>502</v>
      </c>
      <c r="B22" s="350" t="str">
        <f>'Unit Data from Audit Worksheet'!C25</f>
        <v>Net Position-Business Activities</v>
      </c>
      <c r="C22" s="335" t="str">
        <f>'Unit Data from Audit Worksheet'!D25</f>
        <v xml:space="preserve">All unrestricted Cash and investments. 
Exclude restricted cash and cash held by a third party. </v>
      </c>
      <c r="D22" s="110"/>
      <c r="E22" s="356">
        <f>'Unit Data from Audit Worksheet'!F25</f>
        <v>0</v>
      </c>
      <c r="F22" s="349">
        <f>IF(L22&lt;0,"Error: Number is normally positive.",)</f>
        <v>0</v>
      </c>
      <c r="G22" s="351"/>
      <c r="H22" s="348">
        <f>'Unit Data from Audit Worksheet'!I25</f>
        <v>0</v>
      </c>
      <c r="I22" s="38"/>
      <c r="J22" s="347">
        <v>502</v>
      </c>
      <c r="K22" s="346" t="s">
        <v>186</v>
      </c>
      <c r="L22" s="573">
        <f t="shared" si="4"/>
        <v>0</v>
      </c>
      <c r="P22" s="318"/>
      <c r="W22" s="3" t="b">
        <f t="shared" si="0"/>
        <v>1</v>
      </c>
      <c r="X22" s="570">
        <f t="shared" si="1"/>
        <v>0</v>
      </c>
      <c r="Y22" s="570">
        <f t="shared" si="2"/>
        <v>0</v>
      </c>
    </row>
    <row r="23" spans="1:25" ht="40.5" customHeight="1" x14ac:dyDescent="0.3">
      <c r="A23" s="336">
        <f>'Unit Data from Audit Worksheet'!A26</f>
        <v>503</v>
      </c>
      <c r="B23" s="350" t="str">
        <f>'Unit Data from Audit Worksheet'!C26</f>
        <v>Net Position-Business Activities</v>
      </c>
      <c r="C23" s="335" t="str">
        <f>'Unit Data from Audit Worksheet'!D26</f>
        <v>All restricted Cash and investments</v>
      </c>
      <c r="D23" s="110"/>
      <c r="E23" s="356">
        <f>'Unit Data from Audit Worksheet'!F26</f>
        <v>0</v>
      </c>
      <c r="F23" s="349">
        <f>IF(L23&lt;0,"Error: Number is normally positive.",)</f>
        <v>0</v>
      </c>
      <c r="G23" s="351"/>
      <c r="H23" s="348">
        <f>'Unit Data from Audit Worksheet'!I26</f>
        <v>0</v>
      </c>
      <c r="I23" s="38"/>
      <c r="J23" s="347">
        <v>503</v>
      </c>
      <c r="K23" s="346" t="s">
        <v>187</v>
      </c>
      <c r="L23" s="573">
        <f t="shared" si="4"/>
        <v>0</v>
      </c>
      <c r="P23" s="318"/>
      <c r="W23" s="3" t="b">
        <f t="shared" si="0"/>
        <v>1</v>
      </c>
      <c r="X23" s="570">
        <f t="shared" si="1"/>
        <v>0</v>
      </c>
      <c r="Y23" s="570">
        <f t="shared" si="2"/>
        <v>0</v>
      </c>
    </row>
    <row r="24" spans="1:25" ht="39" customHeight="1" x14ac:dyDescent="0.3">
      <c r="A24" s="336">
        <f>'Unit Data from Audit Worksheet'!A28</f>
        <v>344</v>
      </c>
      <c r="B24" s="350" t="str">
        <f>'Unit Data from Audit Worksheet'!C28</f>
        <v>Statement of Activities - Governmental</v>
      </c>
      <c r="C24" s="335" t="str">
        <f>'Unit Data from Audit Worksheet'!D28</f>
        <v xml:space="preserve">Total Interest expense on Long-Term Debt </v>
      </c>
      <c r="D24" s="110"/>
      <c r="E24" s="356">
        <f>'Unit Data from Audit Worksheet'!F28</f>
        <v>0</v>
      </c>
      <c r="F24" s="349">
        <f>IF(L24&lt;0,"Error: Enter as a positive.",)</f>
        <v>0</v>
      </c>
      <c r="G24" s="351"/>
      <c r="H24" s="348">
        <f>'Unit Data from Audit Worksheet'!I28</f>
        <v>0</v>
      </c>
      <c r="I24" s="38"/>
      <c r="J24" s="347">
        <v>344</v>
      </c>
      <c r="K24" s="346" t="s">
        <v>188</v>
      </c>
      <c r="L24" s="573">
        <f t="shared" si="4"/>
        <v>0</v>
      </c>
      <c r="P24" s="318"/>
      <c r="W24" s="3" t="b">
        <f t="shared" si="0"/>
        <v>1</v>
      </c>
      <c r="X24" s="570">
        <f t="shared" si="1"/>
        <v>0</v>
      </c>
      <c r="Y24" s="570">
        <f t="shared" si="2"/>
        <v>0</v>
      </c>
    </row>
    <row r="25" spans="1:25" ht="39" customHeight="1" x14ac:dyDescent="0.3">
      <c r="A25" s="336">
        <f>'Unit Data from Audit Worksheet'!A29</f>
        <v>388</v>
      </c>
      <c r="B25" s="350" t="str">
        <f>'Unit Data from Audit Worksheet'!C29</f>
        <v>Statement of Activities - Governmental</v>
      </c>
      <c r="C25" s="335" t="str">
        <f>'Unit Data from Audit Worksheet'!D29</f>
        <v>Total Expenses</v>
      </c>
      <c r="D25" s="110"/>
      <c r="E25" s="356">
        <f>'Unit Data from Audit Worksheet'!F29</f>
        <v>0</v>
      </c>
      <c r="F25" s="349">
        <f t="shared" ref="F25:F30" si="5">IF(L25&lt;0,"Error: Number is normally positive.",)</f>
        <v>0</v>
      </c>
      <c r="G25" s="351"/>
      <c r="H25" s="348">
        <f>'Unit Data from Audit Worksheet'!I29</f>
        <v>0</v>
      </c>
      <c r="I25" s="38"/>
      <c r="J25" s="347">
        <v>388</v>
      </c>
      <c r="K25" s="346" t="s">
        <v>189</v>
      </c>
      <c r="L25" s="573">
        <f t="shared" si="4"/>
        <v>0</v>
      </c>
      <c r="P25" s="318"/>
      <c r="W25" s="3" t="b">
        <f t="shared" si="0"/>
        <v>1</v>
      </c>
      <c r="X25" s="570">
        <f t="shared" si="1"/>
        <v>0</v>
      </c>
      <c r="Y25" s="570">
        <f t="shared" si="2"/>
        <v>0</v>
      </c>
    </row>
    <row r="26" spans="1:25" ht="39" customHeight="1" x14ac:dyDescent="0.3">
      <c r="A26" s="336">
        <f>'Unit Data from Audit Worksheet'!A30</f>
        <v>339</v>
      </c>
      <c r="B26" s="350" t="str">
        <f>'Unit Data from Audit Worksheet'!C30</f>
        <v>Statement of Activities - Governmental</v>
      </c>
      <c r="C26" s="335" t="str">
        <f>'Unit Data from Audit Worksheet'!D30</f>
        <v xml:space="preserve">Charges for services </v>
      </c>
      <c r="D26" s="110"/>
      <c r="E26" s="356">
        <f>'Unit Data from Audit Worksheet'!F30</f>
        <v>0</v>
      </c>
      <c r="F26" s="349">
        <f t="shared" si="5"/>
        <v>0</v>
      </c>
      <c r="G26" s="351"/>
      <c r="H26" s="348">
        <f>'Unit Data from Audit Worksheet'!I30</f>
        <v>0</v>
      </c>
      <c r="I26" s="38"/>
      <c r="J26" s="347">
        <v>339</v>
      </c>
      <c r="K26" s="346" t="s">
        <v>190</v>
      </c>
      <c r="L26" s="573">
        <f t="shared" si="4"/>
        <v>0</v>
      </c>
      <c r="P26" s="318"/>
      <c r="W26" s="3" t="b">
        <f t="shared" si="0"/>
        <v>1</v>
      </c>
      <c r="X26" s="570">
        <f t="shared" si="1"/>
        <v>0</v>
      </c>
      <c r="Y26" s="570">
        <f t="shared" si="2"/>
        <v>0</v>
      </c>
    </row>
    <row r="27" spans="1:25" ht="39" customHeight="1" x14ac:dyDescent="0.3">
      <c r="A27" s="336">
        <f>'Unit Data from Audit Worksheet'!A31</f>
        <v>504</v>
      </c>
      <c r="B27" s="350" t="str">
        <f>'Unit Data from Audit Worksheet'!C31</f>
        <v>Statement of Activities - Governmental</v>
      </c>
      <c r="C27" s="335" t="str">
        <f>'Unit Data from Audit Worksheet'!D31</f>
        <v>Operating grants and contributions</v>
      </c>
      <c r="D27" s="110"/>
      <c r="E27" s="356">
        <f>'Unit Data from Audit Worksheet'!F31</f>
        <v>0</v>
      </c>
      <c r="F27" s="349">
        <f t="shared" si="5"/>
        <v>0</v>
      </c>
      <c r="G27" s="351"/>
      <c r="H27" s="348">
        <f>'Unit Data from Audit Worksheet'!I31</f>
        <v>0</v>
      </c>
      <c r="I27" s="38"/>
      <c r="J27" s="347">
        <v>504</v>
      </c>
      <c r="K27" s="346" t="s">
        <v>191</v>
      </c>
      <c r="L27" s="573">
        <f t="shared" si="4"/>
        <v>0</v>
      </c>
      <c r="P27" s="318"/>
      <c r="W27" s="3" t="b">
        <f t="shared" si="0"/>
        <v>1</v>
      </c>
      <c r="X27" s="570">
        <f t="shared" si="1"/>
        <v>0</v>
      </c>
      <c r="Y27" s="570">
        <f t="shared" si="2"/>
        <v>0</v>
      </c>
    </row>
    <row r="28" spans="1:25" ht="39" customHeight="1" x14ac:dyDescent="0.3">
      <c r="A28" s="336">
        <f>'Unit Data from Audit Worksheet'!A32</f>
        <v>505</v>
      </c>
      <c r="B28" s="350" t="str">
        <f>'Unit Data from Audit Worksheet'!C32</f>
        <v>Statement of Activities - Governmental</v>
      </c>
      <c r="C28" s="335" t="str">
        <f>'Unit Data from Audit Worksheet'!D32</f>
        <v>Capital grants and contributions</v>
      </c>
      <c r="D28" s="110"/>
      <c r="E28" s="356">
        <f>'Unit Data from Audit Worksheet'!F32</f>
        <v>0</v>
      </c>
      <c r="F28" s="349">
        <f t="shared" si="5"/>
        <v>0</v>
      </c>
      <c r="G28" s="351"/>
      <c r="H28" s="348">
        <f>'Unit Data from Audit Worksheet'!I32</f>
        <v>0</v>
      </c>
      <c r="I28" s="38"/>
      <c r="J28" s="347">
        <v>505</v>
      </c>
      <c r="K28" s="346" t="s">
        <v>192</v>
      </c>
      <c r="L28" s="573">
        <f t="shared" si="4"/>
        <v>0</v>
      </c>
      <c r="P28" s="318"/>
      <c r="W28" s="3" t="b">
        <f t="shared" si="0"/>
        <v>1</v>
      </c>
      <c r="X28" s="570">
        <f t="shared" si="1"/>
        <v>0</v>
      </c>
      <c r="Y28" s="570">
        <f t="shared" si="2"/>
        <v>0</v>
      </c>
    </row>
    <row r="29" spans="1:25" ht="82.5" customHeight="1" x14ac:dyDescent="0.3">
      <c r="A29" s="336">
        <f>'Unit Data from Audit Worksheet'!A33</f>
        <v>341</v>
      </c>
      <c r="B29" s="350" t="str">
        <f>'Unit Data from Audit Worksheet'!C33</f>
        <v>Statement of Activities - Governmental</v>
      </c>
      <c r="C29" s="335" t="str">
        <f>'Unit Data from Audit Worksheet'!D33</f>
        <v>Total General revenues
Exclude: transfers-in or out,
                 special items,
                 extraordinary amounts</v>
      </c>
      <c r="D29" s="110"/>
      <c r="E29" s="356">
        <f>'Unit Data from Audit Worksheet'!F33</f>
        <v>0</v>
      </c>
      <c r="F29" s="349">
        <f t="shared" si="5"/>
        <v>0</v>
      </c>
      <c r="G29" s="351"/>
      <c r="H29" s="348">
        <f>'Unit Data from Audit Worksheet'!I33</f>
        <v>0</v>
      </c>
      <c r="I29" s="38"/>
      <c r="J29" s="347">
        <v>341</v>
      </c>
      <c r="K29" s="346" t="s">
        <v>193</v>
      </c>
      <c r="L29" s="573">
        <f t="shared" si="4"/>
        <v>0</v>
      </c>
      <c r="P29" s="318"/>
      <c r="W29" s="3" t="b">
        <f t="shared" si="0"/>
        <v>1</v>
      </c>
      <c r="X29" s="570">
        <f t="shared" si="1"/>
        <v>0</v>
      </c>
      <c r="Y29" s="570">
        <f t="shared" si="2"/>
        <v>0</v>
      </c>
    </row>
    <row r="30" spans="1:25" ht="82.5" customHeight="1" x14ac:dyDescent="0.3">
      <c r="A30" s="336">
        <f>'Unit Data from Audit Worksheet'!A34</f>
        <v>386</v>
      </c>
      <c r="B30" s="350" t="str">
        <f>'Unit Data from Audit Worksheet'!C34</f>
        <v>Statement of Activities - Governmental</v>
      </c>
      <c r="C30" s="335" t="str">
        <f>'Unit Data from Audit Worksheet'!D34</f>
        <v>Total Transfers in    (Preference is that transfers-in  are not netted against transfers-out)</v>
      </c>
      <c r="D30" s="110"/>
      <c r="E30" s="356">
        <f>'Unit Data from Audit Worksheet'!F34</f>
        <v>0</v>
      </c>
      <c r="F30" s="349">
        <f t="shared" si="5"/>
        <v>0</v>
      </c>
      <c r="G30" s="351"/>
      <c r="H30" s="348">
        <f>'Unit Data from Audit Worksheet'!I34</f>
        <v>0</v>
      </c>
      <c r="I30" s="38"/>
      <c r="J30" s="347">
        <v>386</v>
      </c>
      <c r="K30" s="346" t="s">
        <v>194</v>
      </c>
      <c r="L30" s="573">
        <f t="shared" si="4"/>
        <v>0</v>
      </c>
      <c r="P30" s="318"/>
      <c r="W30" s="3" t="b">
        <f t="shared" si="0"/>
        <v>1</v>
      </c>
      <c r="X30" s="570">
        <f t="shared" si="1"/>
        <v>0</v>
      </c>
      <c r="Y30" s="570">
        <f t="shared" si="2"/>
        <v>0</v>
      </c>
    </row>
    <row r="31" spans="1:25" ht="82.5" customHeight="1" x14ac:dyDescent="0.3">
      <c r="A31" s="336">
        <f>'Unit Data from Audit Worksheet'!A35</f>
        <v>387</v>
      </c>
      <c r="B31" s="350" t="str">
        <f>'Unit Data from Audit Worksheet'!C35</f>
        <v>Statement of Activities - Governmental</v>
      </c>
      <c r="C31" s="335" t="str">
        <f>'Unit Data from Audit Worksheet'!D35</f>
        <v>Total Transfers out    (Preference is that transfers-in  are not netted against transfers-out)</v>
      </c>
      <c r="D31" s="110"/>
      <c r="E31" s="356">
        <f>'Unit Data from Audit Worksheet'!F35</f>
        <v>0</v>
      </c>
      <c r="F31" s="349">
        <f>IF(L31&lt;0,"Error: Enter as a positive.",)</f>
        <v>0</v>
      </c>
      <c r="G31" s="351"/>
      <c r="H31" s="348">
        <f>'Unit Data from Audit Worksheet'!I35</f>
        <v>0</v>
      </c>
      <c r="I31" s="38"/>
      <c r="J31" s="347">
        <v>387</v>
      </c>
      <c r="K31" s="346" t="s">
        <v>195</v>
      </c>
      <c r="L31" s="573">
        <f t="shared" si="4"/>
        <v>0</v>
      </c>
      <c r="P31" s="318"/>
      <c r="W31" s="3" t="b">
        <f t="shared" si="0"/>
        <v>1</v>
      </c>
      <c r="X31" s="570">
        <f t="shared" si="1"/>
        <v>0</v>
      </c>
      <c r="Y31" s="570">
        <f t="shared" si="2"/>
        <v>0</v>
      </c>
    </row>
    <row r="32" spans="1:25" ht="82.5" customHeight="1" x14ac:dyDescent="0.3">
      <c r="A32" s="336">
        <f>'Unit Data from Audit Worksheet'!A36</f>
        <v>389</v>
      </c>
      <c r="B32" s="350" t="str">
        <f>'Unit Data from Audit Worksheet'!C36</f>
        <v>Statement of Activities - Governmental</v>
      </c>
      <c r="C32" s="335" t="str">
        <f>'Unit Data from Audit Worksheet'!D36</f>
        <v>Total Special and Extraordinary items.    (Amounts that increase net position are recorded as positive and amounts that decrease net position are recorded as negative)</v>
      </c>
      <c r="D32" s="110"/>
      <c r="E32" s="356">
        <f>'Unit Data from Audit Worksheet'!F36</f>
        <v>0</v>
      </c>
      <c r="F32" s="349"/>
      <c r="G32" s="351"/>
      <c r="H32" s="348">
        <f>'Unit Data from Audit Worksheet'!I36</f>
        <v>0</v>
      </c>
      <c r="I32" s="38"/>
      <c r="J32" s="347">
        <v>389</v>
      </c>
      <c r="K32" s="346" t="s">
        <v>196</v>
      </c>
      <c r="L32" s="573">
        <f t="shared" si="4"/>
        <v>0</v>
      </c>
      <c r="N32" s="582"/>
      <c r="P32" s="318"/>
      <c r="W32" s="3" t="b">
        <f t="shared" si="0"/>
        <v>1</v>
      </c>
      <c r="X32" s="570">
        <f t="shared" si="1"/>
        <v>0</v>
      </c>
      <c r="Y32" s="570">
        <f t="shared" si="2"/>
        <v>0</v>
      </c>
    </row>
    <row r="33" spans="1:25" ht="79.5" customHeight="1" x14ac:dyDescent="0.3">
      <c r="A33" s="336">
        <f>'Unit Data from Audit Worksheet'!A37</f>
        <v>255</v>
      </c>
      <c r="B33" s="350" t="str">
        <f>'Unit Data from Audit Worksheet'!C37</f>
        <v>Statement of Activities - Governmental</v>
      </c>
      <c r="C33" s="335" t="str">
        <f>'Unit Data from Audit Worksheet'!D37</f>
        <v>Total Change in net position - (Increase in net position is recorded as a positive and a decrease in net position is recorded as a negative)</v>
      </c>
      <c r="D33" s="110"/>
      <c r="E33" s="356">
        <f>'Unit Data from Audit Worksheet'!F37</f>
        <v>0</v>
      </c>
      <c r="F33" s="349">
        <f>IF((L26+L27+L28+L29+L30-L31+L32-L25-L33)=0,,"Total revenues less total expenses do not equal total change in net position. Acct 339+504+505+341+386-387+389-388-255=0")</f>
        <v>0</v>
      </c>
      <c r="G33" s="91">
        <f>L26+L27+L28+L29+L30-L31+L32-L25-L33</f>
        <v>0</v>
      </c>
      <c r="H33" s="348">
        <f>'Unit Data from Audit Worksheet'!I37</f>
        <v>0</v>
      </c>
      <c r="I33" s="38"/>
      <c r="J33" s="347">
        <v>255</v>
      </c>
      <c r="K33" s="346" t="s">
        <v>197</v>
      </c>
      <c r="L33" s="573">
        <f t="shared" si="4"/>
        <v>0</v>
      </c>
      <c r="O33" s="581" t="e">
        <f>'Unit Data from Audit Worksheet'!E37</f>
        <v>#N/A</v>
      </c>
      <c r="P33" s="318"/>
      <c r="Q33" s="563">
        <f>IF(G33&lt;&gt;0,1,0)</f>
        <v>0</v>
      </c>
      <c r="W33" s="3" t="b">
        <f t="shared" si="0"/>
        <v>1</v>
      </c>
      <c r="X33" s="570">
        <f t="shared" si="1"/>
        <v>0</v>
      </c>
      <c r="Y33" s="570">
        <f t="shared" si="2"/>
        <v>0</v>
      </c>
    </row>
    <row r="34" spans="1:25" ht="89.25" customHeight="1" x14ac:dyDescent="0.3">
      <c r="A34" s="336">
        <f>'Unit Data from Audit Worksheet'!A38</f>
        <v>376</v>
      </c>
      <c r="B34" s="350" t="str">
        <f>'Unit Data from Audit Worksheet'!C38</f>
        <v>Statement of Activities - Governmental</v>
      </c>
      <c r="C34" s="335" t="str">
        <f>'Unit Data from Audit Worksheet'!D38</f>
        <v>Any adjustment to beginning net position including rounding, prior period adjustments and restatements.   (Increases to net position are positive; decreases to net position are negative)</v>
      </c>
      <c r="D34" s="110"/>
      <c r="E34" s="356">
        <f>'Unit Data from Audit Worksheet'!F38</f>
        <v>0</v>
      </c>
      <c r="F34" s="87" t="e">
        <f>IF(L19+L20+L21-L33-L34=O19+O20+O21,,"Beginning Balance does not agree with our records acct (252+253+254-255-376=PY252+PY253+PY254)")</f>
        <v>#N/A</v>
      </c>
      <c r="G34" s="92" t="e">
        <f>L19+L20+L21-L33-L34-(O19+O20+O21)</f>
        <v>#N/A</v>
      </c>
      <c r="H34" s="348" t="str">
        <f>'Unit Data from Audit Worksheet'!I38</f>
        <v>Please do not enter prior's years beginning balance as an adjustment in column F.</v>
      </c>
      <c r="I34" s="38"/>
      <c r="J34" s="347">
        <v>376</v>
      </c>
      <c r="K34" s="346" t="s">
        <v>108</v>
      </c>
      <c r="L34" s="573">
        <f t="shared" si="4"/>
        <v>0</v>
      </c>
      <c r="O34" s="581" t="e">
        <f>'Unit Data from Audit Worksheet'!E38</f>
        <v>#N/A</v>
      </c>
      <c r="P34" s="318"/>
      <c r="Q34" s="563" t="e">
        <f>IF(G34&lt;&gt;0,1,0)</f>
        <v>#N/A</v>
      </c>
      <c r="W34" s="3" t="b">
        <f t="shared" si="0"/>
        <v>1</v>
      </c>
      <c r="X34" s="570">
        <f t="shared" si="1"/>
        <v>0</v>
      </c>
      <c r="Y34" s="570">
        <f t="shared" si="2"/>
        <v>0</v>
      </c>
    </row>
    <row r="35" spans="1:25" ht="157.5" customHeight="1" x14ac:dyDescent="0.3">
      <c r="A35" s="336">
        <f>'Unit Data from Audit Worksheet'!A39</f>
        <v>597</v>
      </c>
      <c r="B35" s="350" t="str">
        <f>'Unit Data from Audit Worksheet'!C39</f>
        <v>Statement of Activities                               (all governmental and business funds)</v>
      </c>
      <c r="C35" s="335"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6">
        <f>'Unit Data from Audit Worksheet'!F39</f>
        <v>0</v>
      </c>
      <c r="F35" s="349">
        <f>IF(L35&lt;0,"Error: Number is normally positive.",)</f>
        <v>0</v>
      </c>
      <c r="G35" s="351"/>
      <c r="H35" s="348">
        <f>'Unit Data from Audit Worksheet'!I39</f>
        <v>0</v>
      </c>
      <c r="I35" s="38"/>
      <c r="J35" s="347">
        <v>597</v>
      </c>
      <c r="K35" s="346" t="s">
        <v>369</v>
      </c>
      <c r="L35" s="573">
        <f t="shared" si="4"/>
        <v>0</v>
      </c>
      <c r="O35" s="581"/>
      <c r="P35" s="318"/>
      <c r="W35" s="3" t="b">
        <f t="shared" si="0"/>
        <v>1</v>
      </c>
      <c r="X35" s="570">
        <f t="shared" si="1"/>
        <v>0</v>
      </c>
      <c r="Y35" s="570">
        <f t="shared" si="2"/>
        <v>0</v>
      </c>
    </row>
    <row r="36" spans="1:25" ht="90" customHeight="1" x14ac:dyDescent="0.3">
      <c r="A36" s="336">
        <f>'Unit Data from Audit Worksheet'!A41</f>
        <v>592</v>
      </c>
      <c r="B36" s="350" t="str">
        <f>'Unit Data from Audit Worksheet'!C41</f>
        <v>Statement of Activities - Business Activities</v>
      </c>
      <c r="C36" s="335" t="str">
        <f>'Unit Data from Audit Worksheet'!D41</f>
        <v>Total Change in net position Business Type 
(Increase in net position is recorded as a positive and a decrease in net position is recorded as a negative)</v>
      </c>
      <c r="D36" s="110"/>
      <c r="E36" s="356">
        <f>'Unit Data from Audit Worksheet'!F41</f>
        <v>0</v>
      </c>
      <c r="F36" s="349"/>
      <c r="G36" s="351"/>
      <c r="H36" s="348">
        <f>'Unit Data from Audit Worksheet'!I41</f>
        <v>0</v>
      </c>
      <c r="I36" s="38"/>
      <c r="J36" s="347">
        <v>592</v>
      </c>
      <c r="K36" s="346" t="s">
        <v>351</v>
      </c>
      <c r="L36" s="573">
        <f t="shared" si="4"/>
        <v>0</v>
      </c>
      <c r="O36" s="581"/>
      <c r="P36" s="318"/>
      <c r="W36" s="3" t="b">
        <f t="shared" ref="W36:W66" si="6">EXACT(A36,J36)</f>
        <v>1</v>
      </c>
      <c r="X36" s="570">
        <f t="shared" si="1"/>
        <v>0</v>
      </c>
      <c r="Y36" s="570">
        <f t="shared" si="2"/>
        <v>0</v>
      </c>
    </row>
    <row r="37" spans="1:25" ht="66" customHeight="1" x14ac:dyDescent="0.3">
      <c r="A37" s="336">
        <f>'Unit Data from Audit Worksheet'!A42</f>
        <v>591</v>
      </c>
      <c r="B37" s="350" t="str">
        <f>'Unit Data from Audit Worksheet'!C42</f>
        <v>Statement of Activities - Business Activities</v>
      </c>
      <c r="C37" s="335" t="str">
        <f>'Unit Data from Audit Worksheet'!D42</f>
        <v>Total Expenses - Exclude Transfers</v>
      </c>
      <c r="D37" s="110"/>
      <c r="E37" s="356">
        <f>'Unit Data from Audit Worksheet'!F42</f>
        <v>0</v>
      </c>
      <c r="F37" s="349">
        <f>IF(L37&lt;0,"Error: Enter as a positive.",)</f>
        <v>0</v>
      </c>
      <c r="G37" s="351"/>
      <c r="H37" s="348">
        <f>'Unit Data from Audit Worksheet'!I42</f>
        <v>0</v>
      </c>
      <c r="I37" s="38"/>
      <c r="J37" s="347">
        <v>591</v>
      </c>
      <c r="K37" s="346" t="s">
        <v>350</v>
      </c>
      <c r="L37" s="573">
        <f t="shared" si="4"/>
        <v>0</v>
      </c>
      <c r="O37" s="581"/>
      <c r="P37" s="318"/>
      <c r="W37" s="3" t="b">
        <f t="shared" si="6"/>
        <v>1</v>
      </c>
      <c r="X37" s="570">
        <f t="shared" si="1"/>
        <v>0</v>
      </c>
      <c r="Y37" s="570">
        <f t="shared" si="2"/>
        <v>0</v>
      </c>
    </row>
    <row r="38" spans="1:25" s="709" customFormat="1" ht="66" customHeight="1" x14ac:dyDescent="0.3">
      <c r="A38" s="336">
        <f>'Unit Data from Audit Worksheet'!A43</f>
        <v>593</v>
      </c>
      <c r="B38" s="350" t="str">
        <f>'Unit Data from Audit Worksheet'!C43</f>
        <v>Statement of Activities - Business Activities</v>
      </c>
      <c r="C38" s="335" t="str">
        <f>'Unit Data from Audit Worksheet'!D43</f>
        <v>Total Transfers in    (Preference is that transfers-in  are not netted against transfers-out)</v>
      </c>
      <c r="D38" s="110"/>
      <c r="E38" s="356">
        <f>'Unit Data from Audit Worksheet'!F43</f>
        <v>0</v>
      </c>
      <c r="F38" s="349"/>
      <c r="G38" s="351"/>
      <c r="H38" s="348"/>
      <c r="I38" s="711"/>
      <c r="J38" s="347">
        <v>593</v>
      </c>
      <c r="K38" s="714" t="s">
        <v>1031</v>
      </c>
      <c r="L38" s="573">
        <f t="shared" si="4"/>
        <v>0</v>
      </c>
      <c r="O38" s="581"/>
      <c r="P38" s="318"/>
      <c r="Q38" s="563"/>
      <c r="X38" s="570"/>
      <c r="Y38" s="570"/>
    </row>
    <row r="39" spans="1:25" s="709" customFormat="1" ht="66" customHeight="1" x14ac:dyDescent="0.3">
      <c r="A39" s="336">
        <f>'Unit Data from Audit Worksheet'!A44</f>
        <v>594</v>
      </c>
      <c r="B39" s="350" t="str">
        <f>'Unit Data from Audit Worksheet'!C44</f>
        <v>Statement of Activities - Business Activities</v>
      </c>
      <c r="C39" s="335" t="str">
        <f>'Unit Data from Audit Worksheet'!D44</f>
        <v>Total Transfers out    (Preference is that transfers-in  are not netted against transfers-out)</v>
      </c>
      <c r="D39" s="110"/>
      <c r="E39" s="356">
        <f>'Unit Data from Audit Worksheet'!F44</f>
        <v>0</v>
      </c>
      <c r="F39" s="349"/>
      <c r="G39" s="351"/>
      <c r="H39" s="348"/>
      <c r="I39" s="711"/>
      <c r="J39" s="347">
        <v>594</v>
      </c>
      <c r="K39" s="714" t="s">
        <v>1032</v>
      </c>
      <c r="L39" s="573">
        <f t="shared" si="4"/>
        <v>0</v>
      </c>
      <c r="O39" s="581"/>
      <c r="P39" s="318"/>
      <c r="Q39" s="563"/>
      <c r="X39" s="570"/>
      <c r="Y39" s="570"/>
    </row>
    <row r="40" spans="1:25" s="709" customFormat="1" ht="66" customHeight="1" x14ac:dyDescent="0.3">
      <c r="A40" s="336">
        <f>'Unit Data from Audit Worksheet'!A46</f>
        <v>558</v>
      </c>
      <c r="B40" s="350" t="str">
        <f>'Unit Data from Audit Worksheet'!C46</f>
        <v>Mental Health-Balance Sheet - Non GAAP</v>
      </c>
      <c r="C40" s="335" t="str">
        <f>'Unit Data from Audit Worksheet'!D46</f>
        <v xml:space="preserve">All unrestricted cash and investments.  
Exclude restricted cash and cash held by a third party. </v>
      </c>
      <c r="D40" s="110"/>
      <c r="E40" s="356">
        <f>'Unit Data from Audit Worksheet'!F46</f>
        <v>0</v>
      </c>
      <c r="F40" s="349"/>
      <c r="G40" s="351"/>
      <c r="H40" s="348"/>
      <c r="I40" s="711"/>
      <c r="J40" s="347">
        <v>558</v>
      </c>
      <c r="K40" s="710" t="s">
        <v>1033</v>
      </c>
      <c r="L40" s="573">
        <f t="shared" si="4"/>
        <v>0</v>
      </c>
      <c r="O40" s="581"/>
      <c r="P40" s="318"/>
      <c r="Q40" s="563"/>
      <c r="X40" s="570"/>
      <c r="Y40" s="570"/>
    </row>
    <row r="41" spans="1:25" s="709" customFormat="1" ht="66" customHeight="1" x14ac:dyDescent="0.3">
      <c r="A41" s="336">
        <f>'Unit Data from Audit Worksheet'!A47</f>
        <v>559</v>
      </c>
      <c r="B41" s="350" t="str">
        <f>'Unit Data from Audit Worksheet'!C47</f>
        <v>Mental Health-Balance Sheet - Non GAAP</v>
      </c>
      <c r="C41" s="335" t="str">
        <f>'Unit Data from Audit Worksheet'!D47</f>
        <v>All restricted cash and investments</v>
      </c>
      <c r="D41" s="110"/>
      <c r="E41" s="356">
        <f>'Unit Data from Audit Worksheet'!F47</f>
        <v>0</v>
      </c>
      <c r="F41" s="349"/>
      <c r="G41" s="351"/>
      <c r="H41" s="348"/>
      <c r="I41" s="711"/>
      <c r="J41" s="347">
        <v>559</v>
      </c>
      <c r="K41" s="710" t="s">
        <v>1034</v>
      </c>
      <c r="L41" s="573">
        <f t="shared" si="4"/>
        <v>0</v>
      </c>
      <c r="O41" s="581"/>
      <c r="P41" s="318"/>
      <c r="Q41" s="563"/>
      <c r="X41" s="570"/>
      <c r="Y41" s="570"/>
    </row>
    <row r="42" spans="1:25" s="709" customFormat="1" ht="124.5" customHeight="1" x14ac:dyDescent="0.3">
      <c r="A42" s="336">
        <f>'Unit Data from Audit Worksheet'!A48</f>
        <v>560</v>
      </c>
      <c r="B42" s="350" t="str">
        <f>'Unit Data from Audit Worksheet'!C48</f>
        <v>Mental Health-Balance Sheet - Non GAAP</v>
      </c>
      <c r="C42" s="335" t="str">
        <f>'Unit Data from Audit Worksheet'!D48</f>
        <v>Current Liabilities 
Exclude: all deferred inflows
                 current debt service payments
Include: Liabilities payable from restricted assets.</v>
      </c>
      <c r="D42" s="110"/>
      <c r="E42" s="356">
        <f>'Unit Data from Audit Worksheet'!F48</f>
        <v>0</v>
      </c>
      <c r="F42" s="349"/>
      <c r="G42" s="351"/>
      <c r="H42" s="348"/>
      <c r="I42" s="711"/>
      <c r="J42" s="347">
        <v>560</v>
      </c>
      <c r="K42" s="710" t="s">
        <v>1035</v>
      </c>
      <c r="L42" s="573">
        <f t="shared" si="4"/>
        <v>0</v>
      </c>
      <c r="O42" s="581"/>
      <c r="P42" s="318"/>
      <c r="Q42" s="563"/>
      <c r="X42" s="570"/>
      <c r="Y42" s="570"/>
    </row>
    <row r="43" spans="1:25" s="709" customFormat="1" ht="66" customHeight="1" x14ac:dyDescent="0.3">
      <c r="A43" s="336">
        <f>'Unit Data from Audit Worksheet'!A49</f>
        <v>561</v>
      </c>
      <c r="B43" s="350" t="str">
        <f>'Unit Data from Audit Worksheet'!C49</f>
        <v>Mental Health-Balance Sheet - Non GAAP</v>
      </c>
      <c r="C43" s="335" t="str">
        <f>'Unit Data from Audit Worksheet'!D49</f>
        <v xml:space="preserve">Mental Health Enterprise Fund Non GAAP deferred inflows or liabilities derived from cash receipts.   </v>
      </c>
      <c r="D43" s="110"/>
      <c r="E43" s="356">
        <f>'Unit Data from Audit Worksheet'!F49</f>
        <v>0</v>
      </c>
      <c r="F43" s="349"/>
      <c r="G43" s="351"/>
      <c r="H43" s="348"/>
      <c r="I43" s="711"/>
      <c r="J43" s="347">
        <v>561</v>
      </c>
      <c r="K43" s="710" t="s">
        <v>1036</v>
      </c>
      <c r="L43" s="573">
        <f t="shared" si="4"/>
        <v>0</v>
      </c>
      <c r="O43" s="581"/>
      <c r="P43" s="318"/>
      <c r="Q43" s="563"/>
      <c r="X43" s="570"/>
      <c r="Y43" s="570"/>
    </row>
    <row r="44" spans="1:25" s="709" customFormat="1" ht="137.25" customHeight="1" x14ac:dyDescent="0.3">
      <c r="A44" s="336">
        <f>'Unit Data from Audit Worksheet'!A50</f>
        <v>563</v>
      </c>
      <c r="B44" s="350" t="str">
        <f>'Unit Data from Audit Worksheet'!C50</f>
        <v>Mental Health-Balance Sheet - Non GAAP</v>
      </c>
      <c r="C44" s="335"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6">
        <f>'Unit Data from Audit Worksheet'!F50</f>
        <v>0</v>
      </c>
      <c r="F44" s="349"/>
      <c r="G44" s="351"/>
      <c r="H44" s="348"/>
      <c r="I44" s="711"/>
      <c r="J44" s="347">
        <v>563</v>
      </c>
      <c r="K44" s="710" t="s">
        <v>1037</v>
      </c>
      <c r="L44" s="573">
        <f t="shared" si="4"/>
        <v>0</v>
      </c>
      <c r="O44" s="581"/>
      <c r="P44" s="318"/>
      <c r="Q44" s="563"/>
      <c r="X44" s="570"/>
      <c r="Y44" s="570"/>
    </row>
    <row r="45" spans="1:25" s="709" customFormat="1" ht="66" customHeight="1" x14ac:dyDescent="0.3">
      <c r="A45" s="336">
        <f>'Unit Data from Audit Worksheet'!A51</f>
        <v>564</v>
      </c>
      <c r="B45" s="350" t="str">
        <f>'Unit Data from Audit Worksheet'!C51</f>
        <v>Mental Health Enterprise Fund Non GAAP-Rev, Exp. Change in Fund Balance</v>
      </c>
      <c r="C45" s="335" t="str">
        <f>'Unit Data from Audit Worksheet'!D51</f>
        <v>Total expenditures  
Exclude: expenditures in the ""other financing sources (uses)"" section.</v>
      </c>
      <c r="D45" s="110"/>
      <c r="E45" s="356">
        <f>'Unit Data from Audit Worksheet'!F51</f>
        <v>0</v>
      </c>
      <c r="F45" s="349"/>
      <c r="G45" s="351"/>
      <c r="H45" s="348"/>
      <c r="I45" s="711"/>
      <c r="J45" s="347">
        <v>564</v>
      </c>
      <c r="K45" s="710" t="s">
        <v>1038</v>
      </c>
      <c r="L45" s="573">
        <f t="shared" si="4"/>
        <v>0</v>
      </c>
      <c r="O45" s="581"/>
      <c r="P45" s="318"/>
      <c r="Q45" s="563"/>
      <c r="X45" s="570"/>
      <c r="Y45" s="570"/>
    </row>
    <row r="46" spans="1:25" s="709" customFormat="1" ht="66" customHeight="1" x14ac:dyDescent="0.3">
      <c r="A46" s="336">
        <f>'Unit Data from Audit Worksheet'!A52</f>
        <v>568</v>
      </c>
      <c r="B46" s="350" t="str">
        <f>'Unit Data from Audit Worksheet'!C52</f>
        <v>Mental Health Enterprise Fund Non GAAP-Rev, Exp. Change in Fund Balance</v>
      </c>
      <c r="C46" s="335" t="str">
        <f>'Unit Data from Audit Worksheet'!D52</f>
        <v>Total Proceeds from all long-term debt issuances 
Exclude: proceeds from refundings</v>
      </c>
      <c r="D46" s="110"/>
      <c r="E46" s="356">
        <f>'Unit Data from Audit Worksheet'!F52</f>
        <v>0</v>
      </c>
      <c r="F46" s="349"/>
      <c r="G46" s="351"/>
      <c r="H46" s="348"/>
      <c r="I46" s="711"/>
      <c r="J46" s="347">
        <v>568</v>
      </c>
      <c r="K46" s="710" t="s">
        <v>1039</v>
      </c>
      <c r="L46" s="573">
        <f t="shared" si="4"/>
        <v>0</v>
      </c>
      <c r="O46" s="581"/>
      <c r="P46" s="318"/>
      <c r="Q46" s="563"/>
      <c r="X46" s="570"/>
      <c r="Y46" s="570"/>
    </row>
    <row r="47" spans="1:25" s="713" customFormat="1" ht="66" customHeight="1" x14ac:dyDescent="0.3">
      <c r="A47" s="336">
        <f>'Unit Data from Audit Worksheet'!A53</f>
        <v>565</v>
      </c>
      <c r="B47" s="350" t="str">
        <f>'Unit Data from Audit Worksheet'!C53</f>
        <v>Mental Health Enterprise Fund Non GAAP-Rev, Exp. Change in Fund Balance</v>
      </c>
      <c r="C47" s="335" t="str">
        <f>'Unit Data from Audit Worksheet'!D53</f>
        <v>Debt Refunding - Net refunding proceeds against debt payoff and if negative place results on this line.</v>
      </c>
      <c r="D47" s="110"/>
      <c r="E47" s="356">
        <f>'Unit Data from Audit Worksheet'!F53</f>
        <v>0</v>
      </c>
      <c r="F47" s="349"/>
      <c r="G47" s="351"/>
      <c r="H47" s="348"/>
      <c r="I47" s="715"/>
      <c r="J47" s="347">
        <v>565</v>
      </c>
      <c r="K47" s="710" t="s">
        <v>1173</v>
      </c>
      <c r="L47" s="573">
        <f t="shared" si="4"/>
        <v>0</v>
      </c>
      <c r="O47" s="581"/>
      <c r="P47" s="318"/>
      <c r="Q47" s="563"/>
      <c r="X47" s="570"/>
      <c r="Y47" s="570"/>
    </row>
    <row r="48" spans="1:25" s="709" customFormat="1" ht="66" customHeight="1" x14ac:dyDescent="0.3">
      <c r="A48" s="336">
        <f>'Unit Data from Audit Worksheet'!A54</f>
        <v>566</v>
      </c>
      <c r="B48" s="350" t="str">
        <f>'Unit Data from Audit Worksheet'!C54</f>
        <v>Mental Health Enterprise Fund Non GAAP-Rev, Exp. Change in Fund Balance</v>
      </c>
      <c r="C48" s="335" t="str">
        <f>'Unit Data from Audit Worksheet'!D54</f>
        <v>Debt Refunding - Net refunding proceeds against debt payoff and if positive place results on this line.</v>
      </c>
      <c r="D48" s="110"/>
      <c r="E48" s="356">
        <f>'Unit Data from Audit Worksheet'!F54</f>
        <v>0</v>
      </c>
      <c r="F48" s="349"/>
      <c r="G48" s="351"/>
      <c r="H48" s="348"/>
      <c r="I48" s="711"/>
      <c r="J48" s="347">
        <v>566</v>
      </c>
      <c r="K48" s="710" t="s">
        <v>1040</v>
      </c>
      <c r="L48" s="573">
        <f t="shared" si="4"/>
        <v>0</v>
      </c>
      <c r="O48" s="581"/>
      <c r="P48" s="318"/>
      <c r="Q48" s="563"/>
      <c r="X48" s="570"/>
      <c r="Y48" s="570"/>
    </row>
    <row r="49" spans="1:25" s="709" customFormat="1" ht="66" customHeight="1" x14ac:dyDescent="0.3">
      <c r="A49" s="336">
        <f>'Unit Data from Audit Worksheet'!A55</f>
        <v>567</v>
      </c>
      <c r="B49" s="350" t="str">
        <f>'Unit Data from Audit Worksheet'!C55</f>
        <v>Mental Health Enterprise Fund Non GAAP-Rev, Exp. Change in Fund Balance</v>
      </c>
      <c r="C49" s="335" t="str">
        <f>'Unit Data from Audit Worksheet'!D55</f>
        <v>Total Transfers out    (Preference is that transfers-in  are not netted against transfers-out)</v>
      </c>
      <c r="D49" s="110"/>
      <c r="E49" s="356">
        <f>'Unit Data from Audit Worksheet'!F55</f>
        <v>0</v>
      </c>
      <c r="F49" s="349"/>
      <c r="G49" s="351"/>
      <c r="H49" s="348"/>
      <c r="I49" s="711"/>
      <c r="J49" s="347">
        <v>567</v>
      </c>
      <c r="K49" s="710" t="s">
        <v>1041</v>
      </c>
      <c r="L49" s="573">
        <f t="shared" si="4"/>
        <v>0</v>
      </c>
      <c r="O49" s="581"/>
      <c r="P49" s="318"/>
      <c r="Q49" s="563"/>
      <c r="X49" s="570"/>
      <c r="Y49" s="570"/>
    </row>
    <row r="50" spans="1:25" s="709" customFormat="1" ht="66" customHeight="1" x14ac:dyDescent="0.3">
      <c r="A50" s="336">
        <f>'Unit Data from Audit Worksheet'!A56</f>
        <v>562</v>
      </c>
      <c r="B50" s="350" t="str">
        <f>'Unit Data from Audit Worksheet'!C56</f>
        <v>Notes</v>
      </c>
      <c r="C50" s="335" t="str">
        <f>'Unit Data from Audit Worksheet'!D56</f>
        <v>Mental Health Enterprise Fund Non GAAP -  Total Encumbrances.  You will have to refer to the note disclosure where the amount of encumbrances is listed.</v>
      </c>
      <c r="D50" s="110"/>
      <c r="E50" s="356">
        <f>'Unit Data from Audit Worksheet'!F56</f>
        <v>0</v>
      </c>
      <c r="F50" s="349"/>
      <c r="G50" s="351"/>
      <c r="H50" s="348"/>
      <c r="I50" s="711"/>
      <c r="J50" s="347">
        <v>562</v>
      </c>
      <c r="K50" s="710" t="s">
        <v>1042</v>
      </c>
      <c r="L50" s="573">
        <f t="shared" si="4"/>
        <v>0</v>
      </c>
      <c r="O50" s="581"/>
      <c r="P50" s="318"/>
      <c r="Q50" s="563"/>
      <c r="X50" s="570"/>
      <c r="Y50" s="570"/>
    </row>
    <row r="51" spans="1:25" s="709" customFormat="1" ht="66" customHeight="1" x14ac:dyDescent="0.3">
      <c r="A51" s="336">
        <f>'Unit Data from Audit Worksheet'!A57</f>
        <v>569</v>
      </c>
      <c r="B51" s="350" t="str">
        <f>'Unit Data from Audit Worksheet'!C57</f>
        <v>Notes</v>
      </c>
      <c r="C51" s="335" t="str">
        <f>'Unit Data from Audit Worksheet'!D57</f>
        <v>Please enter the principal and interest due next fiscal year on existing borrowings.</v>
      </c>
      <c r="D51" s="110"/>
      <c r="E51" s="356">
        <f>'Unit Data from Audit Worksheet'!F57</f>
        <v>0</v>
      </c>
      <c r="F51" s="349"/>
      <c r="G51" s="351"/>
      <c r="H51" s="348"/>
      <c r="I51" s="711"/>
      <c r="J51" s="347">
        <v>569</v>
      </c>
      <c r="K51" s="710" t="s">
        <v>1043</v>
      </c>
      <c r="L51" s="573">
        <f t="shared" si="4"/>
        <v>0</v>
      </c>
      <c r="O51" s="581"/>
      <c r="P51" s="318"/>
      <c r="Q51" s="563"/>
      <c r="X51" s="570"/>
      <c r="Y51" s="570"/>
    </row>
    <row r="52" spans="1:25" ht="54" customHeight="1" x14ac:dyDescent="0.3">
      <c r="A52" s="336">
        <f>'Unit Data from Audit Worksheet'!A59</f>
        <v>506</v>
      </c>
      <c r="B52" s="53" t="str">
        <f>'Unit Data from Audit Worksheet'!C59</f>
        <v>General Fund-Balance Sheet</v>
      </c>
      <c r="C52" s="583"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48">
        <f>'Unit Data from Audit Worksheet'!I59</f>
        <v>0</v>
      </c>
      <c r="I52" s="38"/>
      <c r="J52" s="41">
        <v>506</v>
      </c>
      <c r="K52" s="346" t="s">
        <v>198</v>
      </c>
      <c r="L52" s="584">
        <f t="shared" ref="L52:L65" si="7">IF(D52="",E52,D52)</f>
        <v>0</v>
      </c>
      <c r="P52" s="318"/>
      <c r="W52" s="3" t="b">
        <f t="shared" si="6"/>
        <v>1</v>
      </c>
      <c r="X52" s="570">
        <f t="shared" si="1"/>
        <v>0</v>
      </c>
      <c r="Y52" s="570">
        <f t="shared" si="2"/>
        <v>0</v>
      </c>
    </row>
    <row r="53" spans="1:25" ht="45.75" customHeight="1" x14ac:dyDescent="0.3">
      <c r="A53" s="336">
        <f>'Unit Data from Audit Worksheet'!A60</f>
        <v>536</v>
      </c>
      <c r="B53" s="53" t="str">
        <f>'Unit Data from Audit Worksheet'!C60</f>
        <v>General Fund-Balance Sheet</v>
      </c>
      <c r="C53" s="583" t="str">
        <f>'Unit Data from Audit Worksheet'!D60</f>
        <v>All restricted cash and investments</v>
      </c>
      <c r="D53" s="110"/>
      <c r="E53" s="154">
        <f>'Unit Data from Audit Worksheet'!F60</f>
        <v>0</v>
      </c>
      <c r="F53" s="37">
        <f>IF(L53&lt;0,"Error: Number is normally positive.",)</f>
        <v>0</v>
      </c>
      <c r="G53" s="73"/>
      <c r="H53" s="348">
        <f>'Unit Data from Audit Worksheet'!I60</f>
        <v>0</v>
      </c>
      <c r="I53" s="38"/>
      <c r="J53" s="41">
        <v>536</v>
      </c>
      <c r="K53" s="346" t="s">
        <v>199</v>
      </c>
      <c r="L53" s="584">
        <f t="shared" si="7"/>
        <v>0</v>
      </c>
      <c r="P53" s="318"/>
      <c r="W53" s="3" t="b">
        <f t="shared" si="6"/>
        <v>1</v>
      </c>
      <c r="X53" s="570">
        <f t="shared" si="1"/>
        <v>0</v>
      </c>
      <c r="Y53" s="570">
        <f t="shared" si="2"/>
        <v>0</v>
      </c>
    </row>
    <row r="54" spans="1:25" ht="56.25" customHeight="1" x14ac:dyDescent="0.3">
      <c r="A54" s="336">
        <f>'Unit Data from Audit Worksheet'!A61</f>
        <v>586</v>
      </c>
      <c r="B54" s="350" t="str">
        <f>'Unit Data from Audit Worksheet'!C61</f>
        <v>General Fund-Balance Sheet</v>
      </c>
      <c r="C54" s="335" t="str">
        <f>'Unit Data from Audit Worksheet'!D61</f>
        <v>Advance To: Interfund loan receivable-portion of repayment plan longer than 12 months</v>
      </c>
      <c r="D54" s="144"/>
      <c r="E54" s="356">
        <f>'Unit Data from Audit Worksheet'!F61</f>
        <v>0</v>
      </c>
      <c r="F54" s="349"/>
      <c r="G54" s="351"/>
      <c r="H54" s="348"/>
      <c r="I54" s="38"/>
      <c r="J54" s="347">
        <v>586</v>
      </c>
      <c r="K54" s="335" t="s">
        <v>335</v>
      </c>
      <c r="L54" s="573">
        <f t="shared" si="7"/>
        <v>0</v>
      </c>
      <c r="P54" s="318"/>
      <c r="W54" s="3" t="b">
        <f t="shared" si="6"/>
        <v>1</v>
      </c>
      <c r="X54" s="570">
        <f t="shared" si="1"/>
        <v>0</v>
      </c>
      <c r="Y54" s="570">
        <f t="shared" si="2"/>
        <v>0</v>
      </c>
    </row>
    <row r="55" spans="1:25" ht="28.8" x14ac:dyDescent="0.3">
      <c r="A55" s="336">
        <f>'Unit Data from Audit Worksheet'!A62</f>
        <v>379</v>
      </c>
      <c r="B55" s="350" t="str">
        <f>'Unit Data from Audit Worksheet'!C62</f>
        <v>General Fund-Balance Sheet</v>
      </c>
      <c r="C55" s="335" t="str">
        <f>'Unit Data from Audit Worksheet'!D62</f>
        <v>Total Assets and deferred outflows</v>
      </c>
      <c r="D55" s="144"/>
      <c r="E55" s="356">
        <f>'Unit Data from Audit Worksheet'!F62</f>
        <v>0</v>
      </c>
      <c r="F55" s="84">
        <f>IF((L52+L53)&gt;L55,"Error: Please review accts (506+536)&gt;379",)</f>
        <v>0</v>
      </c>
      <c r="G55" s="351" t="str">
        <f>IF(Q55=1," Included in error count"," ")</f>
        <v xml:space="preserve"> </v>
      </c>
      <c r="H55" s="348">
        <f>'Unit Data from Audit Worksheet'!I62</f>
        <v>0</v>
      </c>
      <c r="I55" s="38"/>
      <c r="J55" s="347">
        <v>379</v>
      </c>
      <c r="K55" s="346" t="s">
        <v>118</v>
      </c>
      <c r="L55" s="573">
        <f t="shared" si="7"/>
        <v>0</v>
      </c>
      <c r="P55" s="318"/>
      <c r="Q55" s="563">
        <f>IF(L52+L53&gt;L55,1,0)</f>
        <v>0</v>
      </c>
      <c r="W55" s="3" t="b">
        <f t="shared" si="6"/>
        <v>1</v>
      </c>
      <c r="X55" s="570">
        <f t="shared" si="1"/>
        <v>0</v>
      </c>
      <c r="Y55" s="570">
        <f t="shared" si="2"/>
        <v>0</v>
      </c>
    </row>
    <row r="56" spans="1:25" ht="106.5" customHeight="1" x14ac:dyDescent="0.3">
      <c r="A56" s="336">
        <f>'Unit Data from Audit Worksheet'!A63</f>
        <v>368</v>
      </c>
      <c r="B56" s="350" t="str">
        <f>'Unit Data from Audit Worksheet'!C63</f>
        <v>General Fund-Balance Sheet</v>
      </c>
      <c r="C56" s="335"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6">
        <f>'Unit Data from Audit Worksheet'!F63</f>
        <v>0</v>
      </c>
      <c r="F56" s="349">
        <f>IF(L56&lt;0,"Error: Enter as a positive.",)</f>
        <v>0</v>
      </c>
      <c r="G56" s="351"/>
      <c r="H56" s="348">
        <f>'Unit Data from Audit Worksheet'!I63</f>
        <v>0</v>
      </c>
      <c r="I56" s="38"/>
      <c r="J56" s="347">
        <v>368</v>
      </c>
      <c r="K56" s="346" t="s">
        <v>200</v>
      </c>
      <c r="L56" s="573">
        <f t="shared" si="7"/>
        <v>0</v>
      </c>
      <c r="P56" s="318"/>
      <c r="W56" s="3" t="b">
        <f t="shared" si="6"/>
        <v>1</v>
      </c>
      <c r="X56" s="570">
        <f t="shared" si="1"/>
        <v>0</v>
      </c>
      <c r="Y56" s="570">
        <f t="shared" si="2"/>
        <v>0</v>
      </c>
    </row>
    <row r="57" spans="1:25" ht="90.75" customHeight="1" x14ac:dyDescent="0.3">
      <c r="A57" s="336">
        <f>'Unit Data from Audit Worksheet'!A64</f>
        <v>4</v>
      </c>
      <c r="B57" s="53" t="str">
        <f>'Unit Data from Audit Worksheet'!C64</f>
        <v>General Fund-Balance Sheet</v>
      </c>
      <c r="C57" s="583"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48">
        <f>'Unit Data from Audit Worksheet'!I64</f>
        <v>0</v>
      </c>
      <c r="I57" s="38"/>
      <c r="J57" s="41">
        <v>4</v>
      </c>
      <c r="K57" s="346" t="s">
        <v>119</v>
      </c>
      <c r="L57" s="584">
        <f t="shared" si="7"/>
        <v>0</v>
      </c>
      <c r="P57" s="318"/>
      <c r="W57" s="3" t="b">
        <f t="shared" si="6"/>
        <v>1</v>
      </c>
      <c r="X57" s="570">
        <f t="shared" si="1"/>
        <v>0</v>
      </c>
      <c r="Y57" s="570">
        <f t="shared" si="2"/>
        <v>0</v>
      </c>
    </row>
    <row r="58" spans="1:25" ht="131.25" customHeight="1" x14ac:dyDescent="0.3">
      <c r="A58" s="336">
        <f>'Unit Data from Audit Worksheet'!A65</f>
        <v>5</v>
      </c>
      <c r="B58" s="53" t="str">
        <f>'Unit Data from Audit Worksheet'!C65</f>
        <v>General Fund-Balance Sheet</v>
      </c>
      <c r="C58" s="583"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48">
        <f>'Unit Data from Audit Worksheet'!I65</f>
        <v>0</v>
      </c>
      <c r="I58" s="38"/>
      <c r="J58" s="41">
        <v>5</v>
      </c>
      <c r="K58" s="346" t="s">
        <v>120</v>
      </c>
      <c r="L58" s="584">
        <f t="shared" si="7"/>
        <v>0</v>
      </c>
      <c r="P58" s="318"/>
      <c r="W58" s="3" t="b">
        <f t="shared" si="6"/>
        <v>1</v>
      </c>
      <c r="X58" s="570">
        <f t="shared" si="1"/>
        <v>0</v>
      </c>
      <c r="Y58" s="570">
        <f t="shared" si="2"/>
        <v>0</v>
      </c>
    </row>
    <row r="59" spans="1:25" ht="104.25" customHeight="1" x14ac:dyDescent="0.3">
      <c r="A59" s="336">
        <f>'Unit Data from Audit Worksheet'!A66</f>
        <v>380</v>
      </c>
      <c r="B59" s="350" t="str">
        <f>'Unit Data from Audit Worksheet'!C66</f>
        <v>General Fund-Balance Sheet</v>
      </c>
      <c r="C59" s="335"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6">
        <f>'Unit Data from Audit Worksheet'!F66</f>
        <v>0</v>
      </c>
      <c r="F59" s="349">
        <f t="shared" si="8"/>
        <v>0</v>
      </c>
      <c r="G59" s="351"/>
      <c r="H59" s="348">
        <f>'Unit Data from Audit Worksheet'!I66</f>
        <v>0</v>
      </c>
      <c r="I59" s="38"/>
      <c r="J59" s="347">
        <v>380</v>
      </c>
      <c r="K59" s="346" t="s">
        <v>121</v>
      </c>
      <c r="L59" s="573">
        <f t="shared" si="7"/>
        <v>0</v>
      </c>
      <c r="P59" s="318"/>
      <c r="W59" s="3" t="b">
        <f t="shared" si="6"/>
        <v>1</v>
      </c>
      <c r="X59" s="570">
        <f t="shared" si="1"/>
        <v>0</v>
      </c>
      <c r="Y59" s="570">
        <f t="shared" si="2"/>
        <v>0</v>
      </c>
    </row>
    <row r="60" spans="1:25" ht="41.25" customHeight="1" x14ac:dyDescent="0.3">
      <c r="A60" s="336">
        <f>'Unit Data from Audit Worksheet'!A67</f>
        <v>391</v>
      </c>
      <c r="B60" s="350" t="str">
        <f>'Unit Data from Audit Worksheet'!C67</f>
        <v>General Fund-Balance Sheet</v>
      </c>
      <c r="C60" s="335" t="str">
        <f>'Unit Data from Audit Worksheet'!D67</f>
        <v xml:space="preserve">Fund balance, Restricted for Stabilization by State Statute </v>
      </c>
      <c r="D60" s="144"/>
      <c r="E60" s="356">
        <f>'Unit Data from Audit Worksheet'!F67</f>
        <v>0</v>
      </c>
      <c r="F60" s="349">
        <f t="shared" si="8"/>
        <v>0</v>
      </c>
      <c r="G60" s="351"/>
      <c r="H60" s="348">
        <f>'Unit Data from Audit Worksheet'!I67</f>
        <v>0</v>
      </c>
      <c r="I60" s="38"/>
      <c r="J60" s="347">
        <v>391</v>
      </c>
      <c r="K60" s="346" t="s">
        <v>201</v>
      </c>
      <c r="L60" s="573">
        <f t="shared" si="7"/>
        <v>0</v>
      </c>
      <c r="P60" s="318"/>
      <c r="W60" s="3" t="b">
        <f t="shared" si="6"/>
        <v>1</v>
      </c>
      <c r="X60" s="570">
        <f t="shared" si="1"/>
        <v>0</v>
      </c>
      <c r="Y60" s="570">
        <f t="shared" si="2"/>
        <v>0</v>
      </c>
    </row>
    <row r="61" spans="1:25" ht="28.8" x14ac:dyDescent="0.3">
      <c r="A61" s="336">
        <f>'Unit Data from Audit Worksheet'!A68</f>
        <v>7</v>
      </c>
      <c r="B61" s="53" t="str">
        <f>'Unit Data from Audit Worksheet'!C68</f>
        <v>General Fund-Balance Sheet</v>
      </c>
      <c r="C61" s="583" t="str">
        <f>'Unit Data from Audit Worksheet'!D68</f>
        <v>Fund balance, Nonspendable-  inventory/prepaids/etc.</v>
      </c>
      <c r="D61" s="144"/>
      <c r="E61" s="154">
        <f>'Unit Data from Audit Worksheet'!F68</f>
        <v>0</v>
      </c>
      <c r="F61" s="37">
        <f t="shared" si="8"/>
        <v>0</v>
      </c>
      <c r="G61" s="73"/>
      <c r="H61" s="348">
        <f>'Unit Data from Audit Worksheet'!I68</f>
        <v>0</v>
      </c>
      <c r="I61" s="38"/>
      <c r="J61" s="41">
        <v>7</v>
      </c>
      <c r="K61" s="346" t="s">
        <v>202</v>
      </c>
      <c r="L61" s="584">
        <f t="shared" si="7"/>
        <v>0</v>
      </c>
      <c r="P61" s="318"/>
      <c r="W61" s="3" t="b">
        <f t="shared" si="6"/>
        <v>1</v>
      </c>
      <c r="X61" s="570">
        <f t="shared" si="1"/>
        <v>0</v>
      </c>
      <c r="Y61" s="570">
        <f t="shared" si="2"/>
        <v>0</v>
      </c>
    </row>
    <row r="62" spans="1:25" ht="89.25" customHeight="1" x14ac:dyDescent="0.3">
      <c r="A62" s="585">
        <f>'Unit Data from Audit Worksheet'!A69</f>
        <v>11</v>
      </c>
      <c r="B62" s="117" t="str">
        <f>'Unit Data from Audit Worksheet'!C69</f>
        <v>General Fund-Balance Sheet</v>
      </c>
      <c r="C62" s="575"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73">
        <f t="shared" si="7"/>
        <v>0</v>
      </c>
      <c r="P62" s="319"/>
      <c r="W62" s="3" t="b">
        <f t="shared" si="6"/>
        <v>1</v>
      </c>
      <c r="X62" s="570">
        <f t="shared" si="1"/>
        <v>0</v>
      </c>
      <c r="Y62" s="570">
        <f t="shared" si="2"/>
        <v>0</v>
      </c>
    </row>
    <row r="63" spans="1:25" s="18" customFormat="1" ht="48.75" customHeight="1" x14ac:dyDescent="0.3">
      <c r="A63" s="308">
        <f>'Unit Data from Audit Worksheet'!A70</f>
        <v>645</v>
      </c>
      <c r="B63" s="363" t="str">
        <f>'Unit Data from Audit Worksheet'!C70</f>
        <v>General Fund-Balance Sheet</v>
      </c>
      <c r="C63" s="308" t="str">
        <f>'Unit Data from Audit Worksheet'!D70</f>
        <v>Fund balance, Assigned (total of all assigned components)</v>
      </c>
      <c r="D63" s="116"/>
      <c r="E63" s="362">
        <f>'Unit Data from Audit Worksheet'!F70</f>
        <v>0</v>
      </c>
      <c r="F63" s="344">
        <f>IF(L63&lt;0,"Error: Enter as a positive.",)</f>
        <v>0</v>
      </c>
      <c r="G63" s="329"/>
      <c r="H63" s="344">
        <f>'Unit Data from Audit Worksheet'!I70</f>
        <v>0</v>
      </c>
      <c r="I63" s="586"/>
      <c r="J63" s="343">
        <v>645</v>
      </c>
      <c r="K63" s="308" t="s">
        <v>434</v>
      </c>
      <c r="L63" s="587">
        <f t="shared" si="7"/>
        <v>0</v>
      </c>
      <c r="M63" s="577"/>
      <c r="N63" s="577"/>
      <c r="O63" s="577"/>
      <c r="P63" s="320"/>
      <c r="Q63" s="578"/>
      <c r="R63" s="3"/>
      <c r="S63" s="577"/>
      <c r="T63" s="577"/>
      <c r="U63" s="577"/>
      <c r="V63" s="577"/>
      <c r="W63" s="18" t="b">
        <f t="shared" si="6"/>
        <v>1</v>
      </c>
      <c r="X63" s="579">
        <f t="shared" si="1"/>
        <v>0</v>
      </c>
      <c r="Y63" s="579">
        <f t="shared" si="2"/>
        <v>0</v>
      </c>
    </row>
    <row r="64" spans="1:25" s="18" customFormat="1" ht="45.75" customHeight="1" x14ac:dyDescent="0.3">
      <c r="A64" s="308">
        <f>'Unit Data from Audit Worksheet'!A71</f>
        <v>646</v>
      </c>
      <c r="B64" s="363" t="str">
        <f>'Unit Data from Audit Worksheet'!C71</f>
        <v>General Fund-Balance Sheet</v>
      </c>
      <c r="C64" s="308" t="str">
        <f>'Unit Data from Audit Worksheet'!D71</f>
        <v>Fund Balance, Unassigned</v>
      </c>
      <c r="D64" s="116"/>
      <c r="E64" s="362">
        <f>'Unit Data from Audit Worksheet'!F71</f>
        <v>0</v>
      </c>
      <c r="F64" s="344">
        <f>IF(L64&lt;0,"Error: Enter as a positive.",)</f>
        <v>0</v>
      </c>
      <c r="G64" s="329"/>
      <c r="H64" s="344">
        <f>'Unit Data from Audit Worksheet'!I71</f>
        <v>0</v>
      </c>
      <c r="I64" s="586"/>
      <c r="J64" s="343">
        <v>646</v>
      </c>
      <c r="K64" s="308" t="s">
        <v>435</v>
      </c>
      <c r="L64" s="587">
        <f t="shared" si="7"/>
        <v>0</v>
      </c>
      <c r="M64" s="577"/>
      <c r="N64" s="577"/>
      <c r="O64" s="577"/>
      <c r="P64" s="320"/>
      <c r="Q64" s="578"/>
      <c r="R64" s="3"/>
      <c r="S64" s="577"/>
      <c r="T64" s="577"/>
      <c r="U64" s="577"/>
      <c r="V64" s="577"/>
      <c r="W64" s="18" t="b">
        <f t="shared" si="6"/>
        <v>1</v>
      </c>
      <c r="X64" s="579">
        <f t="shared" si="1"/>
        <v>0</v>
      </c>
      <c r="Y64" s="579">
        <f t="shared" si="2"/>
        <v>0</v>
      </c>
    </row>
    <row r="65" spans="1:27" ht="55.5" customHeight="1" x14ac:dyDescent="0.3">
      <c r="A65" s="571">
        <f>'Unit Data from Audit Worksheet'!A72</f>
        <v>9</v>
      </c>
      <c r="B65" s="118" t="str">
        <f>'Unit Data from Audit Worksheet'!C72</f>
        <v>General Fund-Balance Sheet</v>
      </c>
      <c r="C65" s="588"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48">
        <f>'Unit Data from Audit Worksheet'!I72</f>
        <v>0</v>
      </c>
      <c r="I65" s="38"/>
      <c r="J65" s="121">
        <v>9</v>
      </c>
      <c r="K65" s="51" t="s">
        <v>204</v>
      </c>
      <c r="L65" s="584">
        <f t="shared" si="7"/>
        <v>0</v>
      </c>
      <c r="O65" s="581" t="e">
        <f>'Unit Data from Audit Worksheet'!E72</f>
        <v>#N/A</v>
      </c>
      <c r="P65" s="317"/>
      <c r="Q65" s="563">
        <f>IF(G65&lt;&gt;0,1,0)</f>
        <v>0</v>
      </c>
      <c r="W65" s="3" t="b">
        <f t="shared" si="6"/>
        <v>1</v>
      </c>
      <c r="X65" s="570">
        <f t="shared" si="1"/>
        <v>0</v>
      </c>
      <c r="Y65" s="570">
        <f t="shared" si="2"/>
        <v>0</v>
      </c>
    </row>
    <row r="66" spans="1:27" s="18" customFormat="1" ht="73.5" customHeight="1" x14ac:dyDescent="0.3">
      <c r="A66" s="336">
        <f>'Unit Data from Audit Worksheet'!A73</f>
        <v>540</v>
      </c>
      <c r="B66" s="350" t="str">
        <f>'Unit Data from Audit Worksheet'!C73</f>
        <v>General Fund - Budget Actual Statement</v>
      </c>
      <c r="C66" s="335" t="str">
        <f>'Unit Data from Audit Worksheet'!D73</f>
        <v>Amount of the General Fund Balance appropriated in next year's budget. As reported on the General Fund Balance Sheet.</v>
      </c>
      <c r="D66" s="144"/>
      <c r="E66" s="356">
        <f>'Unit Data from Audit Worksheet'!F73</f>
        <v>0</v>
      </c>
      <c r="F66" s="349">
        <f t="shared" si="8"/>
        <v>0</v>
      </c>
      <c r="G66" s="351"/>
      <c r="H66" s="348">
        <f>'Unit Data from Audit Worksheet'!I73</f>
        <v>0</v>
      </c>
      <c r="I66" s="38"/>
      <c r="J66" s="347">
        <v>540</v>
      </c>
      <c r="K66" s="346" t="s">
        <v>263</v>
      </c>
      <c r="L66" s="573">
        <f t="shared" ref="L66:L123" si="9">IF(D66="",E66,D66)</f>
        <v>0</v>
      </c>
      <c r="P66" s="318"/>
      <c r="Q66" s="563"/>
      <c r="R66" s="3"/>
      <c r="W66" s="3" t="b">
        <f t="shared" si="6"/>
        <v>1</v>
      </c>
      <c r="X66" s="570">
        <f t="shared" si="1"/>
        <v>0</v>
      </c>
      <c r="Y66" s="570">
        <f t="shared" si="2"/>
        <v>0</v>
      </c>
      <c r="AA66" s="3"/>
    </row>
    <row r="67" spans="1:27" s="18" customFormat="1" ht="73.5" customHeight="1" x14ac:dyDescent="0.3">
      <c r="A67" s="589">
        <f>'Unit Data from Audit Worksheet'!A75</f>
        <v>984</v>
      </c>
      <c r="B67" s="354" t="str">
        <f>'Unit Data from Audit Worksheet'!C75</f>
        <v>General Fund - Budget Actual Statement</v>
      </c>
      <c r="C67" s="590" t="str">
        <f>'Unit Data from Audit Worksheet'!D75</f>
        <v>Amount of Ad valorem tax collected (including motor vehicle and prior years) reported on budget actual statement</v>
      </c>
      <c r="D67" s="144"/>
      <c r="E67" s="357">
        <f>'Unit Data from Audit Worksheet'!F75</f>
        <v>0</v>
      </c>
      <c r="F67" s="349"/>
      <c r="G67" s="351"/>
      <c r="H67" s="348"/>
      <c r="I67" s="38"/>
      <c r="J67" s="365">
        <v>984</v>
      </c>
      <c r="K67" s="126" t="s">
        <v>756</v>
      </c>
      <c r="L67" s="591">
        <f t="shared" si="9"/>
        <v>0</v>
      </c>
      <c r="P67" s="318"/>
      <c r="Q67" s="563"/>
      <c r="R67" s="3"/>
      <c r="W67" s="3"/>
      <c r="X67" s="570"/>
      <c r="Y67" s="570"/>
      <c r="AA67" s="3"/>
    </row>
    <row r="68" spans="1:27" s="18" customFormat="1" ht="73.5" customHeight="1" x14ac:dyDescent="0.3">
      <c r="A68" s="589">
        <f>'Unit Data from Audit Worksheet'!A76</f>
        <v>985</v>
      </c>
      <c r="B68" s="354" t="str">
        <f>'Unit Data from Audit Worksheet'!C76</f>
        <v>General Fund - Budget Actual Statement</v>
      </c>
      <c r="C68" s="590" t="str">
        <f>'Unit Data from Audit Worksheet'!D76</f>
        <v>Amount of Ad valorem tax budgeted (including motor vehicle and prior years) reported on budget actual statement</v>
      </c>
      <c r="D68" s="144"/>
      <c r="E68" s="357">
        <f>'Unit Data from Audit Worksheet'!F76</f>
        <v>0</v>
      </c>
      <c r="F68" s="349"/>
      <c r="G68" s="351"/>
      <c r="H68" s="348"/>
      <c r="I68" s="38"/>
      <c r="J68" s="365">
        <v>985</v>
      </c>
      <c r="K68" s="126" t="s">
        <v>757</v>
      </c>
      <c r="L68" s="591">
        <f t="shared" si="9"/>
        <v>0</v>
      </c>
      <c r="P68" s="318"/>
      <c r="Q68" s="563"/>
      <c r="R68" s="3"/>
      <c r="W68" s="3"/>
      <c r="X68" s="570"/>
      <c r="Y68" s="570"/>
      <c r="AA68" s="3"/>
    </row>
    <row r="69" spans="1:27" ht="73.5" customHeight="1" x14ac:dyDescent="0.3">
      <c r="A69" s="336">
        <f>'Unit Data from Audit Worksheet'!A77</f>
        <v>369</v>
      </c>
      <c r="B69" s="350" t="str">
        <f>'Unit Data from Audit Worksheet'!C77</f>
        <v>General Fund-Rev, Exp. Change in Fund Balance</v>
      </c>
      <c r="C69" s="335" t="str">
        <f>'Unit Data from Audit Worksheet'!D77</f>
        <v>Total Intergovernmental revenue 
Include restricted and unrestricted revenues</v>
      </c>
      <c r="D69" s="144"/>
      <c r="E69" s="356">
        <f>'Unit Data from Audit Worksheet'!F77</f>
        <v>0</v>
      </c>
      <c r="F69" s="349"/>
      <c r="G69" s="351"/>
      <c r="H69" s="348">
        <f>'Unit Data from Audit Worksheet'!I77</f>
        <v>0</v>
      </c>
      <c r="I69" s="38"/>
      <c r="J69" s="347">
        <v>369</v>
      </c>
      <c r="K69" s="346" t="s">
        <v>205</v>
      </c>
      <c r="L69" s="573">
        <f t="shared" si="9"/>
        <v>0</v>
      </c>
      <c r="P69" s="318"/>
      <c r="W69" s="3" t="b">
        <f t="shared" ref="W69:W132" si="10">EXACT(A69,J69)</f>
        <v>1</v>
      </c>
      <c r="X69" s="570">
        <f t="shared" si="1"/>
        <v>0</v>
      </c>
      <c r="Y69" s="570">
        <f t="shared" si="2"/>
        <v>0</v>
      </c>
    </row>
    <row r="70" spans="1:27" ht="73.5" customHeight="1" x14ac:dyDescent="0.3">
      <c r="A70" s="336">
        <f>'Unit Data from Audit Worksheet'!A78</f>
        <v>16</v>
      </c>
      <c r="B70" s="350" t="str">
        <f>'Unit Data from Audit Worksheet'!C78</f>
        <v>General Fund-Rev, Exp. Change in Fund Balance</v>
      </c>
      <c r="C70" s="335" t="str">
        <f>'Unit Data from Audit Worksheet'!D78</f>
        <v>Total revenues</v>
      </c>
      <c r="D70" s="144"/>
      <c r="E70" s="356">
        <f>'Unit Data from Audit Worksheet'!F78</f>
        <v>0</v>
      </c>
      <c r="F70" s="349"/>
      <c r="G70" s="351"/>
      <c r="H70" s="348">
        <f>'Unit Data from Audit Worksheet'!I78</f>
        <v>0</v>
      </c>
      <c r="I70" s="38"/>
      <c r="J70" s="347">
        <v>16</v>
      </c>
      <c r="K70" s="346" t="s">
        <v>206</v>
      </c>
      <c r="L70" s="573">
        <f t="shared" si="9"/>
        <v>0</v>
      </c>
      <c r="P70" s="318"/>
      <c r="W70" s="3" t="b">
        <f t="shared" si="10"/>
        <v>1</v>
      </c>
      <c r="X70" s="570">
        <f t="shared" si="1"/>
        <v>0</v>
      </c>
      <c r="Y70" s="570">
        <f t="shared" si="2"/>
        <v>0</v>
      </c>
    </row>
    <row r="71" spans="1:27" ht="73.5" customHeight="1" x14ac:dyDescent="0.3">
      <c r="A71" s="336">
        <f>'Unit Data from Audit Worksheet'!A79</f>
        <v>370</v>
      </c>
      <c r="B71" s="350" t="str">
        <f>'Unit Data from Audit Worksheet'!C79</f>
        <v>General Fund-Rev, Exp. Change in Fund Balance</v>
      </c>
      <c r="C71" s="335" t="str">
        <f>'Unit Data from Audit Worksheet'!D79</f>
        <v>Debt service expenditures. 
Include principal, interest paid, and bond/debt issuance costs on long-term debt</v>
      </c>
      <c r="D71" s="144"/>
      <c r="E71" s="356">
        <f>'Unit Data from Audit Worksheet'!F79</f>
        <v>0</v>
      </c>
      <c r="F71" s="349">
        <f t="shared" ref="F71:F77" si="11">IF(L71&lt;0,"Error: Enter as a positive.",)</f>
        <v>0</v>
      </c>
      <c r="G71" s="351"/>
      <c r="H71" s="348">
        <f>'Unit Data from Audit Worksheet'!I79</f>
        <v>0</v>
      </c>
      <c r="I71" s="38"/>
      <c r="J71" s="347">
        <v>370</v>
      </c>
      <c r="K71" s="346" t="s">
        <v>207</v>
      </c>
      <c r="L71" s="573">
        <f t="shared" si="9"/>
        <v>0</v>
      </c>
      <c r="P71" s="318"/>
      <c r="W71" s="3" t="b">
        <f t="shared" si="10"/>
        <v>1</v>
      </c>
      <c r="X71" s="570">
        <f t="shared" si="1"/>
        <v>0</v>
      </c>
      <c r="Y71" s="570">
        <f t="shared" si="2"/>
        <v>0</v>
      </c>
    </row>
    <row r="72" spans="1:27" ht="73.5" customHeight="1" x14ac:dyDescent="0.3">
      <c r="A72" s="336">
        <f>'Unit Data from Audit Worksheet'!A80</f>
        <v>532</v>
      </c>
      <c r="B72" s="350" t="str">
        <f>'Unit Data from Audit Worksheet'!C80</f>
        <v>General Fund-Rev, Exp. Change in Fund Balance</v>
      </c>
      <c r="C72" s="335" t="str">
        <f>'Unit Data from Audit Worksheet'!D80</f>
        <v xml:space="preserve">Total expenditures  
Exclude expenditures in the "other financing sources (uses)" section.
</v>
      </c>
      <c r="D72" s="144"/>
      <c r="E72" s="356">
        <f>'Unit Data from Audit Worksheet'!F80</f>
        <v>0</v>
      </c>
      <c r="F72" s="349">
        <f t="shared" si="11"/>
        <v>0</v>
      </c>
      <c r="G72" s="351"/>
      <c r="H72" s="348">
        <f>'Unit Data from Audit Worksheet'!I80</f>
        <v>0</v>
      </c>
      <c r="I72" s="38"/>
      <c r="J72" s="347">
        <v>532</v>
      </c>
      <c r="K72" s="592" t="s">
        <v>208</v>
      </c>
      <c r="L72" s="573">
        <f t="shared" si="9"/>
        <v>0</v>
      </c>
      <c r="P72" s="318"/>
      <c r="W72" s="3" t="b">
        <f t="shared" si="10"/>
        <v>1</v>
      </c>
      <c r="X72" s="570">
        <f t="shared" si="1"/>
        <v>0</v>
      </c>
      <c r="Y72" s="570">
        <f t="shared" si="2"/>
        <v>0</v>
      </c>
    </row>
    <row r="73" spans="1:27" ht="73.5" customHeight="1" x14ac:dyDescent="0.3">
      <c r="A73" s="336">
        <f>'Unit Data from Audit Worksheet'!A81</f>
        <v>17</v>
      </c>
      <c r="B73" s="350" t="str">
        <f>'Unit Data from Audit Worksheet'!C81</f>
        <v>General Fund-Rev, Exp. Change in Fund Balance</v>
      </c>
      <c r="C73" s="335" t="str">
        <f>'Unit Data from Audit Worksheet'!D81</f>
        <v>Total Transfers in    (Preference is that transfers-in  are not netted against transfers-out)</v>
      </c>
      <c r="D73" s="144"/>
      <c r="E73" s="356">
        <f>'Unit Data from Audit Worksheet'!F81</f>
        <v>0</v>
      </c>
      <c r="F73" s="349">
        <f t="shared" si="11"/>
        <v>0</v>
      </c>
      <c r="G73" s="351"/>
      <c r="H73" s="348">
        <f>'Unit Data from Audit Worksheet'!I81</f>
        <v>0</v>
      </c>
      <c r="I73" s="38"/>
      <c r="J73" s="347">
        <v>17</v>
      </c>
      <c r="K73" s="346" t="s">
        <v>209</v>
      </c>
      <c r="L73" s="573">
        <f t="shared" si="9"/>
        <v>0</v>
      </c>
      <c r="P73" s="318"/>
      <c r="W73" s="3" t="b">
        <f t="shared" si="10"/>
        <v>1</v>
      </c>
      <c r="X73" s="570">
        <f t="shared" si="1"/>
        <v>0</v>
      </c>
      <c r="Y73" s="570">
        <f t="shared" si="2"/>
        <v>0</v>
      </c>
    </row>
    <row r="74" spans="1:27" ht="54.75" customHeight="1" x14ac:dyDescent="0.3">
      <c r="A74" s="336">
        <f>'Unit Data from Audit Worksheet'!A82</f>
        <v>20</v>
      </c>
      <c r="B74" s="350" t="str">
        <f>'Unit Data from Audit Worksheet'!C82</f>
        <v>General Fund-Rev, Exp. Change in Fund Balance</v>
      </c>
      <c r="C74" s="335" t="str">
        <f>'Unit Data from Audit Worksheet'!D82</f>
        <v>Total Transfers out    (Preference is that transfers-in  are not netted against transfers-out)</v>
      </c>
      <c r="D74" s="144"/>
      <c r="E74" s="356">
        <f>'Unit Data from Audit Worksheet'!F82</f>
        <v>0</v>
      </c>
      <c r="F74" s="349">
        <f t="shared" si="11"/>
        <v>0</v>
      </c>
      <c r="G74" s="351"/>
      <c r="H74" s="348">
        <f>'Unit Data from Audit Worksheet'!I82</f>
        <v>0</v>
      </c>
      <c r="I74" s="38"/>
      <c r="J74" s="347">
        <v>20</v>
      </c>
      <c r="K74" s="346" t="s">
        <v>210</v>
      </c>
      <c r="L74" s="573">
        <f t="shared" si="9"/>
        <v>0</v>
      </c>
      <c r="P74" s="318"/>
      <c r="W74" s="3" t="b">
        <f t="shared" si="10"/>
        <v>1</v>
      </c>
      <c r="X74" s="570">
        <f t="shared" si="1"/>
        <v>0</v>
      </c>
      <c r="Y74" s="570">
        <f t="shared" si="2"/>
        <v>0</v>
      </c>
    </row>
    <row r="75" spans="1:27" ht="54.75" customHeight="1" x14ac:dyDescent="0.3">
      <c r="A75" s="336">
        <f>'Unit Data from Audit Worksheet'!A83</f>
        <v>533</v>
      </c>
      <c r="B75" s="350" t="str">
        <f>'Unit Data from Audit Worksheet'!C83</f>
        <v>General Fund-Rev, Exp. Change in Fund Balance</v>
      </c>
      <c r="C75" s="335" t="str">
        <f>'Unit Data from Audit Worksheet'!D83</f>
        <v>Total Proceeds from all long-term debt issuances 
Exclude proceeds from refundings</v>
      </c>
      <c r="D75" s="144"/>
      <c r="E75" s="356">
        <f>'Unit Data from Audit Worksheet'!F83</f>
        <v>0</v>
      </c>
      <c r="F75" s="349">
        <f t="shared" si="11"/>
        <v>0</v>
      </c>
      <c r="G75" s="351"/>
      <c r="H75" s="348">
        <f>'Unit Data from Audit Worksheet'!I83</f>
        <v>0</v>
      </c>
      <c r="I75" s="38"/>
      <c r="J75" s="347">
        <v>533</v>
      </c>
      <c r="K75" s="592" t="s">
        <v>211</v>
      </c>
      <c r="L75" s="573">
        <f t="shared" si="9"/>
        <v>0</v>
      </c>
      <c r="P75" s="318"/>
      <c r="W75" s="3" t="b">
        <f t="shared" si="10"/>
        <v>1</v>
      </c>
      <c r="X75" s="570">
        <f t="shared" si="1"/>
        <v>0</v>
      </c>
      <c r="Y75" s="570">
        <f t="shared" si="2"/>
        <v>0</v>
      </c>
    </row>
    <row r="76" spans="1:27" ht="54.75" customHeight="1" x14ac:dyDescent="0.3">
      <c r="A76" s="336">
        <f>'Unit Data from Audit Worksheet'!A84</f>
        <v>508</v>
      </c>
      <c r="B76" s="350" t="str">
        <f>'Unit Data from Audit Worksheet'!C84</f>
        <v>General Fund-Rev, Exp. Change in Fund Balance</v>
      </c>
      <c r="C76" s="335" t="str">
        <f>'Unit Data from Audit Worksheet'!D84</f>
        <v>Debt Refunding - Net refunding proceeds against debt payoff and if positive place results on this line.</v>
      </c>
      <c r="D76" s="144"/>
      <c r="E76" s="356">
        <f>'Unit Data from Audit Worksheet'!F84</f>
        <v>0</v>
      </c>
      <c r="F76" s="349">
        <f t="shared" si="11"/>
        <v>0</v>
      </c>
      <c r="G76" s="351"/>
      <c r="H76" s="348">
        <f>'Unit Data from Audit Worksheet'!I84</f>
        <v>0</v>
      </c>
      <c r="I76" s="38"/>
      <c r="J76" s="347">
        <v>508</v>
      </c>
      <c r="K76" s="346" t="s">
        <v>213</v>
      </c>
      <c r="L76" s="573">
        <f t="shared" si="9"/>
        <v>0</v>
      </c>
      <c r="P76" s="318"/>
      <c r="W76" s="3" t="b">
        <f t="shared" si="10"/>
        <v>1</v>
      </c>
      <c r="X76" s="570">
        <f t="shared" si="1"/>
        <v>0</v>
      </c>
      <c r="Y76" s="570">
        <f t="shared" si="2"/>
        <v>0</v>
      </c>
    </row>
    <row r="77" spans="1:27" ht="54.75" customHeight="1" x14ac:dyDescent="0.3">
      <c r="A77" s="336">
        <f>'Unit Data from Audit Worksheet'!A85</f>
        <v>509</v>
      </c>
      <c r="B77" s="350" t="str">
        <f>'Unit Data from Audit Worksheet'!C85</f>
        <v>General Fund-Rev, Exp. Change in Fund Balance</v>
      </c>
      <c r="C77" s="335" t="str">
        <f>'Unit Data from Audit Worksheet'!D85</f>
        <v>Debt Refunding - Net refunding proceeds against debt payoff and if negative place results on this line.</v>
      </c>
      <c r="D77" s="144"/>
      <c r="E77" s="356">
        <f>'Unit Data from Audit Worksheet'!F85</f>
        <v>0</v>
      </c>
      <c r="F77" s="349">
        <f t="shared" si="11"/>
        <v>0</v>
      </c>
      <c r="G77" s="351"/>
      <c r="H77" s="348">
        <f>'Unit Data from Audit Worksheet'!I85</f>
        <v>0</v>
      </c>
      <c r="I77" s="38"/>
      <c r="J77" s="347">
        <v>509</v>
      </c>
      <c r="K77" s="346" t="s">
        <v>214</v>
      </c>
      <c r="L77" s="573">
        <f t="shared" si="9"/>
        <v>0</v>
      </c>
      <c r="P77" s="318"/>
      <c r="W77" s="3" t="b">
        <f t="shared" si="10"/>
        <v>1</v>
      </c>
      <c r="X77" s="570">
        <f t="shared" si="1"/>
        <v>0</v>
      </c>
      <c r="Y77" s="570">
        <f t="shared" si="2"/>
        <v>0</v>
      </c>
    </row>
    <row r="78" spans="1:27" ht="84.75" customHeight="1" x14ac:dyDescent="0.3">
      <c r="A78" s="336">
        <f>'Unit Data from Audit Worksheet'!A86</f>
        <v>22</v>
      </c>
      <c r="B78" s="350" t="str">
        <f>'Unit Data from Audit Worksheet'!C86</f>
        <v>General Fund-Rev, Exp. Change in Fund Balance</v>
      </c>
      <c r="C78" s="335" t="str">
        <f>'Unit Data from Audit Worksheet'!D86</f>
        <v xml:space="preserve">All other items on this statement that were not included in total revenues, total expenditures, transfers in or out, or proceeds from long-term debt above.  </v>
      </c>
      <c r="D78" s="144"/>
      <c r="E78" s="356">
        <f>'Unit Data from Audit Worksheet'!F86</f>
        <v>0</v>
      </c>
      <c r="F78" s="349"/>
      <c r="G78" s="351"/>
      <c r="H78" s="348">
        <f>'Unit Data from Audit Worksheet'!I86</f>
        <v>0</v>
      </c>
      <c r="I78" s="38"/>
      <c r="J78" s="347">
        <v>22</v>
      </c>
      <c r="K78" s="346" t="s">
        <v>212</v>
      </c>
      <c r="L78" s="573">
        <f t="shared" si="9"/>
        <v>0</v>
      </c>
      <c r="P78" s="318"/>
      <c r="W78" s="3" t="b">
        <f t="shared" si="10"/>
        <v>1</v>
      </c>
      <c r="X78" s="570">
        <f t="shared" si="1"/>
        <v>0</v>
      </c>
      <c r="Y78" s="570">
        <f t="shared" si="2"/>
        <v>0</v>
      </c>
    </row>
    <row r="79" spans="1:27" ht="74.25" customHeight="1" x14ac:dyDescent="0.3">
      <c r="A79" s="336">
        <f>'Unit Data from Audit Worksheet'!A87</f>
        <v>23</v>
      </c>
      <c r="B79" s="350" t="str">
        <f>'Unit Data from Audit Worksheet'!C87</f>
        <v>General Fund-Rev, Exp. Change in Fund Balance</v>
      </c>
      <c r="C79" s="335" t="str">
        <f>'Unit Data from Audit Worksheet'!D87</f>
        <v>Change in fund balance - (Increase in Fund balance is recorded as a positive and a decrease in fund balance is recorded as a negative)</v>
      </c>
      <c r="D79" s="144"/>
      <c r="E79" s="356">
        <f>'Unit Data from Audit Worksheet'!F87</f>
        <v>0</v>
      </c>
      <c r="F79" s="349">
        <f>IF(+L70-L72+L73-L74+L75+L76-L77+L78-L79=0,,"Error:Total revenues less toal Expenditures do not equal change in fund balance")</f>
        <v>0</v>
      </c>
      <c r="G79" s="91">
        <f>+L70-L72+L73-L74+L75+L78+L76-L77-L79</f>
        <v>0</v>
      </c>
      <c r="H79" s="348">
        <f>'Unit Data from Audit Worksheet'!I87</f>
        <v>0</v>
      </c>
      <c r="I79" s="38"/>
      <c r="J79" s="347">
        <v>23</v>
      </c>
      <c r="K79" s="346" t="s">
        <v>215</v>
      </c>
      <c r="L79" s="573">
        <f t="shared" si="9"/>
        <v>0</v>
      </c>
      <c r="P79" s="318"/>
      <c r="Q79" s="563">
        <f>IF(G79&lt;&gt;0,1,0)</f>
        <v>0</v>
      </c>
      <c r="W79" s="3" t="b">
        <f t="shared" si="10"/>
        <v>1</v>
      </c>
      <c r="X79" s="570">
        <f t="shared" si="1"/>
        <v>0</v>
      </c>
      <c r="Y79" s="570">
        <f t="shared" si="2"/>
        <v>0</v>
      </c>
    </row>
    <row r="80" spans="1:27" ht="123" customHeight="1" x14ac:dyDescent="0.3">
      <c r="A80" s="585">
        <f>'Unit Data from Audit Worksheet'!A89</f>
        <v>507</v>
      </c>
      <c r="B80" s="117" t="str">
        <f>'Unit Data from Audit Worksheet'!C89</f>
        <v>General Fund-Rev, Exp. Change in Fund Balance</v>
      </c>
      <c r="C80" s="328"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216</v>
      </c>
      <c r="L80" s="573">
        <f t="shared" si="9"/>
        <v>0</v>
      </c>
      <c r="N80" s="582"/>
      <c r="O80" s="581"/>
      <c r="P80" s="319"/>
      <c r="Q80" s="563" t="e">
        <f>IF(G80&lt;&gt;0,1,0)</f>
        <v>#N/A</v>
      </c>
      <c r="W80" s="3" t="b">
        <f t="shared" si="10"/>
        <v>1</v>
      </c>
      <c r="X80" s="570">
        <f t="shared" si="1"/>
        <v>0</v>
      </c>
      <c r="Y80" s="570">
        <f t="shared" si="2"/>
        <v>0</v>
      </c>
    </row>
    <row r="81" spans="1:26" ht="123" customHeight="1" x14ac:dyDescent="0.3">
      <c r="A81" s="585">
        <f>'Unit Data from Audit Worksheet'!A90</f>
        <v>147</v>
      </c>
      <c r="B81" s="117" t="str">
        <f>'Unit Data from Audit Worksheet'!C90</f>
        <v>General Fund-Rev, Exp. Change in Fund Balance or General Fund Budget Actual</v>
      </c>
      <c r="C81" s="328"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59"/>
      <c r="E81" s="155">
        <f>'Unit Data from Audit Worksheet'!F90</f>
        <v>0</v>
      </c>
      <c r="F81" s="352"/>
      <c r="G81" s="360"/>
      <c r="H81" s="352"/>
      <c r="I81" s="38"/>
      <c r="J81" s="361">
        <v>147</v>
      </c>
      <c r="K81" s="353" t="s">
        <v>294</v>
      </c>
      <c r="L81" s="573">
        <f t="shared" si="9"/>
        <v>0</v>
      </c>
      <c r="N81" s="582"/>
      <c r="O81" s="581"/>
      <c r="P81" s="327"/>
      <c r="W81" s="3" t="b">
        <f t="shared" si="10"/>
        <v>1</v>
      </c>
      <c r="X81" s="570"/>
      <c r="Y81" s="570"/>
    </row>
    <row r="82" spans="1:26" ht="123" customHeight="1" x14ac:dyDescent="0.3">
      <c r="A82" s="585">
        <f>'Unit Data from Audit Worksheet'!A91</f>
        <v>585</v>
      </c>
      <c r="B82" s="117" t="str">
        <f>'Unit Data from Audit Worksheet'!C91</f>
        <v>General Fund-Rev, Exp. Change in Fund Balance or General Fund Budget Actual</v>
      </c>
      <c r="C82" s="575" t="str">
        <f>'Unit Data from Audit Worksheet'!D91</f>
        <v xml:space="preserve">How much of the above number in account 147 is from Timber Receipts sent to the schools </v>
      </c>
      <c r="D82" s="359"/>
      <c r="E82" s="155">
        <f>'Unit Data from Audit Worksheet'!F91</f>
        <v>0</v>
      </c>
      <c r="F82" s="352"/>
      <c r="G82" s="360"/>
      <c r="H82" s="352"/>
      <c r="I82" s="38"/>
      <c r="J82" s="361">
        <v>585</v>
      </c>
      <c r="K82" s="364" t="s">
        <v>363</v>
      </c>
      <c r="L82" s="573">
        <f t="shared" si="9"/>
        <v>0</v>
      </c>
      <c r="N82" s="582"/>
      <c r="O82" s="581"/>
      <c r="P82" s="327"/>
      <c r="W82" s="3" t="b">
        <f t="shared" si="10"/>
        <v>1</v>
      </c>
      <c r="X82" s="570"/>
      <c r="Y82" s="570"/>
    </row>
    <row r="83" spans="1:26" ht="123" customHeight="1" x14ac:dyDescent="0.3">
      <c r="A83" s="585">
        <f>'Unit Data from Audit Worksheet'!A92</f>
        <v>546</v>
      </c>
      <c r="B83" s="117" t="str">
        <f>'Unit Data from Audit Worksheet'!C92</f>
        <v>General Fund-Rev, Exp. Change in Fund Balance or General Fund Budget Actual</v>
      </c>
      <c r="C83" s="575" t="str">
        <f>'Unit Data from Audit Worksheet'!D92</f>
        <v>Amount of Supplemental School Tax revenue recorded in the governmental funds.</v>
      </c>
      <c r="D83" s="359"/>
      <c r="E83" s="155">
        <f>'Unit Data from Audit Worksheet'!F92</f>
        <v>0</v>
      </c>
      <c r="F83" s="352"/>
      <c r="G83" s="360"/>
      <c r="H83" s="352"/>
      <c r="I83" s="38"/>
      <c r="J83" s="361">
        <v>546</v>
      </c>
      <c r="K83" s="364" t="s">
        <v>514</v>
      </c>
      <c r="L83" s="573">
        <f t="shared" si="9"/>
        <v>0</v>
      </c>
      <c r="N83" s="582"/>
      <c r="O83" s="581"/>
      <c r="P83" s="327"/>
      <c r="W83" s="3" t="b">
        <f t="shared" si="10"/>
        <v>1</v>
      </c>
      <c r="X83" s="570"/>
      <c r="Y83" s="570"/>
    </row>
    <row r="84" spans="1:26" ht="123" customHeight="1" x14ac:dyDescent="0.3">
      <c r="A84" s="585">
        <f>'Unit Data from Audit Worksheet'!A93</f>
        <v>589</v>
      </c>
      <c r="B84" s="117" t="str">
        <f>'Unit Data from Audit Worksheet'!C93</f>
        <v>General Fund-Rev, Exp. Change in Fund Balance or General Fund Budget Actual</v>
      </c>
      <c r="C84" s="575" t="str">
        <f>'Unit Data from Audit Worksheet'!D93</f>
        <v>Amount of Supplemental School Tax revenue recorded in agency funds.</v>
      </c>
      <c r="D84" s="359"/>
      <c r="E84" s="155">
        <f>'Unit Data from Audit Worksheet'!F93</f>
        <v>0</v>
      </c>
      <c r="F84" s="352"/>
      <c r="G84" s="360"/>
      <c r="H84" s="352"/>
      <c r="I84" s="38"/>
      <c r="J84" s="361">
        <v>589</v>
      </c>
      <c r="K84" s="124" t="s">
        <v>912</v>
      </c>
      <c r="L84" s="573">
        <f t="shared" si="9"/>
        <v>0</v>
      </c>
      <c r="N84" s="582"/>
      <c r="O84" s="581"/>
      <c r="P84" s="327"/>
      <c r="W84" s="3" t="b">
        <f t="shared" si="10"/>
        <v>1</v>
      </c>
      <c r="X84" s="570"/>
      <c r="Y84" s="570"/>
    </row>
    <row r="85" spans="1:26" ht="123" customHeight="1" x14ac:dyDescent="0.3">
      <c r="A85" s="585">
        <f>'Unit Data from Audit Worksheet'!A94</f>
        <v>149</v>
      </c>
      <c r="B85" s="117" t="str">
        <f>'Unit Data from Audit Worksheet'!C94</f>
        <v>General Fund-Rev, Exp. Change in Fund Balance or General Fund Budget Actual</v>
      </c>
      <c r="C85" s="575"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59"/>
      <c r="E85" s="155">
        <f>'Unit Data from Audit Worksheet'!F94</f>
        <v>0</v>
      </c>
      <c r="F85" s="352"/>
      <c r="G85" s="360"/>
      <c r="H85" s="352"/>
      <c r="I85" s="38"/>
      <c r="J85" s="361">
        <v>149</v>
      </c>
      <c r="K85" s="254" t="s">
        <v>296</v>
      </c>
      <c r="L85" s="573">
        <f t="shared" si="9"/>
        <v>0</v>
      </c>
      <c r="N85" s="582"/>
      <c r="O85" s="581"/>
      <c r="P85" s="327"/>
      <c r="W85" s="3" t="b">
        <f t="shared" si="10"/>
        <v>1</v>
      </c>
      <c r="X85" s="570"/>
      <c r="Y85" s="570"/>
      <c r="Z85" s="3" t="s">
        <v>987</v>
      </c>
    </row>
    <row r="86" spans="1:26" ht="123" customHeight="1" x14ac:dyDescent="0.3">
      <c r="A86" s="585">
        <f>'Unit Data from Audit Worksheet'!A95</f>
        <v>150</v>
      </c>
      <c r="B86" s="117" t="str">
        <f>'Unit Data from Audit Worksheet'!C95</f>
        <v>General Fund-Rev, Exp. Change in Fund Balance or General Fund Budget Actual</v>
      </c>
      <c r="C86" s="575"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59"/>
      <c r="E86" s="155">
        <f>'Unit Data from Audit Worksheet'!F95</f>
        <v>0</v>
      </c>
      <c r="F86" s="352"/>
      <c r="G86" s="360"/>
      <c r="H86" s="352"/>
      <c r="I86" s="38"/>
      <c r="J86" s="361">
        <v>150</v>
      </c>
      <c r="K86" s="254" t="s">
        <v>514</v>
      </c>
      <c r="L86" s="573">
        <f t="shared" si="9"/>
        <v>0</v>
      </c>
      <c r="N86" s="582"/>
      <c r="O86" s="581"/>
      <c r="P86" s="327"/>
      <c r="W86" s="3" t="b">
        <f t="shared" si="10"/>
        <v>1</v>
      </c>
      <c r="X86" s="570"/>
      <c r="Y86" s="570"/>
      <c r="Z86" s="3" t="s">
        <v>987</v>
      </c>
    </row>
    <row r="87" spans="1:26" ht="123" customHeight="1" x14ac:dyDescent="0.3">
      <c r="A87" s="585">
        <f>'Unit Data from Audit Worksheet'!A96</f>
        <v>587</v>
      </c>
      <c r="B87" s="117" t="str">
        <f>'Unit Data from Audit Worksheet'!C96</f>
        <v xml:space="preserve">Fund 8 Rev, Exp. Change in Fund Balance Rpt. </v>
      </c>
      <c r="C87" s="575" t="str">
        <f>'Unit Data from Audit Worksheet'!D96</f>
        <v>Amount of Local Current Expense Funds received from the County transferred to Fund 8 this year.</v>
      </c>
      <c r="D87" s="359"/>
      <c r="E87" s="155">
        <f>'Unit Data from Audit Worksheet'!F96</f>
        <v>0</v>
      </c>
      <c r="F87" s="352"/>
      <c r="G87" s="360"/>
      <c r="H87" s="352"/>
      <c r="I87" s="38"/>
      <c r="J87" s="361">
        <v>587</v>
      </c>
      <c r="K87" s="254" t="s">
        <v>364</v>
      </c>
      <c r="L87" s="573">
        <f t="shared" si="9"/>
        <v>0</v>
      </c>
      <c r="N87" s="582"/>
      <c r="O87" s="581"/>
      <c r="P87" s="327"/>
      <c r="W87" s="3" t="b">
        <f t="shared" si="10"/>
        <v>1</v>
      </c>
      <c r="X87" s="570"/>
      <c r="Y87" s="570"/>
      <c r="Z87" s="3" t="s">
        <v>987</v>
      </c>
    </row>
    <row r="88" spans="1:26" ht="123" customHeight="1" x14ac:dyDescent="0.3">
      <c r="A88" s="585">
        <f>'Unit Data from Audit Worksheet'!A97</f>
        <v>588</v>
      </c>
      <c r="B88" s="117" t="str">
        <f>'Unit Data from Audit Worksheet'!C97</f>
        <v xml:space="preserve">Fund 8 Rev, Exp. Change in Fund Balance Rpt. </v>
      </c>
      <c r="C88" s="575" t="str">
        <f>'Unit Data from Audit Worksheet'!D97</f>
        <v>Amount of Capital Outlay Funds received from the County transferred to Fund 8 this year.</v>
      </c>
      <c r="D88" s="359"/>
      <c r="E88" s="155">
        <f>'Unit Data from Audit Worksheet'!F97</f>
        <v>0</v>
      </c>
      <c r="F88" s="352"/>
      <c r="G88" s="360"/>
      <c r="H88" s="352"/>
      <c r="I88" s="38"/>
      <c r="J88" s="361">
        <v>588</v>
      </c>
      <c r="K88" s="254" t="s">
        <v>365</v>
      </c>
      <c r="L88" s="573">
        <f t="shared" si="9"/>
        <v>0</v>
      </c>
      <c r="N88" s="582"/>
      <c r="O88" s="581"/>
      <c r="P88" s="327"/>
      <c r="W88" s="3" t="b">
        <f t="shared" si="10"/>
        <v>1</v>
      </c>
      <c r="X88" s="570"/>
      <c r="Y88" s="570"/>
      <c r="Z88" s="3" t="s">
        <v>987</v>
      </c>
    </row>
    <row r="89" spans="1:26" s="18" customFormat="1" ht="40.5" customHeight="1" x14ac:dyDescent="0.3">
      <c r="A89" s="308">
        <f>'Unit Data from Audit Worksheet'!A98</f>
        <v>647</v>
      </c>
      <c r="B89" s="363" t="str">
        <f>'Unit Data from Audit Worksheet'!C98</f>
        <v>Debt Service Fund</v>
      </c>
      <c r="C89" s="308" t="str">
        <f>'Unit Data from Audit Worksheet'!D98</f>
        <v>Please enter the Total Fund Balance for any Debt Service Funds</v>
      </c>
      <c r="D89" s="116"/>
      <c r="E89" s="362">
        <f>'Unit Data from Audit Worksheet'!F98</f>
        <v>0</v>
      </c>
      <c r="F89" s="344"/>
      <c r="G89" s="339"/>
      <c r="H89" s="344">
        <f>'Unit Data from Audit Worksheet'!I98</f>
        <v>0</v>
      </c>
      <c r="I89" s="586"/>
      <c r="J89" s="343">
        <v>647</v>
      </c>
      <c r="K89" s="311" t="s">
        <v>1200</v>
      </c>
      <c r="L89" s="587">
        <f>IF(D89="",E89,D89)</f>
        <v>0</v>
      </c>
      <c r="M89" s="577"/>
      <c r="N89" s="577"/>
      <c r="O89" s="593"/>
      <c r="P89" s="320"/>
      <c r="Q89" s="578"/>
      <c r="R89" s="3"/>
      <c r="S89" s="577"/>
      <c r="T89" s="577"/>
      <c r="U89" s="577"/>
      <c r="V89" s="577"/>
      <c r="W89" s="18" t="b">
        <f t="shared" si="10"/>
        <v>1</v>
      </c>
      <c r="X89" s="579">
        <f t="shared" si="1"/>
        <v>0</v>
      </c>
      <c r="Y89" s="579">
        <f t="shared" si="2"/>
        <v>0</v>
      </c>
    </row>
    <row r="90" spans="1:26" s="18" customFormat="1" ht="66" customHeight="1" x14ac:dyDescent="0.3">
      <c r="A90" s="308">
        <f>'Unit Data from Audit Worksheet'!A100</f>
        <v>148</v>
      </c>
      <c r="B90" s="363" t="str">
        <f>'Unit Data from Audit Worksheet'!C100</f>
        <v>All Gov. Funds Rev, Exp. Change in Fund Balance</v>
      </c>
      <c r="C90" s="342" t="str">
        <f>'Unit Data from Audit Worksheet'!D100</f>
        <v>Capital Outlay contributions to the BOEs (include amounts from general fund, capital project funds and any other fund sent to the BOE as part of capital outlay)</v>
      </c>
      <c r="D90" s="359"/>
      <c r="E90" s="362">
        <f>'Unit Data from Audit Worksheet'!F100</f>
        <v>0</v>
      </c>
      <c r="F90" s="352"/>
      <c r="G90" s="360"/>
      <c r="H90" s="352"/>
      <c r="I90" s="38"/>
      <c r="J90" s="361">
        <v>148</v>
      </c>
      <c r="K90" s="353" t="s">
        <v>295</v>
      </c>
      <c r="L90" s="573">
        <f t="shared" si="9"/>
        <v>0</v>
      </c>
      <c r="M90" s="594"/>
      <c r="N90" s="594"/>
      <c r="O90" s="595"/>
      <c r="P90" s="327"/>
      <c r="Q90" s="596"/>
      <c r="R90" s="3"/>
      <c r="S90" s="594"/>
      <c r="T90" s="594"/>
      <c r="U90" s="594"/>
      <c r="V90" s="594"/>
      <c r="W90" s="594" t="b">
        <f t="shared" si="10"/>
        <v>1</v>
      </c>
      <c r="X90" s="579"/>
      <c r="Y90" s="579"/>
    </row>
    <row r="91" spans="1:26" ht="60" customHeight="1" x14ac:dyDescent="0.3">
      <c r="A91" s="571">
        <f>'Unit Data from Audit Worksheet'!A101</f>
        <v>171</v>
      </c>
      <c r="B91" s="54" t="str">
        <f>'Unit Data from Audit Worksheet'!C101</f>
        <v>Fund Statements - all Governmental Funds</v>
      </c>
      <c r="C91" s="572" t="str">
        <f>'Unit Data from Audit Worksheet'!D101</f>
        <v>Debt service expenditures from all governmental funds.  Include principal, interest paid, and debt issuance costs on long-term debt.</v>
      </c>
      <c r="D91" s="355"/>
      <c r="E91" s="152">
        <f>'Unit Data from Audit Worksheet'!F101</f>
        <v>0</v>
      </c>
      <c r="F91" s="47">
        <f>IF(L91&lt;0,"Error: Enter as a positive.",)</f>
        <v>0</v>
      </c>
      <c r="G91" s="72"/>
      <c r="H91" s="348">
        <f>'Unit Data from Audit Worksheet'!I101</f>
        <v>0</v>
      </c>
      <c r="I91" s="38"/>
      <c r="J91" s="42">
        <v>171</v>
      </c>
      <c r="K91" s="51" t="s">
        <v>217</v>
      </c>
      <c r="L91" s="573">
        <f t="shared" si="9"/>
        <v>0</v>
      </c>
      <c r="P91" s="317"/>
      <c r="W91" s="3" t="b">
        <f t="shared" si="10"/>
        <v>1</v>
      </c>
      <c r="X91" s="570">
        <f t="shared" si="1"/>
        <v>0</v>
      </c>
      <c r="Y91" s="570">
        <f t="shared" si="2"/>
        <v>0</v>
      </c>
    </row>
    <row r="92" spans="1:26" s="713" customFormat="1" ht="60" customHeight="1" x14ac:dyDescent="0.3">
      <c r="A92" s="571">
        <f>'Unit Data from Audit Worksheet'!A103</f>
        <v>36</v>
      </c>
      <c r="B92" s="54" t="str">
        <f>'Unit Data from Audit Worksheet'!C103</f>
        <v>Net Position</v>
      </c>
      <c r="C92" s="572" t="str">
        <f>'Unit Data from Audit Worksheet'!D103</f>
        <v>Total Gross Capital Assets - without accumulated depreciation</v>
      </c>
      <c r="D92" s="355"/>
      <c r="E92" s="152">
        <f>'Unit Data from Audit Worksheet'!F103</f>
        <v>0</v>
      </c>
      <c r="F92" s="47"/>
      <c r="G92" s="72"/>
      <c r="H92" s="348"/>
      <c r="I92" s="715"/>
      <c r="J92" s="42">
        <v>36</v>
      </c>
      <c r="K92" s="51" t="s">
        <v>1044</v>
      </c>
      <c r="L92" s="573">
        <f t="shared" si="9"/>
        <v>0</v>
      </c>
      <c r="P92" s="317"/>
      <c r="Q92" s="563"/>
      <c r="W92" s="594" t="b">
        <f t="shared" si="10"/>
        <v>1</v>
      </c>
      <c r="X92" s="570"/>
      <c r="Y92" s="570"/>
    </row>
    <row r="93" spans="1:26" s="713" customFormat="1" ht="60" customHeight="1" x14ac:dyDescent="0.3">
      <c r="A93" s="571">
        <f>'Unit Data from Audit Worksheet'!A104</f>
        <v>534</v>
      </c>
      <c r="B93" s="54" t="str">
        <f>'Unit Data from Audit Worksheet'!C104</f>
        <v>Net Position</v>
      </c>
      <c r="C93" s="572" t="str">
        <f>'Unit Data from Audit Worksheet'!D104</f>
        <v>Combined Totals of all Proprietary Funds - Amount of Inventories and Prepaids in current assets</v>
      </c>
      <c r="D93" s="355"/>
      <c r="E93" s="152">
        <f>'Unit Data from Audit Worksheet'!F104</f>
        <v>0</v>
      </c>
      <c r="F93" s="47"/>
      <c r="G93" s="72"/>
      <c r="H93" s="348"/>
      <c r="I93" s="715"/>
      <c r="J93" s="42">
        <v>534</v>
      </c>
      <c r="K93" s="51" t="s">
        <v>271</v>
      </c>
      <c r="L93" s="573">
        <f t="shared" si="9"/>
        <v>0</v>
      </c>
      <c r="P93" s="317"/>
      <c r="Q93" s="563"/>
      <c r="W93" s="594" t="b">
        <f t="shared" si="10"/>
        <v>1</v>
      </c>
      <c r="X93" s="570"/>
      <c r="Y93" s="570"/>
    </row>
    <row r="94" spans="1:26" ht="60" customHeight="1" x14ac:dyDescent="0.3">
      <c r="A94" s="571">
        <f>'Unit Data from Audit Worksheet'!A105</f>
        <v>13</v>
      </c>
      <c r="B94" s="54" t="str">
        <f>'Unit Data from Audit Worksheet'!C105</f>
        <v>Combined Proprietary Funds - Net Position</v>
      </c>
      <c r="C94" s="572" t="str">
        <f>'Unit Data from Audit Worksheet'!D105</f>
        <v>Comb-Proprietary Funds-Current Assets 
Exclude: any restricted assets
                  deferred outflows</v>
      </c>
      <c r="D94" s="355"/>
      <c r="E94" s="152">
        <f>'Unit Data from Audit Worksheet'!F105</f>
        <v>0</v>
      </c>
      <c r="F94" s="47"/>
      <c r="G94" s="72"/>
      <c r="H94" s="348"/>
      <c r="I94" s="38"/>
      <c r="J94" s="42">
        <v>13</v>
      </c>
      <c r="K94" s="51" t="s">
        <v>975</v>
      </c>
      <c r="L94" s="573">
        <f t="shared" si="9"/>
        <v>0</v>
      </c>
      <c r="P94" s="317"/>
      <c r="X94" s="570"/>
      <c r="Y94" s="570"/>
    </row>
    <row r="95" spans="1:26" ht="60" customHeight="1" x14ac:dyDescent="0.3">
      <c r="A95" s="571">
        <f>'Unit Data from Audit Worksheet'!A106</f>
        <v>14</v>
      </c>
      <c r="B95" s="54" t="str">
        <f>'Unit Data from Audit Worksheet'!C106</f>
        <v>Combined Proprietary Funds - Net Position</v>
      </c>
      <c r="C95" s="572"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5"/>
      <c r="E95" s="152">
        <f>'Unit Data from Audit Worksheet'!F106</f>
        <v>0</v>
      </c>
      <c r="F95" s="47"/>
      <c r="G95" s="72"/>
      <c r="H95" s="348"/>
      <c r="I95" s="38"/>
      <c r="J95" s="42">
        <v>14</v>
      </c>
      <c r="K95" s="51" t="s">
        <v>976</v>
      </c>
      <c r="L95" s="573">
        <f t="shared" si="9"/>
        <v>0</v>
      </c>
      <c r="P95" s="317"/>
      <c r="X95" s="570"/>
      <c r="Y95" s="570"/>
    </row>
    <row r="96" spans="1:26" s="713" customFormat="1" ht="60" customHeight="1" x14ac:dyDescent="0.3">
      <c r="A96" s="571">
        <f>'Unit Data from Audit Worksheet'!A107</f>
        <v>571</v>
      </c>
      <c r="B96" s="54" t="str">
        <f>'Unit Data from Audit Worksheet'!C107</f>
        <v>Statement of Net Position - combined totals from all Proprietary Funds</v>
      </c>
      <c r="C96" s="572" t="str">
        <f>'Unit Data from Audit Worksheet'!D107</f>
        <v>Mental Health Net Position - Net Investment in Capital Assets</v>
      </c>
      <c r="D96" s="355"/>
      <c r="E96" s="152">
        <f>'Unit Data from Audit Worksheet'!F107</f>
        <v>0</v>
      </c>
      <c r="F96" s="47"/>
      <c r="G96" s="72"/>
      <c r="H96" s="348"/>
      <c r="I96" s="715"/>
      <c r="J96" s="42">
        <v>571</v>
      </c>
      <c r="K96" s="51" t="s">
        <v>1015</v>
      </c>
      <c r="L96" s="573">
        <f t="shared" si="9"/>
        <v>0</v>
      </c>
      <c r="P96" s="317"/>
      <c r="Q96" s="563"/>
      <c r="X96" s="570"/>
      <c r="Y96" s="570"/>
    </row>
    <row r="97" spans="1:26" s="713" customFormat="1" ht="60" customHeight="1" x14ac:dyDescent="0.3">
      <c r="A97" s="571">
        <f>'Unit Data from Audit Worksheet'!A108</f>
        <v>572</v>
      </c>
      <c r="B97" s="54" t="str">
        <f>'Unit Data from Audit Worksheet'!C108</f>
        <v>Statement of Net Position - combined totals from all Proprietary Funds</v>
      </c>
      <c r="C97" s="572" t="str">
        <f>'Unit Data from Audit Worksheet'!D108</f>
        <v>Mental Health Net Position - Restricted Net Position</v>
      </c>
      <c r="D97" s="355"/>
      <c r="E97" s="152">
        <f>'Unit Data from Audit Worksheet'!F108</f>
        <v>0</v>
      </c>
      <c r="F97" s="47"/>
      <c r="G97" s="72"/>
      <c r="H97" s="348"/>
      <c r="I97" s="715"/>
      <c r="J97" s="42">
        <v>572</v>
      </c>
      <c r="K97" s="51" t="s">
        <v>1016</v>
      </c>
      <c r="L97" s="573">
        <f t="shared" si="9"/>
        <v>0</v>
      </c>
      <c r="P97" s="317"/>
      <c r="Q97" s="563"/>
      <c r="X97" s="570"/>
      <c r="Y97" s="570"/>
    </row>
    <row r="98" spans="1:26" s="713" customFormat="1" ht="60" customHeight="1" x14ac:dyDescent="0.3">
      <c r="A98" s="571">
        <f>'Unit Data from Audit Worksheet'!A109</f>
        <v>573</v>
      </c>
      <c r="B98" s="54" t="str">
        <f>'Unit Data from Audit Worksheet'!C109</f>
        <v>Statement of Net Position - combined totals from all Proprietary Funds</v>
      </c>
      <c r="C98" s="572" t="str">
        <f>'Unit Data from Audit Worksheet'!D109</f>
        <v>Mental Health Net Position - Unrestricted Net Position</v>
      </c>
      <c r="D98" s="355"/>
      <c r="E98" s="152">
        <f>'Unit Data from Audit Worksheet'!F109</f>
        <v>0</v>
      </c>
      <c r="F98" s="47"/>
      <c r="G98" s="72"/>
      <c r="H98" s="348"/>
      <c r="I98" s="715"/>
      <c r="J98" s="42">
        <v>573</v>
      </c>
      <c r="K98" s="51" t="s">
        <v>1174</v>
      </c>
      <c r="L98" s="573">
        <f t="shared" si="9"/>
        <v>0</v>
      </c>
      <c r="P98" s="317"/>
      <c r="Q98" s="563"/>
      <c r="X98" s="570"/>
      <c r="Y98" s="570"/>
    </row>
    <row r="99" spans="1:26" ht="60" customHeight="1" x14ac:dyDescent="0.3">
      <c r="A99" s="571">
        <f>'Unit Data from Audit Worksheet'!A110</f>
        <v>34</v>
      </c>
      <c r="B99" s="54" t="str">
        <f>'Unit Data from Audit Worksheet'!C110</f>
        <v>Net Position</v>
      </c>
      <c r="C99" s="572" t="str">
        <f>'Unit Data from Audit Worksheet'!D110</f>
        <v>Hospital-EF- Unrestricted Cash &amp; Invest. [Incl.all but Held by Trustee or 3rd party restricted](BS)</v>
      </c>
      <c r="D99" s="355"/>
      <c r="E99" s="152">
        <f>'Unit Data from Audit Worksheet'!F110</f>
        <v>0</v>
      </c>
      <c r="F99" s="47"/>
      <c r="G99" s="72"/>
      <c r="H99" s="348"/>
      <c r="I99" s="38"/>
      <c r="J99" s="42">
        <v>34</v>
      </c>
      <c r="K99" s="51" t="s">
        <v>990</v>
      </c>
      <c r="L99" s="573">
        <f t="shared" si="9"/>
        <v>0</v>
      </c>
      <c r="P99" s="317"/>
      <c r="X99" s="570"/>
      <c r="Y99" s="570"/>
      <c r="Z99" s="3" t="s">
        <v>988</v>
      </c>
    </row>
    <row r="100" spans="1:26" ht="60" customHeight="1" x14ac:dyDescent="0.3">
      <c r="A100" s="571">
        <f>'Unit Data from Audit Worksheet'!A111</f>
        <v>35</v>
      </c>
      <c r="B100" s="54" t="str">
        <f>'Unit Data from Audit Worksheet'!C111</f>
        <v>Net Position</v>
      </c>
      <c r="C100" s="572" t="str">
        <f>'Unit Data from Audit Worksheet'!D111</f>
        <v>Mental Health or Hospital-EF- Patient Accounts Receivable, Net of Allowance for Bad Debt</v>
      </c>
      <c r="D100" s="355"/>
      <c r="E100" s="152">
        <f>'Unit Data from Audit Worksheet'!F111</f>
        <v>0</v>
      </c>
      <c r="F100" s="47"/>
      <c r="G100" s="72"/>
      <c r="H100" s="348"/>
      <c r="I100" s="38"/>
      <c r="J100" s="42">
        <v>35</v>
      </c>
      <c r="K100" s="51" t="s">
        <v>991</v>
      </c>
      <c r="L100" s="573">
        <f t="shared" si="9"/>
        <v>0</v>
      </c>
      <c r="P100" s="317"/>
      <c r="X100" s="570"/>
      <c r="Y100" s="570"/>
      <c r="Z100" s="3" t="s">
        <v>988</v>
      </c>
    </row>
    <row r="101" spans="1:26" ht="60" customHeight="1" x14ac:dyDescent="0.3">
      <c r="A101" s="571">
        <f>'Unit Data from Audit Worksheet'!A112</f>
        <v>37</v>
      </c>
      <c r="B101" s="54" t="str">
        <f>'Unit Data from Audit Worksheet'!C112</f>
        <v>Net Position</v>
      </c>
      <c r="C101" s="572" t="str">
        <f>'Unit Data from Audit Worksheet'!D112</f>
        <v>Total Long-term debt (non current portion only) - enter as a positive</v>
      </c>
      <c r="D101" s="355"/>
      <c r="E101" s="152">
        <f>'Unit Data from Audit Worksheet'!F112</f>
        <v>0</v>
      </c>
      <c r="F101" s="47"/>
      <c r="G101" s="72"/>
      <c r="H101" s="348"/>
      <c r="I101" s="38"/>
      <c r="J101" s="42">
        <v>37</v>
      </c>
      <c r="K101" s="51" t="s">
        <v>1001</v>
      </c>
      <c r="L101" s="573">
        <f t="shared" si="9"/>
        <v>0</v>
      </c>
      <c r="P101" s="317"/>
      <c r="X101" s="570"/>
      <c r="Y101" s="570"/>
      <c r="Z101" s="3" t="s">
        <v>988</v>
      </c>
    </row>
    <row r="102" spans="1:26" ht="60" customHeight="1" x14ac:dyDescent="0.3">
      <c r="A102" s="571">
        <f>'Unit Data from Audit Worksheet'!A113</f>
        <v>38</v>
      </c>
      <c r="B102" s="54" t="str">
        <f>'Unit Data from Audit Worksheet'!C113</f>
        <v>Net Position</v>
      </c>
      <c r="C102" s="572" t="str">
        <f>'Unit Data from Audit Worksheet'!D113</f>
        <v>Unrestricted fund equity or net position</v>
      </c>
      <c r="D102" s="355"/>
      <c r="E102" s="152">
        <f>'Unit Data from Audit Worksheet'!F113</f>
        <v>0</v>
      </c>
      <c r="F102" s="47"/>
      <c r="G102" s="72"/>
      <c r="H102" s="348"/>
      <c r="I102" s="38"/>
      <c r="J102" s="42">
        <v>38</v>
      </c>
      <c r="K102" s="51" t="s">
        <v>992</v>
      </c>
      <c r="L102" s="573">
        <f t="shared" si="9"/>
        <v>0</v>
      </c>
      <c r="P102" s="317"/>
      <c r="X102" s="570"/>
      <c r="Y102" s="570"/>
      <c r="Z102" s="3" t="s">
        <v>988</v>
      </c>
    </row>
    <row r="103" spans="1:26" ht="60" customHeight="1" x14ac:dyDescent="0.3">
      <c r="A103" s="571">
        <f>'Unit Data from Audit Worksheet'!A114</f>
        <v>32</v>
      </c>
      <c r="B103" s="54" t="str">
        <f>'Unit Data from Audit Worksheet'!C114</f>
        <v>Combined Totals of all Proprietary Funds - Revenue, Expenses, Changes in Net Position</v>
      </c>
      <c r="C103" s="572" t="str">
        <f>'Unit Data from Audit Worksheet'!D114</f>
        <v>Combined Totals of all proprietary Funds - Depreciation &amp; Amortization Expense</v>
      </c>
      <c r="D103" s="355"/>
      <c r="E103" s="152">
        <f>'Unit Data from Audit Worksheet'!F114</f>
        <v>0</v>
      </c>
      <c r="F103" s="47"/>
      <c r="G103" s="72"/>
      <c r="H103" s="348"/>
      <c r="I103" s="38"/>
      <c r="J103" s="42">
        <v>32</v>
      </c>
      <c r="K103" s="51" t="s">
        <v>978</v>
      </c>
      <c r="L103" s="573">
        <f t="shared" si="9"/>
        <v>0</v>
      </c>
      <c r="P103" s="317"/>
      <c r="X103" s="570"/>
      <c r="Y103" s="570"/>
      <c r="Z103" s="3" t="s">
        <v>988</v>
      </c>
    </row>
    <row r="104" spans="1:26" ht="60" customHeight="1" x14ac:dyDescent="0.3">
      <c r="A104" s="571">
        <f>'Unit Data from Audit Worksheet'!A115</f>
        <v>40</v>
      </c>
      <c r="B104" s="54" t="str">
        <f>'Unit Data from Audit Worksheet'!C115</f>
        <v>Revenue, Expenses, Changes in Net Position</v>
      </c>
      <c r="C104" s="572" t="str">
        <f>'Unit Data from Audit Worksheet'!D115</f>
        <v>Net Patient Revenues</v>
      </c>
      <c r="D104" s="355"/>
      <c r="E104" s="152">
        <f>'Unit Data from Audit Worksheet'!F115</f>
        <v>0</v>
      </c>
      <c r="F104" s="47"/>
      <c r="G104" s="72"/>
      <c r="H104" s="348"/>
      <c r="I104" s="38"/>
      <c r="J104" s="42">
        <v>40</v>
      </c>
      <c r="K104" s="51" t="s">
        <v>994</v>
      </c>
      <c r="L104" s="573">
        <f t="shared" si="9"/>
        <v>0</v>
      </c>
      <c r="P104" s="317"/>
      <c r="X104" s="570"/>
      <c r="Y104" s="570"/>
      <c r="Z104" s="3" t="s">
        <v>988</v>
      </c>
    </row>
    <row r="105" spans="1:26" ht="60" customHeight="1" x14ac:dyDescent="0.3">
      <c r="A105" s="571">
        <f>'Unit Data from Audit Worksheet'!A116</f>
        <v>107</v>
      </c>
      <c r="B105" s="54" t="str">
        <f>'Unit Data from Audit Worksheet'!C116</f>
        <v>Revenue, Expenses, Changes in Net Position</v>
      </c>
      <c r="C105" s="572" t="str">
        <f>'Unit Data from Audit Worksheet'!D116</f>
        <v>Total Operating Revenues</v>
      </c>
      <c r="D105" s="355"/>
      <c r="E105" s="152">
        <f>'Unit Data from Audit Worksheet'!F116</f>
        <v>0</v>
      </c>
      <c r="F105" s="47"/>
      <c r="G105" s="72"/>
      <c r="H105" s="348"/>
      <c r="I105" s="38"/>
      <c r="J105" s="42">
        <v>107</v>
      </c>
      <c r="K105" s="51" t="s">
        <v>995</v>
      </c>
      <c r="L105" s="573">
        <f t="shared" si="9"/>
        <v>0</v>
      </c>
      <c r="P105" s="317"/>
      <c r="X105" s="570"/>
      <c r="Y105" s="570"/>
      <c r="Z105" s="3" t="s">
        <v>988</v>
      </c>
    </row>
    <row r="106" spans="1:26" ht="60" customHeight="1" x14ac:dyDescent="0.3">
      <c r="A106" s="571">
        <f>'Unit Data from Audit Worksheet'!A117</f>
        <v>108</v>
      </c>
      <c r="B106" s="54" t="str">
        <f>'Unit Data from Audit Worksheet'!C117</f>
        <v>Revenue, Expenses, Changes in Net Position</v>
      </c>
      <c r="C106" s="572" t="str">
        <f>'Unit Data from Audit Worksheet'!D117</f>
        <v>Total Operating Expenses. May include Interest Expense - Enter as a positive</v>
      </c>
      <c r="D106" s="355"/>
      <c r="E106" s="152">
        <f>'Unit Data from Audit Worksheet'!F117</f>
        <v>0</v>
      </c>
      <c r="F106" s="47"/>
      <c r="G106" s="72"/>
      <c r="H106" s="348"/>
      <c r="I106" s="38"/>
      <c r="J106" s="42">
        <v>108</v>
      </c>
      <c r="K106" s="51" t="s">
        <v>1002</v>
      </c>
      <c r="L106" s="573">
        <f t="shared" si="9"/>
        <v>0</v>
      </c>
      <c r="P106" s="317"/>
      <c r="X106" s="570"/>
      <c r="Y106" s="570"/>
      <c r="Z106" s="3" t="s">
        <v>988</v>
      </c>
    </row>
    <row r="107" spans="1:26" ht="60" customHeight="1" x14ac:dyDescent="0.3">
      <c r="A107" s="571">
        <f>'Unit Data from Audit Worksheet'!A118</f>
        <v>41</v>
      </c>
      <c r="B107" s="54" t="str">
        <f>'Unit Data from Audit Worksheet'!C118</f>
        <v>Revenue, Expenses, Changes in Net Position</v>
      </c>
      <c r="C107" s="572" t="str">
        <f>'Unit Data from Audit Worksheet'!D118</f>
        <v xml:space="preserve">Interest Expense - Enter as a positive </v>
      </c>
      <c r="D107" s="355"/>
      <c r="E107" s="152">
        <f>'Unit Data from Audit Worksheet'!F118</f>
        <v>0</v>
      </c>
      <c r="F107" s="47"/>
      <c r="G107" s="72"/>
      <c r="H107" s="348"/>
      <c r="I107" s="38"/>
      <c r="J107" s="42">
        <v>41</v>
      </c>
      <c r="K107" s="51" t="s">
        <v>1003</v>
      </c>
      <c r="L107" s="573">
        <f t="shared" si="9"/>
        <v>0</v>
      </c>
      <c r="P107" s="317"/>
      <c r="X107" s="570"/>
      <c r="Y107" s="570"/>
      <c r="Z107" s="3" t="s">
        <v>988</v>
      </c>
    </row>
    <row r="108" spans="1:26" ht="60" customHeight="1" x14ac:dyDescent="0.3">
      <c r="A108" s="571">
        <f>'Unit Data from Audit Worksheet'!A119</f>
        <v>194</v>
      </c>
      <c r="B108" s="54" t="str">
        <f>'Unit Data from Audit Worksheet'!C119</f>
        <v>Revenue, Expenses, Changes in Net Position</v>
      </c>
      <c r="C108" s="572" t="str">
        <f>'Unit Data from Audit Worksheet'!D119</f>
        <v xml:space="preserve">Capital Contributions </v>
      </c>
      <c r="D108" s="355"/>
      <c r="E108" s="152">
        <f>'Unit Data from Audit Worksheet'!F119</f>
        <v>0</v>
      </c>
      <c r="F108" s="47"/>
      <c r="G108" s="72"/>
      <c r="H108" s="348"/>
      <c r="I108" s="38"/>
      <c r="J108" s="42">
        <v>194</v>
      </c>
      <c r="K108" s="51" t="s">
        <v>996</v>
      </c>
      <c r="L108" s="573">
        <f t="shared" si="9"/>
        <v>0</v>
      </c>
      <c r="P108" s="317"/>
      <c r="X108" s="570"/>
      <c r="Y108" s="570"/>
      <c r="Z108" s="3" t="s">
        <v>988</v>
      </c>
    </row>
    <row r="109" spans="1:26" ht="60" customHeight="1" x14ac:dyDescent="0.3">
      <c r="A109" s="571">
        <f>'Unit Data from Audit Worksheet'!A120</f>
        <v>294</v>
      </c>
      <c r="B109" s="54" t="str">
        <f>'Unit Data from Audit Worksheet'!C120</f>
        <v>Revenue, Expenses, Changes in Net Position</v>
      </c>
      <c r="C109" s="572" t="str">
        <f>'Unit Data from Audit Worksheet'!D120</f>
        <v>Change in Net Position</v>
      </c>
      <c r="D109" s="355"/>
      <c r="E109" s="152">
        <f>'Unit Data from Audit Worksheet'!F120</f>
        <v>0</v>
      </c>
      <c r="F109" s="47"/>
      <c r="G109" s="72"/>
      <c r="H109" s="348"/>
      <c r="I109" s="38"/>
      <c r="J109" s="42">
        <v>294</v>
      </c>
      <c r="K109" s="51" t="s">
        <v>997</v>
      </c>
      <c r="L109" s="573">
        <f t="shared" si="9"/>
        <v>0</v>
      </c>
      <c r="P109" s="317"/>
      <c r="X109" s="570"/>
      <c r="Y109" s="570"/>
      <c r="Z109" s="3" t="s">
        <v>988</v>
      </c>
    </row>
    <row r="110" spans="1:26" ht="60" customHeight="1" x14ac:dyDescent="0.3">
      <c r="A110" s="571">
        <f>'Unit Data from Audit Worksheet'!A123</f>
        <v>31</v>
      </c>
      <c r="B110" s="54" t="str">
        <f>'Unit Data from Audit Worksheet'!C123</f>
        <v>Combined Totals of all Proprietary Funds - Revenue, Expenses, Changes in Net Position</v>
      </c>
      <c r="C110" s="572" t="str">
        <f>'Unit Data from Audit Worksheet'!D123</f>
        <v>Combined Totals of all Proprietary Funds - Change in net position - (increase in net position is recorded as a positive and a decrease in net position is recorded as a negative)</v>
      </c>
      <c r="D110" s="355"/>
      <c r="E110" s="152">
        <f>'Unit Data from Audit Worksheet'!F123</f>
        <v>0</v>
      </c>
      <c r="F110" s="47"/>
      <c r="G110" s="72"/>
      <c r="H110" s="348"/>
      <c r="I110" s="38"/>
      <c r="J110" s="42">
        <v>31</v>
      </c>
      <c r="K110" s="51" t="s">
        <v>979</v>
      </c>
      <c r="L110" s="573">
        <f t="shared" si="9"/>
        <v>0</v>
      </c>
      <c r="P110" s="317"/>
      <c r="X110" s="570"/>
      <c r="Y110" s="570"/>
    </row>
    <row r="111" spans="1:26" ht="60" customHeight="1" x14ac:dyDescent="0.3">
      <c r="A111" s="571" t="str">
        <f>'Unit Data from Audit Worksheet'!A124</f>
        <v>193</v>
      </c>
      <c r="B111" s="54" t="str">
        <f>'Unit Data from Audit Worksheet'!C124</f>
        <v>Combined Proprietary Funds - Change in Cash Flow Statement</v>
      </c>
      <c r="C111" s="572" t="str">
        <f>'Unit Data from Audit Worksheet'!D124</f>
        <v>Combined Totals of all Proprietary Funds - Capital Contributions</v>
      </c>
      <c r="D111" s="355"/>
      <c r="E111" s="152">
        <f>'Unit Data from Audit Worksheet'!F124</f>
        <v>0</v>
      </c>
      <c r="F111" s="47"/>
      <c r="G111" s="72"/>
      <c r="H111" s="348"/>
      <c r="I111" s="38"/>
      <c r="J111" s="42">
        <v>193</v>
      </c>
      <c r="K111" s="51" t="s">
        <v>297</v>
      </c>
      <c r="L111" s="573">
        <f t="shared" si="9"/>
        <v>0</v>
      </c>
      <c r="P111" s="317"/>
      <c r="X111" s="570"/>
      <c r="Y111" s="570"/>
    </row>
    <row r="112" spans="1:26" ht="60" customHeight="1" x14ac:dyDescent="0.3">
      <c r="A112" s="571" t="str">
        <f>'Unit Data from Audit Worksheet'!A125</f>
        <v>33</v>
      </c>
      <c r="B112" s="54" t="str">
        <f>'Unit Data from Audit Worksheet'!C125</f>
        <v>Combined Proprietary Funds - Change in Cash Flow Statement</v>
      </c>
      <c r="C112" s="572" t="str">
        <f>'Unit Data from Audit Worksheet'!D125</f>
        <v>Combined Totals of all Proprietary Funds - Cash Flow from Operating</v>
      </c>
      <c r="D112" s="355"/>
      <c r="E112" s="152">
        <f>'Unit Data from Audit Worksheet'!F125</f>
        <v>0</v>
      </c>
      <c r="F112" s="47"/>
      <c r="G112" s="72"/>
      <c r="H112" s="348"/>
      <c r="I112" s="38"/>
      <c r="J112" s="42">
        <v>33</v>
      </c>
      <c r="K112" s="51" t="s">
        <v>293</v>
      </c>
      <c r="L112" s="573">
        <f t="shared" si="9"/>
        <v>0</v>
      </c>
      <c r="P112" s="317"/>
      <c r="X112" s="570"/>
      <c r="Y112" s="570"/>
    </row>
    <row r="113" spans="1:26" ht="60" customHeight="1" x14ac:dyDescent="0.3">
      <c r="A113" s="571">
        <f>'Unit Data from Audit Worksheet'!A126</f>
        <v>104</v>
      </c>
      <c r="B113" s="54" t="str">
        <f>'Unit Data from Audit Worksheet'!C126</f>
        <v>Cash Flows</v>
      </c>
      <c r="C113" s="572" t="str">
        <f>'Unit Data from Audit Worksheet'!D126</f>
        <v>Capital Outlays</v>
      </c>
      <c r="D113" s="144"/>
      <c r="E113" s="152">
        <f>'Unit Data from Audit Worksheet'!F126</f>
        <v>0</v>
      </c>
      <c r="F113" s="47"/>
      <c r="G113" s="72"/>
      <c r="H113" s="348"/>
      <c r="I113" s="38"/>
      <c r="J113" s="42">
        <v>104</v>
      </c>
      <c r="K113" s="51" t="s">
        <v>999</v>
      </c>
      <c r="L113" s="573">
        <f t="shared" si="9"/>
        <v>0</v>
      </c>
      <c r="P113" s="317"/>
      <c r="X113" s="570"/>
      <c r="Y113" s="570"/>
      <c r="Z113" s="3" t="s">
        <v>988</v>
      </c>
    </row>
    <row r="114" spans="1:26" ht="60" customHeight="1" x14ac:dyDescent="0.3">
      <c r="A114" s="571">
        <f>'Unit Data from Audit Worksheet'!A127</f>
        <v>39</v>
      </c>
      <c r="B114" s="54" t="str">
        <f>'Unit Data from Audit Worksheet'!C127</f>
        <v>Cash Flows</v>
      </c>
      <c r="C114" s="572" t="str">
        <f>'Unit Data from Audit Worksheet'!D127</f>
        <v>Principal Paid - Long-term Debt</v>
      </c>
      <c r="D114" s="144"/>
      <c r="E114" s="152">
        <f>'Unit Data from Audit Worksheet'!F127</f>
        <v>0</v>
      </c>
      <c r="F114" s="47"/>
      <c r="G114" s="72"/>
      <c r="H114" s="348"/>
      <c r="I114" s="38"/>
      <c r="J114" s="42">
        <v>39</v>
      </c>
      <c r="K114" s="51" t="s">
        <v>1000</v>
      </c>
      <c r="L114" s="573">
        <f t="shared" si="9"/>
        <v>0</v>
      </c>
      <c r="P114" s="317"/>
      <c r="X114" s="570"/>
      <c r="Y114" s="570"/>
      <c r="Z114" s="3" t="s">
        <v>988</v>
      </c>
    </row>
    <row r="115" spans="1:26" ht="60" customHeight="1" x14ac:dyDescent="0.3">
      <c r="A115" s="336">
        <f>'Unit Data from Audit Worksheet'!A131</f>
        <v>596</v>
      </c>
      <c r="B115" s="350"/>
      <c r="C115" s="335" t="str">
        <f>'Unit Data from Audit Worksheet'!D131</f>
        <v>Indicate if your water/sewer system:
50 - Became Operational
51 - Ceased Operations
52 - No Change</v>
      </c>
      <c r="D115" s="144"/>
      <c r="E115" s="356">
        <f>'Unit Data from Audit Worksheet'!F131</f>
        <v>0</v>
      </c>
      <c r="F115" s="349"/>
      <c r="G115" s="349"/>
      <c r="H115" s="348">
        <f>'Unit Data from Audit Worksheet'!I131</f>
        <v>0</v>
      </c>
      <c r="I115" s="38"/>
      <c r="J115" s="347">
        <v>596</v>
      </c>
      <c r="K115" s="346" t="s">
        <v>357</v>
      </c>
      <c r="L115" s="573">
        <f t="shared" si="9"/>
        <v>0</v>
      </c>
      <c r="P115" s="318"/>
      <c r="W115" s="3" t="b">
        <f t="shared" si="10"/>
        <v>1</v>
      </c>
      <c r="X115" s="570">
        <f t="shared" si="1"/>
        <v>0</v>
      </c>
      <c r="Y115" s="570">
        <f t="shared" si="2"/>
        <v>0</v>
      </c>
    </row>
    <row r="116" spans="1:26" ht="43.2" x14ac:dyDescent="0.3">
      <c r="A116" s="336">
        <f>'Unit Data from Audit Worksheet'!A132</f>
        <v>80</v>
      </c>
      <c r="B116" s="350" t="str">
        <f>'Unit Data from Audit Worksheet'!C132</f>
        <v>Water Sewer Net Position Statement</v>
      </c>
      <c r="C116" s="335" t="str">
        <f>'Unit Data from Audit Worksheet'!D132</f>
        <v>Unrestricted Cash and investments 
Exclude restricted cash and/or restricted investments.</v>
      </c>
      <c r="D116" s="144"/>
      <c r="E116" s="356">
        <f>'Unit Data from Audit Worksheet'!F132</f>
        <v>0</v>
      </c>
      <c r="F116" s="349">
        <f>IF(L116&lt;0,"Error: Number is normally positive.",)</f>
        <v>0</v>
      </c>
      <c r="G116" s="349" t="e">
        <f>'Unit Data from Audit Worksheet'!G132</f>
        <v>#N/A</v>
      </c>
      <c r="H116" s="348">
        <f>'Unit Data from Audit Worksheet'!I132</f>
        <v>0</v>
      </c>
      <c r="I116" s="38"/>
      <c r="J116" s="347">
        <v>80</v>
      </c>
      <c r="K116" s="346" t="s">
        <v>218</v>
      </c>
      <c r="L116" s="573">
        <f t="shared" si="9"/>
        <v>0</v>
      </c>
      <c r="P116" s="318"/>
      <c r="W116" s="3" t="b">
        <f t="shared" si="10"/>
        <v>1</v>
      </c>
      <c r="X116" s="570">
        <f t="shared" si="1"/>
        <v>0</v>
      </c>
      <c r="Y116" s="570">
        <f t="shared" si="2"/>
        <v>0</v>
      </c>
    </row>
    <row r="117" spans="1:26" ht="43.2" x14ac:dyDescent="0.3">
      <c r="A117" s="336">
        <f>'Unit Data from Audit Worksheet'!A133</f>
        <v>81</v>
      </c>
      <c r="B117" s="350" t="str">
        <f>'Unit Data from Audit Worksheet'!C133</f>
        <v>Water Sewer Net Position Statement</v>
      </c>
      <c r="C117" s="335" t="str">
        <f>'Unit Data from Audit Worksheet'!D133</f>
        <v>Customer accounts receivable (net of allowance accounts). 
Include both billed and unbilled amounts.</v>
      </c>
      <c r="D117" s="144"/>
      <c r="E117" s="356">
        <f>'Unit Data from Audit Worksheet'!F133</f>
        <v>0</v>
      </c>
      <c r="F117" s="349">
        <f>IF(L117&lt;0,"Error: Number is normally positive.",)</f>
        <v>0</v>
      </c>
      <c r="G117" s="351"/>
      <c r="H117" s="348">
        <f>'Unit Data from Audit Worksheet'!I133</f>
        <v>0</v>
      </c>
      <c r="I117" s="38"/>
      <c r="J117" s="347">
        <v>81</v>
      </c>
      <c r="K117" s="346" t="s">
        <v>219</v>
      </c>
      <c r="L117" s="573">
        <f t="shared" si="9"/>
        <v>0</v>
      </c>
      <c r="P117" s="318"/>
      <c r="W117" s="3" t="b">
        <f t="shared" si="10"/>
        <v>1</v>
      </c>
      <c r="X117" s="570">
        <f t="shared" ref="X117:X181" si="12">E117-L117</f>
        <v>0</v>
      </c>
      <c r="Y117" s="570">
        <f t="shared" ref="Y117:Y181" si="13">D117-L117</f>
        <v>0</v>
      </c>
    </row>
    <row r="118" spans="1:26" ht="68.25" customHeight="1" x14ac:dyDescent="0.3">
      <c r="A118" s="336">
        <f>'Unit Data from Audit Worksheet'!A134</f>
        <v>579</v>
      </c>
      <c r="B118" s="350" t="str">
        <f>'Unit Data from Audit Worksheet'!C134</f>
        <v>Water Sewer Net Position Statement</v>
      </c>
      <c r="C118" s="335" t="str">
        <f>'Unit Data from Audit Worksheet'!D134</f>
        <v>Water Sewer - Advance To:
Interfund loan receivable-portion of repayment plan longer than 12 months</v>
      </c>
      <c r="D118" s="144"/>
      <c r="E118" s="356">
        <f>'Unit Data from Audit Worksheet'!F134</f>
        <v>0</v>
      </c>
      <c r="F118" s="349"/>
      <c r="G118" s="351"/>
      <c r="H118" s="348"/>
      <c r="I118" s="38"/>
      <c r="J118" s="347">
        <v>579</v>
      </c>
      <c r="K118" s="346" t="s">
        <v>336</v>
      </c>
      <c r="L118" s="573">
        <f t="shared" si="9"/>
        <v>0</v>
      </c>
      <c r="N118" s="597"/>
      <c r="P118" s="318"/>
      <c r="W118" s="3" t="b">
        <f t="shared" si="10"/>
        <v>1</v>
      </c>
      <c r="X118" s="570">
        <f t="shared" si="12"/>
        <v>0</v>
      </c>
      <c r="Y118" s="570">
        <f t="shared" si="13"/>
        <v>0</v>
      </c>
    </row>
    <row r="119" spans="1:26" ht="47.25" customHeight="1" x14ac:dyDescent="0.3">
      <c r="A119" s="336">
        <f>'Unit Data from Audit Worksheet'!A135</f>
        <v>510</v>
      </c>
      <c r="B119" s="350" t="str">
        <f>'Unit Data from Audit Worksheet'!C135</f>
        <v>Water Sewer Net Position Statement</v>
      </c>
      <c r="C119" s="335" t="str">
        <f>'Unit Data from Audit Worksheet'!D135</f>
        <v>Amount of Inventories and Prepaid expenses in current assets</v>
      </c>
      <c r="D119" s="144"/>
      <c r="E119" s="356">
        <f>'Unit Data from Audit Worksheet'!F135</f>
        <v>0</v>
      </c>
      <c r="F119" s="349"/>
      <c r="G119" s="351"/>
      <c r="H119" s="348">
        <f>'Unit Data from Audit Worksheet'!I135</f>
        <v>0</v>
      </c>
      <c r="I119" s="38"/>
      <c r="J119" s="347">
        <v>510</v>
      </c>
      <c r="K119" s="346" t="s">
        <v>220</v>
      </c>
      <c r="L119" s="573">
        <f t="shared" si="9"/>
        <v>0</v>
      </c>
      <c r="P119" s="318"/>
      <c r="W119" s="3" t="b">
        <f t="shared" si="10"/>
        <v>1</v>
      </c>
      <c r="X119" s="570">
        <f t="shared" si="12"/>
        <v>0</v>
      </c>
      <c r="Y119" s="570">
        <f t="shared" si="13"/>
        <v>0</v>
      </c>
    </row>
    <row r="120" spans="1:26" ht="43.2" x14ac:dyDescent="0.3">
      <c r="A120" s="336">
        <f>'Unit Data from Audit Worksheet'!A136</f>
        <v>654</v>
      </c>
      <c r="B120" s="350" t="str">
        <f>'Unit Data from Audit Worksheet'!C136</f>
        <v>Water Sewer Net Position Statement</v>
      </c>
      <c r="C120" s="335" t="str">
        <f>'Unit Data from Audit Worksheet'!D136</f>
        <v xml:space="preserve">Total Current assets as listed on the WS Net Position Statement.  
</v>
      </c>
      <c r="D120" s="144"/>
      <c r="E120" s="356">
        <f>'Unit Data from Audit Worksheet'!F136</f>
        <v>0</v>
      </c>
      <c r="F120" s="349">
        <f>IF((+L116+L117+L119)&gt;L120,"Please review components of current assets above Acct. (80+81+510&gt;654",)</f>
        <v>0</v>
      </c>
      <c r="G120" s="351" t="str">
        <f>IF(Q120=1," Included in error count"," ")</f>
        <v xml:space="preserve"> </v>
      </c>
      <c r="H120" s="348">
        <f>'Unit Data from Audit Worksheet'!I136</f>
        <v>0</v>
      </c>
      <c r="I120" s="38"/>
      <c r="J120" s="347">
        <v>654</v>
      </c>
      <c r="K120" s="353" t="s">
        <v>479</v>
      </c>
      <c r="L120" s="573">
        <f t="shared" si="9"/>
        <v>0</v>
      </c>
      <c r="P120" s="318"/>
      <c r="Q120" s="563">
        <f>IF((+L116+L117+L119)&gt;L120,1,0)</f>
        <v>0</v>
      </c>
      <c r="W120" s="3" t="b">
        <f t="shared" si="10"/>
        <v>1</v>
      </c>
      <c r="X120" s="570">
        <f t="shared" si="12"/>
        <v>0</v>
      </c>
      <c r="Y120" s="570">
        <f t="shared" si="13"/>
        <v>0</v>
      </c>
    </row>
    <row r="121" spans="1:26" ht="43.2" x14ac:dyDescent="0.3">
      <c r="A121" s="336">
        <f>'Unit Data from Audit Worksheet'!A137</f>
        <v>655</v>
      </c>
      <c r="B121" s="350" t="str">
        <f>'Unit Data from Audit Worksheet'!C137</f>
        <v>Water Sewer Net Position Statement</v>
      </c>
      <c r="C121" s="335" t="str">
        <f>'Unit Data from Audit Worksheet'!D137</f>
        <v>WS-Any current assets that are restricted (Cash, Accounts Rec., etc..) and included in account 654 above</v>
      </c>
      <c r="D121" s="144"/>
      <c r="E121" s="356">
        <f>'Unit Data from Audit Worksheet'!F137</f>
        <v>0</v>
      </c>
      <c r="F121" s="349"/>
      <c r="G121" s="351"/>
      <c r="H121" s="348"/>
      <c r="I121" s="38"/>
      <c r="J121" s="347">
        <v>655</v>
      </c>
      <c r="K121" s="353" t="s">
        <v>520</v>
      </c>
      <c r="L121" s="573">
        <f t="shared" si="9"/>
        <v>0</v>
      </c>
      <c r="P121" s="318"/>
      <c r="W121" s="3" t="b">
        <f t="shared" si="10"/>
        <v>1</v>
      </c>
      <c r="X121" s="570">
        <f t="shared" si="12"/>
        <v>0</v>
      </c>
      <c r="Y121" s="570">
        <f t="shared" si="13"/>
        <v>0</v>
      </c>
    </row>
    <row r="122" spans="1:26" ht="42.75" customHeight="1" x14ac:dyDescent="0.3">
      <c r="A122" s="336">
        <f>'Unit Data from Audit Worksheet'!A138</f>
        <v>381</v>
      </c>
      <c r="B122" s="350" t="str">
        <f>'Unit Data from Audit Worksheet'!C138</f>
        <v>Water Sewer Net Position Statement</v>
      </c>
      <c r="C122" s="335" t="str">
        <f>'Unit Data from Audit Worksheet'!D138</f>
        <v>Total Assets and deferred outflows</v>
      </c>
      <c r="D122" s="144"/>
      <c r="E122" s="356">
        <f>'Unit Data from Audit Worksheet'!F138</f>
        <v>0</v>
      </c>
      <c r="F122" s="349" t="str">
        <f>IF(L122&lt;L120,"Please review components of current assets above acct. 381&lt;654"," ")</f>
        <v xml:space="preserve"> </v>
      </c>
      <c r="G122" s="351" t="str">
        <f>IF(Q122=1," Included in error count"," ")</f>
        <v xml:space="preserve"> </v>
      </c>
      <c r="H122" s="348">
        <f>'Unit Data from Audit Worksheet'!I138</f>
        <v>0</v>
      </c>
      <c r="I122" s="38"/>
      <c r="J122" s="347">
        <v>381</v>
      </c>
      <c r="K122" s="346" t="s">
        <v>113</v>
      </c>
      <c r="L122" s="573">
        <f t="shared" si="9"/>
        <v>0</v>
      </c>
      <c r="P122" s="318"/>
      <c r="Q122" s="563">
        <f>IF(L122&lt;L120,1,0)</f>
        <v>0</v>
      </c>
      <c r="W122" s="3" t="b">
        <f t="shared" si="10"/>
        <v>1</v>
      </c>
      <c r="X122" s="570">
        <f t="shared" si="12"/>
        <v>0</v>
      </c>
      <c r="Y122" s="570">
        <f t="shared" si="13"/>
        <v>0</v>
      </c>
    </row>
    <row r="123" spans="1:26" ht="60.75" customHeight="1" x14ac:dyDescent="0.3">
      <c r="A123" s="585">
        <f>'Unit Data from Audit Worksheet'!A139</f>
        <v>578</v>
      </c>
      <c r="B123" s="117" t="str">
        <f>'Unit Data from Audit Worksheet'!C139</f>
        <v>Water Sewer Net Position Statement</v>
      </c>
      <c r="C123" s="575"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337</v>
      </c>
      <c r="L123" s="573">
        <f t="shared" si="9"/>
        <v>0</v>
      </c>
      <c r="P123" s="319"/>
      <c r="Q123" s="352"/>
      <c r="W123" s="3" t="b">
        <f t="shared" si="10"/>
        <v>1</v>
      </c>
      <c r="X123" s="570">
        <f t="shared" si="12"/>
        <v>0</v>
      </c>
      <c r="Y123" s="570">
        <f t="shared" si="13"/>
        <v>0</v>
      </c>
    </row>
    <row r="124" spans="1:26" s="18" customFormat="1" ht="104.25" customHeight="1" x14ac:dyDescent="0.3">
      <c r="A124" s="308">
        <v>633</v>
      </c>
      <c r="B124" s="363" t="str">
        <f>'Unit Data from Audit Worksheet'!C140</f>
        <v>Water Sewer Net Position Statement</v>
      </c>
      <c r="C124" s="308"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2">
        <f>'Unit Data from Audit Worksheet'!F140</f>
        <v>0</v>
      </c>
      <c r="F124" s="344" t="str">
        <f>IF(L124&gt;=(L125+L126+L127+L128+L129+L130),"","Account 633 is less than the total sum of accounts 634 through 638 + 383")</f>
        <v/>
      </c>
      <c r="G124" s="329">
        <f>L124-(L125+L126+L127+L128+L129+L130)</f>
        <v>0</v>
      </c>
      <c r="H124" s="344"/>
      <c r="I124" s="586"/>
      <c r="J124" s="343">
        <v>633</v>
      </c>
      <c r="K124" s="311" t="s">
        <v>424</v>
      </c>
      <c r="L124" s="587">
        <f>IF(D124="",E124,D124)</f>
        <v>0</v>
      </c>
      <c r="M124" s="577"/>
      <c r="N124" s="577"/>
      <c r="O124" s="577"/>
      <c r="P124" s="320"/>
      <c r="Q124" s="578"/>
      <c r="R124" s="3"/>
      <c r="S124" s="577"/>
      <c r="T124" s="577"/>
      <c r="U124" s="577"/>
      <c r="V124" s="577"/>
      <c r="W124" s="18" t="b">
        <f t="shared" si="10"/>
        <v>1</v>
      </c>
      <c r="X124" s="579">
        <f t="shared" si="12"/>
        <v>0</v>
      </c>
      <c r="Y124" s="579">
        <f t="shared" si="13"/>
        <v>0</v>
      </c>
    </row>
    <row r="125" spans="1:26" s="18" customFormat="1" ht="130.5" customHeight="1" x14ac:dyDescent="0.3">
      <c r="A125" s="308">
        <v>634</v>
      </c>
      <c r="B125" s="363" t="str">
        <f>'Unit Data from Audit Worksheet'!C141</f>
        <v>Water Sewer Net Position Statement</v>
      </c>
      <c r="C125" s="308"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2">
        <f>'Unit Data from Audit Worksheet'!F141</f>
        <v>0</v>
      </c>
      <c r="F125" s="344"/>
      <c r="G125" s="329"/>
      <c r="H125" s="344"/>
      <c r="I125" s="586"/>
      <c r="J125" s="343">
        <v>634</v>
      </c>
      <c r="K125" s="311" t="s">
        <v>425</v>
      </c>
      <c r="L125" s="587">
        <f>IF(D125="",E125,D125)</f>
        <v>0</v>
      </c>
      <c r="M125" s="577"/>
      <c r="N125" s="577"/>
      <c r="O125" s="577"/>
      <c r="P125" s="320"/>
      <c r="Q125" s="578"/>
      <c r="R125" s="3"/>
      <c r="S125" s="577"/>
      <c r="T125" s="577"/>
      <c r="U125" s="577"/>
      <c r="V125" s="577"/>
      <c r="W125" s="18" t="b">
        <f t="shared" si="10"/>
        <v>1</v>
      </c>
      <c r="X125" s="579">
        <f t="shared" si="12"/>
        <v>0</v>
      </c>
      <c r="Y125" s="579">
        <f t="shared" si="13"/>
        <v>0</v>
      </c>
    </row>
    <row r="126" spans="1:26" s="18" customFormat="1" ht="105.75" customHeight="1" x14ac:dyDescent="0.3">
      <c r="A126" s="308">
        <v>635</v>
      </c>
      <c r="B126" s="363" t="str">
        <f>'Unit Data from Audit Worksheet'!C142</f>
        <v>Water Sewer Net Position Statement</v>
      </c>
      <c r="C126" s="308"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2">
        <f>'Unit Data from Audit Worksheet'!F142</f>
        <v>0</v>
      </c>
      <c r="F126" s="344"/>
      <c r="G126" s="329"/>
      <c r="H126" s="344"/>
      <c r="I126" s="586"/>
      <c r="J126" s="343">
        <v>635</v>
      </c>
      <c r="K126" s="311" t="s">
        <v>426</v>
      </c>
      <c r="L126" s="587">
        <f>IF(D126="",E126,D126)</f>
        <v>0</v>
      </c>
      <c r="M126" s="577"/>
      <c r="N126" s="577"/>
      <c r="O126" s="577"/>
      <c r="P126" s="320"/>
      <c r="Q126" s="578"/>
      <c r="R126" s="3"/>
      <c r="S126" s="577"/>
      <c r="T126" s="577"/>
      <c r="U126" s="577"/>
      <c r="V126" s="577"/>
      <c r="W126" s="18" t="b">
        <f t="shared" si="10"/>
        <v>1</v>
      </c>
      <c r="X126" s="579">
        <f t="shared" si="12"/>
        <v>0</v>
      </c>
      <c r="Y126" s="579">
        <f t="shared" si="13"/>
        <v>0</v>
      </c>
    </row>
    <row r="127" spans="1:26" s="18" customFormat="1" ht="105.75" customHeight="1" x14ac:dyDescent="0.3">
      <c r="A127" s="308">
        <v>636</v>
      </c>
      <c r="B127" s="363" t="str">
        <f>'Unit Data from Audit Worksheet'!C143</f>
        <v>Water Sewer Net Position Statement</v>
      </c>
      <c r="C127" s="308"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2">
        <f>'Unit Data from Audit Worksheet'!F143</f>
        <v>0</v>
      </c>
      <c r="F127" s="344"/>
      <c r="G127" s="329"/>
      <c r="H127" s="344"/>
      <c r="I127" s="586"/>
      <c r="J127" s="343">
        <v>636</v>
      </c>
      <c r="K127" s="311" t="s">
        <v>421</v>
      </c>
      <c r="L127" s="587">
        <f t="shared" ref="L127:L137" si="14">IF(D127="",E127,D127)</f>
        <v>0</v>
      </c>
      <c r="M127" s="577"/>
      <c r="N127" s="577"/>
      <c r="O127" s="577"/>
      <c r="P127" s="320"/>
      <c r="Q127" s="578"/>
      <c r="R127" s="3"/>
      <c r="S127" s="577"/>
      <c r="T127" s="577"/>
      <c r="U127" s="577"/>
      <c r="V127" s="577"/>
      <c r="W127" s="18" t="b">
        <f t="shared" si="10"/>
        <v>1</v>
      </c>
      <c r="X127" s="579">
        <f t="shared" si="12"/>
        <v>0</v>
      </c>
      <c r="Y127" s="579">
        <f t="shared" si="13"/>
        <v>0</v>
      </c>
    </row>
    <row r="128" spans="1:26" s="18" customFormat="1" ht="59.25" customHeight="1" x14ac:dyDescent="0.3">
      <c r="A128" s="308">
        <v>637</v>
      </c>
      <c r="B128" s="363" t="str">
        <f>'Unit Data from Audit Worksheet'!C144</f>
        <v>Water Sewer Net Position Statement</v>
      </c>
      <c r="C128" s="308" t="str">
        <f>'Unit Data from Audit Worksheet'!D144</f>
        <v>Please enter any current liabilities that are payable from restricted assets and included in account 633 above.
Enter as positive</v>
      </c>
      <c r="D128" s="110"/>
      <c r="E128" s="362">
        <f>'Unit Data from Audit Worksheet'!F144</f>
        <v>0</v>
      </c>
      <c r="F128" s="344"/>
      <c r="G128" s="329"/>
      <c r="H128" s="344"/>
      <c r="I128" s="586"/>
      <c r="J128" s="343">
        <v>637</v>
      </c>
      <c r="K128" s="311" t="s">
        <v>422</v>
      </c>
      <c r="L128" s="587">
        <f t="shared" si="14"/>
        <v>0</v>
      </c>
      <c r="M128" s="577"/>
      <c r="N128" s="577"/>
      <c r="O128" s="577"/>
      <c r="P128" s="320"/>
      <c r="Q128" s="578"/>
      <c r="R128" s="3"/>
      <c r="S128" s="577"/>
      <c r="T128" s="577"/>
      <c r="U128" s="577"/>
      <c r="V128" s="577"/>
      <c r="W128" s="18" t="b">
        <f t="shared" si="10"/>
        <v>1</v>
      </c>
      <c r="X128" s="579">
        <f t="shared" si="12"/>
        <v>0</v>
      </c>
      <c r="Y128" s="579">
        <f t="shared" si="13"/>
        <v>0</v>
      </c>
    </row>
    <row r="129" spans="1:25" s="18" customFormat="1" ht="103.5" customHeight="1" x14ac:dyDescent="0.3">
      <c r="A129" s="308">
        <v>638</v>
      </c>
      <c r="B129" s="363" t="str">
        <f>'Unit Data from Audit Worksheet'!C145</f>
        <v>Water Sewer Net Position Statement</v>
      </c>
      <c r="C129" s="308"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2">
        <f>'Unit Data from Audit Worksheet'!F145</f>
        <v>0</v>
      </c>
      <c r="F129" s="344"/>
      <c r="G129" s="329"/>
      <c r="H129" s="344"/>
      <c r="I129" s="586"/>
      <c r="J129" s="343">
        <v>638</v>
      </c>
      <c r="K129" s="311" t="s">
        <v>427</v>
      </c>
      <c r="L129" s="587">
        <f t="shared" si="14"/>
        <v>0</v>
      </c>
      <c r="M129" s="577"/>
      <c r="N129" s="577"/>
      <c r="O129" s="577"/>
      <c r="P129" s="320"/>
      <c r="Q129" s="578"/>
      <c r="R129" s="3"/>
      <c r="S129" s="577"/>
      <c r="T129" s="577"/>
      <c r="U129" s="577"/>
      <c r="V129" s="577"/>
      <c r="W129" s="18" t="b">
        <f t="shared" si="10"/>
        <v>1</v>
      </c>
      <c r="X129" s="579">
        <f t="shared" si="12"/>
        <v>0</v>
      </c>
      <c r="Y129" s="579">
        <f t="shared" si="13"/>
        <v>0</v>
      </c>
    </row>
    <row r="130" spans="1:25" ht="76.5" customHeight="1" x14ac:dyDescent="0.3">
      <c r="A130" s="571">
        <f>'Unit Data from Audit Worksheet'!A146</f>
        <v>383</v>
      </c>
      <c r="B130" s="54" t="str">
        <f>'Unit Data from Audit Worksheet'!C146</f>
        <v>Water Sewer Net Position Statement</v>
      </c>
      <c r="C130" s="572"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48">
        <f>'Unit Data from Audit Worksheet'!I146</f>
        <v>0</v>
      </c>
      <c r="I130" s="38"/>
      <c r="J130" s="42">
        <v>383</v>
      </c>
      <c r="K130" s="51" t="s">
        <v>221</v>
      </c>
      <c r="L130" s="573">
        <f t="shared" si="14"/>
        <v>0</v>
      </c>
      <c r="P130" s="317"/>
      <c r="W130" s="3" t="b">
        <f t="shared" si="10"/>
        <v>1</v>
      </c>
      <c r="X130" s="570">
        <f t="shared" si="12"/>
        <v>0</v>
      </c>
      <c r="Y130" s="570">
        <f t="shared" si="13"/>
        <v>0</v>
      </c>
    </row>
    <row r="131" spans="1:25" ht="54" customHeight="1" x14ac:dyDescent="0.3">
      <c r="A131" s="336">
        <f>'Unit Data from Audit Worksheet'!A147</f>
        <v>349</v>
      </c>
      <c r="B131" s="350" t="str">
        <f>'Unit Data from Audit Worksheet'!C147</f>
        <v>Water Sewer Net Position Statement</v>
      </c>
      <c r="C131" s="335" t="str">
        <f>'Unit Data from Audit Worksheet'!D147</f>
        <v>Total Liabilities and deferred inflows</v>
      </c>
      <c r="D131" s="144"/>
      <c r="E131" s="356">
        <f>'Unit Data from Audit Worksheet'!F147</f>
        <v>0</v>
      </c>
      <c r="F131" s="349">
        <f>IF(L124&gt;L131,"Error: Please review accts 633&gt;349",)</f>
        <v>0</v>
      </c>
      <c r="G131" s="351" t="str">
        <f>IF(Q131=1," Included in error count"," ")</f>
        <v xml:space="preserve"> </v>
      </c>
      <c r="H131" s="348">
        <f>'Unit Data from Audit Worksheet'!I147</f>
        <v>0</v>
      </c>
      <c r="I131" s="38"/>
      <c r="J131" s="347">
        <v>349</v>
      </c>
      <c r="K131" s="346" t="s">
        <v>122</v>
      </c>
      <c r="L131" s="573">
        <f t="shared" si="14"/>
        <v>0</v>
      </c>
      <c r="P131" s="318"/>
      <c r="Q131" s="563">
        <f>IF(L124&gt;L131,1,0)</f>
        <v>0</v>
      </c>
      <c r="W131" s="3" t="b">
        <f t="shared" si="10"/>
        <v>1</v>
      </c>
      <c r="X131" s="570">
        <f t="shared" si="12"/>
        <v>0</v>
      </c>
      <c r="Y131" s="570">
        <f t="shared" si="13"/>
        <v>0</v>
      </c>
    </row>
    <row r="132" spans="1:25" ht="56.25" customHeight="1" x14ac:dyDescent="0.3">
      <c r="A132" s="336">
        <f>'Unit Data from Audit Worksheet'!A148</f>
        <v>375</v>
      </c>
      <c r="B132" s="350" t="str">
        <f>'Unit Data from Audit Worksheet'!C148</f>
        <v>Water Sewer Net Position Statement</v>
      </c>
      <c r="C132" s="335" t="str">
        <f>'Unit Data from Audit Worksheet'!D148</f>
        <v>Total Net position, Unrestricted - enter negative unrestricted net position as a negative</v>
      </c>
      <c r="D132" s="144"/>
      <c r="E132" s="356">
        <f>'Unit Data from Audit Worksheet'!F148</f>
        <v>0</v>
      </c>
      <c r="F132" s="349"/>
      <c r="G132" s="351"/>
      <c r="H132" s="348">
        <f>'Unit Data from Audit Worksheet'!I148</f>
        <v>0</v>
      </c>
      <c r="I132" s="38"/>
      <c r="J132" s="347">
        <v>375</v>
      </c>
      <c r="K132" s="346" t="s">
        <v>222</v>
      </c>
      <c r="L132" s="573">
        <f t="shared" si="14"/>
        <v>0</v>
      </c>
      <c r="P132" s="318"/>
      <c r="W132" s="3" t="b">
        <f t="shared" si="10"/>
        <v>1</v>
      </c>
      <c r="X132" s="570">
        <f t="shared" si="12"/>
        <v>0</v>
      </c>
      <c r="Y132" s="570">
        <f t="shared" si="13"/>
        <v>0</v>
      </c>
    </row>
    <row r="133" spans="1:25" ht="56.25" customHeight="1" x14ac:dyDescent="0.3">
      <c r="A133" s="336">
        <f>'Unit Data from Audit Worksheet'!A149</f>
        <v>83</v>
      </c>
      <c r="B133" s="350" t="str">
        <f>'Unit Data from Audit Worksheet'!C149</f>
        <v>Water Sewer Net Position Statement</v>
      </c>
      <c r="C133" s="335" t="str">
        <f>'Unit Data from Audit Worksheet'!D149</f>
        <v>Total Net position</v>
      </c>
      <c r="D133" s="144"/>
      <c r="E133" s="356">
        <f>'Unit Data from Audit Worksheet'!F149</f>
        <v>0</v>
      </c>
      <c r="F133" s="349">
        <f>IF(+L122-L131-L133=0,,"Error: Total assets less total liabilities do not equal net position acct 381-349-83=0")</f>
        <v>0</v>
      </c>
      <c r="G133" s="91">
        <f>L122-L131-L133</f>
        <v>0</v>
      </c>
      <c r="H133" s="348">
        <f>'Unit Data from Audit Worksheet'!I149</f>
        <v>0</v>
      </c>
      <c r="I133" s="38"/>
      <c r="J133" s="347">
        <v>83</v>
      </c>
      <c r="K133" s="346" t="s">
        <v>102</v>
      </c>
      <c r="L133" s="573">
        <f t="shared" si="14"/>
        <v>0</v>
      </c>
      <c r="O133" s="581" t="e">
        <f>'Unit Data from Audit Worksheet'!E149</f>
        <v>#N/A</v>
      </c>
      <c r="P133" s="318"/>
      <c r="Q133" s="563">
        <f>IF(G133&lt;&gt;0,1,0)</f>
        <v>0</v>
      </c>
      <c r="W133" s="3" t="b">
        <f t="shared" ref="W133:W164" si="15">EXACT(A133,J133)</f>
        <v>1</v>
      </c>
      <c r="X133" s="570">
        <f t="shared" si="12"/>
        <v>0</v>
      </c>
      <c r="Y133" s="570">
        <f t="shared" si="13"/>
        <v>0</v>
      </c>
    </row>
    <row r="134" spans="1:25" ht="56.25" customHeight="1" x14ac:dyDescent="0.3">
      <c r="A134" s="336">
        <f>'Unit Data from Audit Worksheet'!A151</f>
        <v>90</v>
      </c>
      <c r="B134" s="350" t="str">
        <f>'Unit Data from Audit Worksheet'!C151</f>
        <v>Electric Fund Net Position Statement</v>
      </c>
      <c r="C134" s="335" t="str">
        <f>'Unit Data from Audit Worksheet'!D151</f>
        <v>All Unrestricted Cash and Investments.  
Exclude any restricted cash and investments.</v>
      </c>
      <c r="D134" s="144"/>
      <c r="E134" s="356">
        <f>'Unit Data from Audit Worksheet'!F151</f>
        <v>0</v>
      </c>
      <c r="F134" s="349">
        <f>IF(L134&lt;0,"Error: Number is normally positive.",)</f>
        <v>0</v>
      </c>
      <c r="G134" s="351"/>
      <c r="H134" s="348">
        <f>'Unit Data from Audit Worksheet'!I151</f>
        <v>0</v>
      </c>
      <c r="I134" s="38"/>
      <c r="J134" s="347">
        <v>90</v>
      </c>
      <c r="K134" s="346" t="s">
        <v>223</v>
      </c>
      <c r="L134" s="573">
        <f t="shared" si="14"/>
        <v>0</v>
      </c>
      <c r="P134" s="318"/>
      <c r="W134" s="3" t="b">
        <f t="shared" si="15"/>
        <v>1</v>
      </c>
      <c r="X134" s="570">
        <f t="shared" si="12"/>
        <v>0</v>
      </c>
      <c r="Y134" s="570">
        <f t="shared" si="13"/>
        <v>0</v>
      </c>
    </row>
    <row r="135" spans="1:25" ht="56.25" customHeight="1" x14ac:dyDescent="0.3">
      <c r="A135" s="336">
        <f>'Unit Data from Audit Worksheet'!A152</f>
        <v>91</v>
      </c>
      <c r="B135" s="350" t="str">
        <f>'Unit Data from Audit Worksheet'!C152</f>
        <v>Electric Fund Net Position Statement</v>
      </c>
      <c r="C135" s="335" t="str">
        <f>'Unit Data from Audit Worksheet'!D152</f>
        <v xml:space="preserve">Customer accounts receivable (net of allowance accounts)
Include billed and unbilled amounts </v>
      </c>
      <c r="D135" s="144"/>
      <c r="E135" s="356">
        <f>'Unit Data from Audit Worksheet'!F152</f>
        <v>0</v>
      </c>
      <c r="F135" s="349">
        <f>IF(L135&lt;0,"Error: Number is normally positive.",)</f>
        <v>0</v>
      </c>
      <c r="G135" s="351"/>
      <c r="H135" s="348">
        <f>'Unit Data from Audit Worksheet'!I152</f>
        <v>0</v>
      </c>
      <c r="I135" s="38"/>
      <c r="J135" s="347">
        <v>91</v>
      </c>
      <c r="K135" s="346" t="s">
        <v>224</v>
      </c>
      <c r="L135" s="573">
        <f t="shared" si="14"/>
        <v>0</v>
      </c>
      <c r="P135" s="318"/>
      <c r="W135" s="3" t="b">
        <f t="shared" si="15"/>
        <v>1</v>
      </c>
      <c r="X135" s="570">
        <f t="shared" si="12"/>
        <v>0</v>
      </c>
      <c r="Y135" s="570">
        <f t="shared" si="13"/>
        <v>0</v>
      </c>
    </row>
    <row r="136" spans="1:25" ht="56.25" customHeight="1" x14ac:dyDescent="0.3">
      <c r="A136" s="336">
        <f>'Unit Data from Audit Worksheet'!A153</f>
        <v>581</v>
      </c>
      <c r="B136" s="350" t="str">
        <f>'Unit Data from Audit Worksheet'!C153</f>
        <v>Electric Fund Net Position Statement</v>
      </c>
      <c r="C136" s="335" t="str">
        <f>'Unit Data from Audit Worksheet'!D153</f>
        <v>Electric Fund - Advance To:
Interfund loan receivable-portion of repayment plan longer than 12 months</v>
      </c>
      <c r="D136" s="144"/>
      <c r="E136" s="356">
        <f>'Unit Data from Audit Worksheet'!F153</f>
        <v>0</v>
      </c>
      <c r="F136" s="349"/>
      <c r="G136" s="351"/>
      <c r="H136" s="348"/>
      <c r="I136" s="38"/>
      <c r="J136" s="347">
        <v>581</v>
      </c>
      <c r="K136" s="346" t="s">
        <v>338</v>
      </c>
      <c r="L136" s="573">
        <f t="shared" si="14"/>
        <v>0</v>
      </c>
      <c r="P136" s="318"/>
      <c r="W136" s="3" t="b">
        <f t="shared" si="15"/>
        <v>1</v>
      </c>
      <c r="X136" s="570">
        <f t="shared" si="12"/>
        <v>0</v>
      </c>
      <c r="Y136" s="570">
        <f t="shared" si="13"/>
        <v>0</v>
      </c>
    </row>
    <row r="137" spans="1:25" ht="56.25" customHeight="1" x14ac:dyDescent="0.3">
      <c r="A137" s="336">
        <f>'Unit Data from Audit Worksheet'!A154</f>
        <v>511</v>
      </c>
      <c r="B137" s="350" t="str">
        <f>'Unit Data from Audit Worksheet'!C154</f>
        <v>Electric Fund Net Position Statement</v>
      </c>
      <c r="C137" s="335" t="str">
        <f>'Unit Data from Audit Worksheet'!D154</f>
        <v>Amount of inventories and prepaids</v>
      </c>
      <c r="D137" s="144"/>
      <c r="E137" s="356">
        <f>'Unit Data from Audit Worksheet'!F154</f>
        <v>0</v>
      </c>
      <c r="F137" s="349">
        <f t="shared" ref="F137:F142" si="16">IF(L137&lt;0,"Error: Number is normally positive.",)</f>
        <v>0</v>
      </c>
      <c r="G137" s="351"/>
      <c r="H137" s="348">
        <f>'Unit Data from Audit Worksheet'!I154</f>
        <v>0</v>
      </c>
      <c r="I137" s="38"/>
      <c r="J137" s="347">
        <v>511</v>
      </c>
      <c r="K137" s="346" t="s">
        <v>225</v>
      </c>
      <c r="L137" s="573">
        <f t="shared" si="14"/>
        <v>0</v>
      </c>
      <c r="P137" s="318"/>
      <c r="W137" s="3" t="b">
        <f t="shared" si="15"/>
        <v>1</v>
      </c>
      <c r="X137" s="570">
        <f t="shared" si="12"/>
        <v>0</v>
      </c>
      <c r="Y137" s="570">
        <f t="shared" si="13"/>
        <v>0</v>
      </c>
    </row>
    <row r="138" spans="1:25" ht="62.25" customHeight="1" x14ac:dyDescent="0.3">
      <c r="A138" s="336">
        <f>'Unit Data from Audit Worksheet'!A155</f>
        <v>657</v>
      </c>
      <c r="B138" s="350" t="str">
        <f>'Unit Data from Audit Worksheet'!C155</f>
        <v>Electric Fund Net Position Statement</v>
      </c>
      <c r="C138" s="335" t="str">
        <f>'Unit Data from Audit Worksheet'!D155</f>
        <v xml:space="preserve">Total Current assets as listed on the Electric Net Position Statement.  
</v>
      </c>
      <c r="D138" s="144"/>
      <c r="E138" s="356">
        <f>'Unit Data from Audit Worksheet'!F155</f>
        <v>0</v>
      </c>
      <c r="F138" s="349">
        <f t="shared" si="16"/>
        <v>0</v>
      </c>
      <c r="G138" s="351"/>
      <c r="H138" s="348">
        <f>'Unit Data from Audit Worksheet'!I155</f>
        <v>0</v>
      </c>
      <c r="I138" s="38"/>
      <c r="J138" s="347">
        <v>657</v>
      </c>
      <c r="K138" s="346" t="s">
        <v>484</v>
      </c>
      <c r="L138" s="587">
        <f>IF(D138="",E138,D138)</f>
        <v>0</v>
      </c>
      <c r="P138" s="318"/>
      <c r="Q138" s="563">
        <f>IF((L134+L135+L137)&gt;L140,1,0)</f>
        <v>0</v>
      </c>
      <c r="W138" s="3" t="b">
        <f t="shared" si="15"/>
        <v>1</v>
      </c>
      <c r="X138" s="570">
        <f t="shared" si="12"/>
        <v>0</v>
      </c>
      <c r="Y138" s="570">
        <f t="shared" si="13"/>
        <v>0</v>
      </c>
    </row>
    <row r="139" spans="1:25" ht="62.25" customHeight="1" x14ac:dyDescent="0.3">
      <c r="A139" s="336">
        <f>'Unit Data from Audit Worksheet'!A156</f>
        <v>658</v>
      </c>
      <c r="B139" s="350" t="str">
        <f>'Unit Data from Audit Worksheet'!C156</f>
        <v>Electric Fund Net Position Statement</v>
      </c>
      <c r="C139" s="335" t="str">
        <f>'Unit Data from Audit Worksheet'!D156</f>
        <v>Electric-Any current assets that are restricted (Cash, Accounts Rec., etc..) and included in account 657 above</v>
      </c>
      <c r="D139" s="144"/>
      <c r="E139" s="356">
        <f>'Unit Data from Audit Worksheet'!F156</f>
        <v>0</v>
      </c>
      <c r="F139" s="349">
        <f t="shared" si="16"/>
        <v>0</v>
      </c>
      <c r="G139" s="351"/>
      <c r="H139" s="348"/>
      <c r="I139" s="38"/>
      <c r="J139" s="347">
        <v>658</v>
      </c>
      <c r="K139" s="346" t="s">
        <v>519</v>
      </c>
      <c r="L139" s="587">
        <f>IF(D139="",E139,D139)</f>
        <v>0</v>
      </c>
      <c r="P139" s="318"/>
      <c r="W139" s="3" t="b">
        <f t="shared" si="15"/>
        <v>1</v>
      </c>
      <c r="X139" s="570">
        <f t="shared" si="12"/>
        <v>0</v>
      </c>
      <c r="Y139" s="570">
        <f t="shared" si="13"/>
        <v>0</v>
      </c>
    </row>
    <row r="140" spans="1:25" ht="39.75" customHeight="1" x14ac:dyDescent="0.3">
      <c r="A140" s="336">
        <f>'Unit Data from Audit Worksheet'!A157</f>
        <v>382</v>
      </c>
      <c r="B140" s="350" t="str">
        <f>'Unit Data from Audit Worksheet'!C157</f>
        <v>Electric Fund Net Position Statement</v>
      </c>
      <c r="C140" s="335" t="str">
        <f>'Unit Data from Audit Worksheet'!D157</f>
        <v>Total Assets and deferred outflows</v>
      </c>
      <c r="D140" s="144"/>
      <c r="E140" s="356">
        <f>'Unit Data from Audit Worksheet'!F157</f>
        <v>0</v>
      </c>
      <c r="F140" s="349">
        <f t="shared" si="16"/>
        <v>0</v>
      </c>
      <c r="G140" s="351"/>
      <c r="H140" s="348">
        <f>'Unit Data from Audit Worksheet'!I157</f>
        <v>0</v>
      </c>
      <c r="I140" s="38"/>
      <c r="J140" s="347">
        <v>382</v>
      </c>
      <c r="K140" s="346" t="s">
        <v>114</v>
      </c>
      <c r="L140" s="573">
        <f>IF(D140="",E140,D140)</f>
        <v>0</v>
      </c>
      <c r="P140" s="318"/>
      <c r="W140" s="3" t="b">
        <f t="shared" si="15"/>
        <v>1</v>
      </c>
      <c r="X140" s="570">
        <f t="shared" si="12"/>
        <v>0</v>
      </c>
      <c r="Y140" s="570">
        <f t="shared" si="13"/>
        <v>0</v>
      </c>
    </row>
    <row r="141" spans="1:25" ht="39.75" customHeight="1" x14ac:dyDescent="0.3">
      <c r="A141" s="336">
        <f>'Unit Data from Audit Worksheet'!A158</f>
        <v>360</v>
      </c>
      <c r="B141" s="350" t="str">
        <f>'Unit Data from Audit Worksheet'!C158</f>
        <v>Electric Fund Net Position Statement</v>
      </c>
      <c r="C141" s="335" t="str">
        <f>'Unit Data from Audit Worksheet'!D158</f>
        <v>Total liabilities and total deferred inflows</v>
      </c>
      <c r="D141" s="144"/>
      <c r="E141" s="356">
        <f>'Unit Data from Audit Worksheet'!F158</f>
        <v>0</v>
      </c>
      <c r="F141" s="349">
        <f t="shared" si="16"/>
        <v>0</v>
      </c>
      <c r="G141" s="351"/>
      <c r="H141" s="348">
        <f>'Unit Data from Audit Worksheet'!I158</f>
        <v>0</v>
      </c>
      <c r="I141" s="38"/>
      <c r="J141" s="347">
        <v>360</v>
      </c>
      <c r="K141" s="109" t="s">
        <v>125</v>
      </c>
      <c r="L141" s="573">
        <f>IF(D141="",E141,D141)</f>
        <v>0</v>
      </c>
      <c r="P141" s="318"/>
      <c r="W141" s="3" t="b">
        <f t="shared" si="15"/>
        <v>1</v>
      </c>
      <c r="X141" s="570">
        <f t="shared" si="12"/>
        <v>0</v>
      </c>
      <c r="Y141" s="570">
        <f t="shared" si="13"/>
        <v>0</v>
      </c>
    </row>
    <row r="142" spans="1:25" ht="58.5" customHeight="1" x14ac:dyDescent="0.3">
      <c r="A142" s="336">
        <f>'Unit Data from Audit Worksheet'!A159</f>
        <v>580</v>
      </c>
      <c r="B142" s="350" t="str">
        <f>'Unit Data from Audit Worksheet'!C159</f>
        <v>Electric Fund Net Position Statement</v>
      </c>
      <c r="C142" s="335" t="str">
        <f>'Unit Data from Audit Worksheet'!D159</f>
        <v>Electric Fund - Advance From:
Interfund loans payable-portion of repayment plan longer than 12 months</v>
      </c>
      <c r="D142" s="144"/>
      <c r="E142" s="356">
        <f>'Unit Data from Audit Worksheet'!F159</f>
        <v>0</v>
      </c>
      <c r="F142" s="349">
        <f t="shared" si="16"/>
        <v>0</v>
      </c>
      <c r="G142" s="351"/>
      <c r="H142" s="348">
        <f>'Unit Data from Audit Worksheet'!I159</f>
        <v>0</v>
      </c>
      <c r="I142" s="38"/>
      <c r="J142" s="347">
        <v>580</v>
      </c>
      <c r="K142" s="109" t="s">
        <v>339</v>
      </c>
      <c r="L142" s="573">
        <f>IF(D142="",E142,D142)</f>
        <v>0</v>
      </c>
      <c r="N142" s="582"/>
      <c r="P142" s="318"/>
      <c r="W142" s="3" t="b">
        <f t="shared" si="15"/>
        <v>1</v>
      </c>
      <c r="X142" s="570">
        <f t="shared" si="12"/>
        <v>0</v>
      </c>
      <c r="Y142" s="570">
        <f t="shared" si="13"/>
        <v>0</v>
      </c>
    </row>
    <row r="143" spans="1:25" s="18" customFormat="1" ht="104.25" customHeight="1" x14ac:dyDescent="0.3">
      <c r="A143" s="336">
        <f>'Unit Data from Audit Worksheet'!A160</f>
        <v>639</v>
      </c>
      <c r="B143" s="350" t="str">
        <f>'Unit Data from Audit Worksheet'!C160</f>
        <v>Electric Fund Net Position Statement</v>
      </c>
      <c r="C143" s="335"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6">
        <f>'Unit Data from Audit Worksheet'!F160</f>
        <v>0</v>
      </c>
      <c r="F143" s="349" t="str">
        <f>IF(L143&gt;=(L144+L145+L146+L147+L148+L149),"","Account 639 is less than the total sum of accounts 640 through 644 + 384")</f>
        <v/>
      </c>
      <c r="G143" s="351">
        <f>L143-(L144+L145+L146+L147+L148+L149)</f>
        <v>0</v>
      </c>
      <c r="H143" s="348">
        <f>'Unit Data from Audit Worksheet'!I160</f>
        <v>0</v>
      </c>
      <c r="I143" s="38"/>
      <c r="J143" s="347">
        <v>639</v>
      </c>
      <c r="K143" s="346" t="s">
        <v>428</v>
      </c>
      <c r="L143" s="587">
        <f t="shared" ref="L143:L164" si="17">IF(D143="",E143,D143)</f>
        <v>0</v>
      </c>
      <c r="P143" s="318"/>
      <c r="Q143" s="563"/>
      <c r="R143" s="3"/>
      <c r="W143" s="18" t="b">
        <f t="shared" si="15"/>
        <v>1</v>
      </c>
      <c r="X143" s="579">
        <f t="shared" si="12"/>
        <v>0</v>
      </c>
      <c r="Y143" s="579">
        <f t="shared" si="13"/>
        <v>0</v>
      </c>
    </row>
    <row r="144" spans="1:25" s="18" customFormat="1" ht="104.25" customHeight="1" x14ac:dyDescent="0.3">
      <c r="A144" s="336">
        <f>'Unit Data from Audit Worksheet'!A161</f>
        <v>640</v>
      </c>
      <c r="B144" s="350" t="str">
        <f>'Unit Data from Audit Worksheet'!C161</f>
        <v>Electric Fund Net Position Statement</v>
      </c>
      <c r="C144" s="335"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6">
        <f>'Unit Data from Audit Worksheet'!F161</f>
        <v>0</v>
      </c>
      <c r="F144" s="349">
        <f t="shared" ref="F144:F149" si="18">IF(L144&lt;0,"Error: Number is normally positive.",)</f>
        <v>0</v>
      </c>
      <c r="G144" s="351"/>
      <c r="H144" s="348">
        <f>'Unit Data from Audit Worksheet'!I161</f>
        <v>0</v>
      </c>
      <c r="I144" s="38"/>
      <c r="J144" s="347">
        <v>640</v>
      </c>
      <c r="K144" s="346" t="s">
        <v>429</v>
      </c>
      <c r="L144" s="587">
        <f t="shared" si="17"/>
        <v>0</v>
      </c>
      <c r="P144" s="318"/>
      <c r="Q144" s="563"/>
      <c r="R144" s="3"/>
      <c r="W144" s="18" t="b">
        <f t="shared" si="15"/>
        <v>1</v>
      </c>
      <c r="X144" s="579">
        <f t="shared" si="12"/>
        <v>0</v>
      </c>
      <c r="Y144" s="579">
        <f t="shared" si="13"/>
        <v>0</v>
      </c>
    </row>
    <row r="145" spans="1:25" s="18" customFormat="1" ht="104.25" customHeight="1" x14ac:dyDescent="0.3">
      <c r="A145" s="336">
        <f>'Unit Data from Audit Worksheet'!A162</f>
        <v>641</v>
      </c>
      <c r="B145" s="350" t="str">
        <f>'Unit Data from Audit Worksheet'!C162</f>
        <v>Electric Fund Net Position Statement</v>
      </c>
      <c r="C145" s="335"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6">
        <f>'Unit Data from Audit Worksheet'!F162</f>
        <v>0</v>
      </c>
      <c r="F145" s="349">
        <f t="shared" si="18"/>
        <v>0</v>
      </c>
      <c r="G145" s="351"/>
      <c r="H145" s="348">
        <f>'Unit Data from Audit Worksheet'!I162</f>
        <v>0</v>
      </c>
      <c r="I145" s="38"/>
      <c r="J145" s="347">
        <v>641</v>
      </c>
      <c r="K145" s="346" t="s">
        <v>430</v>
      </c>
      <c r="L145" s="587">
        <f t="shared" si="17"/>
        <v>0</v>
      </c>
      <c r="P145" s="318"/>
      <c r="Q145" s="563"/>
      <c r="R145" s="3"/>
      <c r="W145" s="18" t="b">
        <f t="shared" si="15"/>
        <v>1</v>
      </c>
      <c r="X145" s="579">
        <f t="shared" si="12"/>
        <v>0</v>
      </c>
      <c r="Y145" s="579">
        <f t="shared" si="13"/>
        <v>0</v>
      </c>
    </row>
    <row r="146" spans="1:25" s="18" customFormat="1" ht="104.25" customHeight="1" x14ac:dyDescent="0.3">
      <c r="A146" s="336">
        <f>'Unit Data from Audit Worksheet'!A163</f>
        <v>642</v>
      </c>
      <c r="B146" s="350" t="str">
        <f>'Unit Data from Audit Worksheet'!C163</f>
        <v>Electric Fund Net Position Statement</v>
      </c>
      <c r="C146" s="335"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6">
        <f>'Unit Data from Audit Worksheet'!F163</f>
        <v>0</v>
      </c>
      <c r="F146" s="349">
        <f t="shared" si="18"/>
        <v>0</v>
      </c>
      <c r="G146" s="351"/>
      <c r="H146" s="348">
        <f>'Unit Data from Audit Worksheet'!I163</f>
        <v>0</v>
      </c>
      <c r="I146" s="38"/>
      <c r="J146" s="347">
        <v>642</v>
      </c>
      <c r="K146" s="346" t="s">
        <v>431</v>
      </c>
      <c r="L146" s="587">
        <f t="shared" si="17"/>
        <v>0</v>
      </c>
      <c r="P146" s="318"/>
      <c r="Q146" s="563"/>
      <c r="R146" s="3"/>
      <c r="W146" s="18" t="b">
        <f t="shared" si="15"/>
        <v>1</v>
      </c>
      <c r="X146" s="579">
        <f t="shared" si="12"/>
        <v>0</v>
      </c>
      <c r="Y146" s="579">
        <f t="shared" si="13"/>
        <v>0</v>
      </c>
    </row>
    <row r="147" spans="1:25" s="18" customFormat="1" ht="60.75" customHeight="1" x14ac:dyDescent="0.3">
      <c r="A147" s="336">
        <f>'Unit Data from Audit Worksheet'!A164</f>
        <v>643</v>
      </c>
      <c r="B147" s="350" t="str">
        <f>'Unit Data from Audit Worksheet'!C164</f>
        <v>Electric Fund Net Position Statement</v>
      </c>
      <c r="C147" s="335" t="str">
        <f>'Unit Data from Audit Worksheet'!D164</f>
        <v>Please enter any current liabilities that are payable from restricted assets and included in account 639 above. 
Enter as a positive</v>
      </c>
      <c r="D147" s="144"/>
      <c r="E147" s="356">
        <f>'Unit Data from Audit Worksheet'!F164</f>
        <v>0</v>
      </c>
      <c r="F147" s="349">
        <f t="shared" si="18"/>
        <v>0</v>
      </c>
      <c r="G147" s="351"/>
      <c r="H147" s="348">
        <f>'Unit Data from Audit Worksheet'!I164</f>
        <v>0</v>
      </c>
      <c r="I147" s="38"/>
      <c r="J147" s="347">
        <v>643</v>
      </c>
      <c r="K147" s="346" t="s">
        <v>432</v>
      </c>
      <c r="L147" s="587">
        <f t="shared" si="17"/>
        <v>0</v>
      </c>
      <c r="P147" s="318"/>
      <c r="Q147" s="563"/>
      <c r="R147" s="3"/>
      <c r="W147" s="18" t="b">
        <f t="shared" si="15"/>
        <v>1</v>
      </c>
      <c r="X147" s="579">
        <f t="shared" si="12"/>
        <v>0</v>
      </c>
      <c r="Y147" s="579">
        <f t="shared" si="13"/>
        <v>0</v>
      </c>
    </row>
    <row r="148" spans="1:25" s="18" customFormat="1" ht="102" customHeight="1" x14ac:dyDescent="0.3">
      <c r="A148" s="336">
        <f>'Unit Data from Audit Worksheet'!A165</f>
        <v>644</v>
      </c>
      <c r="B148" s="350" t="str">
        <f>'Unit Data from Audit Worksheet'!C165</f>
        <v>Electric Fund Net Position Statement</v>
      </c>
      <c r="C148" s="335"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6">
        <f>'Unit Data from Audit Worksheet'!F165</f>
        <v>0</v>
      </c>
      <c r="F148" s="349">
        <f t="shared" si="18"/>
        <v>0</v>
      </c>
      <c r="G148" s="351"/>
      <c r="H148" s="348">
        <f>'Unit Data from Audit Worksheet'!I165</f>
        <v>0</v>
      </c>
      <c r="I148" s="38"/>
      <c r="J148" s="277">
        <v>644</v>
      </c>
      <c r="K148" s="346" t="s">
        <v>433</v>
      </c>
      <c r="L148" s="587">
        <f t="shared" si="17"/>
        <v>0</v>
      </c>
      <c r="P148" s="321"/>
      <c r="Q148" s="563"/>
      <c r="R148" s="3"/>
      <c r="W148" s="18" t="b">
        <f t="shared" si="15"/>
        <v>1</v>
      </c>
      <c r="X148" s="579">
        <f t="shared" si="12"/>
        <v>0</v>
      </c>
      <c r="Y148" s="579">
        <f t="shared" si="13"/>
        <v>0</v>
      </c>
    </row>
    <row r="149" spans="1:25" ht="63.75" customHeight="1" x14ac:dyDescent="0.3">
      <c r="A149" s="336">
        <f>+'Unit Data from Audit Worksheet'!A166</f>
        <v>384</v>
      </c>
      <c r="B149" s="336" t="str">
        <f>+'Unit Data from Audit Worksheet'!C166</f>
        <v>Electric Fund Net Position Statement</v>
      </c>
      <c r="C149" s="336" t="str">
        <f>+'Unit Data from Audit Worksheet'!D166</f>
        <v>Unearned revenue (arising from cash receipts) that were included in Current Liabilities in account 639 above.
Enter as a positive</v>
      </c>
      <c r="D149" s="144"/>
      <c r="E149" s="356">
        <f>+'Unit Data from Audit Worksheet'!F166</f>
        <v>0</v>
      </c>
      <c r="F149" s="349">
        <f t="shared" si="18"/>
        <v>0</v>
      </c>
      <c r="G149" s="351"/>
      <c r="H149" s="348">
        <f>'Unit Data from Audit Worksheet'!I166</f>
        <v>0</v>
      </c>
      <c r="I149" s="38"/>
      <c r="J149" s="347">
        <v>384</v>
      </c>
      <c r="K149" s="58" t="s">
        <v>124</v>
      </c>
      <c r="L149" s="573">
        <f t="shared" si="17"/>
        <v>0</v>
      </c>
      <c r="P149" s="318"/>
      <c r="W149" s="3" t="b">
        <f t="shared" si="15"/>
        <v>1</v>
      </c>
      <c r="X149" s="570">
        <f t="shared" si="12"/>
        <v>0</v>
      </c>
      <c r="Y149" s="570">
        <f t="shared" si="13"/>
        <v>0</v>
      </c>
    </row>
    <row r="150" spans="1:25" ht="86.4" x14ac:dyDescent="0.3">
      <c r="A150" s="336">
        <f>+'Unit Data from Audit Worksheet'!A167</f>
        <v>361</v>
      </c>
      <c r="B150" s="336" t="str">
        <f>+'Unit Data from Audit Worksheet'!C167</f>
        <v>Electric Fund Net Position Statement</v>
      </c>
      <c r="C150" s="336"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6">
        <f>+'Unit Data from Audit Worksheet'!F167</f>
        <v>0</v>
      </c>
      <c r="F150" s="349"/>
      <c r="G150" s="351"/>
      <c r="H150" s="348">
        <f>'Unit Data from Audit Worksheet'!I167</f>
        <v>0</v>
      </c>
      <c r="I150" s="38"/>
      <c r="J150" s="347">
        <v>361</v>
      </c>
      <c r="K150" s="346" t="s">
        <v>106</v>
      </c>
      <c r="L150" s="573">
        <f t="shared" si="17"/>
        <v>0</v>
      </c>
      <c r="P150" s="318"/>
      <c r="W150" s="3" t="b">
        <f t="shared" si="15"/>
        <v>1</v>
      </c>
      <c r="X150" s="570">
        <f t="shared" si="12"/>
        <v>0</v>
      </c>
      <c r="Y150" s="570">
        <f t="shared" si="13"/>
        <v>0</v>
      </c>
    </row>
    <row r="151" spans="1:25" ht="46.5" customHeight="1" x14ac:dyDescent="0.3">
      <c r="A151" s="336">
        <f>'Unit Data from Audit Worksheet'!A168</f>
        <v>362</v>
      </c>
      <c r="B151" s="350" t="str">
        <f>'Unit Data from Audit Worksheet'!C168</f>
        <v>Electric Fund Net Position Statement</v>
      </c>
      <c r="C151" s="335" t="str">
        <f>'Unit Data from Audit Worksheet'!D168</f>
        <v>Total net position</v>
      </c>
      <c r="D151" s="144"/>
      <c r="E151" s="356">
        <f>'Unit Data from Audit Worksheet'!F168</f>
        <v>0</v>
      </c>
      <c r="F151" s="349">
        <f>IF(L140-L141-L151=0,,"Error: Total assets less total liabilities do not equal net position acct 382-360-362=0")</f>
        <v>0</v>
      </c>
      <c r="G151" s="91">
        <f>+L140-L141-L151</f>
        <v>0</v>
      </c>
      <c r="H151" s="348">
        <f>'Unit Data from Audit Worksheet'!I168</f>
        <v>0</v>
      </c>
      <c r="I151" s="38"/>
      <c r="J151" s="347">
        <v>362</v>
      </c>
      <c r="K151" s="346" t="s">
        <v>107</v>
      </c>
      <c r="L151" s="573">
        <f t="shared" si="17"/>
        <v>0</v>
      </c>
      <c r="O151" s="581" t="e">
        <f>'Unit Data from Audit Worksheet'!E168</f>
        <v>#N/A</v>
      </c>
      <c r="P151" s="318"/>
      <c r="Q151" s="563">
        <f>IF(+L140-L141-L151=0,0,1)</f>
        <v>0</v>
      </c>
      <c r="W151" s="3" t="b">
        <f t="shared" si="15"/>
        <v>1</v>
      </c>
      <c r="X151" s="570">
        <f t="shared" si="12"/>
        <v>0</v>
      </c>
      <c r="Y151" s="570">
        <f t="shared" si="13"/>
        <v>0</v>
      </c>
    </row>
    <row r="152" spans="1:25" ht="61.5" customHeight="1" x14ac:dyDescent="0.3">
      <c r="A152" s="336">
        <f>'Unit Data from Audit Worksheet'!A171</f>
        <v>88</v>
      </c>
      <c r="B152" s="350" t="str">
        <f>'Unit Data from Audit Worksheet'!C171</f>
        <v>Water Sewer Revenue, Expenses &amp; Changes in Fund Net Position</v>
      </c>
      <c r="C152" s="335" t="str">
        <f>'Unit Data from Audit Worksheet'!D171</f>
        <v>Charges for services. 
Exclude tap, capacity fees and other misc. income .</v>
      </c>
      <c r="D152" s="144"/>
      <c r="E152" s="356">
        <f>'Unit Data from Audit Worksheet'!F171</f>
        <v>0</v>
      </c>
      <c r="F152" s="349"/>
      <c r="G152" s="351"/>
      <c r="H152" s="348">
        <f>'Unit Data from Audit Worksheet'!I171</f>
        <v>0</v>
      </c>
      <c r="I152" s="38"/>
      <c r="J152" s="347">
        <v>88</v>
      </c>
      <c r="K152" s="346" t="s">
        <v>226</v>
      </c>
      <c r="L152" s="573">
        <f t="shared" si="17"/>
        <v>0</v>
      </c>
      <c r="P152" s="318"/>
      <c r="Q152" s="352"/>
      <c r="W152" s="3" t="b">
        <f t="shared" si="15"/>
        <v>1</v>
      </c>
      <c r="X152" s="570">
        <f t="shared" si="12"/>
        <v>0</v>
      </c>
      <c r="Y152" s="570">
        <f t="shared" si="13"/>
        <v>0</v>
      </c>
    </row>
    <row r="153" spans="1:25" ht="72" customHeight="1" x14ac:dyDescent="0.3">
      <c r="A153" s="336">
        <f>'Unit Data from Audit Worksheet'!A172</f>
        <v>84</v>
      </c>
      <c r="B153" s="350" t="str">
        <f>'Unit Data from Audit Worksheet'!C172</f>
        <v>Water Sewer Revenue, Expenses &amp; Changes in Fund Net Position</v>
      </c>
      <c r="C153" s="335" t="str">
        <f>'Unit Data from Audit Worksheet'!D172</f>
        <v>Total Operating revenues</v>
      </c>
      <c r="D153" s="144"/>
      <c r="E153" s="356">
        <f>'Unit Data from Audit Worksheet'!F172</f>
        <v>0</v>
      </c>
      <c r="F153" s="349" t="str">
        <f>IF(L152&gt;L153,"Error: Charges for services exceed total operating revenues. Acct # 88&gt;84"," ")</f>
        <v xml:space="preserve"> </v>
      </c>
      <c r="G153" s="351" t="str">
        <f>IF(Q153=1," Included in error count"," ")</f>
        <v xml:space="preserve"> </v>
      </c>
      <c r="H153" s="348">
        <f>'Unit Data from Audit Worksheet'!I172</f>
        <v>0</v>
      </c>
      <c r="I153" s="38"/>
      <c r="J153" s="347">
        <v>84</v>
      </c>
      <c r="K153" s="346" t="s">
        <v>227</v>
      </c>
      <c r="L153" s="573">
        <f t="shared" si="17"/>
        <v>0</v>
      </c>
      <c r="P153" s="318"/>
      <c r="Q153" s="563">
        <f>IF(L152&gt;L153,1,0)</f>
        <v>0</v>
      </c>
      <c r="W153" s="3" t="b">
        <f t="shared" si="15"/>
        <v>1</v>
      </c>
      <c r="X153" s="570">
        <f t="shared" si="12"/>
        <v>0</v>
      </c>
      <c r="Y153" s="570">
        <f t="shared" si="13"/>
        <v>0</v>
      </c>
    </row>
    <row r="154" spans="1:25" ht="72" customHeight="1" x14ac:dyDescent="0.3">
      <c r="A154" s="336">
        <f>'Unit Data from Audit Worksheet'!A173</f>
        <v>49</v>
      </c>
      <c r="B154" s="350" t="str">
        <f>'Unit Data from Audit Worksheet'!C173</f>
        <v>Water Sewer Revenue, Expenses &amp; Changes in Fund Net Position</v>
      </c>
      <c r="C154" s="335" t="str">
        <f>'Unit Data from Audit Worksheet'!D173</f>
        <v>Depreciation and amortization expense</v>
      </c>
      <c r="D154" s="144"/>
      <c r="E154" s="356">
        <f>'Unit Data from Audit Worksheet'!F173</f>
        <v>0</v>
      </c>
      <c r="F154" s="349">
        <f>IF(L154&lt;0,"Error: Number is normally positive.",)</f>
        <v>0</v>
      </c>
      <c r="G154" s="351"/>
      <c r="H154" s="348">
        <f>'Unit Data from Audit Worksheet'!I173</f>
        <v>0</v>
      </c>
      <c r="I154" s="38"/>
      <c r="J154" s="347">
        <v>49</v>
      </c>
      <c r="K154" s="346" t="s">
        <v>228</v>
      </c>
      <c r="L154" s="573">
        <f t="shared" si="17"/>
        <v>0</v>
      </c>
      <c r="O154" s="581"/>
      <c r="P154" s="318"/>
      <c r="W154" s="3" t="b">
        <f t="shared" si="15"/>
        <v>1</v>
      </c>
      <c r="X154" s="570">
        <f t="shared" si="12"/>
        <v>0</v>
      </c>
      <c r="Y154" s="570">
        <f t="shared" si="13"/>
        <v>0</v>
      </c>
    </row>
    <row r="155" spans="1:25" ht="48" customHeight="1" x14ac:dyDescent="0.3">
      <c r="A155" s="336">
        <f>'Unit Data from Audit Worksheet'!A174</f>
        <v>85</v>
      </c>
      <c r="B155" s="350" t="str">
        <f>'Unit Data from Audit Worksheet'!C174</f>
        <v>Water Sewer Revenue, Expenses &amp; Changes in Fund Net Position</v>
      </c>
      <c r="C155" s="335" t="str">
        <f>'Unit Data from Audit Worksheet'!D174</f>
        <v>Total Operating expenses</v>
      </c>
      <c r="D155" s="144"/>
      <c r="E155" s="356">
        <f>'Unit Data from Audit Worksheet'!F174</f>
        <v>0</v>
      </c>
      <c r="F155" s="349"/>
      <c r="G155" s="351"/>
      <c r="H155" s="348">
        <f>'Unit Data from Audit Worksheet'!I174</f>
        <v>0</v>
      </c>
      <c r="I155" s="38"/>
      <c r="J155" s="347">
        <v>85</v>
      </c>
      <c r="K155" s="346" t="s">
        <v>229</v>
      </c>
      <c r="L155" s="573">
        <f t="shared" si="17"/>
        <v>0</v>
      </c>
      <c r="P155" s="318"/>
      <c r="W155" s="3" t="b">
        <f t="shared" si="15"/>
        <v>1</v>
      </c>
      <c r="X155" s="570">
        <f t="shared" si="12"/>
        <v>0</v>
      </c>
      <c r="Y155" s="570">
        <f t="shared" si="13"/>
        <v>0</v>
      </c>
    </row>
    <row r="156" spans="1:25" ht="48" customHeight="1" x14ac:dyDescent="0.3">
      <c r="A156" s="336">
        <f>'Unit Data from Audit Worksheet'!A175</f>
        <v>89</v>
      </c>
      <c r="B156" s="350" t="str">
        <f>'Unit Data from Audit Worksheet'!C175</f>
        <v>Water Sewer Revenue, Expenses &amp; Changes in Fund Net Position</v>
      </c>
      <c r="C156" s="335" t="str">
        <f>'Unit Data from Audit Worksheet'!D175</f>
        <v>Interest expense</v>
      </c>
      <c r="D156" s="144"/>
      <c r="E156" s="356">
        <f>'Unit Data from Audit Worksheet'!F175</f>
        <v>0</v>
      </c>
      <c r="F156" s="349"/>
      <c r="G156" s="351"/>
      <c r="H156" s="348">
        <f>'Unit Data from Audit Worksheet'!I175</f>
        <v>0</v>
      </c>
      <c r="I156" s="38"/>
      <c r="J156" s="347">
        <v>89</v>
      </c>
      <c r="K156" s="346" t="s">
        <v>230</v>
      </c>
      <c r="L156" s="573">
        <f t="shared" si="17"/>
        <v>0</v>
      </c>
      <c r="P156" s="318"/>
      <c r="W156" s="3" t="b">
        <f t="shared" si="15"/>
        <v>1</v>
      </c>
      <c r="X156" s="570">
        <f t="shared" si="12"/>
        <v>0</v>
      </c>
      <c r="Y156" s="570">
        <f t="shared" si="13"/>
        <v>0</v>
      </c>
    </row>
    <row r="157" spans="1:25" ht="48" customHeight="1" x14ac:dyDescent="0.3">
      <c r="A157" s="336">
        <f>'Unit Data from Audit Worksheet'!A176</f>
        <v>350</v>
      </c>
      <c r="B157" s="350" t="str">
        <f>'Unit Data from Audit Worksheet'!C176</f>
        <v>Water Sewer Revenue, Expenses &amp; Changes in Fund Net Position</v>
      </c>
      <c r="C157" s="335" t="str">
        <f>'Unit Data from Audit Worksheet'!D176</f>
        <v>Total all non-operating revenues  
Exclude Capital contributions.</v>
      </c>
      <c r="D157" s="144"/>
      <c r="E157" s="356">
        <f>'Unit Data from Audit Worksheet'!F176</f>
        <v>0</v>
      </c>
      <c r="F157" s="349"/>
      <c r="G157" s="351"/>
      <c r="H157" s="348">
        <f>'Unit Data from Audit Worksheet'!I176</f>
        <v>0</v>
      </c>
      <c r="I157" s="38"/>
      <c r="J157" s="347">
        <v>350</v>
      </c>
      <c r="K157" s="346" t="s">
        <v>231</v>
      </c>
      <c r="L157" s="573">
        <f t="shared" si="17"/>
        <v>0</v>
      </c>
      <c r="P157" s="318"/>
      <c r="W157" s="3" t="b">
        <f t="shared" si="15"/>
        <v>1</v>
      </c>
      <c r="X157" s="570">
        <f t="shared" si="12"/>
        <v>0</v>
      </c>
      <c r="Y157" s="570">
        <f t="shared" si="13"/>
        <v>0</v>
      </c>
    </row>
    <row r="158" spans="1:25" ht="48" customHeight="1" x14ac:dyDescent="0.3">
      <c r="A158" s="336">
        <f>'Unit Data from Audit Worksheet'!A177</f>
        <v>351</v>
      </c>
      <c r="B158" s="350" t="str">
        <f>'Unit Data from Audit Worksheet'!C177</f>
        <v>Water Sewer Revenue, Expenses &amp; Changes in Fund Net Position</v>
      </c>
      <c r="C158" s="335" t="str">
        <f>'Unit Data from Audit Worksheet'!D177</f>
        <v>Total all non-operating expenses.  
Include any negative special, extraordinary, or capital contribution.</v>
      </c>
      <c r="D158" s="144"/>
      <c r="E158" s="356">
        <f>'Unit Data from Audit Worksheet'!F177</f>
        <v>0</v>
      </c>
      <c r="F158" s="349"/>
      <c r="G158" s="351"/>
      <c r="H158" s="348">
        <f>'Unit Data from Audit Worksheet'!I177</f>
        <v>0</v>
      </c>
      <c r="I158" s="38"/>
      <c r="J158" s="347">
        <v>351</v>
      </c>
      <c r="K158" s="346" t="s">
        <v>232</v>
      </c>
      <c r="L158" s="573">
        <f t="shared" si="17"/>
        <v>0</v>
      </c>
      <c r="P158" s="318"/>
      <c r="W158" s="3" t="b">
        <f t="shared" si="15"/>
        <v>1</v>
      </c>
      <c r="X158" s="570">
        <f t="shared" si="12"/>
        <v>0</v>
      </c>
      <c r="Y158" s="570">
        <f t="shared" si="13"/>
        <v>0</v>
      </c>
    </row>
    <row r="159" spans="1:25" ht="57.6" x14ac:dyDescent="0.3">
      <c r="A159" s="336">
        <f>'Unit Data from Audit Worksheet'!A178</f>
        <v>191</v>
      </c>
      <c r="B159" s="350" t="str">
        <f>'Unit Data from Audit Worksheet'!C178</f>
        <v>Water Sewer Revenue, Expenses &amp; Changes in Fund Net Position</v>
      </c>
      <c r="C159" s="335" t="str">
        <f>'Unit Data from Audit Worksheet'!D178</f>
        <v>Capital contributions. Only include positive capital contributions.  Negative capital contributions should be included with 'Total all non-operating expenses.'</v>
      </c>
      <c r="D159" s="144"/>
      <c r="E159" s="356">
        <f>'Unit Data from Audit Worksheet'!F178</f>
        <v>0</v>
      </c>
      <c r="F159" s="349">
        <f>IF(L159&lt;0,"Error: Enter as a positive.",)</f>
        <v>0</v>
      </c>
      <c r="G159" s="351"/>
      <c r="H159" s="348">
        <f>'Unit Data from Audit Worksheet'!I178</f>
        <v>0</v>
      </c>
      <c r="I159" s="38"/>
      <c r="J159" s="347">
        <v>191</v>
      </c>
      <c r="K159" s="346" t="s">
        <v>233</v>
      </c>
      <c r="L159" s="573">
        <f t="shared" si="17"/>
        <v>0</v>
      </c>
      <c r="P159" s="318"/>
      <c r="W159" s="3" t="b">
        <f t="shared" si="15"/>
        <v>1</v>
      </c>
      <c r="X159" s="570">
        <f t="shared" si="12"/>
        <v>0</v>
      </c>
      <c r="Y159" s="570">
        <f t="shared" si="13"/>
        <v>0</v>
      </c>
    </row>
    <row r="160" spans="1:25" ht="47.25" customHeight="1" x14ac:dyDescent="0.3">
      <c r="A160" s="336">
        <f>'Unit Data from Audit Worksheet'!A179</f>
        <v>352</v>
      </c>
      <c r="B160" s="350" t="str">
        <f>'Unit Data from Audit Worksheet'!C179</f>
        <v>Water Sewer Revenue, Expenses &amp; Changes in Fund Net Position</v>
      </c>
      <c r="C160" s="335" t="str">
        <f>'Unit Data from Audit Worksheet'!D179</f>
        <v>Total Transfers in - all funds (operating and capital)</v>
      </c>
      <c r="D160" s="144"/>
      <c r="E160" s="356">
        <f>'Unit Data from Audit Worksheet'!F179</f>
        <v>0</v>
      </c>
      <c r="F160" s="349"/>
      <c r="G160" s="351"/>
      <c r="H160" s="348">
        <f>'Unit Data from Audit Worksheet'!I179</f>
        <v>0</v>
      </c>
      <c r="I160" s="38"/>
      <c r="J160" s="347">
        <v>352</v>
      </c>
      <c r="K160" s="346" t="s">
        <v>234</v>
      </c>
      <c r="L160" s="573">
        <f t="shared" si="17"/>
        <v>0</v>
      </c>
      <c r="P160" s="318"/>
      <c r="W160" s="3" t="b">
        <f t="shared" si="15"/>
        <v>1</v>
      </c>
      <c r="X160" s="570">
        <f t="shared" si="12"/>
        <v>0</v>
      </c>
      <c r="Y160" s="570">
        <f t="shared" si="13"/>
        <v>0</v>
      </c>
    </row>
    <row r="161" spans="1:25" ht="70.5" customHeight="1" x14ac:dyDescent="0.3">
      <c r="A161" s="589">
        <f>'Unit Data from Audit Worksheet'!A180</f>
        <v>986</v>
      </c>
      <c r="B161" s="354" t="str">
        <f>'Unit Data from Audit Worksheet'!C180</f>
        <v>Water Sewer Revenue, Expenses &amp; Changes in Fund Net Position</v>
      </c>
      <c r="C161" s="590" t="str">
        <f>'Unit Data from Audit Worksheet'!D180</f>
        <v>Of the transfers-in above in acct # 352, list amount of transfers-in that were used to support Water Sewer operations  (exclude capital transfers)</v>
      </c>
      <c r="D161" s="144"/>
      <c r="E161" s="356">
        <f>'Unit Data from Audit Worksheet'!F180</f>
        <v>0</v>
      </c>
      <c r="F161" s="349"/>
      <c r="G161" s="351"/>
      <c r="H161" s="348"/>
      <c r="I161" s="38"/>
      <c r="J161" s="365">
        <v>986</v>
      </c>
      <c r="K161" s="590" t="s">
        <v>737</v>
      </c>
      <c r="L161" s="591">
        <f t="shared" si="17"/>
        <v>0</v>
      </c>
      <c r="P161" s="318"/>
      <c r="W161" s="3" t="b">
        <f t="shared" si="15"/>
        <v>1</v>
      </c>
      <c r="X161" s="570"/>
      <c r="Y161" s="570"/>
    </row>
    <row r="162" spans="1:25" ht="47.25" customHeight="1" x14ac:dyDescent="0.3">
      <c r="A162" s="336">
        <f>'Unit Data from Audit Worksheet'!A181</f>
        <v>353</v>
      </c>
      <c r="B162" s="350" t="str">
        <f>'Unit Data from Audit Worksheet'!C181</f>
        <v>Water Sewer Revenue, Expenses &amp; Changes in Fund Net Position</v>
      </c>
      <c r="C162" s="335" t="str">
        <f>'Unit Data from Audit Worksheet'!D181</f>
        <v>Total Transfers out</v>
      </c>
      <c r="D162" s="144"/>
      <c r="E162" s="356">
        <f>'Unit Data from Audit Worksheet'!F181</f>
        <v>0</v>
      </c>
      <c r="F162" s="349">
        <f>IF(L162&lt;0,"Error: Enter as a positive.",)</f>
        <v>0</v>
      </c>
      <c r="G162" s="351"/>
      <c r="H162" s="348">
        <f>'Unit Data from Audit Worksheet'!I181</f>
        <v>0</v>
      </c>
      <c r="I162" s="38"/>
      <c r="J162" s="40">
        <v>353</v>
      </c>
      <c r="K162" s="346" t="s">
        <v>235</v>
      </c>
      <c r="L162" s="573">
        <f t="shared" si="17"/>
        <v>0</v>
      </c>
      <c r="P162" s="322"/>
      <c r="W162" s="3" t="b">
        <f t="shared" si="15"/>
        <v>1</v>
      </c>
      <c r="X162" s="570">
        <f t="shared" si="12"/>
        <v>0</v>
      </c>
      <c r="Y162" s="570">
        <f t="shared" si="13"/>
        <v>0</v>
      </c>
    </row>
    <row r="163" spans="1:25" ht="72.75" customHeight="1" x14ac:dyDescent="0.3">
      <c r="A163" s="336">
        <f>'Unit Data from Audit Worksheet'!A182</f>
        <v>50</v>
      </c>
      <c r="B163" s="350" t="str">
        <f>'Unit Data from Audit Worksheet'!C182</f>
        <v>Water Sewer Revenue, Expenses &amp; Changes in Fund Net Position</v>
      </c>
      <c r="C163" s="335" t="str">
        <f>'Unit Data from Audit Worksheet'!D182</f>
        <v>Change in net position - Increase in net position is recorded as a positive and a (Decrease) in net position is recorded as a negative.</v>
      </c>
      <c r="D163" s="144"/>
      <c r="E163" s="149">
        <f>'Unit Data from Audit Worksheet'!F182</f>
        <v>0</v>
      </c>
      <c r="F163" s="349">
        <f>IF(L153-L155+L157-L158+L160+L159-L162-L163=0,,"Error:Total revenues less total expenses do not equal total change in net position. Acct # 84-85+350-351+191+352-353-50")</f>
        <v>0</v>
      </c>
      <c r="G163" s="91">
        <f>+L153-L155+L157-L158+L160+L159-L162-L163</f>
        <v>0</v>
      </c>
      <c r="H163" s="348">
        <f>'Unit Data from Audit Worksheet'!I182</f>
        <v>0</v>
      </c>
      <c r="I163" s="38"/>
      <c r="J163" s="347">
        <v>50</v>
      </c>
      <c r="K163" s="346" t="s">
        <v>100</v>
      </c>
      <c r="L163" s="573">
        <f t="shared" si="17"/>
        <v>0</v>
      </c>
      <c r="P163" s="318"/>
      <c r="Q163" s="563">
        <f>IF(G163&lt;&gt;0,1,0)</f>
        <v>0</v>
      </c>
      <c r="W163" s="3" t="b">
        <f t="shared" si="15"/>
        <v>1</v>
      </c>
      <c r="X163" s="570">
        <f t="shared" si="12"/>
        <v>0</v>
      </c>
      <c r="Y163" s="570">
        <f t="shared" si="13"/>
        <v>0</v>
      </c>
    </row>
    <row r="164" spans="1:25" ht="144" customHeight="1" x14ac:dyDescent="0.3">
      <c r="A164" s="336">
        <f>'Unit Data from Audit Worksheet'!A183</f>
        <v>377</v>
      </c>
      <c r="B164" s="350" t="str">
        <f>'Unit Data from Audit Worksheet'!C183</f>
        <v>Water Sewer Revenue, Expenses &amp; Changes in Fund Net Position</v>
      </c>
      <c r="C164" s="335"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48">
        <f>'Unit Data from Audit Worksheet'!I183</f>
        <v>0</v>
      </c>
      <c r="I164" s="38"/>
      <c r="J164" s="347">
        <v>377</v>
      </c>
      <c r="K164" s="346" t="s">
        <v>109</v>
      </c>
      <c r="L164" s="573">
        <f t="shared" si="17"/>
        <v>0</v>
      </c>
      <c r="P164" s="318"/>
      <c r="Q164" s="563" t="e">
        <f>IF(G164&lt;&gt;0,1,0)</f>
        <v>#N/A</v>
      </c>
      <c r="W164" s="3" t="b">
        <f t="shared" si="15"/>
        <v>1</v>
      </c>
      <c r="X164" s="570">
        <f t="shared" si="12"/>
        <v>0</v>
      </c>
      <c r="Y164" s="570">
        <f t="shared" si="13"/>
        <v>0</v>
      </c>
    </row>
    <row r="165" spans="1:25" ht="63" customHeight="1" x14ac:dyDescent="0.3">
      <c r="A165" s="598">
        <f>'Unit Data from Audit Worksheet'!A184</f>
        <v>537</v>
      </c>
      <c r="B165" s="350" t="str">
        <f>'Unit Data from Audit Worksheet'!C184</f>
        <v>Water Sewer Revenue, Expenses &amp; Changes in Fund Net Position</v>
      </c>
      <c r="C165" s="335" t="str">
        <f>'Unit Data from Audit Worksheet'!D184</f>
        <v>Did unit raise Water Sewer rates during the audited fiscal period? - answer Yes or No</v>
      </c>
      <c r="D165" s="139"/>
      <c r="E165" s="356">
        <f>'Unit Data from Audit Worksheet'!F184</f>
        <v>0</v>
      </c>
      <c r="F165" s="349" t="s">
        <v>329</v>
      </c>
      <c r="G165" s="351"/>
      <c r="H165" s="348">
        <f>'Unit Data from Audit Worksheet'!I184</f>
        <v>0</v>
      </c>
      <c r="I165" s="38"/>
      <c r="J165" s="67">
        <v>537</v>
      </c>
      <c r="K165" s="65" t="s">
        <v>291</v>
      </c>
      <c r="L165" s="599">
        <f>IF(E165="Yes",1,IF(E165="No",2,0))</f>
        <v>0</v>
      </c>
      <c r="N165" s="61" t="s">
        <v>319</v>
      </c>
      <c r="P165" s="323"/>
      <c r="W165" s="3" t="b">
        <f t="shared" ref="W165:W196" si="19">EXACT(A165,J165)</f>
        <v>1</v>
      </c>
      <c r="X165" s="570">
        <f t="shared" si="12"/>
        <v>0</v>
      </c>
      <c r="Y165" s="570">
        <f t="shared" si="13"/>
        <v>0</v>
      </c>
    </row>
    <row r="166" spans="1:25" ht="63.75" customHeight="1" x14ac:dyDescent="0.3">
      <c r="A166" s="598">
        <f>'Unit Data from Audit Worksheet'!A185</f>
        <v>538</v>
      </c>
      <c r="B166" s="350" t="str">
        <f>'Unit Data from Audit Worksheet'!C185</f>
        <v>Water Sewer Revenue, Expenses &amp; Changes in Fund Net Position</v>
      </c>
      <c r="C166" s="335" t="str">
        <f>'Unit Data from Audit Worksheet'!D185</f>
        <v>Did unit raise Water Sewer rates during the budget year following the audited fiscal year? - answer Yes or No</v>
      </c>
      <c r="D166" s="139"/>
      <c r="E166" s="356">
        <f>'Unit Data from Audit Worksheet'!F185</f>
        <v>0</v>
      </c>
      <c r="F166" s="349" t="s">
        <v>329</v>
      </c>
      <c r="G166" s="351"/>
      <c r="H166" s="348">
        <f>'Unit Data from Audit Worksheet'!I185</f>
        <v>0</v>
      </c>
      <c r="I166" s="38"/>
      <c r="J166" s="67">
        <v>538</v>
      </c>
      <c r="K166" s="65" t="s">
        <v>290</v>
      </c>
      <c r="L166" s="599">
        <f>IF(E166="Yes",1,IF(E166="No",2,0))</f>
        <v>0</v>
      </c>
      <c r="N166" s="61" t="s">
        <v>319</v>
      </c>
      <c r="P166" s="323"/>
      <c r="W166" s="3" t="b">
        <f t="shared" si="19"/>
        <v>1</v>
      </c>
      <c r="X166" s="570">
        <f t="shared" si="12"/>
        <v>0</v>
      </c>
      <c r="Y166" s="570">
        <f t="shared" si="13"/>
        <v>0</v>
      </c>
    </row>
    <row r="167" spans="1:25" ht="47.25" customHeight="1" x14ac:dyDescent="0.3">
      <c r="A167" s="336">
        <f>'Unit Data from Audit Worksheet'!A187</f>
        <v>97</v>
      </c>
      <c r="B167" s="350" t="str">
        <f>'Unit Data from Audit Worksheet'!C187</f>
        <v>Electric Fund Revenue, Expenses &amp; Changes in Fund Net Position</v>
      </c>
      <c r="C167" s="335" t="str">
        <f>'Unit Data from Audit Worksheet'!D187</f>
        <v>Charges for services</v>
      </c>
      <c r="D167" s="355"/>
      <c r="E167" s="356">
        <f>'Unit Data from Audit Worksheet'!F187</f>
        <v>0</v>
      </c>
      <c r="F167" s="349">
        <f>IF(L167&lt;0,"Error: Enter as a positive.",)</f>
        <v>0</v>
      </c>
      <c r="G167" s="351"/>
      <c r="H167" s="348">
        <f>'Unit Data from Audit Worksheet'!I187</f>
        <v>0</v>
      </c>
      <c r="I167" s="38"/>
      <c r="J167" s="347">
        <v>97</v>
      </c>
      <c r="K167" s="346" t="s">
        <v>236</v>
      </c>
      <c r="L167" s="573">
        <f t="shared" ref="L167:L234" si="20">IF(D167="",E167,D167)</f>
        <v>0</v>
      </c>
      <c r="P167" s="318"/>
      <c r="W167" s="3" t="b">
        <f t="shared" si="19"/>
        <v>1</v>
      </c>
      <c r="X167" s="570">
        <f t="shared" si="12"/>
        <v>0</v>
      </c>
      <c r="Y167" s="570">
        <f t="shared" si="13"/>
        <v>0</v>
      </c>
    </row>
    <row r="168" spans="1:25" ht="45.75" customHeight="1" x14ac:dyDescent="0.3">
      <c r="A168" s="336">
        <f>'Unit Data from Audit Worksheet'!A188</f>
        <v>93</v>
      </c>
      <c r="B168" s="350" t="str">
        <f>'Unit Data from Audit Worksheet'!C188</f>
        <v>Electric Fund Revenue, Expenses &amp; Changes in Fund Net Position</v>
      </c>
      <c r="C168" s="335" t="str">
        <f>'Unit Data from Audit Worksheet'!D188</f>
        <v>Total Operating revenues</v>
      </c>
      <c r="D168" s="355"/>
      <c r="E168" s="356">
        <f>'Unit Data from Audit Worksheet'!F188</f>
        <v>0</v>
      </c>
      <c r="F168" s="349" t="str">
        <f>IF(L167&gt;L168,"Error: Charges for services exceeds total operating revenues Acct 97&gt;=93"," ")</f>
        <v xml:space="preserve"> </v>
      </c>
      <c r="G168" s="351" t="str">
        <f>IF(Q168=1," Included in error count"," ")</f>
        <v xml:space="preserve"> </v>
      </c>
      <c r="H168" s="348">
        <f>'Unit Data from Audit Worksheet'!I188</f>
        <v>0</v>
      </c>
      <c r="I168" s="38"/>
      <c r="J168" s="347">
        <v>93</v>
      </c>
      <c r="K168" s="346" t="s">
        <v>237</v>
      </c>
      <c r="L168" s="573">
        <f t="shared" si="20"/>
        <v>0</v>
      </c>
      <c r="P168" s="318"/>
      <c r="Q168" s="563">
        <f>IF(L167&gt;L168,1,0)</f>
        <v>0</v>
      </c>
      <c r="W168" s="3" t="b">
        <f t="shared" si="19"/>
        <v>1</v>
      </c>
      <c r="X168" s="570">
        <f t="shared" si="12"/>
        <v>0</v>
      </c>
      <c r="Y168" s="570">
        <f t="shared" si="13"/>
        <v>0</v>
      </c>
    </row>
    <row r="169" spans="1:25" ht="45.75" customHeight="1" x14ac:dyDescent="0.3">
      <c r="A169" s="336">
        <f>'Unit Data from Audit Worksheet'!A189</f>
        <v>99</v>
      </c>
      <c r="B169" s="350" t="str">
        <f>'Unit Data from Audit Worksheet'!C189</f>
        <v>Electric Fund Revenue, Expenses &amp; Changes in Fund Net Position</v>
      </c>
      <c r="C169" s="335" t="str">
        <f>'Unit Data from Audit Worksheet'!D189</f>
        <v>Electrical power purchases</v>
      </c>
      <c r="D169" s="355"/>
      <c r="E169" s="356">
        <f>'Unit Data from Audit Worksheet'!F189</f>
        <v>0</v>
      </c>
      <c r="F169" s="349">
        <f>IF(L169&lt;0,"Error: Enter as a positive.",)</f>
        <v>0</v>
      </c>
      <c r="G169" s="351"/>
      <c r="H169" s="348">
        <f>'Unit Data from Audit Worksheet'!I189</f>
        <v>0</v>
      </c>
      <c r="I169" s="38"/>
      <c r="J169" s="347">
        <v>99</v>
      </c>
      <c r="K169" s="346" t="s">
        <v>238</v>
      </c>
      <c r="L169" s="573">
        <f t="shared" si="20"/>
        <v>0</v>
      </c>
      <c r="P169" s="318"/>
      <c r="W169" s="3" t="b">
        <f t="shared" si="19"/>
        <v>1</v>
      </c>
      <c r="X169" s="570">
        <f t="shared" si="12"/>
        <v>0</v>
      </c>
      <c r="Y169" s="570">
        <f t="shared" si="13"/>
        <v>0</v>
      </c>
    </row>
    <row r="170" spans="1:25" ht="45.75" customHeight="1" x14ac:dyDescent="0.3">
      <c r="A170" s="336">
        <f>'Unit Data from Audit Worksheet'!A190</f>
        <v>52</v>
      </c>
      <c r="B170" s="350" t="str">
        <f>'Unit Data from Audit Worksheet'!C190</f>
        <v>Electric Fund Revenue, Expenses &amp; Changes in Fund Net Position</v>
      </c>
      <c r="C170" s="335" t="str">
        <f>'Unit Data from Audit Worksheet'!D190</f>
        <v>Depreciation and amortization expense</v>
      </c>
      <c r="D170" s="355"/>
      <c r="E170" s="356">
        <f>'Unit Data from Audit Worksheet'!F190</f>
        <v>0</v>
      </c>
      <c r="F170" s="349">
        <f>IF(L170&lt;0,"Error: Enter as a positive.",)</f>
        <v>0</v>
      </c>
      <c r="G170" s="351"/>
      <c r="H170" s="348">
        <f>'Unit Data from Audit Worksheet'!I190</f>
        <v>0</v>
      </c>
      <c r="I170" s="38"/>
      <c r="J170" s="347">
        <v>52</v>
      </c>
      <c r="K170" s="346" t="s">
        <v>239</v>
      </c>
      <c r="L170" s="573">
        <f t="shared" si="20"/>
        <v>0</v>
      </c>
      <c r="P170" s="318"/>
      <c r="W170" s="3" t="b">
        <f t="shared" si="19"/>
        <v>1</v>
      </c>
      <c r="X170" s="570">
        <f t="shared" si="12"/>
        <v>0</v>
      </c>
      <c r="Y170" s="570">
        <f t="shared" si="13"/>
        <v>0</v>
      </c>
    </row>
    <row r="171" spans="1:25" ht="45.75" customHeight="1" x14ac:dyDescent="0.3">
      <c r="A171" s="336">
        <f>'Unit Data from Audit Worksheet'!A191</f>
        <v>94</v>
      </c>
      <c r="B171" s="350" t="str">
        <f>'Unit Data from Audit Worksheet'!C191</f>
        <v>Electric Fund Revenue, Expenses &amp; Changes in Fund Net Position</v>
      </c>
      <c r="C171" s="335" t="str">
        <f>'Unit Data from Audit Worksheet'!D191</f>
        <v>Total Operating expenses</v>
      </c>
      <c r="D171" s="355"/>
      <c r="E171" s="356">
        <f>'Unit Data from Audit Worksheet'!F191</f>
        <v>0</v>
      </c>
      <c r="F171" s="349">
        <f>IF(L171&lt;0,"Error: Enter as a positive.",)</f>
        <v>0</v>
      </c>
      <c r="G171" s="351"/>
      <c r="H171" s="348">
        <f>'Unit Data from Audit Worksheet'!I191</f>
        <v>0</v>
      </c>
      <c r="I171" s="38"/>
      <c r="J171" s="347">
        <v>94</v>
      </c>
      <c r="K171" s="346" t="s">
        <v>240</v>
      </c>
      <c r="L171" s="573">
        <f t="shared" si="20"/>
        <v>0</v>
      </c>
      <c r="P171" s="318"/>
      <c r="W171" s="3" t="b">
        <f t="shared" si="19"/>
        <v>1</v>
      </c>
      <c r="X171" s="570">
        <f t="shared" si="12"/>
        <v>0</v>
      </c>
      <c r="Y171" s="570">
        <f t="shared" si="13"/>
        <v>0</v>
      </c>
    </row>
    <row r="172" spans="1:25" ht="46.5" customHeight="1" x14ac:dyDescent="0.3">
      <c r="A172" s="336">
        <f>'Unit Data from Audit Worksheet'!A192</f>
        <v>98</v>
      </c>
      <c r="B172" s="350" t="str">
        <f>'Unit Data from Audit Worksheet'!C192</f>
        <v>Electric Fund Revenue, Expenses &amp; Changes in Fund Net Position</v>
      </c>
      <c r="C172" s="335" t="str">
        <f>'Unit Data from Audit Worksheet'!D192</f>
        <v>Interest expense</v>
      </c>
      <c r="D172" s="355"/>
      <c r="E172" s="356">
        <f>'Unit Data from Audit Worksheet'!F192</f>
        <v>0</v>
      </c>
      <c r="F172" s="349">
        <f>IF(L172&lt;0,"Error: Enter as a positive.",)</f>
        <v>0</v>
      </c>
      <c r="G172" s="351"/>
      <c r="H172" s="348">
        <f>'Unit Data from Audit Worksheet'!I192</f>
        <v>0</v>
      </c>
      <c r="I172" s="38"/>
      <c r="J172" s="347">
        <v>98</v>
      </c>
      <c r="K172" s="346" t="s">
        <v>241</v>
      </c>
      <c r="L172" s="573">
        <f t="shared" si="20"/>
        <v>0</v>
      </c>
      <c r="P172" s="318"/>
      <c r="W172" s="3" t="b">
        <f t="shared" si="19"/>
        <v>1</v>
      </c>
      <c r="X172" s="570">
        <f t="shared" si="12"/>
        <v>0</v>
      </c>
      <c r="Y172" s="570">
        <f t="shared" si="13"/>
        <v>0</v>
      </c>
    </row>
    <row r="173" spans="1:25" ht="51" customHeight="1" x14ac:dyDescent="0.3">
      <c r="A173" s="336">
        <f>'Unit Data from Audit Worksheet'!A193</f>
        <v>363</v>
      </c>
      <c r="B173" s="350" t="str">
        <f>'Unit Data from Audit Worksheet'!C193</f>
        <v>Electric Fund Revenue, Expenses &amp; Changes in Fund Net Position</v>
      </c>
      <c r="C173" s="335" t="str">
        <f>'Unit Data from Audit Worksheet'!D193</f>
        <v>Total all the non-operating revenues  
Exclude Capital Contributions.</v>
      </c>
      <c r="D173" s="355"/>
      <c r="E173" s="356">
        <f>'Unit Data from Audit Worksheet'!F193</f>
        <v>0</v>
      </c>
      <c r="F173" s="349"/>
      <c r="G173" s="351"/>
      <c r="H173" s="348">
        <f>'Unit Data from Audit Worksheet'!I193</f>
        <v>0</v>
      </c>
      <c r="I173" s="38"/>
      <c r="J173" s="347">
        <v>363</v>
      </c>
      <c r="K173" s="346" t="s">
        <v>242</v>
      </c>
      <c r="L173" s="573">
        <f t="shared" si="20"/>
        <v>0</v>
      </c>
      <c r="P173" s="318"/>
      <c r="W173" s="3" t="b">
        <f t="shared" si="19"/>
        <v>1</v>
      </c>
      <c r="X173" s="570">
        <f t="shared" si="12"/>
        <v>0</v>
      </c>
      <c r="Y173" s="570">
        <f t="shared" si="13"/>
        <v>0</v>
      </c>
    </row>
    <row r="174" spans="1:25" ht="60" customHeight="1" x14ac:dyDescent="0.3">
      <c r="A174" s="336">
        <f>'Unit Data from Audit Worksheet'!A194</f>
        <v>364</v>
      </c>
      <c r="B174" s="350" t="str">
        <f>'Unit Data from Audit Worksheet'!C194</f>
        <v>Electric Fund Revenue, Expenses &amp; Changes in Fund Net Position</v>
      </c>
      <c r="C174" s="335" t="str">
        <f>'Unit Data from Audit Worksheet'!D194</f>
        <v>Total all non-operating expenses.  
Include negative special, extraordinary, or capital contribution.</v>
      </c>
      <c r="D174" s="355"/>
      <c r="E174" s="356">
        <f>'Unit Data from Audit Worksheet'!F194</f>
        <v>0</v>
      </c>
      <c r="F174" s="349">
        <f>IF(L174&lt;0,"Error: Enter as a positive.",)</f>
        <v>0</v>
      </c>
      <c r="G174" s="351"/>
      <c r="H174" s="348">
        <f>'Unit Data from Audit Worksheet'!I194</f>
        <v>0</v>
      </c>
      <c r="I174" s="38"/>
      <c r="J174" s="347">
        <v>364</v>
      </c>
      <c r="K174" s="346" t="s">
        <v>243</v>
      </c>
      <c r="L174" s="573">
        <f t="shared" si="20"/>
        <v>0</v>
      </c>
      <c r="P174" s="318"/>
      <c r="W174" s="3" t="b">
        <f t="shared" si="19"/>
        <v>1</v>
      </c>
      <c r="X174" s="570">
        <f t="shared" si="12"/>
        <v>0</v>
      </c>
      <c r="Y174" s="570">
        <f t="shared" si="13"/>
        <v>0</v>
      </c>
    </row>
    <row r="175" spans="1:25" ht="89.25" customHeight="1" x14ac:dyDescent="0.3">
      <c r="A175" s="336">
        <f>'Unit Data from Audit Worksheet'!A195</f>
        <v>192</v>
      </c>
      <c r="B175" s="350" t="str">
        <f>'Unit Data from Audit Worksheet'!C195</f>
        <v>Electric Fund Revenue, Expenses &amp; Changes in Fund Net Position</v>
      </c>
      <c r="C175" s="335" t="str">
        <f>'Unit Data from Audit Worksheet'!D195</f>
        <v>Capital Contributions.  
Include only positive capital Contributions.  Negative capital contributions should be included with 'Total all non-operating expenses.'</v>
      </c>
      <c r="D175" s="355"/>
      <c r="E175" s="356">
        <f>'Unit Data from Audit Worksheet'!F195</f>
        <v>0</v>
      </c>
      <c r="F175" s="349">
        <f>IF(L175&lt;0,"Error: Enter as a positive.",)</f>
        <v>0</v>
      </c>
      <c r="G175" s="351"/>
      <c r="H175" s="348">
        <f>'Unit Data from Audit Worksheet'!I195</f>
        <v>0</v>
      </c>
      <c r="I175" s="38"/>
      <c r="J175" s="347">
        <v>192</v>
      </c>
      <c r="K175" s="346" t="s">
        <v>244</v>
      </c>
      <c r="L175" s="573">
        <f t="shared" si="20"/>
        <v>0</v>
      </c>
      <c r="P175" s="318"/>
      <c r="W175" s="3" t="b">
        <f t="shared" si="19"/>
        <v>1</v>
      </c>
      <c r="X175" s="570">
        <f t="shared" si="12"/>
        <v>0</v>
      </c>
      <c r="Y175" s="570">
        <f t="shared" si="13"/>
        <v>0</v>
      </c>
    </row>
    <row r="176" spans="1:25" ht="42.75" customHeight="1" x14ac:dyDescent="0.3">
      <c r="A176" s="336">
        <f>'Unit Data from Audit Worksheet'!A196</f>
        <v>365</v>
      </c>
      <c r="B176" s="350" t="str">
        <f>'Unit Data from Audit Worksheet'!C196</f>
        <v>Electric Fund Revenue, Expenses &amp; Changes in Fund Net Position</v>
      </c>
      <c r="C176" s="335" t="str">
        <f>'Unit Data from Audit Worksheet'!D196</f>
        <v>Total Transfers In (From all Funds)</v>
      </c>
      <c r="D176" s="355"/>
      <c r="E176" s="356">
        <f>'Unit Data from Audit Worksheet'!F196</f>
        <v>0</v>
      </c>
      <c r="F176" s="349"/>
      <c r="G176" s="351"/>
      <c r="H176" s="348">
        <f>'Unit Data from Audit Worksheet'!I196</f>
        <v>0</v>
      </c>
      <c r="I176" s="38"/>
      <c r="J176" s="347">
        <v>365</v>
      </c>
      <c r="K176" s="346" t="s">
        <v>245</v>
      </c>
      <c r="L176" s="573">
        <f t="shared" si="20"/>
        <v>0</v>
      </c>
      <c r="P176" s="318"/>
      <c r="W176" s="3" t="b">
        <f t="shared" si="19"/>
        <v>1</v>
      </c>
      <c r="X176" s="570">
        <f t="shared" si="12"/>
        <v>0</v>
      </c>
      <c r="Y176" s="570">
        <f t="shared" si="13"/>
        <v>0</v>
      </c>
    </row>
    <row r="177" spans="1:25" ht="42.75" customHeight="1" x14ac:dyDescent="0.3">
      <c r="A177" s="336">
        <f>'Unit Data from Audit Worksheet'!A197</f>
        <v>366</v>
      </c>
      <c r="B177" s="350" t="str">
        <f>'Unit Data from Audit Worksheet'!C197</f>
        <v>Electric Fund Revenue, Expenses &amp; Changes in Fund Net Position</v>
      </c>
      <c r="C177" s="335" t="str">
        <f>'Unit Data from Audit Worksheet'!D197</f>
        <v>Total Transfers Out (To all funds)</v>
      </c>
      <c r="D177" s="355"/>
      <c r="E177" s="356">
        <f>'Unit Data from Audit Worksheet'!F197</f>
        <v>0</v>
      </c>
      <c r="F177" s="349">
        <f>IF(L177&lt;0,"Error: Enter as a positive.",)</f>
        <v>0</v>
      </c>
      <c r="G177" s="351"/>
      <c r="H177" s="348">
        <f>'Unit Data from Audit Worksheet'!I197</f>
        <v>0</v>
      </c>
      <c r="I177" s="38"/>
      <c r="J177" s="347">
        <v>366</v>
      </c>
      <c r="K177" s="346" t="s">
        <v>311</v>
      </c>
      <c r="L177" s="573">
        <f t="shared" si="20"/>
        <v>0</v>
      </c>
      <c r="P177" s="318"/>
      <c r="W177" s="3" t="b">
        <f t="shared" si="19"/>
        <v>1</v>
      </c>
      <c r="X177" s="570">
        <f t="shared" si="12"/>
        <v>0</v>
      </c>
      <c r="Y177" s="570">
        <f t="shared" si="13"/>
        <v>0</v>
      </c>
    </row>
    <row r="178" spans="1:25" s="18" customFormat="1" ht="76.5" customHeight="1" x14ac:dyDescent="0.3">
      <c r="A178" s="336">
        <f>'Unit Data from Audit Worksheet'!A198</f>
        <v>53</v>
      </c>
      <c r="B178" s="350" t="str">
        <f>'Unit Data from Audit Worksheet'!C198</f>
        <v>Electric Fund Revenue, Expenses &amp; Changes in Fund Net Position</v>
      </c>
      <c r="C178" s="335" t="str">
        <f>'Unit Data from Audit Worksheet'!D198</f>
        <v>Change in net position - Increase in net position is recorded as a positive and a (decrease) in net position is recorded as a negative.</v>
      </c>
      <c r="D178" s="355"/>
      <c r="E178" s="356">
        <f>'Unit Data from Audit Worksheet'!F198</f>
        <v>0</v>
      </c>
      <c r="F178" s="349">
        <f>IF(L168-L171+L173-L174+L175+L176-L177-L178=0,,"Error: Total revenues less total exp. does not equal change in net position Acct 93-94+363-364+192+365-366-53=0")</f>
        <v>0</v>
      </c>
      <c r="G178" s="91">
        <f>+L168-L171+L173-L174+L175+L176-L177-L178</f>
        <v>0</v>
      </c>
      <c r="H178" s="348">
        <f>'Unit Data from Audit Worksheet'!I198</f>
        <v>0</v>
      </c>
      <c r="I178" s="38"/>
      <c r="J178" s="347">
        <v>53</v>
      </c>
      <c r="K178" s="346" t="s">
        <v>101</v>
      </c>
      <c r="L178" s="573">
        <f t="shared" si="20"/>
        <v>0</v>
      </c>
      <c r="P178" s="318"/>
      <c r="Q178" s="563">
        <f>IF(G178&lt;&gt;0,1,0)</f>
        <v>0</v>
      </c>
      <c r="R178" s="3"/>
      <c r="W178" s="3" t="b">
        <f t="shared" si="19"/>
        <v>1</v>
      </c>
      <c r="X178" s="570">
        <f t="shared" si="12"/>
        <v>0</v>
      </c>
      <c r="Y178" s="570">
        <f t="shared" si="13"/>
        <v>0</v>
      </c>
    </row>
    <row r="179" spans="1:25" ht="140.25" customHeight="1" x14ac:dyDescent="0.3">
      <c r="A179" s="336">
        <f>'Unit Data from Audit Worksheet'!A199</f>
        <v>378</v>
      </c>
      <c r="B179" s="350" t="str">
        <f>'Unit Data from Audit Worksheet'!C199</f>
        <v>Electric Fund Revenue, Expenses &amp; Changes in Fund Net Position</v>
      </c>
      <c r="C179" s="335"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5"/>
      <c r="E179" s="356">
        <f>+'Unit Data from Audit Worksheet'!F199</f>
        <v>0</v>
      </c>
      <c r="F179" s="349" t="e">
        <f>IF(L151-L178-L179=O151,,"Error: Beg. Bal does not agree with our records Acct 362-53-378= pr yr 362")</f>
        <v>#N/A</v>
      </c>
      <c r="G179" s="91" t="e">
        <f>L151-L178-L179-O151</f>
        <v>#N/A</v>
      </c>
      <c r="H179" s="348">
        <f>'Unit Data from Audit Worksheet'!I199</f>
        <v>0</v>
      </c>
      <c r="I179" s="38"/>
      <c r="J179" s="347">
        <v>378</v>
      </c>
      <c r="K179" s="346" t="s">
        <v>110</v>
      </c>
      <c r="L179" s="573">
        <f t="shared" si="20"/>
        <v>0</v>
      </c>
      <c r="P179" s="318"/>
      <c r="Q179" s="563" t="e">
        <f>IF(G179&lt;&gt;0,1,0)</f>
        <v>#N/A</v>
      </c>
      <c r="W179" s="3" t="b">
        <f t="shared" si="19"/>
        <v>1</v>
      </c>
      <c r="X179" s="570">
        <f t="shared" si="12"/>
        <v>0</v>
      </c>
      <c r="Y179" s="570">
        <f t="shared" si="13"/>
        <v>0</v>
      </c>
    </row>
    <row r="180" spans="1:25" ht="28.8" x14ac:dyDescent="0.3">
      <c r="A180" s="336">
        <f>'Unit Data from Audit Worksheet'!A204</f>
        <v>51</v>
      </c>
      <c r="B180" s="350" t="str">
        <f>'Unit Data from Audit Worksheet'!C204</f>
        <v>Water Sewer Cash Flow Statement</v>
      </c>
      <c r="C180" s="335" t="str">
        <f>'Unit Data from Audit Worksheet'!D204</f>
        <v>Total Cash flow from operating activities  - (Enter negative cash flows as negative)</v>
      </c>
      <c r="D180" s="355"/>
      <c r="E180" s="356">
        <f>'Unit Data from Audit Worksheet'!F204</f>
        <v>0</v>
      </c>
      <c r="F180" s="349"/>
      <c r="G180" s="351"/>
      <c r="H180" s="348">
        <f>'Unit Data from Audit Worksheet'!I204</f>
        <v>0</v>
      </c>
      <c r="I180" s="38"/>
      <c r="J180" s="347">
        <v>51</v>
      </c>
      <c r="K180" s="346" t="s">
        <v>246</v>
      </c>
      <c r="L180" s="573">
        <f t="shared" si="20"/>
        <v>0</v>
      </c>
      <c r="P180" s="318"/>
      <c r="W180" s="3" t="b">
        <f t="shared" si="19"/>
        <v>1</v>
      </c>
      <c r="X180" s="570">
        <f t="shared" si="12"/>
        <v>0</v>
      </c>
      <c r="Y180" s="570">
        <f t="shared" si="13"/>
        <v>0</v>
      </c>
    </row>
    <row r="181" spans="1:25" ht="64.5" customHeight="1" x14ac:dyDescent="0.3">
      <c r="A181" s="336">
        <f>'Unit Data from Audit Worksheet'!A205</f>
        <v>332</v>
      </c>
      <c r="B181" s="350" t="str">
        <f>'Unit Data from Audit Worksheet'!C205</f>
        <v>Water Sewer Cash Flow Statement</v>
      </c>
      <c r="C181" s="335" t="str">
        <f>'Unit Data from Audit Worksheet'!D205</f>
        <v>Total Capital outlay. 
Include acquisition and construction of capital assets.</v>
      </c>
      <c r="D181" s="355"/>
      <c r="E181" s="356">
        <f>'Unit Data from Audit Worksheet'!F205</f>
        <v>0</v>
      </c>
      <c r="F181" s="349">
        <f>IF(L181&lt;0,"Error: Enter as a positive.",)</f>
        <v>0</v>
      </c>
      <c r="G181" s="351"/>
      <c r="H181" s="348">
        <f>'Unit Data from Audit Worksheet'!I205</f>
        <v>0</v>
      </c>
      <c r="I181" s="38"/>
      <c r="J181" s="347">
        <v>332</v>
      </c>
      <c r="K181" s="346" t="s">
        <v>248</v>
      </c>
      <c r="L181" s="573">
        <f t="shared" si="20"/>
        <v>0</v>
      </c>
      <c r="O181" s="581"/>
      <c r="P181" s="318"/>
      <c r="W181" s="3" t="b">
        <f t="shared" si="19"/>
        <v>1</v>
      </c>
      <c r="X181" s="570">
        <f t="shared" si="12"/>
        <v>0</v>
      </c>
      <c r="Y181" s="570">
        <f t="shared" si="13"/>
        <v>0</v>
      </c>
    </row>
    <row r="182" spans="1:25" ht="58.5" customHeight="1" x14ac:dyDescent="0.3">
      <c r="A182" s="336">
        <f>'Unit Data from Audit Worksheet'!A206</f>
        <v>331</v>
      </c>
      <c r="B182" s="350" t="str">
        <f>'Unit Data from Audit Worksheet'!C206</f>
        <v>Water Sewer Cash Flow Statement</v>
      </c>
      <c r="C182" s="335" t="str">
        <f>'Unit Data from Audit Worksheet'!D206</f>
        <v>Principal paid on long-term debt.  Amount should be reduced by principal payments for debt refunding.</v>
      </c>
      <c r="D182" s="355"/>
      <c r="E182" s="356">
        <f>'Unit Data from Audit Worksheet'!F206</f>
        <v>0</v>
      </c>
      <c r="F182" s="349">
        <f>IF(L182&lt;0,"Error: Enter as a positive.",)</f>
        <v>0</v>
      </c>
      <c r="G182" s="351"/>
      <c r="H182" s="348">
        <f>'Unit Data from Audit Worksheet'!I206</f>
        <v>0</v>
      </c>
      <c r="I182" s="38"/>
      <c r="J182" s="347">
        <v>331</v>
      </c>
      <c r="K182" s="346" t="s">
        <v>247</v>
      </c>
      <c r="L182" s="573">
        <f t="shared" si="20"/>
        <v>0</v>
      </c>
      <c r="O182" s="581"/>
      <c r="P182" s="318"/>
      <c r="W182" s="3" t="b">
        <f t="shared" si="19"/>
        <v>1</v>
      </c>
      <c r="X182" s="570">
        <f t="shared" ref="X182:X276" si="21">E182-L182</f>
        <v>0</v>
      </c>
      <c r="Y182" s="570">
        <f t="shared" ref="Y182:Y276" si="22">D182-L182</f>
        <v>0</v>
      </c>
    </row>
    <row r="183" spans="1:25" ht="51.75" customHeight="1" x14ac:dyDescent="0.3">
      <c r="A183" s="336">
        <f>'Unit Data from Audit Worksheet'!A208</f>
        <v>55</v>
      </c>
      <c r="B183" s="350" t="str">
        <f>'Unit Data from Audit Worksheet'!C208</f>
        <v>Electric Fund Cash Flow Statement</v>
      </c>
      <c r="C183" s="335" t="str">
        <f>'Unit Data from Audit Worksheet'!D208</f>
        <v>Cash flow from operating activities - (enter negative cash flows as negative)</v>
      </c>
      <c r="D183" s="355"/>
      <c r="E183" s="356">
        <f>'Unit Data from Audit Worksheet'!F208</f>
        <v>0</v>
      </c>
      <c r="F183" s="349"/>
      <c r="G183" s="351"/>
      <c r="H183" s="348">
        <f>'Unit Data from Audit Worksheet'!I208</f>
        <v>0</v>
      </c>
      <c r="I183" s="38"/>
      <c r="J183" s="347">
        <v>55</v>
      </c>
      <c r="K183" s="346" t="s">
        <v>249</v>
      </c>
      <c r="L183" s="573">
        <f t="shared" si="20"/>
        <v>0</v>
      </c>
      <c r="P183" s="318"/>
      <c r="W183" s="3" t="b">
        <f t="shared" si="19"/>
        <v>1</v>
      </c>
      <c r="X183" s="570">
        <f t="shared" si="21"/>
        <v>0</v>
      </c>
      <c r="Y183" s="570">
        <f t="shared" si="22"/>
        <v>0</v>
      </c>
    </row>
    <row r="184" spans="1:25" ht="58.5" customHeight="1" x14ac:dyDescent="0.3">
      <c r="A184" s="336">
        <f>'Unit Data from Audit Worksheet'!A209</f>
        <v>101</v>
      </c>
      <c r="B184" s="350" t="str">
        <f>'Unit Data from Audit Worksheet'!C209</f>
        <v>Electric Fund Cash Flow Statement</v>
      </c>
      <c r="C184" s="335" t="str">
        <f>'Unit Data from Audit Worksheet'!D209</f>
        <v>Total Capital outlay.  
Include acquisition and construction of capital assets.</v>
      </c>
      <c r="D184" s="355"/>
      <c r="E184" s="356">
        <f>'Unit Data from Audit Worksheet'!F209</f>
        <v>0</v>
      </c>
      <c r="F184" s="349">
        <f>IF(L184&lt;0,"Error: Enter as a positive.",)</f>
        <v>0</v>
      </c>
      <c r="G184" s="351"/>
      <c r="H184" s="348">
        <f>'Unit Data from Audit Worksheet'!I209</f>
        <v>0</v>
      </c>
      <c r="I184" s="38"/>
      <c r="J184" s="347">
        <v>101</v>
      </c>
      <c r="K184" s="346" t="s">
        <v>250</v>
      </c>
      <c r="L184" s="573">
        <f t="shared" si="20"/>
        <v>0</v>
      </c>
      <c r="P184" s="318"/>
      <c r="W184" s="3" t="b">
        <f t="shared" si="19"/>
        <v>1</v>
      </c>
      <c r="X184" s="570">
        <f t="shared" si="21"/>
        <v>0</v>
      </c>
      <c r="Y184" s="570">
        <f t="shared" si="22"/>
        <v>0</v>
      </c>
    </row>
    <row r="185" spans="1:25" ht="60.75" customHeight="1" x14ac:dyDescent="0.3">
      <c r="A185" s="336">
        <f>'Unit Data from Audit Worksheet'!A210</f>
        <v>100</v>
      </c>
      <c r="B185" s="350" t="str">
        <f>'Unit Data from Audit Worksheet'!C210</f>
        <v>Electric Fund Cash Flow Statement</v>
      </c>
      <c r="C185" s="335" t="str">
        <f>'Unit Data from Audit Worksheet'!D210</f>
        <v>Principal paid on long-term debt.  Amount should be reduced by principal payments for debt refunding.</v>
      </c>
      <c r="D185" s="355"/>
      <c r="E185" s="356">
        <f>'Unit Data from Audit Worksheet'!F210</f>
        <v>0</v>
      </c>
      <c r="F185" s="349">
        <f>IF(L185&lt;0,"Error: Enter as a positive.",)</f>
        <v>0</v>
      </c>
      <c r="G185" s="351"/>
      <c r="H185" s="348">
        <f>'Unit Data from Audit Worksheet'!I210</f>
        <v>0</v>
      </c>
      <c r="I185" s="38"/>
      <c r="J185" s="347">
        <v>100</v>
      </c>
      <c r="K185" s="346" t="s">
        <v>251</v>
      </c>
      <c r="L185" s="573">
        <f t="shared" si="20"/>
        <v>0</v>
      </c>
      <c r="P185" s="318"/>
      <c r="W185" s="3" t="b">
        <f t="shared" si="19"/>
        <v>1</v>
      </c>
      <c r="X185" s="570">
        <f t="shared" si="21"/>
        <v>0</v>
      </c>
      <c r="Y185" s="570">
        <f t="shared" si="22"/>
        <v>0</v>
      </c>
    </row>
    <row r="186" spans="1:25" ht="71.25" customHeight="1" x14ac:dyDescent="0.3">
      <c r="A186" s="336">
        <f>'Unit Data from Audit Worksheet'!A212</f>
        <v>512</v>
      </c>
      <c r="B186" s="350" t="str">
        <f>'Unit Data from Audit Worksheet'!C212</f>
        <v>Fiduciary Statements</v>
      </c>
      <c r="C186" s="335" t="str">
        <f>'Unit Data from Audit Worksheet'!D212</f>
        <v>Cash and investments.  
Include:  unrestricted and restricted.  
                   cash and investments held 
                   by a third party</v>
      </c>
      <c r="D186" s="355"/>
      <c r="E186" s="356">
        <f>'Unit Data from Audit Worksheet'!F212</f>
        <v>0</v>
      </c>
      <c r="F186" s="349">
        <f>IF(L186&lt;0,"Error: Number is normally positive.",)</f>
        <v>0</v>
      </c>
      <c r="G186" s="351"/>
      <c r="H186" s="348">
        <f>'Unit Data from Audit Worksheet'!I212</f>
        <v>0</v>
      </c>
      <c r="I186" s="38"/>
      <c r="J186" s="347">
        <v>512</v>
      </c>
      <c r="K186" s="346" t="s">
        <v>252</v>
      </c>
      <c r="L186" s="573">
        <f t="shared" si="20"/>
        <v>0</v>
      </c>
      <c r="P186" s="318"/>
      <c r="W186" s="3" t="b">
        <f t="shared" si="19"/>
        <v>1</v>
      </c>
      <c r="X186" s="570">
        <f t="shared" si="21"/>
        <v>0</v>
      </c>
      <c r="Y186" s="570">
        <f t="shared" si="22"/>
        <v>0</v>
      </c>
    </row>
    <row r="187" spans="1:25" ht="62.25" customHeight="1" x14ac:dyDescent="0.3">
      <c r="A187" s="336">
        <f>'Unit Data from Audit Worksheet'!A214</f>
        <v>656</v>
      </c>
      <c r="B187" s="350">
        <f>'Unit Data from Audit Worksheet'!C214</f>
        <v>0</v>
      </c>
      <c r="C187" s="335" t="str">
        <f>'Unit Data from Audit Worksheet'!D214</f>
        <v>Do you use prepared food/occupancy tax revenue stream to support debt?  Select "1" for Yes and "2" for No</v>
      </c>
      <c r="D187" s="139"/>
      <c r="E187" s="356">
        <f>'Unit Data from Audit Worksheet'!F214</f>
        <v>0</v>
      </c>
      <c r="F187" s="349"/>
      <c r="G187" s="351"/>
      <c r="H187" s="348"/>
      <c r="I187" s="38"/>
      <c r="J187" s="347">
        <v>656</v>
      </c>
      <c r="K187" s="353" t="s">
        <v>487</v>
      </c>
      <c r="L187" s="599">
        <f>E187</f>
        <v>0</v>
      </c>
      <c r="M187" s="18"/>
      <c r="N187" s="18"/>
      <c r="O187" s="18"/>
      <c r="P187" s="318"/>
      <c r="W187" s="3" t="b">
        <f t="shared" si="19"/>
        <v>1</v>
      </c>
      <c r="X187" s="570">
        <f t="shared" si="21"/>
        <v>0</v>
      </c>
      <c r="Y187" s="570">
        <f t="shared" si="22"/>
        <v>0</v>
      </c>
    </row>
    <row r="188" spans="1:25" s="18" customFormat="1" ht="102.75" customHeight="1" x14ac:dyDescent="0.3">
      <c r="A188" s="336">
        <f>'Unit Data from Audit Worksheet'!A216</f>
        <v>535</v>
      </c>
      <c r="B188" s="350" t="str">
        <f>'Unit Data from Audit Worksheet'!C216</f>
        <v>Cash and Investment Note</v>
      </c>
      <c r="C188" s="335" t="str">
        <f>'Unit Data from Audit Worksheet'!D216</f>
        <v>Cash and Investment - Please list the book value of any unspent debt proceeds (bonds, installment, etc.) in any funds as of June 30.  This information may be on the face of your statements or in the notes</v>
      </c>
      <c r="D188" s="355"/>
      <c r="E188" s="356">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1"/>
      <c r="H188" s="348">
        <f>'Unit Data from Audit Worksheet'!I216</f>
        <v>0</v>
      </c>
      <c r="I188" s="38"/>
      <c r="J188" s="347">
        <v>535</v>
      </c>
      <c r="K188" s="62" t="s">
        <v>253</v>
      </c>
      <c r="L188" s="573">
        <f t="shared" si="20"/>
        <v>0</v>
      </c>
      <c r="P188" s="318"/>
      <c r="Q188" s="563"/>
      <c r="R188" s="3"/>
      <c r="W188" s="3" t="b">
        <f t="shared" si="19"/>
        <v>1</v>
      </c>
      <c r="X188" s="570">
        <f t="shared" si="21"/>
        <v>0</v>
      </c>
      <c r="Y188" s="570">
        <f t="shared" si="22"/>
        <v>0</v>
      </c>
    </row>
    <row r="189" spans="1:25" ht="45.75" customHeight="1" x14ac:dyDescent="0.3">
      <c r="A189" s="336">
        <f>'Unit Data from Audit Worksheet'!A220</f>
        <v>334</v>
      </c>
      <c r="B189" s="350" t="str">
        <f>'Unit Data from Audit Worksheet'!C220</f>
        <v>Gov.-Capital Assets Schedule in the Notes</v>
      </c>
      <c r="C189" s="335" t="str">
        <f>'Unit Data from Audit Worksheet'!D220</f>
        <v>Gross value.  
Exclude non-depreciable.</v>
      </c>
      <c r="D189" s="355"/>
      <c r="E189" s="356">
        <f>'Unit Data from Audit Worksheet'!F220</f>
        <v>0</v>
      </c>
      <c r="F189" s="87"/>
      <c r="G189" s="351"/>
      <c r="H189" s="348">
        <f>'Unit Data from Audit Worksheet'!I220</f>
        <v>0</v>
      </c>
      <c r="I189" s="38"/>
      <c r="J189" s="347">
        <v>334</v>
      </c>
      <c r="K189" s="62" t="s">
        <v>272</v>
      </c>
      <c r="L189" s="573">
        <f t="shared" si="20"/>
        <v>0</v>
      </c>
      <c r="P189" s="318"/>
      <c r="W189" s="3" t="b">
        <f t="shared" si="19"/>
        <v>1</v>
      </c>
      <c r="X189" s="570">
        <f t="shared" si="21"/>
        <v>0</v>
      </c>
      <c r="Y189" s="570">
        <f t="shared" si="22"/>
        <v>0</v>
      </c>
    </row>
    <row r="190" spans="1:25" ht="57" customHeight="1" x14ac:dyDescent="0.3">
      <c r="A190" s="336">
        <f>'Unit Data from Audit Worksheet'!A221</f>
        <v>373</v>
      </c>
      <c r="B190" s="350" t="str">
        <f>'Unit Data from Audit Worksheet'!C221</f>
        <v>Gov.-Capital Assets Schedule in the Notes</v>
      </c>
      <c r="C190" s="335" t="str">
        <f>'Unit Data from Audit Worksheet'!D221</f>
        <v>Accumulated depreciation</v>
      </c>
      <c r="D190" s="355"/>
      <c r="E190" s="356">
        <f>'Unit Data from Audit Worksheet'!F221</f>
        <v>0</v>
      </c>
      <c r="F190" s="87"/>
      <c r="G190" s="351"/>
      <c r="H190" s="348">
        <f>'Unit Data from Audit Worksheet'!I221</f>
        <v>0</v>
      </c>
      <c r="I190" s="38"/>
      <c r="J190" s="347">
        <v>373</v>
      </c>
      <c r="K190" s="58" t="s">
        <v>322</v>
      </c>
      <c r="L190" s="573">
        <f t="shared" si="20"/>
        <v>0</v>
      </c>
      <c r="P190" s="318"/>
      <c r="W190" s="3" t="b">
        <f t="shared" si="19"/>
        <v>1</v>
      </c>
      <c r="X190" s="570">
        <f t="shared" si="21"/>
        <v>0</v>
      </c>
      <c r="Y190" s="570">
        <f t="shared" si="22"/>
        <v>0</v>
      </c>
    </row>
    <row r="191" spans="1:25" ht="102.75" customHeight="1" x14ac:dyDescent="0.3">
      <c r="A191" s="589">
        <f>'Unit Data from Audit Worksheet'!A222</f>
        <v>987</v>
      </c>
      <c r="B191" s="354">
        <f>'Unit Data from Audit Worksheet'!C222</f>
        <v>0</v>
      </c>
      <c r="C191" s="590" t="str">
        <f>'Unit Data from Audit Worksheet'!D222</f>
        <v xml:space="preserve">Estimated cost not yet budgeted of any mandate placed on unit by DEQ, a court order or some similar requirement (that has no realistic appeal path). </v>
      </c>
      <c r="D191" s="355"/>
      <c r="E191" s="356">
        <f>'Unit Data from Audit Worksheet'!F222</f>
        <v>0</v>
      </c>
      <c r="F191" s="87"/>
      <c r="G191" s="351"/>
      <c r="H191" s="348">
        <f>'Unit Data from Audit Worksheet'!I222</f>
        <v>0</v>
      </c>
      <c r="I191" s="38"/>
      <c r="J191" s="365">
        <v>987</v>
      </c>
      <c r="K191" s="600" t="s">
        <v>943</v>
      </c>
      <c r="L191" s="591">
        <f t="shared" si="20"/>
        <v>0</v>
      </c>
      <c r="P191" s="318"/>
      <c r="W191" s="3" t="b">
        <f t="shared" si="19"/>
        <v>1</v>
      </c>
      <c r="X191" s="570"/>
      <c r="Y191" s="570"/>
    </row>
    <row r="192" spans="1:25" ht="69" customHeight="1" x14ac:dyDescent="0.3">
      <c r="A192" s="589">
        <f>'Unit Data from Audit Worksheet'!A223</f>
        <v>988</v>
      </c>
      <c r="B192" s="354">
        <f>'Unit Data from Audit Worksheet'!C223</f>
        <v>0</v>
      </c>
      <c r="C192" s="590" t="str">
        <f>'Unit Data from Audit Worksheet'!D223</f>
        <v>Do you operate a landfill that will be closing  or have a significant portion closing within the next 5 years?  Select "1" for Yes and "2" for No</v>
      </c>
      <c r="D192" s="355"/>
      <c r="E192" s="356">
        <f>'Unit Data from Audit Worksheet'!F223</f>
        <v>0</v>
      </c>
      <c r="F192" s="87"/>
      <c r="G192" s="351"/>
      <c r="H192" s="348">
        <f>'Unit Data from Audit Worksheet'!I223</f>
        <v>0</v>
      </c>
      <c r="I192" s="38"/>
      <c r="J192" s="365">
        <v>988</v>
      </c>
      <c r="K192" s="600" t="s">
        <v>1550</v>
      </c>
      <c r="L192" s="591">
        <f t="shared" si="20"/>
        <v>0</v>
      </c>
      <c r="P192" s="318"/>
      <c r="W192" s="3" t="b">
        <f t="shared" si="19"/>
        <v>1</v>
      </c>
      <c r="X192" s="570"/>
      <c r="Y192" s="570"/>
    </row>
    <row r="193" spans="1:25" ht="95.25" customHeight="1" x14ac:dyDescent="0.3">
      <c r="A193" s="589">
        <f>'Unit Data from Audit Worksheet'!A224</f>
        <v>989</v>
      </c>
      <c r="B193" s="354">
        <f>'Unit Data from Audit Worksheet'!C224</f>
        <v>0</v>
      </c>
      <c r="C193" s="590" t="str">
        <f>'Unit Data from Audit Worksheet'!D224</f>
        <v>If you answered "yes" to question #988 above, will you have the closure/postclosure cost fully funded by the date of closure?  Select "1" for Yes,  "2" for No, or "3" for N/A.</v>
      </c>
      <c r="D193" s="355"/>
      <c r="E193" s="356">
        <f>'Unit Data from Audit Worksheet'!F224</f>
        <v>0</v>
      </c>
      <c r="F193" s="87"/>
      <c r="G193" s="351"/>
      <c r="H193" s="348">
        <f>'Unit Data from Audit Worksheet'!I224</f>
        <v>0</v>
      </c>
      <c r="I193" s="38"/>
      <c r="J193" s="365">
        <v>989</v>
      </c>
      <c r="K193" s="600" t="s">
        <v>1205</v>
      </c>
      <c r="L193" s="591">
        <f t="shared" si="20"/>
        <v>0</v>
      </c>
      <c r="P193" s="318"/>
      <c r="W193" s="3" t="b">
        <f t="shared" si="19"/>
        <v>1</v>
      </c>
      <c r="X193" s="570"/>
      <c r="Y193" s="570"/>
    </row>
    <row r="194" spans="1:25" ht="57" customHeight="1" x14ac:dyDescent="0.3">
      <c r="A194" s="336">
        <f>'Unit Data from Audit Worksheet'!A228</f>
        <v>327</v>
      </c>
      <c r="B194" s="350" t="str">
        <f>'Unit Data from Audit Worksheet'!C228</f>
        <v>WS-Capital Assets Schedule in the Notes</v>
      </c>
      <c r="C194" s="335" t="str">
        <f>'Unit Data from Audit Worksheet'!D228</f>
        <v>Land and all other non depreciable capital assets 
Exclude construction in progress</v>
      </c>
      <c r="D194" s="355"/>
      <c r="E194" s="356">
        <f>'Unit Data from Audit Worksheet'!F228</f>
        <v>0</v>
      </c>
      <c r="F194" s="87"/>
      <c r="G194" s="351"/>
      <c r="H194" s="348">
        <f>'Unit Data from Audit Worksheet'!I228</f>
        <v>0</v>
      </c>
      <c r="I194" s="38"/>
      <c r="J194" s="347">
        <v>327</v>
      </c>
      <c r="K194" s="58" t="s">
        <v>323</v>
      </c>
      <c r="L194" s="573">
        <f t="shared" si="20"/>
        <v>0</v>
      </c>
      <c r="P194" s="318"/>
      <c r="W194" s="3" t="b">
        <f t="shared" si="19"/>
        <v>1</v>
      </c>
      <c r="X194" s="570">
        <f t="shared" si="21"/>
        <v>0</v>
      </c>
      <c r="Y194" s="570">
        <f t="shared" si="22"/>
        <v>0</v>
      </c>
    </row>
    <row r="195" spans="1:25" ht="57" customHeight="1" x14ac:dyDescent="0.3">
      <c r="A195" s="336">
        <f>'Unit Data from Audit Worksheet'!A229</f>
        <v>328</v>
      </c>
      <c r="B195" s="350" t="str">
        <f>'Unit Data from Audit Worksheet'!C229</f>
        <v>WS-Capital Assets Schedule in the Notes</v>
      </c>
      <c r="C195" s="335" t="str">
        <f>'Unit Data from Audit Worksheet'!D229</f>
        <v>Construction in progress</v>
      </c>
      <c r="D195" s="355"/>
      <c r="E195" s="356">
        <f>'Unit Data from Audit Worksheet'!F229</f>
        <v>0</v>
      </c>
      <c r="F195" s="87"/>
      <c r="G195" s="351"/>
      <c r="H195" s="348">
        <f>'Unit Data from Audit Worksheet'!I229</f>
        <v>0</v>
      </c>
      <c r="I195" s="38"/>
      <c r="J195" s="347">
        <v>328</v>
      </c>
      <c r="K195" s="58" t="s">
        <v>324</v>
      </c>
      <c r="L195" s="573">
        <f t="shared" si="20"/>
        <v>0</v>
      </c>
      <c r="P195" s="318"/>
      <c r="W195" s="3" t="b">
        <f t="shared" si="19"/>
        <v>1</v>
      </c>
      <c r="X195" s="570">
        <f t="shared" si="21"/>
        <v>0</v>
      </c>
      <c r="Y195" s="570">
        <f t="shared" si="22"/>
        <v>0</v>
      </c>
    </row>
    <row r="196" spans="1:25" ht="46.5" customHeight="1" x14ac:dyDescent="0.3">
      <c r="A196" s="336">
        <f>'Unit Data from Audit Worksheet'!A233</f>
        <v>515</v>
      </c>
      <c r="B196" s="350" t="str">
        <f>'Unit Data from Audit Worksheet'!C233</f>
        <v>WS Capital Assets Schedule-Gross Value</v>
      </c>
      <c r="C196" s="335" t="str">
        <f>'Unit Data from Audit Worksheet'!D233</f>
        <v>Buildings</v>
      </c>
      <c r="D196" s="355"/>
      <c r="E196" s="356">
        <f>'Unit Data from Audit Worksheet'!F233</f>
        <v>0</v>
      </c>
      <c r="F196" s="87"/>
      <c r="G196" s="351"/>
      <c r="H196" s="348">
        <f>'Unit Data from Audit Worksheet'!I233</f>
        <v>0</v>
      </c>
      <c r="I196" s="38"/>
      <c r="J196" s="347">
        <v>515</v>
      </c>
      <c r="K196" s="58" t="s">
        <v>273</v>
      </c>
      <c r="L196" s="573">
        <f t="shared" si="20"/>
        <v>0</v>
      </c>
      <c r="P196" s="318"/>
      <c r="W196" s="3" t="b">
        <f t="shared" si="19"/>
        <v>1</v>
      </c>
      <c r="X196" s="570">
        <f t="shared" si="21"/>
        <v>0</v>
      </c>
      <c r="Y196" s="570">
        <f t="shared" si="22"/>
        <v>0</v>
      </c>
    </row>
    <row r="197" spans="1:25" ht="46.5" customHeight="1" x14ac:dyDescent="0.3">
      <c r="A197" s="336">
        <f>'Unit Data from Audit Worksheet'!A234</f>
        <v>516</v>
      </c>
      <c r="B197" s="350" t="str">
        <f>'Unit Data from Audit Worksheet'!C234</f>
        <v>WS Capital Assets Schedule-Gross Value</v>
      </c>
      <c r="C197" s="335" t="str">
        <f>'Unit Data from Audit Worksheet'!D234</f>
        <v>Plant / distributions systems / water lines</v>
      </c>
      <c r="D197" s="355"/>
      <c r="E197" s="356">
        <f>'Unit Data from Audit Worksheet'!F234</f>
        <v>0</v>
      </c>
      <c r="F197" s="87"/>
      <c r="G197" s="351"/>
      <c r="H197" s="348">
        <f>'Unit Data from Audit Worksheet'!I234</f>
        <v>0</v>
      </c>
      <c r="I197" s="38"/>
      <c r="J197" s="347">
        <v>516</v>
      </c>
      <c r="K197" s="58" t="s">
        <v>274</v>
      </c>
      <c r="L197" s="573">
        <f t="shared" si="20"/>
        <v>0</v>
      </c>
      <c r="P197" s="318"/>
      <c r="W197" s="3" t="b">
        <f t="shared" ref="W197:W228" si="23">EXACT(A197,J197)</f>
        <v>1</v>
      </c>
      <c r="X197" s="570">
        <f t="shared" si="21"/>
        <v>0</v>
      </c>
      <c r="Y197" s="570">
        <f t="shared" si="22"/>
        <v>0</v>
      </c>
    </row>
    <row r="198" spans="1:25" ht="46.5" customHeight="1" x14ac:dyDescent="0.3">
      <c r="A198" s="336">
        <f>'Unit Data from Audit Worksheet'!A235</f>
        <v>517</v>
      </c>
      <c r="B198" s="350" t="str">
        <f>'Unit Data from Audit Worksheet'!C235</f>
        <v>WS Capital Assets Schedule-Gross Value</v>
      </c>
      <c r="C198" s="335" t="str">
        <f>'Unit Data from Audit Worksheet'!D235</f>
        <v>Infrastructure(other infrastructure)</v>
      </c>
      <c r="D198" s="355"/>
      <c r="E198" s="356">
        <f>'Unit Data from Audit Worksheet'!F235</f>
        <v>0</v>
      </c>
      <c r="F198" s="87"/>
      <c r="G198" s="351"/>
      <c r="H198" s="348">
        <f>'Unit Data from Audit Worksheet'!I235</f>
        <v>0</v>
      </c>
      <c r="I198" s="38"/>
      <c r="J198" s="347">
        <v>517</v>
      </c>
      <c r="K198" s="601" t="s">
        <v>275</v>
      </c>
      <c r="L198" s="573">
        <f t="shared" si="20"/>
        <v>0</v>
      </c>
      <c r="P198" s="318"/>
      <c r="W198" s="3" t="b">
        <f t="shared" si="23"/>
        <v>1</v>
      </c>
      <c r="X198" s="570">
        <f t="shared" si="21"/>
        <v>0</v>
      </c>
      <c r="Y198" s="570">
        <f t="shared" si="22"/>
        <v>0</v>
      </c>
    </row>
    <row r="199" spans="1:25" ht="46.5" customHeight="1" x14ac:dyDescent="0.3">
      <c r="A199" s="336">
        <f>'Unit Data from Audit Worksheet'!A236</f>
        <v>518</v>
      </c>
      <c r="B199" s="350" t="str">
        <f>'Unit Data from Audit Worksheet'!C236</f>
        <v>WS Capital Assets Schedule-Gross Value</v>
      </c>
      <c r="C199" s="335" t="str">
        <f>'Unit Data from Audit Worksheet'!D236</f>
        <v>All other depreciable capital assets</v>
      </c>
      <c r="D199" s="355"/>
      <c r="E199" s="356">
        <f>'Unit Data from Audit Worksheet'!F236</f>
        <v>0</v>
      </c>
      <c r="F199" s="87"/>
      <c r="G199" s="351"/>
      <c r="H199" s="348">
        <f>'Unit Data from Audit Worksheet'!I236</f>
        <v>0</v>
      </c>
      <c r="I199" s="38"/>
      <c r="J199" s="347">
        <v>518</v>
      </c>
      <c r="K199" s="601" t="s">
        <v>276</v>
      </c>
      <c r="L199" s="573">
        <f t="shared" si="20"/>
        <v>0</v>
      </c>
      <c r="P199" s="318"/>
      <c r="W199" s="3" t="b">
        <f t="shared" si="23"/>
        <v>1</v>
      </c>
      <c r="X199" s="570">
        <f t="shared" si="21"/>
        <v>0</v>
      </c>
      <c r="Y199" s="570">
        <f t="shared" si="22"/>
        <v>0</v>
      </c>
    </row>
    <row r="200" spans="1:25" ht="52.5" customHeight="1" x14ac:dyDescent="0.3">
      <c r="A200" s="336">
        <f>'Unit Data from Audit Worksheet'!A239</f>
        <v>519</v>
      </c>
      <c r="B200" s="350" t="str">
        <f>'Unit Data from Audit Worksheet'!C239</f>
        <v>WS Capital Assets Schedule-Annual Depreciation</v>
      </c>
      <c r="C200" s="335" t="str">
        <f>'Unit Data from Audit Worksheet'!D239</f>
        <v>Buildings annual depreciation</v>
      </c>
      <c r="D200" s="355"/>
      <c r="E200" s="356">
        <f>'Unit Data from Audit Worksheet'!F239</f>
        <v>0</v>
      </c>
      <c r="F200" s="87"/>
      <c r="G200" s="351"/>
      <c r="H200" s="348">
        <f>'Unit Data from Audit Worksheet'!I239</f>
        <v>0</v>
      </c>
      <c r="I200" s="38"/>
      <c r="J200" s="347">
        <v>519</v>
      </c>
      <c r="K200" s="601" t="s">
        <v>277</v>
      </c>
      <c r="L200" s="573">
        <f t="shared" si="20"/>
        <v>0</v>
      </c>
      <c r="P200" s="318"/>
      <c r="W200" s="3" t="b">
        <f t="shared" si="23"/>
        <v>1</v>
      </c>
      <c r="X200" s="570">
        <f t="shared" si="21"/>
        <v>0</v>
      </c>
      <c r="Y200" s="570">
        <f t="shared" si="22"/>
        <v>0</v>
      </c>
    </row>
    <row r="201" spans="1:25" ht="52.5" customHeight="1" x14ac:dyDescent="0.3">
      <c r="A201" s="336">
        <f>'Unit Data from Audit Worksheet'!A240</f>
        <v>520</v>
      </c>
      <c r="B201" s="350" t="str">
        <f>'Unit Data from Audit Worksheet'!C240</f>
        <v>WS Capital Assets Schedule-Annual Depreciation</v>
      </c>
      <c r="C201" s="335" t="str">
        <f>'Unit Data from Audit Worksheet'!D240</f>
        <v>Plant / distributions systems / water lines annual depreciation</v>
      </c>
      <c r="D201" s="355"/>
      <c r="E201" s="356">
        <f>'Unit Data from Audit Worksheet'!F240</f>
        <v>0</v>
      </c>
      <c r="F201" s="87"/>
      <c r="G201" s="351"/>
      <c r="H201" s="348">
        <f>'Unit Data from Audit Worksheet'!I240</f>
        <v>0</v>
      </c>
      <c r="I201" s="38"/>
      <c r="J201" s="347">
        <v>520</v>
      </c>
      <c r="K201" s="601" t="s">
        <v>278</v>
      </c>
      <c r="L201" s="573">
        <f t="shared" si="20"/>
        <v>0</v>
      </c>
      <c r="P201" s="318"/>
      <c r="W201" s="3" t="b">
        <f t="shared" si="23"/>
        <v>1</v>
      </c>
      <c r="X201" s="570">
        <f t="shared" si="21"/>
        <v>0</v>
      </c>
      <c r="Y201" s="570">
        <f t="shared" si="22"/>
        <v>0</v>
      </c>
    </row>
    <row r="202" spans="1:25" ht="52.5" customHeight="1" x14ac:dyDescent="0.3">
      <c r="A202" s="336">
        <f>'Unit Data from Audit Worksheet'!A241</f>
        <v>521</v>
      </c>
      <c r="B202" s="350" t="str">
        <f>'Unit Data from Audit Worksheet'!C241</f>
        <v>WS Capital Assets Schedule-Annual Depreciation</v>
      </c>
      <c r="C202" s="335" t="str">
        <f>'Unit Data from Audit Worksheet'!D241</f>
        <v>Infrastructure(other infrastructure) annual depreciation</v>
      </c>
      <c r="D202" s="355"/>
      <c r="E202" s="356">
        <f>'Unit Data from Audit Worksheet'!F241</f>
        <v>0</v>
      </c>
      <c r="F202" s="87"/>
      <c r="G202" s="351"/>
      <c r="H202" s="348">
        <f>'Unit Data from Audit Worksheet'!I241</f>
        <v>0</v>
      </c>
      <c r="I202" s="38"/>
      <c r="J202" s="347">
        <v>521</v>
      </c>
      <c r="K202" s="58" t="s">
        <v>279</v>
      </c>
      <c r="L202" s="573">
        <f t="shared" si="20"/>
        <v>0</v>
      </c>
      <c r="P202" s="318"/>
      <c r="W202" s="3" t="b">
        <f t="shared" si="23"/>
        <v>1</v>
      </c>
      <c r="X202" s="570">
        <f t="shared" si="21"/>
        <v>0</v>
      </c>
      <c r="Y202" s="570">
        <f t="shared" si="22"/>
        <v>0</v>
      </c>
    </row>
    <row r="203" spans="1:25" ht="42.75" customHeight="1" x14ac:dyDescent="0.3">
      <c r="A203" s="336">
        <f>'Unit Data from Audit Worksheet'!A242</f>
        <v>522</v>
      </c>
      <c r="B203" s="350" t="str">
        <f>'Unit Data from Audit Worksheet'!C242</f>
        <v>WS Capital Assets Schedule-Annual Depreciation</v>
      </c>
      <c r="C203" s="335" t="str">
        <f>'Unit Data from Audit Worksheet'!D242</f>
        <v>All other depreciable capital assets annual depreciation</v>
      </c>
      <c r="D203" s="355"/>
      <c r="E203" s="356">
        <f>'Unit Data from Audit Worksheet'!F242</f>
        <v>0</v>
      </c>
      <c r="F203" s="87"/>
      <c r="G203" s="351"/>
      <c r="H203" s="348">
        <f>'Unit Data from Audit Worksheet'!I242</f>
        <v>0</v>
      </c>
      <c r="I203" s="38"/>
      <c r="J203" s="347">
        <v>522</v>
      </c>
      <c r="K203" s="58" t="s">
        <v>280</v>
      </c>
      <c r="L203" s="573">
        <f t="shared" si="20"/>
        <v>0</v>
      </c>
      <c r="P203" s="318"/>
      <c r="W203" s="3" t="b">
        <f t="shared" si="23"/>
        <v>1</v>
      </c>
      <c r="X203" s="570">
        <f t="shared" si="21"/>
        <v>0</v>
      </c>
      <c r="Y203" s="570">
        <f t="shared" si="22"/>
        <v>0</v>
      </c>
    </row>
    <row r="204" spans="1:25" ht="42.75" customHeight="1" x14ac:dyDescent="0.3">
      <c r="A204" s="336">
        <f>'Unit Data from Audit Worksheet'!A245</f>
        <v>523</v>
      </c>
      <c r="B204" s="350" t="str">
        <f>'Unit Data from Audit Worksheet'!C245</f>
        <v>WS Capital Assets Schedule-Accumulated Depreciation</v>
      </c>
      <c r="C204" s="335" t="str">
        <f>'Unit Data from Audit Worksheet'!D245</f>
        <v>Building accumulated depreciation</v>
      </c>
      <c r="D204" s="355"/>
      <c r="E204" s="356">
        <f>'Unit Data from Audit Worksheet'!F245</f>
        <v>0</v>
      </c>
      <c r="F204" s="87"/>
      <c r="G204" s="351"/>
      <c r="H204" s="348">
        <f>'Unit Data from Audit Worksheet'!I245</f>
        <v>0</v>
      </c>
      <c r="I204" s="38"/>
      <c r="J204" s="347">
        <v>523</v>
      </c>
      <c r="K204" s="58" t="s">
        <v>281</v>
      </c>
      <c r="L204" s="573">
        <f t="shared" si="20"/>
        <v>0</v>
      </c>
      <c r="P204" s="318"/>
      <c r="W204" s="3" t="b">
        <f t="shared" si="23"/>
        <v>1</v>
      </c>
      <c r="X204" s="570">
        <f t="shared" si="21"/>
        <v>0</v>
      </c>
      <c r="Y204" s="570">
        <f t="shared" si="22"/>
        <v>0</v>
      </c>
    </row>
    <row r="205" spans="1:25" ht="51" customHeight="1" x14ac:dyDescent="0.3">
      <c r="A205" s="336">
        <f>'Unit Data from Audit Worksheet'!A246</f>
        <v>524</v>
      </c>
      <c r="B205" s="350" t="str">
        <f>'Unit Data from Audit Worksheet'!C246</f>
        <v>WS Capital Assets Schedule-Accumulated Depreciation</v>
      </c>
      <c r="C205" s="335" t="str">
        <f>'Unit Data from Audit Worksheet'!D246</f>
        <v>Plant / distributions systems / water lines accumulated depreciation</v>
      </c>
      <c r="D205" s="355"/>
      <c r="E205" s="356">
        <f>'Unit Data from Audit Worksheet'!F246</f>
        <v>0</v>
      </c>
      <c r="F205" s="87"/>
      <c r="G205" s="351"/>
      <c r="H205" s="348">
        <f>'Unit Data from Audit Worksheet'!I246</f>
        <v>0</v>
      </c>
      <c r="I205" s="38"/>
      <c r="J205" s="347">
        <v>524</v>
      </c>
      <c r="K205" s="58" t="s">
        <v>282</v>
      </c>
      <c r="L205" s="573">
        <f t="shared" si="20"/>
        <v>0</v>
      </c>
      <c r="P205" s="318"/>
      <c r="W205" s="3" t="b">
        <f t="shared" si="23"/>
        <v>1</v>
      </c>
      <c r="X205" s="570">
        <f t="shared" si="21"/>
        <v>0</v>
      </c>
      <c r="Y205" s="570">
        <f t="shared" si="22"/>
        <v>0</v>
      </c>
    </row>
    <row r="206" spans="1:25" ht="57.75" customHeight="1" x14ac:dyDescent="0.3">
      <c r="A206" s="336">
        <f>'Unit Data from Audit Worksheet'!A247</f>
        <v>525</v>
      </c>
      <c r="B206" s="350" t="str">
        <f>'Unit Data from Audit Worksheet'!C247</f>
        <v>WS Capital Assets Schedule-Accumulated Depreciation</v>
      </c>
      <c r="C206" s="335" t="str">
        <f>'Unit Data from Audit Worksheet'!D247</f>
        <v>Infrastructure(other infrastructure) accumulated depreciation</v>
      </c>
      <c r="D206" s="355"/>
      <c r="E206" s="356">
        <f>'Unit Data from Audit Worksheet'!F247</f>
        <v>0</v>
      </c>
      <c r="F206" s="87"/>
      <c r="G206" s="351"/>
      <c r="H206" s="348">
        <f>'Unit Data from Audit Worksheet'!I247</f>
        <v>0</v>
      </c>
      <c r="I206" s="38"/>
      <c r="J206" s="347">
        <v>525</v>
      </c>
      <c r="K206" s="58" t="s">
        <v>283</v>
      </c>
      <c r="L206" s="573">
        <f t="shared" si="20"/>
        <v>0</v>
      </c>
      <c r="P206" s="318"/>
      <c r="W206" s="3" t="b">
        <f t="shared" si="23"/>
        <v>1</v>
      </c>
      <c r="X206" s="570">
        <f t="shared" si="21"/>
        <v>0</v>
      </c>
      <c r="Y206" s="570">
        <f t="shared" si="22"/>
        <v>0</v>
      </c>
    </row>
    <row r="207" spans="1:25" ht="48" customHeight="1" x14ac:dyDescent="0.3">
      <c r="A207" s="336">
        <f>'Unit Data from Audit Worksheet'!A248</f>
        <v>526</v>
      </c>
      <c r="B207" s="350" t="str">
        <f>'Unit Data from Audit Worksheet'!C248</f>
        <v>WS Capital Assets Schedule-Accumulated Depreciation</v>
      </c>
      <c r="C207" s="335" t="str">
        <f>'Unit Data from Audit Worksheet'!D248</f>
        <v>All other depreciable capital assets accumulated depreciation</v>
      </c>
      <c r="D207" s="355"/>
      <c r="E207" s="356">
        <f>'Unit Data from Audit Worksheet'!F248</f>
        <v>0</v>
      </c>
      <c r="F207" s="87"/>
      <c r="G207" s="351"/>
      <c r="H207" s="348">
        <f>'Unit Data from Audit Worksheet'!I248</f>
        <v>0</v>
      </c>
      <c r="I207" s="38"/>
      <c r="J207" s="347">
        <v>526</v>
      </c>
      <c r="K207" s="58" t="s">
        <v>284</v>
      </c>
      <c r="L207" s="573">
        <f t="shared" si="20"/>
        <v>0</v>
      </c>
      <c r="P207" s="318"/>
      <c r="W207" s="3" t="b">
        <f t="shared" si="23"/>
        <v>1</v>
      </c>
      <c r="X207" s="570">
        <f t="shared" si="21"/>
        <v>0</v>
      </c>
      <c r="Y207" s="570">
        <f t="shared" si="22"/>
        <v>0</v>
      </c>
    </row>
    <row r="208" spans="1:25" ht="50.25" customHeight="1" x14ac:dyDescent="0.3">
      <c r="A208" s="336">
        <f>'Unit Data from Audit Worksheet'!A253</f>
        <v>527</v>
      </c>
      <c r="B208" s="350" t="str">
        <f>'Unit Data from Audit Worksheet'!C253</f>
        <v>Electric Assets</v>
      </c>
      <c r="C208" s="335" t="str">
        <f>'Unit Data from Audit Worksheet'!D253</f>
        <v>Total Assets Gross value not being depreciated for Electric Fund</v>
      </c>
      <c r="D208" s="355"/>
      <c r="E208" s="356">
        <f>'Unit Data from Audit Worksheet'!F253</f>
        <v>0</v>
      </c>
      <c r="F208" s="87"/>
      <c r="G208" s="351"/>
      <c r="H208" s="348">
        <f>'Unit Data from Audit Worksheet'!I253</f>
        <v>0</v>
      </c>
      <c r="I208" s="38"/>
      <c r="J208" s="347">
        <v>527</v>
      </c>
      <c r="K208" s="58" t="s">
        <v>285</v>
      </c>
      <c r="L208" s="573">
        <f t="shared" si="20"/>
        <v>0</v>
      </c>
      <c r="P208" s="318"/>
      <c r="W208" s="3" t="b">
        <f t="shared" si="23"/>
        <v>1</v>
      </c>
      <c r="X208" s="570">
        <f t="shared" si="21"/>
        <v>0</v>
      </c>
      <c r="Y208" s="570">
        <f t="shared" si="22"/>
        <v>0</v>
      </c>
    </row>
    <row r="209" spans="1:27" ht="54.75" customHeight="1" x14ac:dyDescent="0.3">
      <c r="A209" s="336">
        <f>'Unit Data from Audit Worksheet'!A254</f>
        <v>356</v>
      </c>
      <c r="B209" s="350" t="str">
        <f>'Unit Data from Audit Worksheet'!C254</f>
        <v>Electric Assets</v>
      </c>
      <c r="C209" s="335" t="str">
        <f>'Unit Data from Audit Worksheet'!D254</f>
        <v>Total Assets Gross value of assets being depreciated for Electric Fund</v>
      </c>
      <c r="D209" s="355"/>
      <c r="E209" s="356">
        <f>'Unit Data from Audit Worksheet'!F254</f>
        <v>0</v>
      </c>
      <c r="F209" s="87"/>
      <c r="G209" s="351"/>
      <c r="H209" s="348">
        <f>'Unit Data from Audit Worksheet'!I254</f>
        <v>0</v>
      </c>
      <c r="I209" s="38"/>
      <c r="J209" s="347">
        <v>356</v>
      </c>
      <c r="K209" s="58" t="s">
        <v>325</v>
      </c>
      <c r="L209" s="573">
        <f t="shared" si="20"/>
        <v>0</v>
      </c>
      <c r="P209" s="318"/>
      <c r="W209" s="3" t="b">
        <f t="shared" si="23"/>
        <v>1</v>
      </c>
      <c r="X209" s="570">
        <f t="shared" si="21"/>
        <v>0</v>
      </c>
      <c r="Y209" s="570">
        <f t="shared" si="22"/>
        <v>0</v>
      </c>
    </row>
    <row r="210" spans="1:27" ht="54.75" customHeight="1" x14ac:dyDescent="0.3">
      <c r="A210" s="336">
        <f>'Unit Data from Audit Worksheet'!A255</f>
        <v>357</v>
      </c>
      <c r="B210" s="350" t="str">
        <f>'Unit Data from Audit Worksheet'!C255</f>
        <v>Electric Accumulated Depreciation</v>
      </c>
      <c r="C210" s="335" t="str">
        <f>'Unit Data from Audit Worksheet'!D255</f>
        <v>Total accumulated depreciation for Electric Fund assets</v>
      </c>
      <c r="D210" s="355"/>
      <c r="E210" s="356">
        <f>'Unit Data from Audit Worksheet'!F255</f>
        <v>0</v>
      </c>
      <c r="F210" s="87"/>
      <c r="G210" s="351"/>
      <c r="H210" s="348">
        <f>'Unit Data from Audit Worksheet'!I255</f>
        <v>0</v>
      </c>
      <c r="I210" s="38"/>
      <c r="J210" s="347">
        <v>357</v>
      </c>
      <c r="K210" s="58" t="s">
        <v>326</v>
      </c>
      <c r="L210" s="573">
        <f t="shared" si="20"/>
        <v>0</v>
      </c>
      <c r="P210" s="318"/>
      <c r="W210" s="3" t="b">
        <f t="shared" si="23"/>
        <v>1</v>
      </c>
      <c r="X210" s="570">
        <f t="shared" si="21"/>
        <v>0</v>
      </c>
      <c r="Y210" s="570">
        <f t="shared" si="22"/>
        <v>0</v>
      </c>
    </row>
    <row r="211" spans="1:27" ht="191.25" customHeight="1" x14ac:dyDescent="0.3">
      <c r="A211" s="336">
        <f>'Unit Data from Audit Worksheet'!A257</f>
        <v>337</v>
      </c>
      <c r="B211" s="350" t="str">
        <f>'Unit Data from Audit Worksheet'!C257</f>
        <v>Long-Term Liability Note - Governmental Activities</v>
      </c>
      <c r="C211" s="350"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5"/>
      <c r="E211" s="356">
        <f>'Unit Data from Audit Worksheet'!F257</f>
        <v>0</v>
      </c>
      <c r="F211" s="349">
        <f>IF(L211&lt;0,"Error: Enter as a positive.",)</f>
        <v>0</v>
      </c>
      <c r="G211" s="351"/>
      <c r="H211" s="348">
        <f>'Unit Data from Audit Worksheet'!I257</f>
        <v>0</v>
      </c>
      <c r="I211" s="38"/>
      <c r="J211" s="347">
        <v>337</v>
      </c>
      <c r="K211" s="346" t="s">
        <v>254</v>
      </c>
      <c r="L211" s="573">
        <f t="shared" si="20"/>
        <v>0</v>
      </c>
      <c r="P211" s="318"/>
      <c r="W211" s="3" t="b">
        <f t="shared" si="23"/>
        <v>1</v>
      </c>
      <c r="X211" s="570">
        <f t="shared" si="21"/>
        <v>0</v>
      </c>
      <c r="Y211" s="570">
        <f t="shared" si="22"/>
        <v>0</v>
      </c>
    </row>
    <row r="212" spans="1:27" ht="76.5" customHeight="1" x14ac:dyDescent="0.3">
      <c r="A212" s="336">
        <f>'Unit Data from Audit Worksheet'!A258</f>
        <v>343</v>
      </c>
      <c r="B212" s="350" t="str">
        <f>'Unit Data from Audit Worksheet'!C258</f>
        <v>Long-Term Liability Note - Governmental Activities</v>
      </c>
      <c r="C212" s="335" t="str">
        <f>'Unit Data from Audit Worksheet'!D258</f>
        <v>Decreases made (principal paid) on Long-Term Debt in current fiscal year.  Reduce for debt refunding.</v>
      </c>
      <c r="D212" s="355"/>
      <c r="E212" s="356">
        <f>'Unit Data from Audit Worksheet'!F258</f>
        <v>0</v>
      </c>
      <c r="F212" s="349">
        <f>IF(L212&lt;0,"Error: Enter as a positive.",)</f>
        <v>0</v>
      </c>
      <c r="G212" s="351"/>
      <c r="H212" s="348">
        <f>'Unit Data from Audit Worksheet'!I258</f>
        <v>0</v>
      </c>
      <c r="I212" s="38"/>
      <c r="J212" s="347">
        <v>343</v>
      </c>
      <c r="K212" s="346" t="s">
        <v>255</v>
      </c>
      <c r="L212" s="573">
        <f t="shared" si="20"/>
        <v>0</v>
      </c>
      <c r="P212" s="318"/>
      <c r="W212" s="3" t="b">
        <f t="shared" si="23"/>
        <v>1</v>
      </c>
      <c r="X212" s="570">
        <f t="shared" si="21"/>
        <v>0</v>
      </c>
      <c r="Y212" s="570">
        <f t="shared" si="22"/>
        <v>0</v>
      </c>
    </row>
    <row r="213" spans="1:27" ht="193.5" customHeight="1" x14ac:dyDescent="0.3">
      <c r="A213" s="336">
        <f>'Unit Data from Audit Worksheet'!A259</f>
        <v>82</v>
      </c>
      <c r="B213" s="350" t="str">
        <f>'Unit Data from Audit Worksheet'!C259</f>
        <v>Long-Term Liability Note - Water Sewer Activities</v>
      </c>
      <c r="C213" s="350"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5"/>
      <c r="E213" s="356">
        <f>'Unit Data from Audit Worksheet'!F259</f>
        <v>0</v>
      </c>
      <c r="F213" s="349">
        <f>IF(L213&lt;0,"Error: Enter as a positive.",)</f>
        <v>0</v>
      </c>
      <c r="G213" s="351"/>
      <c r="H213" s="348">
        <f>'Unit Data from Audit Worksheet'!I259</f>
        <v>0</v>
      </c>
      <c r="I213" s="38"/>
      <c r="J213" s="347">
        <v>82</v>
      </c>
      <c r="K213" s="69" t="s">
        <v>327</v>
      </c>
      <c r="L213" s="573">
        <f t="shared" si="20"/>
        <v>0</v>
      </c>
      <c r="P213" s="318"/>
      <c r="W213" s="3" t="b">
        <f t="shared" si="23"/>
        <v>1</v>
      </c>
      <c r="X213" s="570">
        <f t="shared" si="21"/>
        <v>0</v>
      </c>
      <c r="Y213" s="570">
        <f t="shared" si="22"/>
        <v>0</v>
      </c>
    </row>
    <row r="214" spans="1:27" ht="206.25" customHeight="1" x14ac:dyDescent="0.3">
      <c r="A214" s="336">
        <f>'Unit Data from Audit Worksheet'!A260</f>
        <v>359</v>
      </c>
      <c r="B214" s="350" t="str">
        <f>'Unit Data from Audit Worksheet'!C260</f>
        <v>Long-Term Liability Note - Electric Activities</v>
      </c>
      <c r="C214" s="350"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5"/>
      <c r="E214" s="356">
        <f>'Unit Data from Audit Worksheet'!F260</f>
        <v>0</v>
      </c>
      <c r="F214" s="349">
        <f>IF(L214&lt;0,"Error: Enter as a positive.",)</f>
        <v>0</v>
      </c>
      <c r="G214" s="351"/>
      <c r="H214" s="348">
        <f>'Unit Data from Audit Worksheet'!I260</f>
        <v>0</v>
      </c>
      <c r="I214" s="38"/>
      <c r="J214" s="347">
        <v>359</v>
      </c>
      <c r="K214" s="346" t="s">
        <v>256</v>
      </c>
      <c r="L214" s="573">
        <f t="shared" si="20"/>
        <v>0</v>
      </c>
      <c r="P214" s="318"/>
      <c r="W214" s="3" t="b">
        <f t="shared" si="23"/>
        <v>1</v>
      </c>
      <c r="X214" s="570">
        <f t="shared" si="21"/>
        <v>0</v>
      </c>
      <c r="Y214" s="570">
        <f t="shared" si="22"/>
        <v>0</v>
      </c>
    </row>
    <row r="215" spans="1:27" ht="76.5" customHeight="1" x14ac:dyDescent="0.3">
      <c r="A215" s="336">
        <f>'Unit Data from Audit Worksheet'!A262</f>
        <v>622</v>
      </c>
      <c r="B215" s="350" t="str">
        <f>'Unit Data from Audit Worksheet'!C262</f>
        <v>FS., Pension note or RSI</v>
      </c>
      <c r="C215" s="350"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5"/>
      <c r="E215" s="356">
        <f>'Unit Data from Audit Worksheet'!F262</f>
        <v>0</v>
      </c>
      <c r="F215" s="349"/>
      <c r="G215" s="351"/>
      <c r="H215" s="348"/>
      <c r="I215" s="38"/>
      <c r="J215" s="347">
        <v>622</v>
      </c>
      <c r="K215" s="353" t="s">
        <v>404</v>
      </c>
      <c r="L215" s="573">
        <f t="shared" si="20"/>
        <v>0</v>
      </c>
      <c r="P215" s="318"/>
      <c r="W215" s="3" t="b">
        <f t="shared" si="23"/>
        <v>1</v>
      </c>
      <c r="X215" s="570">
        <f t="shared" si="21"/>
        <v>0</v>
      </c>
      <c r="Y215" s="570">
        <f t="shared" si="22"/>
        <v>0</v>
      </c>
    </row>
    <row r="216" spans="1:27" ht="138.75" customHeight="1" x14ac:dyDescent="0.3">
      <c r="A216" s="336">
        <f>'Unit Data from Audit Worksheet'!A263</f>
        <v>577</v>
      </c>
      <c r="B216" s="350" t="str">
        <f>'Unit Data from Audit Worksheet'!C263</f>
        <v>Pension Notes</v>
      </c>
      <c r="C216" s="350"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5"/>
      <c r="E216" s="356" t="str">
        <f>IF('Unit Data from Audit Worksheet'!F263="Yes",1,IF('Unit Data from Audit Worksheet'!F263="No",2,IF('Unit Data from Audit Worksheet'!F263&lt;1,"",IF('Unit Data from Audit Worksheet'!F263=0&gt;2,""))))</f>
        <v/>
      </c>
      <c r="F216" s="349"/>
      <c r="G216" s="351"/>
      <c r="H216" s="348"/>
      <c r="I216" s="38"/>
      <c r="J216" s="347">
        <v>577</v>
      </c>
      <c r="K216" s="353" t="s">
        <v>352</v>
      </c>
      <c r="L216" s="573" t="str">
        <f t="shared" si="20"/>
        <v/>
      </c>
      <c r="P216" s="318"/>
      <c r="W216" s="3" t="b">
        <f t="shared" si="23"/>
        <v>1</v>
      </c>
      <c r="X216" s="570" t="e">
        <f t="shared" si="21"/>
        <v>#VALUE!</v>
      </c>
      <c r="Y216" s="570" t="e">
        <f t="shared" si="22"/>
        <v>#VALUE!</v>
      </c>
    </row>
    <row r="217" spans="1:27" ht="115.5" customHeight="1" x14ac:dyDescent="0.3">
      <c r="A217" s="602">
        <f>'Unit Data from Audit Worksheet'!A265</f>
        <v>598</v>
      </c>
      <c r="B217" s="350" t="str">
        <f>'Unit Data from Audit Worksheet'!C265</f>
        <v>LEO Note</v>
      </c>
      <c r="C217" s="335" t="str">
        <f>'Unit Data from Audit Worksheet'!D265</f>
        <v>Amount the unit paid out in benefits under LEO special separation allowance to retired law enforcement officers this fiscal year if you report under GASB 68 or GASB 73.</v>
      </c>
      <c r="D217" s="355"/>
      <c r="E217" s="356">
        <f>'Unit Data from Audit Worksheet'!F265</f>
        <v>0</v>
      </c>
      <c r="F217" s="349">
        <f>IF(L217&lt;0,"Error: Enter as a positive.",)</f>
        <v>0</v>
      </c>
      <c r="G217" s="351"/>
      <c r="H217" s="348">
        <f>'Unit Data from Audit Worksheet'!I265</f>
        <v>0</v>
      </c>
      <c r="I217" s="38"/>
      <c r="J217" s="347">
        <v>598</v>
      </c>
      <c r="K217" s="94" t="s">
        <v>374</v>
      </c>
      <c r="L217" s="573">
        <f t="shared" si="20"/>
        <v>0</v>
      </c>
      <c r="P217" s="318"/>
      <c r="W217" s="3" t="b">
        <f t="shared" si="23"/>
        <v>1</v>
      </c>
      <c r="X217" s="570">
        <f t="shared" si="21"/>
        <v>0</v>
      </c>
      <c r="Y217" s="570">
        <f t="shared" si="22"/>
        <v>0</v>
      </c>
    </row>
    <row r="218" spans="1:27" ht="84" customHeight="1" x14ac:dyDescent="0.3">
      <c r="A218" s="336">
        <f>'Unit Data from Audit Worksheet'!A266</f>
        <v>599</v>
      </c>
      <c r="B218" s="350" t="str">
        <f>'Unit Data from Audit Worksheet'!C266</f>
        <v>LEO Note</v>
      </c>
      <c r="C218" s="335" t="str">
        <f>'Unit Data from Audit Worksheet'!D266</f>
        <v>The total LEO pension liability if you report under GASB 68 or GASB 73.</v>
      </c>
      <c r="D218" s="355"/>
      <c r="E218" s="356">
        <f>'Unit Data from Audit Worksheet'!F266</f>
        <v>0</v>
      </c>
      <c r="F218" s="349">
        <f>IF(L218&lt;0,"Error: Enter as a positive.",)</f>
        <v>0</v>
      </c>
      <c r="G218" s="351"/>
      <c r="H218" s="348">
        <f>'Unit Data from Audit Worksheet'!I266</f>
        <v>0</v>
      </c>
      <c r="I218" s="38"/>
      <c r="J218" s="347">
        <v>599</v>
      </c>
      <c r="K218" s="93" t="s">
        <v>373</v>
      </c>
      <c r="L218" s="573">
        <f t="shared" si="20"/>
        <v>0</v>
      </c>
      <c r="M218" s="603"/>
      <c r="P218" s="318"/>
      <c r="W218" s="3" t="b">
        <f t="shared" si="23"/>
        <v>1</v>
      </c>
      <c r="X218" s="570">
        <f t="shared" si="21"/>
        <v>0</v>
      </c>
      <c r="Y218" s="570">
        <f t="shared" si="22"/>
        <v>0</v>
      </c>
    </row>
    <row r="219" spans="1:27" ht="102.75" customHeight="1" x14ac:dyDescent="0.3">
      <c r="A219" s="336">
        <f>'Unit Data from Audit Worksheet'!A267</f>
        <v>602</v>
      </c>
      <c r="B219" s="350" t="str">
        <f>'Unit Data from Audit Worksheet'!C267</f>
        <v>LEO Note</v>
      </c>
      <c r="C219" s="335" t="str">
        <f>'Unit Data from Audit Worksheet'!D267</f>
        <v>If you have LEO pension assets and are reporting under GASB 68 please enter "Plan Fiduciary Net Position" which can be found on your RSI schedules and the Notes.</v>
      </c>
      <c r="D219" s="355"/>
      <c r="E219" s="356">
        <f>'Unit Data from Audit Worksheet'!F267</f>
        <v>0</v>
      </c>
      <c r="F219" s="349">
        <f>IF(L219&lt;0,"Error: Enter as a positive.",)</f>
        <v>0</v>
      </c>
      <c r="G219" s="351"/>
      <c r="H219" s="348">
        <f>'Unit Data from Audit Worksheet'!I267</f>
        <v>0</v>
      </c>
      <c r="I219" s="38"/>
      <c r="J219" s="347">
        <v>602</v>
      </c>
      <c r="K219" s="26" t="s">
        <v>375</v>
      </c>
      <c r="L219" s="573">
        <f t="shared" si="20"/>
        <v>0</v>
      </c>
      <c r="M219" s="603"/>
      <c r="P219" s="318"/>
      <c r="W219" s="3" t="b">
        <f t="shared" si="23"/>
        <v>1</v>
      </c>
      <c r="X219" s="570">
        <f t="shared" si="21"/>
        <v>0</v>
      </c>
      <c r="Y219" s="570">
        <f t="shared" si="22"/>
        <v>0</v>
      </c>
    </row>
    <row r="220" spans="1:27" ht="123" customHeight="1" x14ac:dyDescent="0.3">
      <c r="A220" s="336">
        <f>'Unit Data from Audit Worksheet'!A268</f>
        <v>619</v>
      </c>
      <c r="B220" s="350"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49" t="str">
        <f>IF(H220=L220,"","Column L does not equal Column H")</f>
        <v/>
      </c>
      <c r="G220" s="351"/>
      <c r="H220" s="103">
        <f>ROUND(IFERROR((L219/L218)*100,0),1)</f>
        <v>0</v>
      </c>
      <c r="I220" s="38"/>
      <c r="J220" s="338">
        <v>619</v>
      </c>
      <c r="K220" s="102" t="s">
        <v>521</v>
      </c>
      <c r="L220" s="910">
        <f t="shared" si="20"/>
        <v>0</v>
      </c>
      <c r="M220" s="603"/>
      <c r="P220" s="604"/>
      <c r="Q220" s="605">
        <f>IF(H220=L220,0,1)</f>
        <v>0</v>
      </c>
      <c r="W220" s="3" t="b">
        <f t="shared" si="23"/>
        <v>1</v>
      </c>
      <c r="X220" s="570">
        <f t="shared" si="21"/>
        <v>0</v>
      </c>
      <c r="Y220" s="570">
        <f t="shared" si="22"/>
        <v>0</v>
      </c>
    </row>
    <row r="221" spans="1:27" ht="113.25" customHeight="1" x14ac:dyDescent="0.3">
      <c r="A221" s="336">
        <v>621</v>
      </c>
      <c r="B221" s="57" t="s">
        <v>396</v>
      </c>
      <c r="C221" s="606" t="str">
        <f>'Unit Data from Audit Worksheet'!D270</f>
        <v xml:space="preserve">Unit's share of Retirement Health Benefit Fund Net OPEB Liability ($s)
- unit of government is a participating employer in the State's RHBF </v>
      </c>
      <c r="D221" s="95"/>
      <c r="E221" s="356">
        <f>'Unit Data from Audit Worksheet'!F270</f>
        <v>0</v>
      </c>
      <c r="F221" s="349">
        <f>IF(L221&lt;0,"Error: Enter as a positive.",)</f>
        <v>0</v>
      </c>
      <c r="G221" s="128"/>
      <c r="H221" s="348"/>
      <c r="I221" s="38"/>
      <c r="J221" s="607">
        <v>621</v>
      </c>
      <c r="K221" s="129" t="s">
        <v>526</v>
      </c>
      <c r="L221" s="573">
        <f t="shared" si="20"/>
        <v>0</v>
      </c>
      <c r="M221" s="603"/>
      <c r="P221" s="607"/>
      <c r="Q221" s="297"/>
      <c r="W221" s="3" t="b">
        <f t="shared" si="23"/>
        <v>1</v>
      </c>
      <c r="X221" s="570">
        <f t="shared" si="21"/>
        <v>0</v>
      </c>
      <c r="Y221" s="570">
        <f t="shared" si="22"/>
        <v>0</v>
      </c>
    </row>
    <row r="222" spans="1:27" s="18" customFormat="1" ht="127.5" customHeight="1" x14ac:dyDescent="0.3">
      <c r="A222" s="602">
        <f>'Unit Data from Audit Worksheet'!A271</f>
        <v>547</v>
      </c>
      <c r="B222" s="350" t="str">
        <f>'Unit Data from Audit Worksheet'!C271</f>
        <v>OPEB Note</v>
      </c>
      <c r="C222" s="350"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5"/>
      <c r="E222" s="356">
        <f>'Unit Data from Audit Worksheet'!F271</f>
        <v>0</v>
      </c>
      <c r="F222" s="349" t="str">
        <f>IF(L225&lt;1,"Please answer this question","")</f>
        <v>Please answer this question</v>
      </c>
      <c r="G222" s="351"/>
      <c r="H222" s="348">
        <f>'Unit Data from Audit Worksheet'!I271</f>
        <v>0</v>
      </c>
      <c r="I222" s="38"/>
      <c r="J222" s="347">
        <v>547</v>
      </c>
      <c r="K222" s="608" t="s">
        <v>315</v>
      </c>
      <c r="L222" s="573">
        <f t="shared" si="20"/>
        <v>0</v>
      </c>
      <c r="M222" s="594"/>
      <c r="P222" s="318"/>
      <c r="Q222" s="563"/>
      <c r="R222" s="3"/>
      <c r="W222" s="3" t="b">
        <f t="shared" si="23"/>
        <v>1</v>
      </c>
      <c r="X222" s="570">
        <f t="shared" si="21"/>
        <v>0</v>
      </c>
      <c r="Y222" s="570">
        <f t="shared" si="22"/>
        <v>0</v>
      </c>
      <c r="AA222" s="3"/>
    </row>
    <row r="223" spans="1:27" s="18" customFormat="1" ht="99" customHeight="1" x14ac:dyDescent="0.3">
      <c r="A223" s="336">
        <f>'Unit Data from Audit Worksheet'!A272</f>
        <v>659</v>
      </c>
      <c r="B223" s="350" t="str">
        <f>'Unit Data from Audit Worksheet'!C272</f>
        <v>OPEB
 Note or RSI</v>
      </c>
      <c r="C223" s="335" t="str">
        <f>'Unit Data from Audit Worksheet'!D272</f>
        <v>Total OPEB benefits - total OPEB liability
If you do not provide benefit, please enter 0</v>
      </c>
      <c r="D223" s="355"/>
      <c r="E223" s="356">
        <f>'Unit Data from Audit Worksheet'!F272</f>
        <v>0</v>
      </c>
      <c r="F223" s="349">
        <f>IF(L223&lt;0,"Error: Enter as a positive.",)</f>
        <v>0</v>
      </c>
      <c r="G223" s="609" t="s">
        <v>954</v>
      </c>
      <c r="H223" s="348">
        <f>'Unit Data from Audit Worksheet'!I272</f>
        <v>0</v>
      </c>
      <c r="I223" s="38"/>
      <c r="J223" s="338">
        <v>659</v>
      </c>
      <c r="K223" s="337" t="s">
        <v>482</v>
      </c>
      <c r="L223" s="587">
        <f t="shared" si="20"/>
        <v>0</v>
      </c>
      <c r="M223" s="594"/>
      <c r="P223" s="604"/>
      <c r="Q223" s="563"/>
      <c r="R223" s="3"/>
      <c r="W223" s="3" t="b">
        <f t="shared" si="23"/>
        <v>1</v>
      </c>
      <c r="X223" s="570">
        <f t="shared" si="21"/>
        <v>0</v>
      </c>
      <c r="Y223" s="570">
        <f t="shared" si="22"/>
        <v>0</v>
      </c>
      <c r="AA223" s="3"/>
    </row>
    <row r="224" spans="1:27" s="18" customFormat="1" ht="131.25" customHeight="1" x14ac:dyDescent="0.3">
      <c r="A224" s="336">
        <f>'Unit Data from Audit Worksheet'!A273</f>
        <v>660</v>
      </c>
      <c r="B224" s="350" t="str">
        <f>'Unit Data from Audit Worksheet'!C273</f>
        <v>OPEB
 Note or RSI</v>
      </c>
      <c r="C224" s="335" t="str">
        <f>'Unit Data from Audit Worksheet'!D273</f>
        <v>Total OPEB benefits- OPEB plan fiduciary net position
If no fiduciary net position, enter 0</v>
      </c>
      <c r="D224" s="355"/>
      <c r="E224" s="356">
        <f>'Unit Data from Audit Worksheet'!F273</f>
        <v>0</v>
      </c>
      <c r="F224" s="345">
        <f>IF(L224&lt;0,"Note: Number is normally positive.",)</f>
        <v>0</v>
      </c>
      <c r="G224" s="609" t="s">
        <v>954</v>
      </c>
      <c r="H224" s="348">
        <f>'Unit Data from Audit Worksheet'!I273</f>
        <v>0</v>
      </c>
      <c r="I224" s="38"/>
      <c r="J224" s="338">
        <v>660</v>
      </c>
      <c r="K224" s="337" t="s">
        <v>483</v>
      </c>
      <c r="L224" s="587">
        <f t="shared" si="20"/>
        <v>0</v>
      </c>
      <c r="M224" s="594"/>
      <c r="P224" s="604"/>
      <c r="Q224" s="563"/>
      <c r="R224" s="3"/>
      <c r="W224" s="3" t="b">
        <f t="shared" si="23"/>
        <v>1</v>
      </c>
      <c r="X224" s="570">
        <f t="shared" si="21"/>
        <v>0</v>
      </c>
      <c r="Y224" s="570">
        <f t="shared" si="22"/>
        <v>0</v>
      </c>
      <c r="AA224" s="3"/>
    </row>
    <row r="225" spans="1:27" ht="134.25" customHeight="1" x14ac:dyDescent="0.3">
      <c r="A225" s="336">
        <f>'Unit Data from Audit Worksheet'!A274</f>
        <v>661</v>
      </c>
      <c r="B225" s="350" t="str">
        <f>'Unit Data from Audit Worksheet'!C274</f>
        <v>OPEB
RSI</v>
      </c>
      <c r="C225" s="335"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4">
        <f>'Unit Data from Audit Worksheet'!F274</f>
        <v>0</v>
      </c>
      <c r="F225" s="349" t="str">
        <f>IF(H225=L225,"","Column L does not equal Column H")</f>
        <v/>
      </c>
      <c r="G225" s="609" t="s">
        <v>954</v>
      </c>
      <c r="H225" s="175">
        <f>ROUND(IFERROR((L224/L223)*100,0),1)</f>
        <v>0</v>
      </c>
      <c r="I225" s="38"/>
      <c r="J225" s="338">
        <v>661</v>
      </c>
      <c r="K225" s="353" t="s">
        <v>486</v>
      </c>
      <c r="L225" s="610">
        <f>IF(D225="",E225,D225)</f>
        <v>0</v>
      </c>
      <c r="P225" s="604"/>
      <c r="Q225" s="605">
        <f>IF(H225=L225,0,1)</f>
        <v>0</v>
      </c>
      <c r="W225" s="3" t="b">
        <f t="shared" si="23"/>
        <v>1</v>
      </c>
      <c r="X225" s="570">
        <f t="shared" si="21"/>
        <v>0</v>
      </c>
      <c r="Y225" s="570">
        <f t="shared" si="22"/>
        <v>0</v>
      </c>
    </row>
    <row r="226" spans="1:27" ht="65.25" customHeight="1" x14ac:dyDescent="0.3">
      <c r="A226" s="336">
        <f>'Unit Data from Audit Worksheet'!A277</f>
        <v>371</v>
      </c>
      <c r="B226" s="350" t="str">
        <f>'Unit Data from Audit Worksheet'!C277</f>
        <v>Transfer Note</v>
      </c>
      <c r="C226" s="335" t="str">
        <f>'Unit Data from Audit Worksheet'!D277</f>
        <v>Amount of Transfers from the General Fund to the Debt Service Fund (Enter as positive)</v>
      </c>
      <c r="D226" s="355"/>
      <c r="E226" s="356">
        <f>'Unit Data from Audit Worksheet'!F277</f>
        <v>0</v>
      </c>
      <c r="F226" s="349">
        <f>IF(L226&lt;0,"Error: Enter as a positive.",)</f>
        <v>0</v>
      </c>
      <c r="G226" s="351"/>
      <c r="H226" s="348">
        <f>'Unit Data from Audit Worksheet'!I277</f>
        <v>0</v>
      </c>
      <c r="I226" s="38"/>
      <c r="J226" s="39">
        <v>371</v>
      </c>
      <c r="K226" s="346" t="s">
        <v>258</v>
      </c>
      <c r="L226" s="573">
        <f t="shared" si="20"/>
        <v>0</v>
      </c>
      <c r="P226" s="324"/>
      <c r="Q226" s="3"/>
      <c r="W226" s="3" t="b">
        <f t="shared" si="23"/>
        <v>1</v>
      </c>
      <c r="X226" s="570">
        <f t="shared" si="21"/>
        <v>0</v>
      </c>
      <c r="Y226" s="570">
        <f t="shared" si="22"/>
        <v>0</v>
      </c>
    </row>
    <row r="227" spans="1:27" ht="63" customHeight="1" x14ac:dyDescent="0.3">
      <c r="A227" s="336">
        <f>'Unit Data from Audit Worksheet'!A278</f>
        <v>513</v>
      </c>
      <c r="B227" s="350" t="str">
        <f>'Unit Data from Audit Worksheet'!C278</f>
        <v>Transfer Note</v>
      </c>
      <c r="C227" s="335" t="str">
        <f>'Unit Data from Audit Worksheet'!D278</f>
        <v>Amount of Transfers from the General Fund to the Electric Fund  (Enter as positive)</v>
      </c>
      <c r="D227" s="355"/>
      <c r="E227" s="356">
        <f>'Unit Data from Audit Worksheet'!F278</f>
        <v>0</v>
      </c>
      <c r="F227" s="349">
        <f>IF(L227&lt;0,"Error: Enter as a positive.",)</f>
        <v>0</v>
      </c>
      <c r="G227" s="351"/>
      <c r="H227" s="348">
        <f>'Unit Data from Audit Worksheet'!I278</f>
        <v>0</v>
      </c>
      <c r="I227" s="38"/>
      <c r="J227" s="347">
        <v>513</v>
      </c>
      <c r="K227" s="346" t="s">
        <v>259</v>
      </c>
      <c r="L227" s="573">
        <f t="shared" si="20"/>
        <v>0</v>
      </c>
      <c r="P227" s="318"/>
      <c r="W227" s="3" t="b">
        <f t="shared" si="23"/>
        <v>1</v>
      </c>
      <c r="X227" s="570">
        <f t="shared" si="21"/>
        <v>0</v>
      </c>
      <c r="Y227" s="570">
        <f t="shared" si="22"/>
        <v>0</v>
      </c>
    </row>
    <row r="228" spans="1:27" ht="89.25" customHeight="1" x14ac:dyDescent="0.3">
      <c r="A228" s="336">
        <f>'Unit Data from Audit Worksheet'!A279</f>
        <v>514</v>
      </c>
      <c r="B228" s="350" t="str">
        <f>'Unit Data from Audit Worksheet'!C279</f>
        <v>Transfer Note</v>
      </c>
      <c r="C228" s="335" t="str">
        <f>'Unit Data from Audit Worksheet'!D279</f>
        <v>Amount of Transfers from the Electric Fund to the General Fund  (Enter as positive)
Include:  Payment in Lieu of Taxes (PILOT)</v>
      </c>
      <c r="D228" s="355"/>
      <c r="E228" s="356">
        <f>'Unit Data from Audit Worksheet'!F279</f>
        <v>0</v>
      </c>
      <c r="F228" s="349">
        <f>IF(L228&lt;0,"Error: Enter as a positive.",)</f>
        <v>0</v>
      </c>
      <c r="G228" s="351"/>
      <c r="H228" s="348">
        <f>'Unit Data from Audit Worksheet'!I279</f>
        <v>0</v>
      </c>
      <c r="I228" s="38"/>
      <c r="J228" s="347">
        <v>514</v>
      </c>
      <c r="K228" s="346" t="s">
        <v>260</v>
      </c>
      <c r="L228" s="573">
        <f t="shared" si="20"/>
        <v>0</v>
      </c>
      <c r="P228" s="318"/>
      <c r="W228" s="3" t="b">
        <f t="shared" si="23"/>
        <v>1</v>
      </c>
      <c r="X228" s="570">
        <f t="shared" si="21"/>
        <v>0</v>
      </c>
      <c r="Y228" s="570">
        <f t="shared" si="22"/>
        <v>0</v>
      </c>
    </row>
    <row r="229" spans="1:27" ht="89.25" customHeight="1" x14ac:dyDescent="0.3">
      <c r="A229" s="589">
        <f>'Unit Data from Audit Worksheet'!A280</f>
        <v>990</v>
      </c>
      <c r="B229" s="354" t="str">
        <f>'Unit Data from Audit Worksheet'!C280</f>
        <v>Transfer Note</v>
      </c>
      <c r="C229" s="590" t="str">
        <f>'Unit Data from Audit Worksheet'!D280</f>
        <v>Amount of transfer out to the General Fund that is for Payment in Lieu of Taxes (PILOT)</v>
      </c>
      <c r="D229" s="355"/>
      <c r="E229" s="356">
        <f>'Unit Data from Audit Worksheet'!F280</f>
        <v>0</v>
      </c>
      <c r="F229" s="349"/>
      <c r="G229" s="351"/>
      <c r="H229" s="348">
        <f>'Unit Data from Audit Worksheet'!I280</f>
        <v>0</v>
      </c>
      <c r="I229" s="38"/>
      <c r="J229" s="365">
        <v>990</v>
      </c>
      <c r="K229" s="126" t="s">
        <v>703</v>
      </c>
      <c r="L229" s="573">
        <f t="shared" si="20"/>
        <v>0</v>
      </c>
      <c r="P229" s="318"/>
      <c r="X229" s="570"/>
      <c r="Y229" s="570"/>
    </row>
    <row r="230" spans="1:27" ht="84.75" customHeight="1" x14ac:dyDescent="0.3">
      <c r="A230" s="611">
        <f>'Unit Data from Audit Worksheet'!A282</f>
        <v>6</v>
      </c>
      <c r="B230" s="53" t="str">
        <f>'Unit Data from Audit Worksheet'!C282</f>
        <v>Fund Balance Note</v>
      </c>
      <c r="C230" s="583" t="str">
        <f>'Unit Data from Audit Worksheet'!D282</f>
        <v>General Fund -  Total Encumbrances.  You will probably have to refer to the note disclosure where the amount of encumbrances is listed.</v>
      </c>
      <c r="D230" s="355"/>
      <c r="E230" s="154">
        <f>'Unit Data from Audit Worksheet'!F282</f>
        <v>0</v>
      </c>
      <c r="F230" s="37">
        <f>IF(L230&lt;0,"Error: Enter as a positive.",)</f>
        <v>0</v>
      </c>
      <c r="G230" s="73"/>
      <c r="H230" s="348">
        <f>'Unit Data from Audit Worksheet'!I282</f>
        <v>0</v>
      </c>
      <c r="I230" s="38"/>
      <c r="J230" s="41">
        <v>6</v>
      </c>
      <c r="K230" s="133" t="s">
        <v>261</v>
      </c>
      <c r="L230" s="573">
        <f t="shared" si="20"/>
        <v>0</v>
      </c>
      <c r="P230" s="318"/>
      <c r="W230" s="3" t="b">
        <f t="shared" ref="W230:W258" si="24">EXACT(A230,J230)</f>
        <v>1</v>
      </c>
      <c r="X230" s="570">
        <f t="shared" si="21"/>
        <v>0</v>
      </c>
      <c r="Y230" s="570">
        <f t="shared" si="22"/>
        <v>0</v>
      </c>
    </row>
    <row r="231" spans="1:27" ht="117.75" customHeight="1" x14ac:dyDescent="0.3">
      <c r="A231" s="336">
        <f>'Unit Data from Audit Worksheet'!A284</f>
        <v>541</v>
      </c>
      <c r="B231" s="350" t="str">
        <f>'Unit Data from Audit Worksheet'!C284</f>
        <v>Water Sewer - Budget Actual Statement</v>
      </c>
      <c r="C231" s="350"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5"/>
      <c r="E231" s="356">
        <f>'Unit Data from Audit Worksheet'!F284</f>
        <v>0</v>
      </c>
      <c r="F231" s="349"/>
      <c r="G231" s="351"/>
      <c r="H231" s="348">
        <f>'Unit Data from Audit Worksheet'!I284</f>
        <v>0</v>
      </c>
      <c r="I231" s="38"/>
      <c r="J231" s="347">
        <v>541</v>
      </c>
      <c r="K231" s="88" t="s">
        <v>328</v>
      </c>
      <c r="L231" s="573">
        <f t="shared" si="20"/>
        <v>0</v>
      </c>
      <c r="P231" s="318"/>
      <c r="W231" s="3" t="b">
        <f t="shared" si="24"/>
        <v>1</v>
      </c>
      <c r="X231" s="570">
        <f t="shared" si="21"/>
        <v>0</v>
      </c>
      <c r="Y231" s="570">
        <f t="shared" si="22"/>
        <v>0</v>
      </c>
    </row>
    <row r="232" spans="1:27" ht="94.5" customHeight="1" x14ac:dyDescent="0.3">
      <c r="A232" s="336">
        <f>'Unit Data from Audit Worksheet'!A286</f>
        <v>542</v>
      </c>
      <c r="B232" s="350" t="str">
        <f>'Unit Data from Audit Worksheet'!C286</f>
        <v>Water Sewer - Disclosed in the Notes or in the recently approved Budget for next year.</v>
      </c>
      <c r="C232" s="335" t="str">
        <f>'Unit Data from Audit Worksheet'!D286</f>
        <v>Amount of the Water Sewer Fund Balance appropriated in next year's budget?</v>
      </c>
      <c r="D232" s="355"/>
      <c r="E232" s="356">
        <f>'Unit Data from Audit Worksheet'!F286</f>
        <v>0</v>
      </c>
      <c r="F232" s="349"/>
      <c r="G232" s="351"/>
      <c r="H232" s="348">
        <f>'Unit Data from Audit Worksheet'!I286</f>
        <v>0</v>
      </c>
      <c r="I232" s="38"/>
      <c r="J232" s="347">
        <v>542</v>
      </c>
      <c r="K232" s="346" t="s">
        <v>262</v>
      </c>
      <c r="L232" s="573">
        <f t="shared" si="20"/>
        <v>0</v>
      </c>
      <c r="N232" s="61" t="s">
        <v>319</v>
      </c>
      <c r="P232" s="318"/>
      <c r="W232" s="3" t="b">
        <f t="shared" si="24"/>
        <v>1</v>
      </c>
      <c r="X232" s="570">
        <f t="shared" si="21"/>
        <v>0</v>
      </c>
      <c r="Y232" s="570">
        <f t="shared" si="22"/>
        <v>0</v>
      </c>
    </row>
    <row r="233" spans="1:27" ht="93.75" customHeight="1" x14ac:dyDescent="0.3">
      <c r="A233" s="336">
        <f>'Unit Data from Audit Worksheet'!A289</f>
        <v>528</v>
      </c>
      <c r="B233" s="350" t="str">
        <f>'Unit Data from Audit Worksheet'!C289</f>
        <v>Analysis of Current Tax Levy Schedule</v>
      </c>
      <c r="C233" s="335" t="str">
        <f>'Unit Data from Audit Worksheet'!D289</f>
        <v>Please enter the Net Current year's levy for property excluding registered motor vehicles-- (after adjusting for discoveries and abatements)
Exclude Supplemental Taxes</v>
      </c>
      <c r="D233" s="355"/>
      <c r="E233" s="356">
        <f>'Unit Data from Audit Worksheet'!F289</f>
        <v>0</v>
      </c>
      <c r="F233" s="82" t="str">
        <f>IF(L233=0,"Must be completed if unit levys taxes","")</f>
        <v>Must be completed if unit levys taxes</v>
      </c>
      <c r="G233" s="351"/>
      <c r="H233" s="348"/>
      <c r="I233" s="38"/>
      <c r="J233" s="347">
        <v>528</v>
      </c>
      <c r="K233" s="612" t="s">
        <v>267</v>
      </c>
      <c r="L233" s="573">
        <f t="shared" si="20"/>
        <v>0</v>
      </c>
      <c r="N233" s="83"/>
      <c r="P233" s="318"/>
      <c r="W233" s="3" t="b">
        <f t="shared" si="24"/>
        <v>1</v>
      </c>
      <c r="X233" s="570">
        <f t="shared" si="21"/>
        <v>0</v>
      </c>
      <c r="Y233" s="570">
        <f t="shared" si="22"/>
        <v>0</v>
      </c>
    </row>
    <row r="234" spans="1:27" s="18" customFormat="1" ht="79.5" customHeight="1" x14ac:dyDescent="0.3">
      <c r="A234" s="336">
        <f>'Unit Data from Audit Worksheet'!A290</f>
        <v>529</v>
      </c>
      <c r="B234" s="350" t="str">
        <f>'Unit Data from Audit Worksheet'!C290</f>
        <v>Analysis of Current Tax Levy Schedule</v>
      </c>
      <c r="C234" s="335" t="str">
        <f>'Unit Data from Audit Worksheet'!D290</f>
        <v>Please enter the Net Current year's levy -- Motor vehicles (only) (after adjusting for discoveries and abatements)
Exclude supplemental taxes</v>
      </c>
      <c r="D234" s="355"/>
      <c r="E234" s="356">
        <f>'Unit Data from Audit Worksheet'!F290</f>
        <v>0</v>
      </c>
      <c r="F234" s="82" t="str">
        <f>IF(L234=0,"Must be completed if unit levys taxes","")</f>
        <v>Must be completed if unit levys taxes</v>
      </c>
      <c r="G234" s="351"/>
      <c r="H234" s="348"/>
      <c r="I234" s="38"/>
      <c r="J234" s="347">
        <v>529</v>
      </c>
      <c r="K234" s="612" t="s">
        <v>268</v>
      </c>
      <c r="L234" s="573">
        <f t="shared" si="20"/>
        <v>0</v>
      </c>
      <c r="N234" s="83"/>
      <c r="P234" s="318"/>
      <c r="Q234" s="563"/>
      <c r="R234" s="3"/>
      <c r="W234" s="3" t="b">
        <f t="shared" si="24"/>
        <v>1</v>
      </c>
      <c r="X234" s="570">
        <f t="shared" si="21"/>
        <v>0</v>
      </c>
      <c r="Y234" s="570">
        <f t="shared" si="22"/>
        <v>0</v>
      </c>
      <c r="AA234" s="3"/>
    </row>
    <row r="235" spans="1:27" s="18" customFormat="1" ht="75" customHeight="1" x14ac:dyDescent="0.3">
      <c r="A235" s="336">
        <f>'Unit Data from Audit Worksheet'!A291</f>
        <v>530</v>
      </c>
      <c r="B235" s="350" t="str">
        <f>'Unit Data from Audit Worksheet'!C291</f>
        <v>Analysis of Current Tax Levy Schedule</v>
      </c>
      <c r="C235" s="335" t="str">
        <f>'Unit Data from Audit Worksheet'!D291</f>
        <v>Uncollected Taxes - Curr Year's Levy Exclude Motor Vehicles
Exclude supplemental taxes</v>
      </c>
      <c r="D235" s="355"/>
      <c r="E235" s="356">
        <f>'Unit Data from Audit Worksheet'!F291</f>
        <v>0</v>
      </c>
      <c r="F235" s="82" t="str">
        <f>IF(L235=0,"Must be completed if unit levys taxes","")</f>
        <v>Must be completed if unit levys taxes</v>
      </c>
      <c r="G235" s="351"/>
      <c r="H235" s="348"/>
      <c r="I235" s="38"/>
      <c r="J235" s="347">
        <v>530</v>
      </c>
      <c r="K235" s="612" t="s">
        <v>269</v>
      </c>
      <c r="L235" s="573">
        <f t="shared" ref="L235:L241" si="25">IF(D235="",E235,D235)</f>
        <v>0</v>
      </c>
      <c r="N235" s="83"/>
      <c r="P235" s="318"/>
      <c r="Q235" s="563"/>
      <c r="R235" s="3"/>
      <c r="W235" s="3" t="b">
        <f t="shared" si="24"/>
        <v>1</v>
      </c>
      <c r="X235" s="570">
        <f t="shared" si="21"/>
        <v>0</v>
      </c>
      <c r="Y235" s="570">
        <f t="shared" si="22"/>
        <v>0</v>
      </c>
      <c r="AA235" s="3"/>
    </row>
    <row r="236" spans="1:27" s="18" customFormat="1" ht="68.25" customHeight="1" x14ac:dyDescent="0.3">
      <c r="A236" s="336">
        <f>'Unit Data from Audit Worksheet'!A292</f>
        <v>531</v>
      </c>
      <c r="B236" s="350" t="str">
        <f>'Unit Data from Audit Worksheet'!C292</f>
        <v>Analysis of Current Tax Levy Schedule</v>
      </c>
      <c r="C236" s="335" t="str">
        <f>'Unit Data from Audit Worksheet'!D292</f>
        <v>Uncollected Taxes - Curr Year's Levy Motor Vehicles
Exclude supplemental taxes</v>
      </c>
      <c r="D236" s="355"/>
      <c r="E236" s="356">
        <f>'Unit Data from Audit Worksheet'!F292</f>
        <v>0</v>
      </c>
      <c r="F236" s="82" t="str">
        <f>IF(L236=0,"Must be completed if unit levys taxes","")</f>
        <v>Must be completed if unit levys taxes</v>
      </c>
      <c r="G236" s="351"/>
      <c r="H236" s="348"/>
      <c r="I236" s="38"/>
      <c r="J236" s="347">
        <v>531</v>
      </c>
      <c r="K236" s="612" t="s">
        <v>270</v>
      </c>
      <c r="L236" s="573">
        <f t="shared" si="25"/>
        <v>0</v>
      </c>
      <c r="N236" s="83" t="str">
        <f>IF(T240=0,"Must be completed if unit levys taxes, zero acceptable if Motor Vehicle collection rate is 100%","")</f>
        <v>Must be completed if unit levys taxes, zero acceptable if Motor Vehicle collection rate is 100%</v>
      </c>
      <c r="P236" s="318"/>
      <c r="Q236" s="563"/>
      <c r="R236" s="3"/>
      <c r="W236" s="3" t="b">
        <f t="shared" si="24"/>
        <v>1</v>
      </c>
      <c r="X236" s="570">
        <f t="shared" si="21"/>
        <v>0</v>
      </c>
      <c r="Y236" s="570">
        <f t="shared" si="22"/>
        <v>0</v>
      </c>
      <c r="AA236" s="3"/>
    </row>
    <row r="237" spans="1:27" ht="90.75" customHeight="1" x14ac:dyDescent="0.3">
      <c r="A237" s="336">
        <f>'Unit Data from Audit Worksheet'!A293</f>
        <v>61</v>
      </c>
      <c r="B237" s="350" t="str">
        <f>'Unit Data from Audit Worksheet'!C293</f>
        <v>Analysis of Current Tax Levy Schedule</v>
      </c>
      <c r="C237" s="335"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51" t="str">
        <f>IF(Q237=1," Included in error count"," ")</f>
        <v xml:space="preserve"> </v>
      </c>
      <c r="H237" s="351">
        <f>ROUND(IFERROR(((L233+L234)-(L235+L236))/(L233+L234)*100,0),2)</f>
        <v>0</v>
      </c>
      <c r="I237" s="38"/>
      <c r="J237" s="347">
        <v>61</v>
      </c>
      <c r="K237" s="58" t="s">
        <v>264</v>
      </c>
      <c r="L237" s="613">
        <f t="shared" si="25"/>
        <v>0</v>
      </c>
      <c r="N237" s="83"/>
      <c r="P237" s="318"/>
      <c r="Q237" s="563">
        <f>IF(L237-H237&lt;&gt;0,1,0)</f>
        <v>0</v>
      </c>
      <c r="W237" s="3" t="b">
        <f t="shared" si="24"/>
        <v>1</v>
      </c>
      <c r="X237" s="570">
        <f t="shared" si="21"/>
        <v>0</v>
      </c>
      <c r="Y237" s="570">
        <f t="shared" si="22"/>
        <v>0</v>
      </c>
    </row>
    <row r="238" spans="1:27" ht="89.25" customHeight="1" x14ac:dyDescent="0.3">
      <c r="A238" s="336">
        <f>'Unit Data from Audit Worksheet'!A294</f>
        <v>102</v>
      </c>
      <c r="B238" s="350" t="str">
        <f>'Unit Data from Audit Worksheet'!C294</f>
        <v>Analysis of Current Tax Levy Schedule</v>
      </c>
      <c r="C238" s="335"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51" t="str">
        <f>IF(Q238=1," Included in error count"," ")</f>
        <v xml:space="preserve"> </v>
      </c>
      <c r="H238" s="351">
        <f>ROUND(IFERROR(((L233)-(L235))/(L233)*100,0),2)</f>
        <v>0</v>
      </c>
      <c r="I238" s="38"/>
      <c r="J238" s="347">
        <v>102</v>
      </c>
      <c r="K238" s="58" t="s">
        <v>265</v>
      </c>
      <c r="L238" s="613">
        <f t="shared" si="25"/>
        <v>0</v>
      </c>
      <c r="N238" s="83"/>
      <c r="P238" s="318"/>
      <c r="Q238" s="563">
        <f>IF(L238-H238&lt;&gt;0,1,0)</f>
        <v>0</v>
      </c>
      <c r="W238" s="3" t="b">
        <f t="shared" si="24"/>
        <v>1</v>
      </c>
      <c r="X238" s="570">
        <f t="shared" si="21"/>
        <v>0</v>
      </c>
      <c r="Y238" s="570">
        <f t="shared" si="22"/>
        <v>0</v>
      </c>
    </row>
    <row r="239" spans="1:27" ht="87.75" customHeight="1" x14ac:dyDescent="0.3">
      <c r="A239" s="336">
        <f>'Unit Data from Audit Worksheet'!A295</f>
        <v>103</v>
      </c>
      <c r="B239" s="350" t="str">
        <f>'Unit Data from Audit Worksheet'!C295</f>
        <v>Analysis of Current Tax Levy Schedule</v>
      </c>
      <c r="C239" s="335"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51" t="str">
        <f>IF(Q239=1," Included in error count"," ")</f>
        <v xml:space="preserve"> </v>
      </c>
      <c r="H239" s="351">
        <f>ROUND(IFERROR(((L234)-(L236))/(L234)*100,0),2)</f>
        <v>0</v>
      </c>
      <c r="I239" s="38"/>
      <c r="J239" s="347">
        <v>103</v>
      </c>
      <c r="K239" s="58" t="s">
        <v>266</v>
      </c>
      <c r="L239" s="613">
        <f t="shared" si="25"/>
        <v>0</v>
      </c>
      <c r="N239" s="83"/>
      <c r="P239" s="318"/>
      <c r="Q239" s="563">
        <f>IF(L239-H239&lt;&gt;0,1,0)</f>
        <v>0</v>
      </c>
      <c r="W239" s="3" t="b">
        <f t="shared" si="24"/>
        <v>1</v>
      </c>
      <c r="X239" s="570">
        <f t="shared" si="21"/>
        <v>0</v>
      </c>
      <c r="Y239" s="570">
        <f t="shared" si="22"/>
        <v>0</v>
      </c>
    </row>
    <row r="240" spans="1:27" ht="86.25" customHeight="1" x14ac:dyDescent="0.3">
      <c r="A240" s="336">
        <f>'Unit Data from Audit Worksheet'!A296</f>
        <v>544</v>
      </c>
      <c r="B240" s="350" t="str">
        <f>'Unit Data from Audit Worksheet'!C296</f>
        <v>Analysis of Current Tax Levy Schedule</v>
      </c>
      <c r="C240" s="335" t="str">
        <f>'Unit Data from Audit Worksheet'!D296</f>
        <v>Property Tax Increase for Year Audited- enter amount of  increase in cents per $100 - leave blank if no increase 
Exclude supplemental taxes</v>
      </c>
      <c r="D240" s="355"/>
      <c r="E240" s="148">
        <f>'Unit Data from Audit Worksheet'!F296</f>
        <v>0</v>
      </c>
      <c r="F240" s="104"/>
      <c r="G240" s="351"/>
      <c r="H240" s="348">
        <f>'Unit Data from Audit Worksheet'!I296</f>
        <v>0</v>
      </c>
      <c r="I240" s="38"/>
      <c r="J240" s="347">
        <v>544</v>
      </c>
      <c r="K240" s="58" t="s">
        <v>53</v>
      </c>
      <c r="L240" s="614">
        <f t="shared" si="25"/>
        <v>0</v>
      </c>
      <c r="N240" s="61" t="s">
        <v>319</v>
      </c>
      <c r="P240" s="318"/>
      <c r="W240" s="3" t="b">
        <f t="shared" si="24"/>
        <v>1</v>
      </c>
      <c r="X240" s="570">
        <f t="shared" si="21"/>
        <v>0</v>
      </c>
      <c r="Y240" s="570">
        <f t="shared" si="22"/>
        <v>0</v>
      </c>
    </row>
    <row r="241" spans="1:25" ht="93.75" customHeight="1" x14ac:dyDescent="0.3">
      <c r="A241" s="336">
        <f>'Unit Data from Audit Worksheet'!A297</f>
        <v>545</v>
      </c>
      <c r="B241" s="350" t="str">
        <f>'Unit Data from Audit Worksheet'!C297</f>
        <v>Analysis of Current Tax Levy Schedule</v>
      </c>
      <c r="C241" s="335" t="str">
        <f>'Unit Data from Audit Worksheet'!D297</f>
        <v>Property Tax Increase for budget year after fiscal year being reported - enter amount of increase in cents per $100- leave blank if no increase
Exclude supplemental taxes</v>
      </c>
      <c r="D241" s="355"/>
      <c r="E241" s="148">
        <f>'Unit Data from Audit Worksheet'!F297</f>
        <v>0</v>
      </c>
      <c r="F241" s="349"/>
      <c r="G241" s="351"/>
      <c r="H241" s="348">
        <f>'Unit Data from Audit Worksheet'!I297</f>
        <v>0</v>
      </c>
      <c r="I241" s="38"/>
      <c r="J241" s="105">
        <v>545</v>
      </c>
      <c r="K241" s="58" t="s">
        <v>54</v>
      </c>
      <c r="L241" s="614">
        <f t="shared" si="25"/>
        <v>0</v>
      </c>
      <c r="N241" s="61" t="s">
        <v>319</v>
      </c>
      <c r="O241" s="582"/>
      <c r="P241" s="319"/>
      <c r="W241" s="3" t="b">
        <f t="shared" si="24"/>
        <v>1</v>
      </c>
      <c r="X241" s="570">
        <f t="shared" si="21"/>
        <v>0</v>
      </c>
      <c r="Y241" s="570">
        <f t="shared" si="22"/>
        <v>0</v>
      </c>
    </row>
    <row r="242" spans="1:25" ht="72.75" customHeight="1" x14ac:dyDescent="0.3">
      <c r="A242" s="336">
        <f>'Unit Data from Audit Worksheet'!A298</f>
        <v>624</v>
      </c>
      <c r="B242" s="350"/>
      <c r="C242" s="335" t="str">
        <f>'Unit Data from Audit Worksheet'!D298</f>
        <v>Does the County collect real estate property taxes on your behalf? Select "1" for "yes and "2" for "No"</v>
      </c>
      <c r="D242" s="355"/>
      <c r="E242" s="156">
        <f>'Unit Data from Audit Worksheet'!F298</f>
        <v>0</v>
      </c>
      <c r="F242" s="349"/>
      <c r="G242" s="351"/>
      <c r="H242" s="348"/>
      <c r="I242" s="38"/>
      <c r="J242" s="105">
        <v>624</v>
      </c>
      <c r="K242" s="58" t="s">
        <v>403</v>
      </c>
      <c r="L242" s="573">
        <f t="shared" ref="L242:L258" si="26">IF(D242="",E242,D242)</f>
        <v>0</v>
      </c>
      <c r="P242" s="319"/>
      <c r="W242" s="3" t="b">
        <f t="shared" si="24"/>
        <v>1</v>
      </c>
      <c r="X242" s="570">
        <f t="shared" si="21"/>
        <v>0</v>
      </c>
      <c r="Y242" s="570">
        <f t="shared" si="22"/>
        <v>0</v>
      </c>
    </row>
    <row r="243" spans="1:25" ht="72.75" customHeight="1" x14ac:dyDescent="0.3">
      <c r="A243" s="336">
        <f>'Unit Data from Audit Worksheet'!A299</f>
        <v>648</v>
      </c>
      <c r="B243" s="350"/>
      <c r="C243" s="335" t="str">
        <f>'Unit Data from Audit Worksheet'!D299</f>
        <v>Please enter your tax rate for ad valorem in effect for fiscal year audited.  Example 60 cents per 100 would be entered as .60</v>
      </c>
      <c r="D243" s="355"/>
      <c r="E243" s="156">
        <f>'Unit Data from Audit Worksheet'!F299</f>
        <v>0</v>
      </c>
      <c r="F243" s="349"/>
      <c r="G243" s="351"/>
      <c r="H243" s="348"/>
      <c r="I243" s="38"/>
      <c r="J243" s="105">
        <v>648</v>
      </c>
      <c r="K243" s="615" t="s">
        <v>766</v>
      </c>
      <c r="L243" s="616">
        <f t="shared" si="26"/>
        <v>0</v>
      </c>
      <c r="P243" s="319"/>
      <c r="W243" s="3" t="b">
        <f t="shared" si="24"/>
        <v>1</v>
      </c>
      <c r="X243" s="570"/>
      <c r="Y243" s="570"/>
    </row>
    <row r="244" spans="1:25" ht="161.25" customHeight="1" x14ac:dyDescent="0.3">
      <c r="A244" s="589">
        <f>'Unit Data from Audit Worksheet'!A300</f>
        <v>991</v>
      </c>
      <c r="B244" s="354"/>
      <c r="C244" s="590"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5"/>
      <c r="E244" s="156">
        <f>'Unit Data from Audit Worksheet'!F300</f>
        <v>0</v>
      </c>
      <c r="F244" s="349"/>
      <c r="G244" s="351"/>
      <c r="H244" s="348" t="str">
        <f>'Unit Data from Audit Worksheet'!H300</f>
        <v>Avery, Bladen, Chowan, Craven, Duplin, Guilford, Harnett, Hoke, Jones, Mitchell, Onslow, Pasquotank, Watauga</v>
      </c>
      <c r="I244" s="38"/>
      <c r="J244" s="333">
        <v>991</v>
      </c>
      <c r="K244" s="600" t="s">
        <v>1545</v>
      </c>
      <c r="L244" s="573">
        <f t="shared" si="26"/>
        <v>0</v>
      </c>
      <c r="P244" s="319"/>
      <c r="W244" s="3" t="b">
        <f t="shared" si="24"/>
        <v>1</v>
      </c>
      <c r="X244" s="570"/>
      <c r="Y244" s="570"/>
    </row>
    <row r="245" spans="1:25" ht="87.75" customHeight="1" x14ac:dyDescent="0.3">
      <c r="A245" s="336">
        <f>'Unit Data from Audit Worksheet'!A302</f>
        <v>620</v>
      </c>
      <c r="B245" s="350"/>
      <c r="C245" s="335" t="str">
        <f>'Unit Data from Audit Worksheet'!D302</f>
        <v>Do you expect to issue debt requiring LGC approval within 12 months from the date that the audit is submitted - select "1" for yes and "2" for no</v>
      </c>
      <c r="D245" s="355"/>
      <c r="E245" s="156">
        <f>'Unit Data from Audit Worksheet'!F302</f>
        <v>0</v>
      </c>
      <c r="F245" s="349"/>
      <c r="G245" s="351"/>
      <c r="H245" s="348">
        <f>'Unit Data from Audit Worksheet'!I302</f>
        <v>0</v>
      </c>
      <c r="I245" s="38"/>
      <c r="J245" s="105">
        <v>620</v>
      </c>
      <c r="K245" s="58" t="s">
        <v>758</v>
      </c>
      <c r="L245" s="573">
        <f t="shared" si="26"/>
        <v>0</v>
      </c>
      <c r="N245" s="138"/>
      <c r="P245" s="319"/>
      <c r="W245" s="3" t="b">
        <f t="shared" si="24"/>
        <v>1</v>
      </c>
      <c r="X245" s="570">
        <f t="shared" si="21"/>
        <v>0</v>
      </c>
      <c r="Y245" s="570">
        <f t="shared" si="22"/>
        <v>0</v>
      </c>
    </row>
    <row r="246" spans="1:25" ht="87.75" customHeight="1" x14ac:dyDescent="0.3">
      <c r="A246" s="589">
        <f>+'TD Info Completed by Auditor'!D41</f>
        <v>906</v>
      </c>
      <c r="B246" s="332" t="s">
        <v>755</v>
      </c>
      <c r="C246" s="589" t="str">
        <f>+'TD Info Completed by Auditor'!E41</f>
        <v>Is the Independent Auditor's Report Opinion Unmodified?</v>
      </c>
      <c r="D246" s="355"/>
      <c r="E246" s="338">
        <f>IF(+'TD Info Completed by Auditor'!G41="Yes",1,IF(+'TD Info Completed by Auditor'!G41="No",2,IF(+'TD Info Completed by Auditor'!G41="N/A",3,0)))</f>
        <v>0</v>
      </c>
      <c r="F246" s="349"/>
      <c r="G246" s="351"/>
      <c r="H246" s="348"/>
      <c r="I246" s="38"/>
      <c r="J246" s="127">
        <v>906</v>
      </c>
      <c r="K246" s="600" t="s">
        <v>571</v>
      </c>
      <c r="L246" s="573">
        <f t="shared" si="26"/>
        <v>0</v>
      </c>
      <c r="N246" s="138" t="s">
        <v>955</v>
      </c>
      <c r="P246" s="321"/>
      <c r="W246" s="3" t="b">
        <f t="shared" si="24"/>
        <v>1</v>
      </c>
      <c r="X246" s="570"/>
      <c r="Y246" s="570"/>
    </row>
    <row r="247" spans="1:25" ht="87.75" customHeight="1" x14ac:dyDescent="0.3">
      <c r="A247" s="589">
        <f>+'TD Info Completed by Auditor'!D43</f>
        <v>907</v>
      </c>
      <c r="B247" s="332" t="s">
        <v>755</v>
      </c>
      <c r="C247" s="589" t="str">
        <f>+'TD Info Completed by Auditor'!E43</f>
        <v xml:space="preserve">Is there a finding for lack of segregation of duties at this unit? </v>
      </c>
      <c r="D247" s="355"/>
      <c r="E247" s="338">
        <f>IF(+'TD Info Completed by Auditor'!G43="Yes",1,IF(+'TD Info Completed by Auditor'!G43="No",2,IF(+'TD Info Completed by Auditor'!G43="N/A",3,0)))</f>
        <v>0</v>
      </c>
      <c r="F247" s="349"/>
      <c r="G247" s="351"/>
      <c r="H247" s="348"/>
      <c r="I247" s="38"/>
      <c r="J247" s="127">
        <v>907</v>
      </c>
      <c r="K247" s="600" t="s">
        <v>572</v>
      </c>
      <c r="L247" s="573">
        <f t="shared" si="26"/>
        <v>0</v>
      </c>
      <c r="N247" s="138" t="s">
        <v>955</v>
      </c>
      <c r="P247" s="321"/>
      <c r="W247" s="3" t="b">
        <f t="shared" si="24"/>
        <v>1</v>
      </c>
      <c r="X247" s="570"/>
      <c r="Y247" s="570"/>
    </row>
    <row r="248" spans="1:25" ht="87.75" customHeight="1" x14ac:dyDescent="0.3">
      <c r="A248" s="589">
        <f>+'TD Info Completed by Auditor'!D45</f>
        <v>951</v>
      </c>
      <c r="B248" s="332" t="s">
        <v>755</v>
      </c>
      <c r="C248" s="590" t="str">
        <f>+'TD Info Completed by Auditor'!E45</f>
        <v>Is there a finding for lack of technical skills, knowledge and experience (SKE) at this unit?</v>
      </c>
      <c r="D248" s="355"/>
      <c r="E248" s="338">
        <f>IF(+'TD Info Completed by Auditor'!G45="Yes",1,IF(+'TD Info Completed by Auditor'!G45="No",2,IF(+'TD Info Completed by Auditor'!G45="N/A",3,0)))</f>
        <v>0</v>
      </c>
      <c r="F248" s="349"/>
      <c r="G248" s="351"/>
      <c r="H248" s="348"/>
      <c r="I248" s="38"/>
      <c r="J248" s="127">
        <v>951</v>
      </c>
      <c r="K248" s="600" t="s">
        <v>573</v>
      </c>
      <c r="L248" s="573">
        <f t="shared" si="26"/>
        <v>0</v>
      </c>
      <c r="N248" s="138" t="s">
        <v>955</v>
      </c>
      <c r="P248" s="321"/>
      <c r="W248" s="3" t="b">
        <f t="shared" si="24"/>
        <v>1</v>
      </c>
      <c r="X248" s="570"/>
      <c r="Y248" s="570"/>
    </row>
    <row r="249" spans="1:25" ht="87.75" customHeight="1" x14ac:dyDescent="0.3">
      <c r="A249" s="589">
        <f>+'TD Info Completed by Auditor'!D47</f>
        <v>953</v>
      </c>
      <c r="B249" s="332" t="s">
        <v>755</v>
      </c>
      <c r="C249" s="590" t="str">
        <f>+'TD Info Completed by Auditor'!E47</f>
        <v xml:space="preserve">Is there is a going concern finding noted in the audit report? </v>
      </c>
      <c r="D249" s="355"/>
      <c r="E249" s="338">
        <f>IF(+'TD Info Completed by Auditor'!G47="Yes",1,IF(+'TD Info Completed by Auditor'!G47="No",2,IF(+'TD Info Completed by Auditor'!G47="N/A",3,0)))</f>
        <v>0</v>
      </c>
      <c r="F249" s="349"/>
      <c r="G249" s="351"/>
      <c r="H249" s="348"/>
      <c r="I249" s="38"/>
      <c r="J249" s="127">
        <v>953</v>
      </c>
      <c r="K249" s="600" t="s">
        <v>1201</v>
      </c>
      <c r="L249" s="573">
        <f t="shared" si="26"/>
        <v>0</v>
      </c>
      <c r="N249" s="138" t="s">
        <v>955</v>
      </c>
      <c r="P249" s="321"/>
      <c r="W249" s="3" t="b">
        <f t="shared" si="24"/>
        <v>1</v>
      </c>
      <c r="X249" s="570"/>
      <c r="Y249" s="570"/>
    </row>
    <row r="250" spans="1:25" ht="87.75" customHeight="1" x14ac:dyDescent="0.3">
      <c r="A250" s="589">
        <f>+'TD Info Completed by Auditor'!D49</f>
        <v>955</v>
      </c>
      <c r="B250" s="332" t="s">
        <v>755</v>
      </c>
      <c r="C250" s="590" t="str">
        <f>+'TD Info Completed by Auditor'!E49</f>
        <v>Number of significant deficiency findings (other than in Questions 15-18 )</v>
      </c>
      <c r="D250" s="355"/>
      <c r="E250" s="1114" t="str">
        <f>IF(ISBLANK('TD Info Completed by Auditor'!G49),"",'TD Info Completed by Auditor'!G49)</f>
        <v/>
      </c>
      <c r="F250" s="349"/>
      <c r="G250" s="351"/>
      <c r="H250" s="1113" t="s">
        <v>1579</v>
      </c>
      <c r="I250" s="38"/>
      <c r="J250" s="127">
        <v>955</v>
      </c>
      <c r="K250" s="600" t="s">
        <v>759</v>
      </c>
      <c r="L250" s="573" t="str">
        <f t="shared" si="26"/>
        <v/>
      </c>
      <c r="N250" s="138" t="s">
        <v>955</v>
      </c>
      <c r="P250" s="321"/>
      <c r="W250" s="3" t="b">
        <f t="shared" si="24"/>
        <v>1</v>
      </c>
      <c r="X250" s="570"/>
      <c r="Y250" s="570"/>
    </row>
    <row r="251" spans="1:25" ht="87.75" customHeight="1" x14ac:dyDescent="0.3">
      <c r="A251" s="589">
        <f>+'TD Info Completed by Auditor'!D51</f>
        <v>957</v>
      </c>
      <c r="B251" s="332" t="s">
        <v>755</v>
      </c>
      <c r="C251" s="590" t="str">
        <f>+'TD Info Completed by Auditor'!E51</f>
        <v>Number of material weaknesses findings (other than in Questions 15-18)</v>
      </c>
      <c r="D251" s="355"/>
      <c r="E251" s="1114" t="str">
        <f>IF(ISBLANK('TD Info Completed by Auditor'!G51),"",'TD Info Completed by Auditor'!G51)</f>
        <v/>
      </c>
      <c r="F251" s="349"/>
      <c r="G251" s="351"/>
      <c r="H251" s="1113" t="s">
        <v>1580</v>
      </c>
      <c r="I251" s="38"/>
      <c r="J251" s="127">
        <v>957</v>
      </c>
      <c r="K251" s="600" t="s">
        <v>760</v>
      </c>
      <c r="L251" s="573" t="str">
        <f t="shared" si="26"/>
        <v/>
      </c>
      <c r="N251" s="138" t="s">
        <v>955</v>
      </c>
      <c r="P251" s="321"/>
      <c r="W251" s="3" t="b">
        <f t="shared" si="24"/>
        <v>1</v>
      </c>
      <c r="X251" s="570"/>
      <c r="Y251" s="570"/>
    </row>
    <row r="252" spans="1:25" ht="87.75" customHeight="1" x14ac:dyDescent="0.3">
      <c r="A252" s="589">
        <f>+'TD Info Completed by Auditor'!D53</f>
        <v>959</v>
      </c>
      <c r="B252" s="332" t="s">
        <v>755</v>
      </c>
      <c r="C252" s="590" t="str">
        <f>+'TD Info Completed by Auditor'!E53</f>
        <v>Did the Unit have debt service payments deferred or restructured in this fiscal year? (does not include refinancings designed to take advantage of lower interest rates)  Select Yes, No, or NA</v>
      </c>
      <c r="D252" s="355"/>
      <c r="E252" s="338">
        <f>IF(+'TD Info Completed by Auditor'!G53="Yes",1,IF(+'TD Info Completed by Auditor'!G53="No",2,IF(+'TD Info Completed by Auditor'!G53="N/A",3,0)))</f>
        <v>0</v>
      </c>
      <c r="F252" s="349"/>
      <c r="G252" s="351"/>
      <c r="H252" s="348"/>
      <c r="I252" s="38"/>
      <c r="J252" s="127">
        <v>959</v>
      </c>
      <c r="K252" s="600" t="s">
        <v>957</v>
      </c>
      <c r="L252" s="573">
        <f t="shared" si="26"/>
        <v>0</v>
      </c>
      <c r="N252" s="1089"/>
      <c r="P252" s="321"/>
      <c r="W252" s="3" t="b">
        <f t="shared" si="24"/>
        <v>1</v>
      </c>
      <c r="X252" s="570"/>
      <c r="Y252" s="570"/>
    </row>
    <row r="253" spans="1:25" ht="222" customHeight="1" x14ac:dyDescent="0.3">
      <c r="A253" s="589">
        <f>+'TD Info Completed by Auditor'!D57</f>
        <v>974</v>
      </c>
      <c r="B253" s="332" t="s">
        <v>755</v>
      </c>
      <c r="C253" s="590"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5"/>
      <c r="E253" s="338">
        <f>IF(+'TD Info Completed by Auditor'!G57="Yes",1,IF(+'TD Info Completed by Auditor'!G57="No",2,IF(+'TD Info Completed by Auditor'!G57="N/A",3,0)))</f>
        <v>0</v>
      </c>
      <c r="F253" s="349"/>
      <c r="G253" s="351"/>
      <c r="H253" s="348"/>
      <c r="I253" s="38"/>
      <c r="J253" s="127">
        <v>974</v>
      </c>
      <c r="K253" s="600" t="s">
        <v>1202</v>
      </c>
      <c r="L253" s="573">
        <f t="shared" si="26"/>
        <v>0</v>
      </c>
      <c r="N253" s="1089"/>
      <c r="P253" s="321"/>
      <c r="W253" s="3" t="b">
        <f t="shared" si="24"/>
        <v>1</v>
      </c>
      <c r="X253" s="570"/>
      <c r="Y253" s="570"/>
    </row>
    <row r="254" spans="1:25" ht="177.75" customHeight="1" x14ac:dyDescent="0.3">
      <c r="A254" s="589">
        <f>+'TD Info Completed by Auditor'!D55</f>
        <v>973</v>
      </c>
      <c r="B254" s="332" t="s">
        <v>755</v>
      </c>
      <c r="C254" s="331"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5"/>
      <c r="E254" s="338">
        <f>+'TD Info Completed by Auditor'!G55</f>
        <v>0</v>
      </c>
      <c r="F254" s="349"/>
      <c r="G254" s="351"/>
      <c r="H254" s="348"/>
      <c r="I254" s="38"/>
      <c r="J254" s="127">
        <v>973</v>
      </c>
      <c r="K254" s="600" t="s">
        <v>913</v>
      </c>
      <c r="L254" s="573">
        <f t="shared" si="26"/>
        <v>0</v>
      </c>
      <c r="N254" s="138" t="s">
        <v>955</v>
      </c>
      <c r="P254" s="321"/>
      <c r="W254" s="3" t="b">
        <f t="shared" si="24"/>
        <v>1</v>
      </c>
      <c r="X254" s="570"/>
      <c r="Y254" s="570"/>
    </row>
    <row r="255" spans="1:25" ht="87.75" customHeight="1" x14ac:dyDescent="0.3">
      <c r="A255" s="589">
        <f>+'TD Info Completed by Auditor'!D60</f>
        <v>965</v>
      </c>
      <c r="B255" s="332" t="s">
        <v>755</v>
      </c>
      <c r="C255" s="590" t="str">
        <f>+'TD Info Completed by Auditor'!E60</f>
        <v xml:space="preserve">Is the Finance Officer bonded for at least $50,000? (GS 159-42(h) </v>
      </c>
      <c r="D255" s="355"/>
      <c r="E255" s="338">
        <f>IF(+'TD Info Completed by Auditor'!G60="Yes",1,IF(+'TD Info Completed by Auditor'!G60="No",2,IF(+'TD Info Completed by Auditor'!G60="N/A",3,0)))</f>
        <v>0</v>
      </c>
      <c r="F255" s="349"/>
      <c r="G255" s="351"/>
      <c r="H255" s="348"/>
      <c r="I255" s="38"/>
      <c r="J255" s="127">
        <v>965</v>
      </c>
      <c r="K255" s="600" t="s">
        <v>578</v>
      </c>
      <c r="L255" s="573">
        <f t="shared" si="26"/>
        <v>0</v>
      </c>
      <c r="N255" s="1089"/>
      <c r="P255" s="321"/>
      <c r="W255" s="3" t="b">
        <f t="shared" si="24"/>
        <v>1</v>
      </c>
      <c r="X255" s="570"/>
      <c r="Y255" s="570"/>
    </row>
    <row r="256" spans="1:25" ht="87.75" customHeight="1" x14ac:dyDescent="0.3">
      <c r="A256" s="589">
        <f>+'TD Info Completed by Auditor'!D68</f>
        <v>977</v>
      </c>
      <c r="B256" s="332" t="s">
        <v>755</v>
      </c>
      <c r="C256" s="590" t="str">
        <f>+'TD Info Completed by Auditor'!E68</f>
        <v>Does the entity have an  effective pre-audit process to ensure that pervasive budgetary over- expenditures do not occur at the budget ordinance level? Select Yes or No</v>
      </c>
      <c r="D256" s="355"/>
      <c r="E256" s="338">
        <f>IF(+'TD Info Completed by Auditor'!G68="Yes",1,IF(+'TD Info Completed by Auditor'!G68="No",2,))</f>
        <v>0</v>
      </c>
      <c r="F256" s="349"/>
      <c r="G256" s="351"/>
      <c r="H256" s="348"/>
      <c r="I256" s="38"/>
      <c r="J256" s="127">
        <v>977</v>
      </c>
      <c r="K256" s="600" t="s">
        <v>1204</v>
      </c>
      <c r="L256" s="573">
        <f t="shared" si="26"/>
        <v>0</v>
      </c>
      <c r="N256" s="138" t="s">
        <v>955</v>
      </c>
      <c r="P256" s="321"/>
      <c r="W256" s="3" t="b">
        <f t="shared" si="24"/>
        <v>1</v>
      </c>
      <c r="X256" s="570"/>
      <c r="Y256" s="570"/>
    </row>
    <row r="257" spans="1:25" ht="87.75" customHeight="1" x14ac:dyDescent="0.3">
      <c r="A257" s="589">
        <f>+'TD Info Completed by Auditor'!D70</f>
        <v>978</v>
      </c>
      <c r="B257" s="332" t="s">
        <v>755</v>
      </c>
      <c r="C257" s="590" t="str">
        <f>+'TD Info Completed by Auditor'!E70</f>
        <v>Did the audit disclose any statutory violations in the notes that were not covered by findings?  Select Yes or No</v>
      </c>
      <c r="D257" s="355"/>
      <c r="E257" s="338" t="str">
        <f>IF(+'TD Info Completed by Auditor'!G70="Yes",1,IF(+'TD Info Completed by Auditor'!G70="No",2,IF(+'TD Info Completed by Auditor'!G70="","0")))</f>
        <v>0</v>
      </c>
      <c r="F257" s="349"/>
      <c r="G257" s="351"/>
      <c r="H257" s="348"/>
      <c r="I257" s="38"/>
      <c r="J257" s="127">
        <v>978</v>
      </c>
      <c r="K257" s="600" t="s">
        <v>1203</v>
      </c>
      <c r="L257" s="573" t="str">
        <f t="shared" si="26"/>
        <v>0</v>
      </c>
      <c r="N257" s="138" t="s">
        <v>955</v>
      </c>
      <c r="P257" s="321"/>
      <c r="W257" s="3" t="b">
        <f t="shared" si="24"/>
        <v>1</v>
      </c>
      <c r="X257" s="570"/>
      <c r="Y257" s="570"/>
    </row>
    <row r="258" spans="1:25" ht="87.75" customHeight="1" x14ac:dyDescent="0.3">
      <c r="A258" s="589">
        <f>+'TD Info Completed by Auditor'!D72</f>
        <v>979</v>
      </c>
      <c r="B258" s="332" t="s">
        <v>755</v>
      </c>
      <c r="C258" s="590" t="str">
        <f>+'TD Info Completed by Auditor'!E72</f>
        <v>The Auditor will submit the Audit Report to the LGC within five months plus one day after the fiscal year end.  (for units with a June 30th fiscal year-end this would be December 1)   Select Yes or No</v>
      </c>
      <c r="D258" s="355"/>
      <c r="E258" s="338">
        <f>IF(+'TD Info Completed by Auditor'!G72="Yes",1,IF(+'TD Info Completed by Auditor'!G72="No",2,IF(+'TD Info Completed by Auditor'!G72="N/A",3,0)))</f>
        <v>0</v>
      </c>
      <c r="F258" s="349"/>
      <c r="G258" s="351"/>
      <c r="H258" s="348"/>
      <c r="I258" s="38"/>
      <c r="J258" s="127">
        <v>979</v>
      </c>
      <c r="K258" s="600" t="s">
        <v>733</v>
      </c>
      <c r="L258" s="573">
        <f t="shared" si="26"/>
        <v>0</v>
      </c>
      <c r="N258" s="138" t="s">
        <v>955</v>
      </c>
      <c r="P258" s="321"/>
      <c r="W258" s="3" t="b">
        <f t="shared" si="24"/>
        <v>1</v>
      </c>
      <c r="X258" s="570"/>
      <c r="Y258" s="570"/>
    </row>
    <row r="259" spans="1:25" ht="87.75" customHeight="1" x14ac:dyDescent="0.3">
      <c r="A259" s="589">
        <f>+'TD Info Completed by Auditor'!D76</f>
        <v>975</v>
      </c>
      <c r="B259" s="332" t="s">
        <v>755</v>
      </c>
      <c r="C259" s="590" t="str">
        <f>+'TD Info Completed by Auditor'!E76</f>
        <v>The Performance Indicator Tab in this worksheet has at least one performance indicator of concern (indicated by a red shaded cell)</v>
      </c>
      <c r="D259" s="355"/>
      <c r="E259" s="338">
        <f>IF(+'TD Info Completed by Auditor'!G76="Yes",1,IF(+'TD Info Completed by Auditor'!G76="No",2,IF(+'TD Info Completed by Auditor'!G76="N/A",3,0)))</f>
        <v>0</v>
      </c>
      <c r="F259" s="349"/>
      <c r="G259" s="351"/>
      <c r="H259" s="348"/>
      <c r="I259" s="38"/>
      <c r="J259" s="127">
        <v>975</v>
      </c>
      <c r="K259" s="600" t="s">
        <v>761</v>
      </c>
      <c r="L259" s="573">
        <f>IF(D259="",E259,D259)</f>
        <v>0</v>
      </c>
      <c r="N259" s="138" t="s">
        <v>955</v>
      </c>
      <c r="P259" s="321"/>
      <c r="W259" s="3" t="b">
        <f>EXACT(A259,J259)</f>
        <v>1</v>
      </c>
      <c r="X259" s="570"/>
      <c r="Y259" s="570"/>
    </row>
    <row r="260" spans="1:25" ht="112.5" customHeight="1" x14ac:dyDescent="0.3">
      <c r="A260" s="589">
        <f>+'TD Info Completed by Auditor'!D78</f>
        <v>976</v>
      </c>
      <c r="B260" s="332" t="s">
        <v>755</v>
      </c>
      <c r="C260" s="331"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5"/>
      <c r="E260" s="338">
        <f>IF(+'TD Info Completed by Auditor'!G78="Yes",1,IF(+'TD Info Completed by Auditor'!G78="No",2,IF(+'TD Info Completed by Auditor'!G78="N/A",3,0)))</f>
        <v>0</v>
      </c>
      <c r="F260" s="349"/>
      <c r="G260" s="351"/>
      <c r="H260" s="348"/>
      <c r="I260" s="38"/>
      <c r="J260" s="127">
        <v>976</v>
      </c>
      <c r="K260" s="600" t="s">
        <v>915</v>
      </c>
      <c r="L260" s="573">
        <f>IF(D260="",E260,D260)</f>
        <v>0</v>
      </c>
      <c r="N260" s="138" t="s">
        <v>955</v>
      </c>
      <c r="P260" s="321"/>
      <c r="W260" s="3" t="b">
        <f>EXACT(A260,J260)</f>
        <v>1</v>
      </c>
      <c r="X260" s="570"/>
      <c r="Y260" s="570"/>
    </row>
    <row r="261" spans="1:25" ht="109.95" customHeight="1" x14ac:dyDescent="0.3">
      <c r="A261" s="617">
        <v>336</v>
      </c>
      <c r="B261" s="368"/>
      <c r="C261" s="618" t="s">
        <v>1009</v>
      </c>
      <c r="D261" s="619" t="s">
        <v>926</v>
      </c>
      <c r="E261" s="620" t="s">
        <v>927</v>
      </c>
      <c r="F261" s="369" t="s">
        <v>925</v>
      </c>
      <c r="G261" s="351"/>
      <c r="H261" s="348"/>
      <c r="I261" s="38"/>
      <c r="J261" s="370">
        <v>336</v>
      </c>
      <c r="K261" s="621" t="s">
        <v>930</v>
      </c>
      <c r="L261" s="622">
        <f>L10-L11-L12-L13-L14-L15-L16</f>
        <v>0</v>
      </c>
      <c r="M261" s="623"/>
      <c r="N261" s="382" t="s">
        <v>928</v>
      </c>
      <c r="P261" s="321"/>
      <c r="X261" s="570"/>
      <c r="Y261" s="570"/>
    </row>
    <row r="262" spans="1:25" ht="129" customHeight="1" x14ac:dyDescent="0.3">
      <c r="A262" s="617">
        <v>44</v>
      </c>
      <c r="B262" s="368"/>
      <c r="C262" s="624" t="s">
        <v>1010</v>
      </c>
      <c r="D262" s="619" t="s">
        <v>917</v>
      </c>
      <c r="E262" s="625" t="s">
        <v>918</v>
      </c>
      <c r="F262" s="369" t="s">
        <v>925</v>
      </c>
      <c r="G262" s="351"/>
      <c r="H262" s="348"/>
      <c r="I262" s="38"/>
      <c r="J262" s="370">
        <v>44</v>
      </c>
      <c r="K262" s="621" t="s">
        <v>931</v>
      </c>
      <c r="L262" s="622">
        <f>L120-L121-L118</f>
        <v>0</v>
      </c>
      <c r="M262" s="623"/>
      <c r="N262" s="382" t="s">
        <v>929</v>
      </c>
      <c r="P262" s="321"/>
      <c r="X262" s="570"/>
      <c r="Y262" s="570"/>
    </row>
    <row r="263" spans="1:25" ht="169.5" customHeight="1" x14ac:dyDescent="0.3">
      <c r="A263" s="617">
        <v>45</v>
      </c>
      <c r="B263" s="368"/>
      <c r="C263" s="626" t="s">
        <v>1011</v>
      </c>
      <c r="D263" s="619" t="s">
        <v>919</v>
      </c>
      <c r="E263" s="620" t="s">
        <v>920</v>
      </c>
      <c r="F263" s="369" t="s">
        <v>925</v>
      </c>
      <c r="G263" s="351"/>
      <c r="H263" s="348"/>
      <c r="I263" s="38"/>
      <c r="J263" s="370">
        <v>45</v>
      </c>
      <c r="K263" s="621" t="s">
        <v>932</v>
      </c>
      <c r="L263" s="622">
        <f>L124-L125-L126-L127-L128-L129-L123</f>
        <v>0</v>
      </c>
      <c r="M263" s="623"/>
      <c r="N263" s="382" t="s">
        <v>946</v>
      </c>
      <c r="P263" s="321"/>
      <c r="X263" s="570"/>
      <c r="Y263" s="570"/>
    </row>
    <row r="264" spans="1:25" ht="87.75" customHeight="1" x14ac:dyDescent="0.3">
      <c r="A264" s="617">
        <v>47</v>
      </c>
      <c r="B264" s="368"/>
      <c r="C264" s="369" t="s">
        <v>934</v>
      </c>
      <c r="D264" s="619" t="s">
        <v>921</v>
      </c>
      <c r="E264" s="620" t="s">
        <v>923</v>
      </c>
      <c r="F264" s="369" t="s">
        <v>925</v>
      </c>
      <c r="G264" s="351"/>
      <c r="H264" s="348"/>
      <c r="I264" s="38"/>
      <c r="J264" s="370">
        <v>47</v>
      </c>
      <c r="K264" s="621" t="s">
        <v>933</v>
      </c>
      <c r="L264" s="622">
        <f>L138-L139-L137</f>
        <v>0</v>
      </c>
      <c r="M264" s="623"/>
      <c r="N264" s="382" t="s">
        <v>947</v>
      </c>
      <c r="P264" s="321"/>
      <c r="X264" s="570"/>
      <c r="Y264" s="570"/>
    </row>
    <row r="265" spans="1:25" ht="152.25" customHeight="1" x14ac:dyDescent="0.3">
      <c r="A265" s="617">
        <v>48</v>
      </c>
      <c r="B265" s="368"/>
      <c r="C265" s="369" t="s">
        <v>935</v>
      </c>
      <c r="D265" s="619" t="s">
        <v>922</v>
      </c>
      <c r="E265" s="620" t="s">
        <v>924</v>
      </c>
      <c r="F265" s="369" t="s">
        <v>925</v>
      </c>
      <c r="G265" s="351"/>
      <c r="H265" s="348"/>
      <c r="I265" s="38"/>
      <c r="J265" s="370">
        <v>48</v>
      </c>
      <c r="K265" s="621" t="s">
        <v>123</v>
      </c>
      <c r="L265" s="622">
        <f>L143-L144-L145-L146-L147-L148-L142</f>
        <v>0</v>
      </c>
      <c r="M265" s="623"/>
      <c r="N265" s="382" t="s">
        <v>948</v>
      </c>
      <c r="P265" s="321"/>
      <c r="X265" s="570"/>
      <c r="Y265" s="570"/>
    </row>
    <row r="266" spans="1:25" ht="113.4" customHeight="1" x14ac:dyDescent="0.3">
      <c r="A266" s="627"/>
      <c r="B266" s="97"/>
      <c r="C266" s="628"/>
      <c r="D266" s="139"/>
      <c r="E266" s="147"/>
      <c r="F266" s="66"/>
      <c r="G266" s="141"/>
      <c r="H266" s="142"/>
      <c r="I266" s="38"/>
      <c r="J266" s="371">
        <v>998</v>
      </c>
      <c r="K266" s="372" t="s">
        <v>288</v>
      </c>
      <c r="L266" s="629" t="e">
        <f>HLOOKUP('Unit Data from Audit Worksheet'!$D$2,'2020 Data(H)'!A1:AR400,247,FALSE)</f>
        <v>#N/A</v>
      </c>
      <c r="M266" s="623"/>
      <c r="N266" s="382" t="s">
        <v>936</v>
      </c>
      <c r="P266" s="317"/>
      <c r="W266" s="3" t="b">
        <f>EXACT(A266,J266)</f>
        <v>0</v>
      </c>
      <c r="X266" s="570" t="e">
        <f t="shared" si="21"/>
        <v>#N/A</v>
      </c>
      <c r="Y266" s="570" t="e">
        <f t="shared" si="22"/>
        <v>#N/A</v>
      </c>
    </row>
    <row r="267" spans="1:25" ht="119.4" customHeight="1" x14ac:dyDescent="0.3">
      <c r="A267" s="627"/>
      <c r="B267" s="97"/>
      <c r="C267" s="628"/>
      <c r="D267" s="630"/>
      <c r="E267" s="631"/>
      <c r="F267" s="632"/>
      <c r="G267" s="633"/>
      <c r="H267" s="634"/>
      <c r="I267" s="38"/>
      <c r="J267" s="373">
        <v>995</v>
      </c>
      <c r="K267" s="374" t="s">
        <v>286</v>
      </c>
      <c r="L267" s="635" t="e">
        <f>HLOOKUP('Unit Data from Audit Worksheet'!$D$2,'2020 Data(H)'!A1:AR400,244,FALSE)</f>
        <v>#N/A</v>
      </c>
      <c r="M267" s="623"/>
      <c r="N267" s="382" t="s">
        <v>949</v>
      </c>
      <c r="P267" s="318"/>
      <c r="W267" s="3" t="b">
        <f>EXACT(A267,J267)</f>
        <v>0</v>
      </c>
      <c r="X267" s="636" t="e">
        <f t="shared" si="21"/>
        <v>#N/A</v>
      </c>
      <c r="Y267" s="570" t="e">
        <f t="shared" si="22"/>
        <v>#N/A</v>
      </c>
    </row>
    <row r="268" spans="1:25" ht="104.4" customHeight="1" x14ac:dyDescent="0.3">
      <c r="A268" s="627"/>
      <c r="B268" s="97"/>
      <c r="C268" s="628"/>
      <c r="D268" s="630"/>
      <c r="E268" s="631"/>
      <c r="F268" s="632"/>
      <c r="G268" s="633"/>
      <c r="H268" s="634"/>
      <c r="I268" s="38"/>
      <c r="J268" s="373">
        <v>996</v>
      </c>
      <c r="K268" s="374" t="s">
        <v>287</v>
      </c>
      <c r="L268" s="635" t="e">
        <f>HLOOKUP('Unit Data from Audit Worksheet'!$D$2,'2020 Data(H)'!A1:AR400,245,FALSE)</f>
        <v>#N/A</v>
      </c>
      <c r="M268" s="623"/>
      <c r="N268" s="382" t="s">
        <v>950</v>
      </c>
      <c r="P268" s="318"/>
      <c r="W268" s="3" t="b">
        <f>EXACT(A268,J268)</f>
        <v>0</v>
      </c>
      <c r="X268" s="636" t="e">
        <f t="shared" si="21"/>
        <v>#N/A</v>
      </c>
      <c r="Y268" s="570" t="e">
        <f t="shared" si="22"/>
        <v>#N/A</v>
      </c>
    </row>
    <row r="269" spans="1:25" ht="43.2" x14ac:dyDescent="0.3">
      <c r="A269" s="627"/>
      <c r="B269" s="97"/>
      <c r="C269" s="628"/>
      <c r="D269" s="630"/>
      <c r="E269" s="631"/>
      <c r="F269" s="632"/>
      <c r="G269" s="633"/>
      <c r="H269" s="637"/>
      <c r="I269" s="38"/>
      <c r="J269" s="172">
        <v>554</v>
      </c>
      <c r="K269" s="638" t="s">
        <v>340</v>
      </c>
      <c r="L269" s="599"/>
      <c r="N269" s="639"/>
      <c r="P269" s="319"/>
      <c r="X269" s="636"/>
      <c r="Y269" s="570"/>
    </row>
    <row r="270" spans="1:25" ht="43.2" x14ac:dyDescent="0.3">
      <c r="A270" s="627"/>
      <c r="B270" s="97"/>
      <c r="C270" s="628"/>
      <c r="D270" s="630"/>
      <c r="E270" s="631"/>
      <c r="F270" s="632"/>
      <c r="G270" s="633"/>
      <c r="H270" s="637"/>
      <c r="I270" s="38"/>
      <c r="J270" s="172">
        <v>555</v>
      </c>
      <c r="K270" s="638" t="s">
        <v>341</v>
      </c>
      <c r="L270" s="599"/>
      <c r="N270" s="639"/>
      <c r="P270" s="319"/>
      <c r="X270" s="636"/>
      <c r="Y270" s="570"/>
    </row>
    <row r="271" spans="1:25" ht="43.2" x14ac:dyDescent="0.3">
      <c r="A271" s="627"/>
      <c r="B271" s="97"/>
      <c r="C271" s="628"/>
      <c r="D271" s="630"/>
      <c r="E271" s="631"/>
      <c r="F271" s="632"/>
      <c r="G271" s="633"/>
      <c r="H271" s="637"/>
      <c r="I271" s="38"/>
      <c r="J271" s="172">
        <v>556</v>
      </c>
      <c r="K271" s="638" t="s">
        <v>342</v>
      </c>
      <c r="L271" s="599"/>
      <c r="N271" s="639"/>
      <c r="P271" s="319"/>
      <c r="X271" s="636"/>
      <c r="Y271" s="570"/>
    </row>
    <row r="272" spans="1:25" ht="43.2" x14ac:dyDescent="0.3">
      <c r="A272" s="627"/>
      <c r="B272" s="97"/>
      <c r="C272" s="628"/>
      <c r="D272" s="630"/>
      <c r="E272" s="631"/>
      <c r="F272" s="632"/>
      <c r="G272" s="633"/>
      <c r="H272" s="637"/>
      <c r="I272" s="38"/>
      <c r="J272" s="172">
        <v>557</v>
      </c>
      <c r="K272" s="638" t="s">
        <v>343</v>
      </c>
      <c r="L272" s="599"/>
      <c r="N272" s="639"/>
      <c r="P272" s="319"/>
      <c r="X272" s="636"/>
      <c r="Y272" s="570"/>
    </row>
    <row r="273" spans="1:25" ht="43.2" x14ac:dyDescent="0.3">
      <c r="A273" s="627"/>
      <c r="B273" s="97"/>
      <c r="C273" s="628"/>
      <c r="D273" s="630"/>
      <c r="E273" s="631"/>
      <c r="F273" s="632"/>
      <c r="G273" s="633"/>
      <c r="H273" s="637"/>
      <c r="I273" s="38"/>
      <c r="J273" s="172">
        <v>606</v>
      </c>
      <c r="K273" s="638" t="s">
        <v>522</v>
      </c>
      <c r="L273" s="599"/>
      <c r="N273" s="639"/>
      <c r="P273" s="319"/>
      <c r="X273" s="636"/>
      <c r="Y273" s="570"/>
    </row>
    <row r="274" spans="1:25" ht="39.75" customHeight="1" x14ac:dyDescent="0.3">
      <c r="A274" s="627"/>
      <c r="B274" s="97"/>
      <c r="C274" s="628"/>
      <c r="D274" s="630"/>
      <c r="E274" s="631"/>
      <c r="F274" s="632"/>
      <c r="G274" s="633"/>
      <c r="H274" s="637"/>
      <c r="I274" s="38"/>
      <c r="J274" s="325">
        <v>662</v>
      </c>
      <c r="K274" s="640" t="s">
        <v>523</v>
      </c>
      <c r="L274" s="641"/>
      <c r="N274" s="639"/>
      <c r="P274" s="325"/>
      <c r="X274" s="636"/>
      <c r="Y274" s="570"/>
    </row>
    <row r="275" spans="1:25" ht="39" customHeight="1" x14ac:dyDescent="0.3">
      <c r="A275" s="627"/>
      <c r="B275" s="97"/>
      <c r="C275" s="628"/>
      <c r="D275" s="630"/>
      <c r="E275" s="631"/>
      <c r="F275" s="632"/>
      <c r="G275" s="633"/>
      <c r="H275" s="637"/>
      <c r="I275" s="38"/>
      <c r="J275" s="325">
        <v>663</v>
      </c>
      <c r="K275" s="642" t="s">
        <v>524</v>
      </c>
      <c r="L275" s="641"/>
      <c r="N275" s="639"/>
      <c r="P275" s="325"/>
      <c r="X275" s="636"/>
      <c r="Y275" s="570"/>
    </row>
    <row r="276" spans="1:25" s="18" customFormat="1" ht="22.5" customHeight="1" x14ac:dyDescent="0.3">
      <c r="A276" s="627"/>
      <c r="B276" s="97"/>
      <c r="C276" s="628"/>
      <c r="D276" s="139"/>
      <c r="E276" s="140"/>
      <c r="F276" s="66"/>
      <c r="G276" s="141"/>
      <c r="H276" s="142"/>
      <c r="I276" s="38"/>
      <c r="J276" s="143"/>
      <c r="K276" s="643"/>
      <c r="L276" s="644"/>
      <c r="N276" s="380"/>
      <c r="P276" s="319"/>
      <c r="Q276" s="563"/>
      <c r="W276" s="18" t="b">
        <f t="shared" ref="W276:W284" si="27">EXACT(A276,J276)</f>
        <v>1</v>
      </c>
      <c r="X276" s="579">
        <f t="shared" si="21"/>
        <v>0</v>
      </c>
      <c r="Y276" s="579">
        <f t="shared" si="22"/>
        <v>0</v>
      </c>
    </row>
    <row r="277" spans="1:25" ht="99" customHeight="1" x14ac:dyDescent="0.3">
      <c r="A277" s="336">
        <f>'Unit Data from Audit Worksheet'!A304</f>
        <v>947</v>
      </c>
      <c r="B277" s="132"/>
      <c r="C277" s="335" t="str">
        <f>'Unit Data from Audit Worksheet'!D304</f>
        <v>First name of finance officer or interim finance officer (please enter “vacant” for first name if the position is currently vacant)</v>
      </c>
      <c r="D277" s="358"/>
      <c r="E277" s="187">
        <f>'Unit Data from Audit Worksheet'!F304</f>
        <v>0</v>
      </c>
      <c r="F277" s="349" t="str">
        <f>'Unit Data from Audit Worksheet'!G304</f>
        <v>Please do not leave blank</v>
      </c>
      <c r="G277" s="351"/>
      <c r="H277" s="348"/>
      <c r="I277" s="38"/>
      <c r="J277" s="176">
        <v>947</v>
      </c>
      <c r="K277" s="645" t="s">
        <v>471</v>
      </c>
      <c r="L277" s="646">
        <f t="shared" ref="L277:L290" si="28">IF(D277="",E277,D277)</f>
        <v>0</v>
      </c>
      <c r="N277" s="639"/>
      <c r="P277" s="325"/>
      <c r="Q277" s="605">
        <f t="shared" ref="Q277:Q284" si="29">IF(L277=0,1,0)</f>
        <v>1</v>
      </c>
      <c r="W277" s="3" t="b">
        <f t="shared" si="27"/>
        <v>1</v>
      </c>
      <c r="X277" s="570">
        <f t="shared" ref="X277:X291" si="30">E277-L277</f>
        <v>0</v>
      </c>
      <c r="Y277" s="570">
        <f t="shared" ref="Y277:Y291" si="31">D277-L277</f>
        <v>0</v>
      </c>
    </row>
    <row r="278" spans="1:25" ht="128.25" customHeight="1" x14ac:dyDescent="0.3">
      <c r="A278" s="336">
        <f>'Unit Data from Audit Worksheet'!A305</f>
        <v>948</v>
      </c>
      <c r="B278" s="132"/>
      <c r="C278" s="335" t="str">
        <f>'Unit Data from Audit Worksheet'!D305</f>
        <v>Last name of finance officer or interim finance officer (please enter “vacant” for last name if the position is currently vacant)</v>
      </c>
      <c r="D278" s="358"/>
      <c r="E278" s="647">
        <f>'Unit Data from Audit Worksheet'!F305</f>
        <v>0</v>
      </c>
      <c r="F278" s="349" t="str">
        <f>'Unit Data from Audit Worksheet'!G305</f>
        <v>Please do not leave blank</v>
      </c>
      <c r="G278" s="351"/>
      <c r="H278" s="348"/>
      <c r="I278" s="38"/>
      <c r="J278" s="176">
        <v>948</v>
      </c>
      <c r="K278" s="645" t="s">
        <v>472</v>
      </c>
      <c r="L278" s="646">
        <f t="shared" si="28"/>
        <v>0</v>
      </c>
      <c r="N278" s="639"/>
      <c r="P278" s="325"/>
      <c r="Q278" s="605">
        <f t="shared" si="29"/>
        <v>1</v>
      </c>
      <c r="W278" s="3" t="b">
        <f t="shared" si="27"/>
        <v>1</v>
      </c>
      <c r="X278" s="570">
        <f t="shared" si="30"/>
        <v>0</v>
      </c>
      <c r="Y278" s="570">
        <f t="shared" si="31"/>
        <v>0</v>
      </c>
    </row>
    <row r="279" spans="1:25" ht="61.5" customHeight="1" x14ac:dyDescent="0.3">
      <c r="A279" s="336">
        <f>'Unit Data from Audit Worksheet'!A306</f>
        <v>949</v>
      </c>
      <c r="B279" s="132"/>
      <c r="C279" s="335" t="str">
        <f>'Unit Data from Audit Worksheet'!D306</f>
        <v>Is the finance officer serving in a permanent role or an interim role? (select permanent/interim/vacant)</v>
      </c>
      <c r="D279" s="358"/>
      <c r="E279" s="187">
        <f>'Unit Data from Audit Worksheet'!F306</f>
        <v>0</v>
      </c>
      <c r="F279" s="349" t="str">
        <f>'Unit Data from Audit Worksheet'!G306</f>
        <v>Please do not leave blank</v>
      </c>
      <c r="G279" s="351"/>
      <c r="H279" s="348"/>
      <c r="I279" s="38"/>
      <c r="J279" s="176">
        <v>949</v>
      </c>
      <c r="K279" s="645" t="s">
        <v>499</v>
      </c>
      <c r="L279" s="646">
        <f t="shared" si="28"/>
        <v>0</v>
      </c>
      <c r="N279" s="639"/>
      <c r="P279" s="325"/>
      <c r="Q279" s="605">
        <f t="shared" si="29"/>
        <v>1</v>
      </c>
      <c r="W279" s="3" t="b">
        <f t="shared" si="27"/>
        <v>1</v>
      </c>
      <c r="X279" s="570">
        <f t="shared" si="30"/>
        <v>0</v>
      </c>
      <c r="Y279" s="570">
        <f t="shared" si="31"/>
        <v>0</v>
      </c>
    </row>
    <row r="280" spans="1:25" ht="93.75" customHeight="1" x14ac:dyDescent="0.3">
      <c r="A280" s="336">
        <f>'Unit Data from Audit Worksheet'!A307</f>
        <v>950</v>
      </c>
      <c r="B280" s="132"/>
      <c r="C280" s="335" t="str">
        <f>'Unit Data from Audit Worksheet'!D307</f>
        <v>Has the finance officer been formally appointed by the local government, public authority, or designated official?  (Y/N)</v>
      </c>
      <c r="D280" s="358"/>
      <c r="E280" s="187">
        <f>'Unit Data from Audit Worksheet'!F307</f>
        <v>0</v>
      </c>
      <c r="F280" s="349" t="str">
        <f>'Unit Data from Audit Worksheet'!G307</f>
        <v>Please do not leave blank</v>
      </c>
      <c r="G280" s="351"/>
      <c r="H280" s="348"/>
      <c r="I280" s="38"/>
      <c r="J280" s="176">
        <v>950</v>
      </c>
      <c r="K280" s="645" t="s">
        <v>500</v>
      </c>
      <c r="L280" s="646">
        <f t="shared" si="28"/>
        <v>0</v>
      </c>
      <c r="N280" s="639"/>
      <c r="P280" s="325"/>
      <c r="Q280" s="605">
        <f t="shared" si="29"/>
        <v>1</v>
      </c>
      <c r="W280" s="3" t="b">
        <f t="shared" si="27"/>
        <v>1</v>
      </c>
      <c r="X280" s="570">
        <f t="shared" si="30"/>
        <v>0</v>
      </c>
      <c r="Y280" s="570">
        <f t="shared" si="31"/>
        <v>0</v>
      </c>
    </row>
    <row r="281" spans="1:25" ht="153.75" customHeight="1" x14ac:dyDescent="0.3">
      <c r="A281" s="336">
        <f>'Unit Data from Audit Worksheet'!A308</f>
        <v>952</v>
      </c>
      <c r="B281" s="132"/>
      <c r="C281" s="335"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58"/>
      <c r="E281" s="136" t="str">
        <f>IF('Unit Data from Audit Worksheet'!F308&gt;0,'Unit Data from Audit Worksheet'!F308," ")</f>
        <v xml:space="preserve"> </v>
      </c>
      <c r="F281" s="349" t="str">
        <f>'Unit Data from Audit Worksheet'!G308</f>
        <v>Leave blank if data not available</v>
      </c>
      <c r="G281" s="351"/>
      <c r="H281" s="348"/>
      <c r="I281" s="38"/>
      <c r="J281" s="176">
        <v>952</v>
      </c>
      <c r="K281" s="645" t="s">
        <v>501</v>
      </c>
      <c r="L281" s="648" t="str">
        <f t="shared" si="28"/>
        <v xml:space="preserve"> </v>
      </c>
      <c r="N281" s="639"/>
      <c r="P281" s="325"/>
      <c r="Q281" s="605">
        <f t="shared" si="29"/>
        <v>0</v>
      </c>
      <c r="W281" s="3" t="b">
        <f t="shared" si="27"/>
        <v>1</v>
      </c>
      <c r="X281" s="570" t="e">
        <f t="shared" si="30"/>
        <v>#VALUE!</v>
      </c>
      <c r="Y281" s="570" t="e">
        <f t="shared" si="31"/>
        <v>#VALUE!</v>
      </c>
    </row>
    <row r="282" spans="1:25" ht="153.75" customHeight="1" x14ac:dyDescent="0.3">
      <c r="A282" s="336">
        <f>'Unit Data from Audit Worksheet'!A309</f>
        <v>954</v>
      </c>
      <c r="B282" s="132"/>
      <c r="C282" s="335" t="str">
        <f>'Unit Data from Audit Worksheet'!D309</f>
        <v>Has the finance officer or interim finance officer read, understand, and is in compliance with the requirements of N.C.G.S. 159, as applicable based on unit type and circumstances? (Y/N)</v>
      </c>
      <c r="D282" s="358"/>
      <c r="E282" s="187">
        <f>'Unit Data from Audit Worksheet'!F309</f>
        <v>0</v>
      </c>
      <c r="F282" s="349" t="str">
        <f>'Unit Data from Audit Worksheet'!G309</f>
        <v>Please do not leave blank</v>
      </c>
      <c r="G282" s="351"/>
      <c r="H282" s="348"/>
      <c r="I282" s="38"/>
      <c r="J282" s="176">
        <v>954</v>
      </c>
      <c r="K282" s="645" t="s">
        <v>502</v>
      </c>
      <c r="L282" s="646">
        <f t="shared" si="28"/>
        <v>0</v>
      </c>
      <c r="N282" s="639"/>
      <c r="P282" s="325"/>
      <c r="Q282" s="605">
        <f t="shared" si="29"/>
        <v>1</v>
      </c>
      <c r="W282" s="3" t="b">
        <f t="shared" si="27"/>
        <v>1</v>
      </c>
      <c r="X282" s="570">
        <f t="shared" si="30"/>
        <v>0</v>
      </c>
      <c r="Y282" s="570">
        <f t="shared" si="31"/>
        <v>0</v>
      </c>
    </row>
    <row r="283" spans="1:25" ht="153.75" customHeight="1" x14ac:dyDescent="0.3">
      <c r="A283" s="336">
        <f>'Unit Data from Audit Worksheet'!A310</f>
        <v>956</v>
      </c>
      <c r="B283" s="132"/>
      <c r="C283" s="335" t="str">
        <f>'Unit Data from Audit Worksheet'!D310</f>
        <v>Does the finance officer or interim finance officer maintain and update (or ensures the maintenance and update of)  financial records monthly, including reconciliation of bank accounts to the general ledger? (Y/N)</v>
      </c>
      <c r="D283" s="358"/>
      <c r="E283" s="187">
        <f>'Unit Data from Audit Worksheet'!F310</f>
        <v>0</v>
      </c>
      <c r="F283" s="349" t="str">
        <f>'Unit Data from Audit Worksheet'!G310</f>
        <v>Please do not leave blank</v>
      </c>
      <c r="G283" s="351"/>
      <c r="H283" s="348"/>
      <c r="I283" s="38"/>
      <c r="J283" s="176">
        <v>956</v>
      </c>
      <c r="K283" s="645" t="s">
        <v>503</v>
      </c>
      <c r="L283" s="646">
        <f t="shared" si="28"/>
        <v>0</v>
      </c>
      <c r="N283" s="639"/>
      <c r="P283" s="325"/>
      <c r="Q283" s="605">
        <f t="shared" si="29"/>
        <v>1</v>
      </c>
      <c r="W283" s="3" t="b">
        <f t="shared" si="27"/>
        <v>1</v>
      </c>
      <c r="X283" s="570">
        <f t="shared" si="30"/>
        <v>0</v>
      </c>
      <c r="Y283" s="570">
        <f t="shared" si="31"/>
        <v>0</v>
      </c>
    </row>
    <row r="284" spans="1:25" ht="201.6" x14ac:dyDescent="0.3">
      <c r="A284" s="336">
        <f>'Unit Data from Audit Worksheet'!A311</f>
        <v>958</v>
      </c>
      <c r="B284" s="132"/>
      <c r="C284" s="335"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58"/>
      <c r="E284" s="187">
        <f>'Unit Data from Audit Worksheet'!F311</f>
        <v>0</v>
      </c>
      <c r="F284" s="349" t="str">
        <f>'Unit Data from Audit Worksheet'!G311</f>
        <v>Please do not leave blank</v>
      </c>
      <c r="G284" s="351"/>
      <c r="H284" s="348"/>
      <c r="I284" s="38"/>
      <c r="J284" s="176">
        <v>958</v>
      </c>
      <c r="K284" s="645" t="s">
        <v>504</v>
      </c>
      <c r="L284" s="649">
        <f t="shared" si="28"/>
        <v>0</v>
      </c>
      <c r="N284" s="639"/>
      <c r="P284" s="325"/>
      <c r="Q284" s="605">
        <f t="shared" si="29"/>
        <v>1</v>
      </c>
      <c r="W284" s="3" t="b">
        <f t="shared" si="27"/>
        <v>1</v>
      </c>
      <c r="X284" s="570">
        <f t="shared" si="30"/>
        <v>0</v>
      </c>
      <c r="Y284" s="570">
        <f t="shared" si="31"/>
        <v>0</v>
      </c>
    </row>
    <row r="285" spans="1:25" ht="30.75" customHeight="1" x14ac:dyDescent="0.3">
      <c r="A285" s="650">
        <f>'Unit Data from Audit Worksheet'!A319</f>
        <v>960</v>
      </c>
      <c r="B285" s="183"/>
      <c r="C285" s="184" t="str">
        <f>'Unit Data from Audit Worksheet'!B319</f>
        <v>Name of Finance Officer</v>
      </c>
      <c r="D285" s="358"/>
      <c r="E285" s="651">
        <f>'Unit Data from Audit Worksheet'!D319</f>
        <v>0</v>
      </c>
      <c r="F285" s="652" t="str">
        <f>'Unit Data from Audit Worksheet'!F319</f>
        <v>Required</v>
      </c>
      <c r="G285" s="351"/>
      <c r="H285" s="348"/>
      <c r="I285" s="38"/>
      <c r="J285" s="186">
        <v>960</v>
      </c>
      <c r="K285" s="653" t="s">
        <v>495</v>
      </c>
      <c r="L285" s="654">
        <f t="shared" si="28"/>
        <v>0</v>
      </c>
      <c r="N285" s="597"/>
      <c r="P285" s="325"/>
      <c r="Q285" s="605">
        <f>IF(L285=0,1,0)</f>
        <v>1</v>
      </c>
      <c r="X285" s="570"/>
      <c r="Y285" s="570"/>
    </row>
    <row r="286" spans="1:25" ht="30.75" customHeight="1" x14ac:dyDescent="0.3">
      <c r="A286" s="650">
        <f>'Unit Data from Audit Worksheet'!A320</f>
        <v>962</v>
      </c>
      <c r="B286" s="183"/>
      <c r="C286" s="184" t="str">
        <f>'Unit Data from Audit Worksheet'!B320</f>
        <v>Title of Official</v>
      </c>
      <c r="D286" s="358"/>
      <c r="E286" s="651">
        <f>'Unit Data from Audit Worksheet'!D320</f>
        <v>0</v>
      </c>
      <c r="F286" s="652" t="str">
        <f>'Unit Data from Audit Worksheet'!F320</f>
        <v>Required</v>
      </c>
      <c r="G286" s="351"/>
      <c r="H286" s="348"/>
      <c r="I286" s="38"/>
      <c r="J286" s="186">
        <v>962</v>
      </c>
      <c r="K286" s="653" t="s">
        <v>467</v>
      </c>
      <c r="L286" s="654">
        <f t="shared" si="28"/>
        <v>0</v>
      </c>
      <c r="N286" s="597"/>
      <c r="P286" s="325"/>
      <c r="Q286" s="605">
        <f>IF(L286=0,1,0)</f>
        <v>1</v>
      </c>
      <c r="X286" s="570"/>
      <c r="Y286" s="570"/>
    </row>
    <row r="287" spans="1:25" ht="30.75" customHeight="1" x14ac:dyDescent="0.3">
      <c r="A287" s="650">
        <f>'Unit Data from Audit Worksheet'!A321</f>
        <v>964</v>
      </c>
      <c r="B287" s="183"/>
      <c r="C287" s="185" t="str">
        <f>'Unit Data from Audit Worksheet'!B321</f>
        <v>Date                        (Enter as "MM/DD/YYYY")</v>
      </c>
      <c r="D287" s="358"/>
      <c r="E287" s="655" t="str">
        <f>IF('Unit Data from Audit Worksheet'!D321&gt;0,'Unit Data from Audit Worksheet'!D321," ")</f>
        <v xml:space="preserve"> </v>
      </c>
      <c r="F287" s="652" t="str">
        <f>'Unit Data from Audit Worksheet'!F321</f>
        <v>Required</v>
      </c>
      <c r="G287" s="351"/>
      <c r="H287" s="348"/>
      <c r="I287" s="38"/>
      <c r="J287" s="186">
        <v>964</v>
      </c>
      <c r="K287" s="653" t="s">
        <v>534</v>
      </c>
      <c r="L287" s="656" t="str">
        <f t="shared" si="28"/>
        <v xml:space="preserve"> </v>
      </c>
      <c r="N287" s="597"/>
      <c r="P287" s="325"/>
      <c r="Q287" s="605">
        <f>IF(L287=0,1,0)</f>
        <v>0</v>
      </c>
      <c r="X287" s="570"/>
      <c r="Y287" s="570"/>
    </row>
    <row r="288" spans="1:25" ht="30.75" customHeight="1" x14ac:dyDescent="0.3">
      <c r="A288" s="650">
        <f>'Unit Data from Audit Worksheet'!A322</f>
        <v>966</v>
      </c>
      <c r="B288" s="183"/>
      <c r="C288" s="184" t="str">
        <f>'Unit Data from Audit Worksheet'!B322</f>
        <v>Telephone number</v>
      </c>
      <c r="D288" s="358"/>
      <c r="E288" s="651">
        <f>'Unit Data from Audit Worksheet'!D322</f>
        <v>0</v>
      </c>
      <c r="F288" s="652" t="str">
        <f>'Unit Data from Audit Worksheet'!F322</f>
        <v>Required</v>
      </c>
      <c r="G288" s="351"/>
      <c r="H288" s="348"/>
      <c r="I288" s="38"/>
      <c r="J288" s="186">
        <v>966</v>
      </c>
      <c r="K288" s="653" t="s">
        <v>469</v>
      </c>
      <c r="L288" s="654">
        <f t="shared" si="28"/>
        <v>0</v>
      </c>
      <c r="N288" s="597"/>
      <c r="P288" s="325"/>
      <c r="Q288" s="605">
        <f>IF(L288=0,1,0)</f>
        <v>1</v>
      </c>
      <c r="X288" s="570"/>
      <c r="Y288" s="570"/>
    </row>
    <row r="289" spans="1:25" ht="30.75" customHeight="1" x14ac:dyDescent="0.3">
      <c r="A289" s="650">
        <f>'Unit Data from Audit Worksheet'!A323</f>
        <v>968</v>
      </c>
      <c r="B289" s="183"/>
      <c r="C289" s="184" t="str">
        <f>'Unit Data from Audit Worksheet'!B323</f>
        <v>E-mail address</v>
      </c>
      <c r="D289" s="358"/>
      <c r="E289" s="651">
        <f>'Unit Data from Audit Worksheet'!D323</f>
        <v>0</v>
      </c>
      <c r="F289" s="652" t="str">
        <f>'Unit Data from Audit Worksheet'!F323</f>
        <v>Required</v>
      </c>
      <c r="G289" s="351"/>
      <c r="H289" s="348"/>
      <c r="I289" s="38"/>
      <c r="J289" s="186">
        <v>968</v>
      </c>
      <c r="K289" s="653" t="s">
        <v>470</v>
      </c>
      <c r="L289" s="654">
        <f t="shared" si="28"/>
        <v>0</v>
      </c>
      <c r="N289" s="597"/>
      <c r="P289" s="325"/>
      <c r="Q289" s="605">
        <f>IF(L289=0,1,0)</f>
        <v>1</v>
      </c>
      <c r="X289" s="570"/>
      <c r="Y289" s="570"/>
    </row>
    <row r="290" spans="1:25" ht="75.599999999999994" customHeight="1" x14ac:dyDescent="0.3">
      <c r="A290" s="657">
        <f>+'TD Info Completed by Auditor'!D74</f>
        <v>980</v>
      </c>
      <c r="B290" s="368" t="s">
        <v>755</v>
      </c>
      <c r="C290" s="383" t="str">
        <f>+'TD Info Completed by Auditor'!E74</f>
        <v>Date the Auditor presented or plans to present the Audit to the Governing Board</v>
      </c>
      <c r="D290" s="358"/>
      <c r="E290" s="658" t="str">
        <f>IF('TD Info Completed by Auditor'!G74&gt;0,'TD Info Completed by Auditor'!G74," ")</f>
        <v xml:space="preserve"> </v>
      </c>
      <c r="F290" s="659" t="s">
        <v>953</v>
      </c>
      <c r="G290" s="351"/>
      <c r="H290" s="348"/>
      <c r="I290" s="38"/>
      <c r="J290" s="384">
        <v>980</v>
      </c>
      <c r="K290" s="385" t="s">
        <v>731</v>
      </c>
      <c r="L290" s="660" t="str">
        <f t="shared" si="28"/>
        <v xml:space="preserve"> </v>
      </c>
      <c r="N290" s="597"/>
      <c r="P290" s="325"/>
      <c r="Q290" s="605"/>
      <c r="X290" s="570"/>
      <c r="Y290" s="570"/>
    </row>
    <row r="291" spans="1:25" ht="83.4" customHeight="1" x14ac:dyDescent="0.3">
      <c r="A291" s="627"/>
      <c r="B291" s="97"/>
      <c r="C291" s="628"/>
      <c r="D291" s="630"/>
      <c r="E291" s="631"/>
      <c r="F291" s="632"/>
      <c r="G291" s="633"/>
      <c r="H291" s="634"/>
      <c r="I291" s="38"/>
      <c r="J291" s="176">
        <v>999</v>
      </c>
      <c r="K291" s="645" t="s">
        <v>289</v>
      </c>
      <c r="L291" s="661" t="e">
        <f>'Unit Data from Audit Worksheet'!D3</f>
        <v>#N/A</v>
      </c>
      <c r="M291" s="623"/>
      <c r="N291" s="662" t="s">
        <v>952</v>
      </c>
      <c r="O291" s="662" t="s">
        <v>951</v>
      </c>
      <c r="P291" s="325"/>
      <c r="W291" s="3" t="b">
        <f>EXACT(A291,J291)</f>
        <v>0</v>
      </c>
      <c r="X291" s="570" t="e">
        <f t="shared" si="30"/>
        <v>#N/A</v>
      </c>
      <c r="Y291" s="570" t="e">
        <f t="shared" si="31"/>
        <v>#N/A</v>
      </c>
    </row>
    <row r="292" spans="1:25" x14ac:dyDescent="0.3">
      <c r="A292" s="297"/>
      <c r="B292" s="297"/>
      <c r="C292" s="297"/>
      <c r="D292" s="297"/>
      <c r="E292" s="297"/>
      <c r="F292" s="297"/>
      <c r="G292" s="297"/>
      <c r="H292" s="297"/>
      <c r="I292" s="297"/>
      <c r="J292" s="3"/>
      <c r="K292" s="3"/>
      <c r="L292" s="3"/>
      <c r="N292" s="4"/>
      <c r="P292" s="326"/>
    </row>
    <row r="293" spans="1:25" x14ac:dyDescent="0.3">
      <c r="D293" s="664"/>
      <c r="E293" s="665"/>
      <c r="F293" s="665"/>
      <c r="G293" s="666"/>
      <c r="H293" s="665"/>
      <c r="I293" s="667"/>
      <c r="K293" s="10"/>
      <c r="L293" s="668"/>
      <c r="N293" s="4"/>
      <c r="P293" s="326"/>
    </row>
    <row r="294" spans="1:25" ht="18" x14ac:dyDescent="0.35">
      <c r="A294" s="165" t="s">
        <v>402</v>
      </c>
      <c r="B294" s="166"/>
      <c r="C294" s="167"/>
      <c r="D294" s="168"/>
      <c r="E294" s="169"/>
      <c r="F294" s="665"/>
      <c r="G294" s="666"/>
      <c r="H294" s="665"/>
      <c r="I294" s="667"/>
      <c r="L294" s="668"/>
      <c r="N294" s="4"/>
      <c r="P294" s="326"/>
    </row>
    <row r="295" spans="1:25" ht="117" customHeight="1" x14ac:dyDescent="0.7">
      <c r="A295" s="336">
        <f>'Unit Data from Audit Worksheet'!A88</f>
        <v>590</v>
      </c>
      <c r="B295" s="336" t="str">
        <f>'Unit Data from Audit Worksheet'!B88</f>
        <v>Fiscal Review</v>
      </c>
      <c r="C295" s="81" t="str">
        <f>'Unit Data from Audit Worksheet'!D88</f>
        <v>If you appropriated General Fund Balance in your 2021 budget and your "change in fund balance": (account # 9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66"/>
      <c r="H295" s="665"/>
      <c r="I295" s="667"/>
      <c r="J295" s="158" t="e">
        <f>SUM(Q5:Q295)</f>
        <v>#N/A</v>
      </c>
      <c r="K295" s="157" t="s">
        <v>492</v>
      </c>
      <c r="L295" s="668" t="e">
        <f>SUM(G5:G245)</f>
        <v>#N/A</v>
      </c>
      <c r="N295" s="4"/>
      <c r="P295" s="326"/>
    </row>
    <row r="296" spans="1:25" ht="14.25" customHeight="1" x14ac:dyDescent="0.3">
      <c r="A296" s="297"/>
      <c r="B296" s="297"/>
      <c r="C296" s="297"/>
      <c r="D296" s="297"/>
      <c r="E296" s="297"/>
      <c r="F296" s="665"/>
      <c r="G296" s="666"/>
      <c r="H296" s="665"/>
      <c r="I296" s="667"/>
      <c r="K296" s="10"/>
      <c r="L296" s="669"/>
      <c r="P296" s="326"/>
      <c r="Q296" s="85"/>
    </row>
    <row r="297" spans="1:25" x14ac:dyDescent="0.3">
      <c r="A297" s="297"/>
      <c r="B297" s="297"/>
      <c r="C297" s="297"/>
      <c r="D297" s="297"/>
      <c r="E297" s="297"/>
      <c r="F297" s="665"/>
      <c r="G297" s="666"/>
      <c r="H297" s="665"/>
      <c r="I297" s="667"/>
      <c r="K297" s="10"/>
      <c r="L297" s="669"/>
      <c r="P297" s="326"/>
    </row>
    <row r="298" spans="1:25" ht="18.75" customHeight="1" x14ac:dyDescent="0.3">
      <c r="A298" s="297"/>
      <c r="B298" s="297"/>
      <c r="C298" s="297"/>
      <c r="D298" s="297"/>
      <c r="E298" s="297"/>
      <c r="F298" s="665"/>
      <c r="G298" s="666"/>
      <c r="H298" s="665"/>
      <c r="I298" s="667"/>
      <c r="J298" s="5">
        <f>SUM(J5:J245)</f>
        <v>98821</v>
      </c>
      <c r="K298" s="10"/>
      <c r="L298" s="669"/>
      <c r="P298" s="326"/>
    </row>
    <row r="299" spans="1:25" ht="30.75" customHeight="1" x14ac:dyDescent="0.3">
      <c r="A299" s="297"/>
      <c r="B299" s="297"/>
      <c r="C299" s="297"/>
      <c r="D299" s="297"/>
      <c r="E299" s="297"/>
      <c r="F299" s="665"/>
      <c r="G299" s="666"/>
      <c r="H299" s="665"/>
      <c r="I299" s="667"/>
      <c r="J299" s="5">
        <f>SUM(J261:J265)+SUM(J277:J290)</f>
        <v>13934</v>
      </c>
      <c r="K299" s="10"/>
      <c r="L299" s="669"/>
      <c r="P299" s="326"/>
    </row>
    <row r="300" spans="1:25" ht="30.75" customHeight="1" x14ac:dyDescent="0.3">
      <c r="A300" s="297"/>
      <c r="B300" s="297"/>
      <c r="C300" s="297"/>
      <c r="D300" s="297"/>
      <c r="E300" s="297"/>
      <c r="F300" s="665"/>
      <c r="G300" s="666"/>
      <c r="H300" s="665"/>
      <c r="I300" s="667"/>
      <c r="J300" s="5">
        <f>+J298+J299</f>
        <v>112755</v>
      </c>
      <c r="K300" s="10"/>
      <c r="L300" s="669"/>
      <c r="P300" s="326"/>
    </row>
    <row r="301" spans="1:25" ht="30.75" customHeight="1" x14ac:dyDescent="0.3">
      <c r="A301" s="297"/>
      <c r="B301" s="297"/>
      <c r="C301" s="297"/>
      <c r="D301" s="297"/>
      <c r="E301" s="297"/>
      <c r="F301" s="665"/>
      <c r="G301" s="666"/>
      <c r="H301" s="665"/>
      <c r="I301" s="667"/>
      <c r="J301" s="5">
        <f>+'Unit Data from Audit Worksheet'!A327</f>
        <v>36440</v>
      </c>
      <c r="K301" s="10"/>
      <c r="L301" s="669"/>
      <c r="P301" s="326"/>
    </row>
    <row r="302" spans="1:25" ht="30.75" customHeight="1" x14ac:dyDescent="0.3">
      <c r="A302" s="297"/>
      <c r="B302" s="297"/>
      <c r="C302" s="297"/>
      <c r="D302" s="297"/>
      <c r="E302" s="297"/>
      <c r="F302" s="665"/>
      <c r="G302" s="666"/>
      <c r="H302" s="665"/>
      <c r="I302" s="667"/>
      <c r="J302" s="5">
        <f>+J300-J301</f>
        <v>76315</v>
      </c>
      <c r="K302" s="10"/>
      <c r="L302" s="669"/>
      <c r="P302" s="326"/>
    </row>
    <row r="303" spans="1:25" ht="30.75" customHeight="1" x14ac:dyDescent="0.3">
      <c r="A303" s="297"/>
      <c r="B303" s="297"/>
      <c r="C303" s="297"/>
      <c r="D303" s="297"/>
      <c r="E303" s="297"/>
      <c r="F303" s="665"/>
      <c r="G303" s="666"/>
      <c r="H303" s="665"/>
      <c r="I303" s="667"/>
      <c r="K303" s="10"/>
      <c r="L303" s="669"/>
      <c r="P303" s="326"/>
    </row>
    <row r="304" spans="1:25" x14ac:dyDescent="0.3">
      <c r="A304" s="297"/>
      <c r="B304" s="297"/>
      <c r="C304" s="297"/>
      <c r="D304" s="297"/>
      <c r="E304" s="297"/>
      <c r="I304" s="667"/>
      <c r="K304" s="10"/>
      <c r="L304" s="669"/>
      <c r="P304" s="326"/>
    </row>
    <row r="305" spans="1:16" x14ac:dyDescent="0.3">
      <c r="A305" s="297"/>
      <c r="B305" s="297"/>
      <c r="C305" s="297"/>
      <c r="D305" s="297"/>
      <c r="E305" s="297"/>
      <c r="I305" s="667"/>
      <c r="L305" s="669"/>
      <c r="P305" s="326"/>
    </row>
    <row r="306" spans="1:16" x14ac:dyDescent="0.3">
      <c r="A306" s="5"/>
      <c r="B306" s="670"/>
      <c r="C306" s="26"/>
      <c r="D306" s="79"/>
      <c r="I306" s="667"/>
      <c r="L306" s="669"/>
      <c r="P306" s="326"/>
    </row>
    <row r="307" spans="1:16" x14ac:dyDescent="0.3">
      <c r="A307" s="5"/>
      <c r="B307" s="670"/>
      <c r="C307" s="26"/>
      <c r="D307" s="79"/>
      <c r="L307" s="669"/>
      <c r="P307" s="326"/>
    </row>
    <row r="308" spans="1:16" x14ac:dyDescent="0.3">
      <c r="D308" s="79"/>
      <c r="P308" s="326"/>
    </row>
    <row r="309" spans="1:16" x14ac:dyDescent="0.3">
      <c r="D309" s="79"/>
      <c r="P309" s="326"/>
    </row>
    <row r="310" spans="1:16" x14ac:dyDescent="0.3">
      <c r="D310" s="79"/>
      <c r="P310" s="326"/>
    </row>
    <row r="311" spans="1:16" x14ac:dyDescent="0.3">
      <c r="D311" s="79"/>
      <c r="P311" s="326"/>
    </row>
    <row r="312" spans="1:16" x14ac:dyDescent="0.3">
      <c r="A312" s="5"/>
      <c r="B312" s="670"/>
      <c r="C312" s="26"/>
      <c r="D312" s="79"/>
      <c r="P312" s="326"/>
    </row>
    <row r="313" spans="1:16" x14ac:dyDescent="0.3">
      <c r="A313" s="5"/>
      <c r="B313" s="670"/>
      <c r="C313" s="26"/>
      <c r="D313" s="79"/>
      <c r="P313" s="326"/>
    </row>
    <row r="314" spans="1:16" x14ac:dyDescent="0.3">
      <c r="D314" s="79"/>
      <c r="P314" s="326"/>
    </row>
    <row r="315" spans="1:16" x14ac:dyDescent="0.3">
      <c r="D315" s="79"/>
      <c r="P315" s="326"/>
    </row>
    <row r="316" spans="1:16" x14ac:dyDescent="0.3">
      <c r="D316" s="79"/>
      <c r="P316" s="326"/>
    </row>
    <row r="317" spans="1:16" x14ac:dyDescent="0.3">
      <c r="D317" s="79"/>
      <c r="P317" s="326"/>
    </row>
    <row r="318" spans="1:16" x14ac:dyDescent="0.3">
      <c r="A318" s="5"/>
      <c r="B318" s="670"/>
      <c r="C318" s="26"/>
      <c r="D318" s="79"/>
      <c r="P318" s="326"/>
    </row>
    <row r="319" spans="1:16" x14ac:dyDescent="0.3">
      <c r="A319" s="5"/>
      <c r="B319" s="670"/>
      <c r="C319" s="26"/>
      <c r="D319" s="79"/>
      <c r="P319" s="326"/>
    </row>
    <row r="320" spans="1:16" x14ac:dyDescent="0.3">
      <c r="D320" s="79"/>
      <c r="P320" s="326"/>
    </row>
    <row r="321" spans="1:16" x14ac:dyDescent="0.3">
      <c r="D321" s="79"/>
      <c r="P321" s="326"/>
    </row>
    <row r="322" spans="1:16" x14ac:dyDescent="0.3">
      <c r="D322" s="79"/>
      <c r="P322" s="326"/>
    </row>
    <row r="323" spans="1:16" x14ac:dyDescent="0.3">
      <c r="D323" s="79"/>
      <c r="P323" s="326"/>
    </row>
    <row r="324" spans="1:16" x14ac:dyDescent="0.3">
      <c r="A324" s="5"/>
      <c r="B324" s="670"/>
      <c r="C324" s="26"/>
      <c r="D324" s="79"/>
      <c r="P324" s="326"/>
    </row>
    <row r="325" spans="1:16" x14ac:dyDescent="0.3">
      <c r="A325" s="5"/>
      <c r="B325" s="670"/>
      <c r="C325" s="26"/>
      <c r="D325" s="79"/>
      <c r="P325" s="326"/>
    </row>
    <row r="326" spans="1:16" x14ac:dyDescent="0.3">
      <c r="A326" s="5"/>
      <c r="B326" s="670"/>
      <c r="C326" s="26"/>
      <c r="D326" s="79"/>
      <c r="P326" s="326"/>
    </row>
    <row r="327" spans="1:16" x14ac:dyDescent="0.3">
      <c r="A327" s="5"/>
      <c r="B327" s="670"/>
      <c r="C327" s="26"/>
      <c r="D327" s="79"/>
      <c r="P327" s="326"/>
    </row>
    <row r="328" spans="1:16" x14ac:dyDescent="0.3">
      <c r="D328" s="79"/>
      <c r="P328" s="326"/>
    </row>
    <row r="329" spans="1:16" x14ac:dyDescent="0.3">
      <c r="D329" s="79"/>
      <c r="P329" s="326"/>
    </row>
    <row r="330" spans="1:16" x14ac:dyDescent="0.3">
      <c r="D330" s="79"/>
      <c r="P330" s="326"/>
    </row>
    <row r="331" spans="1:16" x14ac:dyDescent="0.3">
      <c r="A331" s="5"/>
      <c r="B331" s="670"/>
      <c r="C331" s="26"/>
      <c r="D331" s="79"/>
      <c r="P331" s="326"/>
    </row>
    <row r="332" spans="1:16" x14ac:dyDescent="0.3">
      <c r="A332" s="5"/>
      <c r="B332" s="670"/>
      <c r="C332" s="26"/>
      <c r="D332" s="79"/>
      <c r="P332" s="326"/>
    </row>
    <row r="333" spans="1:16" x14ac:dyDescent="0.3">
      <c r="A333" s="5"/>
      <c r="B333" s="670"/>
      <c r="C333" s="26"/>
      <c r="D333" s="79"/>
      <c r="P333" s="326"/>
    </row>
    <row r="334" spans="1:16" x14ac:dyDescent="0.3">
      <c r="A334" s="5"/>
      <c r="B334" s="670"/>
      <c r="C334" s="26"/>
      <c r="D334" s="79"/>
      <c r="P334" s="326"/>
    </row>
    <row r="335" spans="1:16" x14ac:dyDescent="0.3">
      <c r="A335" s="5"/>
      <c r="B335" s="670"/>
      <c r="C335" s="26"/>
      <c r="D335" s="79"/>
      <c r="P335" s="326"/>
    </row>
    <row r="336" spans="1:16" x14ac:dyDescent="0.3">
      <c r="A336" s="5"/>
      <c r="B336" s="670"/>
      <c r="C336" s="26"/>
      <c r="D336" s="79"/>
      <c r="P336" s="326"/>
    </row>
    <row r="337" spans="1:16" x14ac:dyDescent="0.3">
      <c r="A337" s="5"/>
      <c r="B337" s="670"/>
      <c r="C337" s="26"/>
      <c r="D337" s="79"/>
      <c r="P337" s="326"/>
    </row>
    <row r="338" spans="1:16" x14ac:dyDescent="0.3">
      <c r="A338" s="5"/>
      <c r="B338" s="670"/>
      <c r="C338" s="26"/>
      <c r="D338" s="79"/>
      <c r="P338" s="326"/>
    </row>
    <row r="339" spans="1:16" x14ac:dyDescent="0.3">
      <c r="A339" s="5"/>
      <c r="B339" s="670"/>
      <c r="C339" s="26"/>
      <c r="D339" s="79"/>
      <c r="P339" s="326"/>
    </row>
    <row r="340" spans="1:16" x14ac:dyDescent="0.3">
      <c r="A340" s="5"/>
      <c r="B340" s="670"/>
      <c r="C340" s="26"/>
      <c r="D340" s="79"/>
      <c r="P340" s="326"/>
    </row>
    <row r="341" spans="1:16" x14ac:dyDescent="0.3">
      <c r="A341" s="5"/>
      <c r="B341" s="670"/>
      <c r="C341" s="26"/>
      <c r="D341" s="79"/>
      <c r="P341" s="326"/>
    </row>
    <row r="342" spans="1:16" x14ac:dyDescent="0.3">
      <c r="A342" s="5"/>
      <c r="B342" s="670"/>
      <c r="C342" s="26"/>
      <c r="D342" s="79"/>
      <c r="P342" s="326"/>
    </row>
    <row r="343" spans="1:16" x14ac:dyDescent="0.3">
      <c r="A343" s="5"/>
      <c r="B343" s="670"/>
      <c r="C343" s="26"/>
      <c r="D343" s="79"/>
      <c r="P343" s="326"/>
    </row>
    <row r="344" spans="1:16" x14ac:dyDescent="0.3">
      <c r="A344" s="5"/>
      <c r="B344" s="670"/>
      <c r="C344" s="26"/>
      <c r="D344" s="79"/>
      <c r="P344" s="326"/>
    </row>
    <row r="345" spans="1:16" x14ac:dyDescent="0.3">
      <c r="A345" s="5"/>
      <c r="B345" s="670"/>
      <c r="C345" s="26"/>
      <c r="D345" s="79"/>
      <c r="P345" s="326"/>
    </row>
    <row r="346" spans="1:16" x14ac:dyDescent="0.3">
      <c r="A346" s="5"/>
      <c r="B346" s="670"/>
      <c r="C346" s="26"/>
      <c r="D346" s="79"/>
      <c r="P346" s="326"/>
    </row>
    <row r="347" spans="1:16" x14ac:dyDescent="0.3">
      <c r="A347" s="5"/>
      <c r="B347" s="670"/>
      <c r="C347" s="26"/>
      <c r="D347" s="79"/>
      <c r="P347" s="326"/>
    </row>
    <row r="348" spans="1:16" x14ac:dyDescent="0.3">
      <c r="A348" s="5"/>
      <c r="B348" s="670"/>
      <c r="C348" s="26"/>
      <c r="D348" s="79"/>
      <c r="P348" s="326"/>
    </row>
    <row r="349" spans="1:16" x14ac:dyDescent="0.3">
      <c r="A349" s="5"/>
      <c r="B349" s="670"/>
      <c r="C349" s="26"/>
      <c r="D349" s="79"/>
      <c r="P349" s="326"/>
    </row>
    <row r="350" spans="1:16" x14ac:dyDescent="0.3">
      <c r="A350" s="5"/>
      <c r="B350" s="670"/>
      <c r="C350" s="26"/>
      <c r="D350" s="79"/>
      <c r="P350" s="326"/>
    </row>
    <row r="351" spans="1:16" x14ac:dyDescent="0.3">
      <c r="A351" s="5"/>
      <c r="B351" s="670"/>
      <c r="C351" s="26"/>
      <c r="D351" s="79"/>
      <c r="P351" s="326"/>
    </row>
    <row r="352" spans="1:16" x14ac:dyDescent="0.3">
      <c r="A352" s="5"/>
      <c r="B352" s="670"/>
      <c r="C352" s="26"/>
      <c r="D352" s="79"/>
      <c r="P352" s="326"/>
    </row>
    <row r="353" spans="1:16" x14ac:dyDescent="0.3">
      <c r="A353" s="5"/>
      <c r="B353" s="670"/>
      <c r="C353" s="26"/>
      <c r="D353" s="79"/>
      <c r="P353" s="326"/>
    </row>
    <row r="354" spans="1:16" x14ac:dyDescent="0.3">
      <c r="A354" s="5"/>
      <c r="B354" s="670"/>
      <c r="C354" s="26"/>
      <c r="D354" s="79"/>
      <c r="P354" s="326"/>
    </row>
    <row r="355" spans="1:16" x14ac:dyDescent="0.3">
      <c r="A355" s="5"/>
      <c r="B355" s="670"/>
      <c r="C355" s="26"/>
      <c r="D355" s="79"/>
      <c r="P355" s="326"/>
    </row>
    <row r="356" spans="1:16" x14ac:dyDescent="0.3">
      <c r="A356" s="5"/>
      <c r="B356" s="670"/>
      <c r="C356" s="26"/>
      <c r="D356" s="79"/>
      <c r="P356" s="326"/>
    </row>
    <row r="357" spans="1:16" x14ac:dyDescent="0.3">
      <c r="A357" s="5"/>
      <c r="B357" s="670"/>
      <c r="C357" s="26"/>
      <c r="D357" s="79"/>
      <c r="P357" s="326"/>
    </row>
    <row r="358" spans="1:16" x14ac:dyDescent="0.3">
      <c r="A358" s="5"/>
      <c r="B358" s="670"/>
      <c r="C358" s="26"/>
      <c r="D358" s="79"/>
      <c r="P358" s="326"/>
    </row>
    <row r="359" spans="1:16" x14ac:dyDescent="0.3">
      <c r="A359" s="5"/>
      <c r="B359" s="670"/>
      <c r="C359" s="26"/>
      <c r="D359" s="79"/>
      <c r="P359" s="326"/>
    </row>
    <row r="360" spans="1:16" x14ac:dyDescent="0.3">
      <c r="A360" s="5"/>
      <c r="B360" s="670"/>
      <c r="C360" s="26"/>
      <c r="D360" s="79"/>
      <c r="P360" s="326"/>
    </row>
    <row r="361" spans="1:16" x14ac:dyDescent="0.3">
      <c r="A361" s="5"/>
      <c r="B361" s="670"/>
      <c r="C361" s="26"/>
      <c r="D361" s="79"/>
      <c r="P361" s="326"/>
    </row>
    <row r="362" spans="1:16" x14ac:dyDescent="0.3">
      <c r="A362" s="5"/>
      <c r="B362" s="670"/>
      <c r="C362" s="26"/>
      <c r="D362" s="79"/>
      <c r="P362" s="326"/>
    </row>
    <row r="363" spans="1:16" x14ac:dyDescent="0.3">
      <c r="A363" s="5"/>
      <c r="B363" s="670"/>
      <c r="C363" s="26"/>
      <c r="D363" s="79"/>
      <c r="P363" s="326"/>
    </row>
    <row r="364" spans="1:16" x14ac:dyDescent="0.3">
      <c r="A364" s="5"/>
      <c r="B364" s="670"/>
      <c r="C364" s="26"/>
      <c r="D364" s="79"/>
      <c r="P364" s="326"/>
    </row>
    <row r="365" spans="1:16" x14ac:dyDescent="0.3">
      <c r="A365" s="5"/>
      <c r="B365" s="670"/>
      <c r="C365" s="26"/>
      <c r="D365" s="79"/>
      <c r="P365" s="326"/>
    </row>
    <row r="366" spans="1:16" x14ac:dyDescent="0.3">
      <c r="A366" s="5"/>
      <c r="B366" s="670"/>
      <c r="C366" s="26"/>
      <c r="D366" s="79"/>
      <c r="P366" s="326"/>
    </row>
    <row r="367" spans="1:16" x14ac:dyDescent="0.3">
      <c r="A367" s="5"/>
      <c r="B367" s="670"/>
      <c r="C367" s="26"/>
      <c r="D367" s="79"/>
      <c r="P367" s="326"/>
    </row>
    <row r="368" spans="1:16" x14ac:dyDescent="0.3">
      <c r="A368" s="5"/>
      <c r="B368" s="670"/>
      <c r="C368" s="26"/>
      <c r="D368" s="79"/>
      <c r="P368" s="326"/>
    </row>
    <row r="369" spans="1:16" x14ac:dyDescent="0.3">
      <c r="A369" s="5"/>
      <c r="B369" s="670"/>
      <c r="C369" s="26"/>
      <c r="D369" s="79"/>
      <c r="P369" s="326"/>
    </row>
    <row r="370" spans="1:16" x14ac:dyDescent="0.3">
      <c r="A370" s="5"/>
      <c r="B370" s="670"/>
      <c r="C370" s="26"/>
      <c r="D370" s="79"/>
      <c r="P370" s="326"/>
    </row>
    <row r="371" spans="1:16" x14ac:dyDescent="0.3">
      <c r="A371" s="5"/>
      <c r="B371" s="670"/>
      <c r="C371" s="26"/>
      <c r="D371" s="79"/>
      <c r="P371" s="326"/>
    </row>
    <row r="372" spans="1:16" x14ac:dyDescent="0.3">
      <c r="A372" s="5"/>
      <c r="B372" s="670"/>
      <c r="C372" s="26"/>
      <c r="D372" s="79"/>
      <c r="P372" s="326"/>
    </row>
    <row r="373" spans="1:16" x14ac:dyDescent="0.3">
      <c r="A373" s="5"/>
      <c r="B373" s="670"/>
      <c r="C373" s="26"/>
      <c r="D373" s="79"/>
      <c r="P373" s="326"/>
    </row>
    <row r="374" spans="1:16" x14ac:dyDescent="0.3">
      <c r="A374" s="5"/>
      <c r="B374" s="670"/>
      <c r="C374" s="26"/>
      <c r="D374" s="79"/>
      <c r="P374" s="326"/>
    </row>
    <row r="375" spans="1:16" x14ac:dyDescent="0.3">
      <c r="A375" s="5"/>
      <c r="B375" s="670"/>
      <c r="C375" s="26"/>
      <c r="D375" s="79"/>
      <c r="P375" s="326"/>
    </row>
    <row r="376" spans="1:16" x14ac:dyDescent="0.3">
      <c r="A376" s="5"/>
      <c r="B376" s="670"/>
      <c r="C376" s="26"/>
      <c r="D376" s="79"/>
      <c r="P376" s="326"/>
    </row>
    <row r="377" spans="1:16" x14ac:dyDescent="0.3">
      <c r="A377" s="5"/>
      <c r="B377" s="670"/>
      <c r="C377" s="26"/>
      <c r="D377" s="79"/>
      <c r="P377" s="326"/>
    </row>
    <row r="378" spans="1:16" x14ac:dyDescent="0.3">
      <c r="A378" s="5"/>
      <c r="B378" s="670"/>
      <c r="C378" s="26"/>
      <c r="D378" s="79"/>
      <c r="P378" s="326"/>
    </row>
    <row r="379" spans="1:16" x14ac:dyDescent="0.3">
      <c r="A379" s="5"/>
      <c r="B379" s="670"/>
      <c r="C379" s="26"/>
      <c r="D379" s="79"/>
      <c r="P379" s="326"/>
    </row>
    <row r="380" spans="1:16" x14ac:dyDescent="0.3">
      <c r="A380" s="5"/>
      <c r="B380" s="670"/>
      <c r="C380" s="26"/>
      <c r="D380" s="79"/>
      <c r="P380" s="326"/>
    </row>
    <row r="381" spans="1:16" x14ac:dyDescent="0.3">
      <c r="A381" s="5"/>
      <c r="B381" s="670"/>
      <c r="C381" s="26"/>
      <c r="D381" s="79"/>
      <c r="P381" s="326"/>
    </row>
    <row r="382" spans="1:16" x14ac:dyDescent="0.3">
      <c r="A382" s="5"/>
      <c r="B382" s="670"/>
      <c r="C382" s="26"/>
      <c r="D382" s="79"/>
      <c r="P382" s="326"/>
    </row>
    <row r="383" spans="1:16" x14ac:dyDescent="0.3">
      <c r="A383" s="5"/>
      <c r="B383" s="670"/>
      <c r="C383" s="26"/>
      <c r="D383" s="79"/>
      <c r="P383" s="326"/>
    </row>
    <row r="384" spans="1:16" x14ac:dyDescent="0.3">
      <c r="A384" s="5"/>
      <c r="B384" s="670"/>
      <c r="C384" s="26"/>
      <c r="D384" s="79"/>
      <c r="P384" s="326"/>
    </row>
    <row r="385" spans="1:16" x14ac:dyDescent="0.3">
      <c r="A385" s="5"/>
      <c r="B385" s="670"/>
      <c r="C385" s="26"/>
      <c r="D385" s="79"/>
      <c r="P385" s="326"/>
    </row>
    <row r="386" spans="1:16" x14ac:dyDescent="0.3">
      <c r="A386" s="5"/>
      <c r="B386" s="670"/>
      <c r="C386" s="26"/>
      <c r="D386" s="79"/>
      <c r="P386" s="326"/>
    </row>
    <row r="387" spans="1:16" x14ac:dyDescent="0.3">
      <c r="A387" s="5"/>
      <c r="B387" s="670"/>
      <c r="C387" s="26"/>
      <c r="D387" s="79"/>
      <c r="P387" s="326"/>
    </row>
    <row r="388" spans="1:16" x14ac:dyDescent="0.3">
      <c r="A388" s="5"/>
      <c r="B388" s="670"/>
      <c r="C388" s="26"/>
      <c r="D388" s="79"/>
      <c r="P388" s="326"/>
    </row>
    <row r="389" spans="1:16" x14ac:dyDescent="0.3">
      <c r="A389" s="5"/>
      <c r="B389" s="670"/>
      <c r="C389" s="26"/>
      <c r="D389" s="79"/>
      <c r="P389" s="326"/>
    </row>
    <row r="390" spans="1:16" x14ac:dyDescent="0.3">
      <c r="A390" s="5"/>
      <c r="B390" s="670"/>
      <c r="C390" s="26"/>
      <c r="D390" s="79"/>
      <c r="P390" s="326"/>
    </row>
    <row r="391" spans="1:16" x14ac:dyDescent="0.3">
      <c r="A391" s="5"/>
      <c r="B391" s="670"/>
      <c r="C391" s="26"/>
      <c r="D391" s="79"/>
      <c r="P391" s="326"/>
    </row>
    <row r="392" spans="1:16" x14ac:dyDescent="0.3">
      <c r="A392" s="5"/>
      <c r="B392" s="670"/>
      <c r="C392" s="26"/>
      <c r="D392" s="79"/>
      <c r="P392" s="326"/>
    </row>
    <row r="393" spans="1:16" x14ac:dyDescent="0.3">
      <c r="A393" s="5"/>
      <c r="B393" s="670"/>
      <c r="C393" s="26"/>
      <c r="D393" s="79"/>
      <c r="P393" s="326"/>
    </row>
    <row r="394" spans="1:16" x14ac:dyDescent="0.3">
      <c r="A394" s="5"/>
      <c r="B394" s="670"/>
      <c r="C394" s="26"/>
      <c r="D394" s="79"/>
      <c r="P394" s="326"/>
    </row>
    <row r="395" spans="1:16" x14ac:dyDescent="0.3">
      <c r="A395" s="5"/>
      <c r="B395" s="670"/>
      <c r="C395" s="26"/>
      <c r="D395" s="79"/>
      <c r="P395" s="326"/>
    </row>
    <row r="396" spans="1:16" x14ac:dyDescent="0.3">
      <c r="A396" s="5"/>
      <c r="B396" s="670"/>
      <c r="C396" s="26"/>
      <c r="D396" s="79"/>
      <c r="P396" s="326"/>
    </row>
    <row r="397" spans="1:16" x14ac:dyDescent="0.3">
      <c r="A397" s="5"/>
      <c r="B397" s="670"/>
      <c r="C397" s="26"/>
      <c r="D397" s="79"/>
      <c r="P397" s="326"/>
    </row>
    <row r="398" spans="1:16" x14ac:dyDescent="0.3">
      <c r="A398" s="5"/>
      <c r="B398" s="670"/>
      <c r="C398" s="26"/>
      <c r="D398" s="79"/>
      <c r="P398" s="326"/>
    </row>
    <row r="399" spans="1:16" x14ac:dyDescent="0.3">
      <c r="A399" s="5"/>
      <c r="B399" s="670"/>
      <c r="C399" s="26"/>
      <c r="D399" s="79"/>
      <c r="P399" s="326"/>
    </row>
    <row r="400" spans="1:16" x14ac:dyDescent="0.3">
      <c r="A400" s="5"/>
      <c r="B400" s="670"/>
      <c r="C400" s="26"/>
      <c r="D400" s="79"/>
      <c r="P400" s="326"/>
    </row>
    <row r="401" spans="1:16" x14ac:dyDescent="0.3">
      <c r="A401" s="5"/>
      <c r="B401" s="670"/>
      <c r="C401" s="26"/>
      <c r="D401" s="79"/>
      <c r="P401" s="326"/>
    </row>
    <row r="402" spans="1:16" x14ac:dyDescent="0.3">
      <c r="A402" s="5"/>
      <c r="B402" s="670"/>
      <c r="C402" s="26"/>
      <c r="D402" s="79"/>
      <c r="P402" s="326"/>
    </row>
    <row r="403" spans="1:16" x14ac:dyDescent="0.3">
      <c r="A403" s="5"/>
      <c r="B403" s="670"/>
      <c r="C403" s="26"/>
      <c r="D403" s="79"/>
      <c r="P403" s="326"/>
    </row>
    <row r="404" spans="1:16" x14ac:dyDescent="0.3">
      <c r="A404" s="5"/>
      <c r="B404" s="670"/>
      <c r="C404" s="26"/>
      <c r="D404" s="79"/>
      <c r="P404" s="326"/>
    </row>
    <row r="405" spans="1:16" x14ac:dyDescent="0.3">
      <c r="A405" s="5"/>
      <c r="B405" s="670"/>
      <c r="C405" s="26"/>
      <c r="D405" s="79"/>
      <c r="P405" s="326"/>
    </row>
    <row r="406" spans="1:16" x14ac:dyDescent="0.3">
      <c r="A406" s="5"/>
      <c r="B406" s="670"/>
      <c r="C406" s="26"/>
      <c r="D406" s="79"/>
      <c r="P406" s="326"/>
    </row>
    <row r="407" spans="1:16" x14ac:dyDescent="0.3">
      <c r="A407" s="5"/>
      <c r="B407" s="670"/>
      <c r="C407" s="26"/>
      <c r="D407" s="79"/>
      <c r="P407" s="326"/>
    </row>
    <row r="408" spans="1:16" x14ac:dyDescent="0.3">
      <c r="A408" s="5"/>
      <c r="B408" s="670"/>
      <c r="C408" s="26"/>
      <c r="D408" s="79"/>
      <c r="P408" s="326"/>
    </row>
    <row r="409" spans="1:16" x14ac:dyDescent="0.3">
      <c r="A409" s="5"/>
      <c r="B409" s="670"/>
      <c r="C409" s="26"/>
      <c r="D409" s="79"/>
      <c r="P409" s="326"/>
    </row>
    <row r="410" spans="1:16" x14ac:dyDescent="0.3">
      <c r="A410" s="5"/>
      <c r="B410" s="670"/>
      <c r="C410" s="26"/>
      <c r="D410" s="79"/>
      <c r="P410" s="326"/>
    </row>
    <row r="411" spans="1:16" x14ac:dyDescent="0.3">
      <c r="A411" s="5"/>
      <c r="B411" s="670"/>
      <c r="C411" s="26"/>
      <c r="D411" s="79"/>
      <c r="P411" s="326"/>
    </row>
    <row r="412" spans="1:16" x14ac:dyDescent="0.3">
      <c r="A412" s="5"/>
      <c r="B412" s="670"/>
      <c r="C412" s="26"/>
      <c r="D412" s="79"/>
      <c r="P412" s="326"/>
    </row>
    <row r="413" spans="1:16" x14ac:dyDescent="0.3">
      <c r="A413" s="5"/>
      <c r="B413" s="670"/>
      <c r="C413" s="26"/>
      <c r="D413" s="79"/>
      <c r="P413" s="326"/>
    </row>
    <row r="414" spans="1:16" x14ac:dyDescent="0.3">
      <c r="A414" s="5"/>
      <c r="B414" s="670"/>
      <c r="C414" s="26"/>
      <c r="D414" s="79"/>
      <c r="P414" s="326"/>
    </row>
    <row r="415" spans="1:16" x14ac:dyDescent="0.3">
      <c r="A415" s="5"/>
      <c r="B415" s="670"/>
      <c r="C415" s="26"/>
      <c r="D415" s="79"/>
      <c r="P415" s="326"/>
    </row>
    <row r="416" spans="1:16" x14ac:dyDescent="0.3">
      <c r="A416" s="5"/>
      <c r="B416" s="670"/>
      <c r="C416" s="26"/>
      <c r="D416" s="79"/>
      <c r="P416" s="326"/>
    </row>
    <row r="417" spans="1:16" x14ac:dyDescent="0.3">
      <c r="A417" s="5"/>
      <c r="B417" s="670"/>
      <c r="C417" s="26"/>
      <c r="D417" s="79"/>
      <c r="P417" s="326"/>
    </row>
    <row r="418" spans="1:16" x14ac:dyDescent="0.3">
      <c r="A418" s="5"/>
      <c r="B418" s="670"/>
      <c r="C418" s="26"/>
      <c r="D418" s="79"/>
      <c r="P418" s="326"/>
    </row>
    <row r="419" spans="1:16" x14ac:dyDescent="0.3">
      <c r="A419" s="5"/>
      <c r="B419" s="670"/>
      <c r="C419" s="26"/>
      <c r="D419" s="79"/>
      <c r="P419" s="326"/>
    </row>
    <row r="420" spans="1:16" x14ac:dyDescent="0.3">
      <c r="A420" s="5"/>
      <c r="B420" s="670"/>
      <c r="C420" s="26"/>
      <c r="D420" s="79"/>
      <c r="P420" s="326"/>
    </row>
    <row r="421" spans="1:16" x14ac:dyDescent="0.3">
      <c r="A421" s="5"/>
      <c r="B421" s="670"/>
      <c r="C421" s="26"/>
      <c r="D421" s="79"/>
      <c r="P421" s="326"/>
    </row>
    <row r="422" spans="1:16" x14ac:dyDescent="0.3">
      <c r="A422" s="5"/>
      <c r="B422" s="670"/>
      <c r="C422" s="26"/>
      <c r="D422" s="79"/>
      <c r="P422" s="326"/>
    </row>
    <row r="423" spans="1:16" x14ac:dyDescent="0.3">
      <c r="A423" s="5"/>
      <c r="B423" s="670"/>
      <c r="C423" s="26"/>
      <c r="D423" s="79"/>
      <c r="P423" s="326"/>
    </row>
    <row r="424" spans="1:16" x14ac:dyDescent="0.3">
      <c r="A424" s="5"/>
      <c r="B424" s="670"/>
      <c r="C424" s="26"/>
      <c r="D424" s="79"/>
      <c r="P424" s="326"/>
    </row>
    <row r="425" spans="1:16" x14ac:dyDescent="0.3">
      <c r="A425" s="5"/>
      <c r="B425" s="670"/>
      <c r="C425" s="26"/>
      <c r="D425" s="79"/>
      <c r="P425" s="326"/>
    </row>
    <row r="426" spans="1:16" x14ac:dyDescent="0.3">
      <c r="A426" s="5"/>
      <c r="B426" s="670"/>
      <c r="C426" s="26"/>
      <c r="D426" s="79"/>
      <c r="P426" s="326"/>
    </row>
    <row r="427" spans="1:16" x14ac:dyDescent="0.3">
      <c r="A427" s="5"/>
      <c r="B427" s="670"/>
      <c r="C427" s="26"/>
      <c r="D427" s="79"/>
      <c r="P427" s="326"/>
    </row>
    <row r="428" spans="1:16" x14ac:dyDescent="0.3">
      <c r="A428" s="5"/>
      <c r="B428" s="670"/>
      <c r="C428" s="26"/>
      <c r="D428" s="79"/>
      <c r="P428" s="326"/>
    </row>
    <row r="429" spans="1:16" x14ac:dyDescent="0.3">
      <c r="A429" s="5"/>
      <c r="B429" s="670"/>
      <c r="C429" s="26"/>
      <c r="D429" s="79"/>
    </row>
    <row r="430" spans="1:16" x14ac:dyDescent="0.3">
      <c r="A430" s="5"/>
      <c r="B430" s="670"/>
      <c r="C430" s="26"/>
      <c r="D430" s="79"/>
      <c r="P430" s="326"/>
    </row>
    <row r="431" spans="1:16" x14ac:dyDescent="0.3">
      <c r="A431" s="5"/>
      <c r="B431" s="670"/>
      <c r="C431" s="26"/>
      <c r="D431" s="79"/>
    </row>
    <row r="432" spans="1:16" x14ac:dyDescent="0.3">
      <c r="A432" s="5"/>
      <c r="B432" s="670"/>
      <c r="C432" s="26"/>
      <c r="D432" s="79"/>
    </row>
    <row r="433" spans="1:4" x14ac:dyDescent="0.3">
      <c r="A433" s="5"/>
      <c r="B433" s="670"/>
      <c r="C433" s="26"/>
      <c r="D433" s="79"/>
    </row>
    <row r="434" spans="1:4" x14ac:dyDescent="0.3">
      <c r="A434" s="5"/>
      <c r="B434" s="670"/>
      <c r="C434" s="26"/>
      <c r="D434" s="79"/>
    </row>
    <row r="435" spans="1:4" x14ac:dyDescent="0.3">
      <c r="A435" s="5"/>
      <c r="B435" s="670"/>
      <c r="C435" s="26"/>
      <c r="D435" s="79"/>
    </row>
    <row r="436" spans="1:4" x14ac:dyDescent="0.3">
      <c r="A436" s="5"/>
      <c r="B436" s="670"/>
      <c r="C436" s="26"/>
      <c r="D436" s="79"/>
    </row>
    <row r="437" spans="1:4" x14ac:dyDescent="0.3">
      <c r="A437" s="5"/>
      <c r="B437" s="670"/>
      <c r="C437" s="26"/>
      <c r="D437" s="79"/>
    </row>
    <row r="438" spans="1:4" x14ac:dyDescent="0.3">
      <c r="A438" s="5"/>
      <c r="B438" s="670"/>
      <c r="C438" s="26"/>
      <c r="D438" s="79"/>
    </row>
    <row r="439" spans="1:4" x14ac:dyDescent="0.3">
      <c r="A439" s="5"/>
      <c r="B439" s="670"/>
      <c r="C439" s="26"/>
      <c r="D439" s="79"/>
    </row>
    <row r="440" spans="1:4" x14ac:dyDescent="0.3">
      <c r="A440" s="5"/>
      <c r="B440" s="670"/>
      <c r="C440" s="26"/>
      <c r="D440" s="79"/>
    </row>
    <row r="441" spans="1:4" x14ac:dyDescent="0.3">
      <c r="A441" s="5"/>
      <c r="B441" s="670"/>
      <c r="C441" s="26"/>
      <c r="D441" s="79"/>
    </row>
    <row r="442" spans="1:4" x14ac:dyDescent="0.3">
      <c r="A442" s="5"/>
      <c r="B442" s="670"/>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51" priority="93" stopIfTrue="1" operator="notEqual">
      <formula>0</formula>
    </cfRule>
  </conditionalFormatting>
  <conditionalFormatting sqref="G34">
    <cfRule type="cellIs" dxfId="50" priority="92" stopIfTrue="1" operator="notEqual">
      <formula>0</formula>
    </cfRule>
  </conditionalFormatting>
  <conditionalFormatting sqref="G65">
    <cfRule type="cellIs" dxfId="49" priority="91" stopIfTrue="1" operator="notEqual">
      <formula>0</formula>
    </cfRule>
  </conditionalFormatting>
  <conditionalFormatting sqref="G79">
    <cfRule type="cellIs" dxfId="48" priority="90" stopIfTrue="1" operator="notEqual">
      <formula>0</formula>
    </cfRule>
  </conditionalFormatting>
  <conditionalFormatting sqref="G80:G90">
    <cfRule type="cellIs" dxfId="47" priority="89" stopIfTrue="1" operator="notEqual">
      <formula>0</formula>
    </cfRule>
  </conditionalFormatting>
  <conditionalFormatting sqref="G133">
    <cfRule type="cellIs" dxfId="46" priority="88" stopIfTrue="1" operator="notEqual">
      <formula>0</formula>
    </cfRule>
  </conditionalFormatting>
  <conditionalFormatting sqref="G151">
    <cfRule type="cellIs" dxfId="45" priority="87" stopIfTrue="1" operator="notEqual">
      <formula>0</formula>
    </cfRule>
  </conditionalFormatting>
  <conditionalFormatting sqref="G163">
    <cfRule type="cellIs" dxfId="44" priority="86" stopIfTrue="1" operator="notEqual">
      <formula>0</formula>
    </cfRule>
  </conditionalFormatting>
  <conditionalFormatting sqref="G164">
    <cfRule type="cellIs" dxfId="43" priority="85" stopIfTrue="1" operator="notEqual">
      <formula>0</formula>
    </cfRule>
  </conditionalFormatting>
  <conditionalFormatting sqref="G178">
    <cfRule type="cellIs" dxfId="42" priority="84" stopIfTrue="1" operator="notEqual">
      <formula>0</formula>
    </cfRule>
  </conditionalFormatting>
  <conditionalFormatting sqref="G179">
    <cfRule type="cellIs" dxfId="41" priority="83" stopIfTrue="1" operator="notEqual">
      <formula>0</formula>
    </cfRule>
  </conditionalFormatting>
  <conditionalFormatting sqref="H237:H239">
    <cfRule type="cellIs" priority="79" stopIfTrue="1" operator="equal">
      <formula>";;;"</formula>
    </cfRule>
  </conditionalFormatting>
  <conditionalFormatting sqref="H237">
    <cfRule type="cellIs" dxfId="40" priority="78" stopIfTrue="1" operator="equal">
      <formula>0</formula>
    </cfRule>
  </conditionalFormatting>
  <conditionalFormatting sqref="H238">
    <cfRule type="cellIs" dxfId="39" priority="77" stopIfTrue="1" operator="equal">
      <formula>0</formula>
    </cfRule>
  </conditionalFormatting>
  <conditionalFormatting sqref="H239">
    <cfRule type="cellIs" dxfId="38" priority="76" stopIfTrue="1" operator="equal">
      <formula>0</formula>
    </cfRule>
  </conditionalFormatting>
  <conditionalFormatting sqref="H239">
    <cfRule type="cellIs" dxfId="37" priority="75" stopIfTrue="1" operator="equal">
      <formula>0</formula>
    </cfRule>
  </conditionalFormatting>
  <conditionalFormatting sqref="H237">
    <cfRule type="cellIs" dxfId="36" priority="74" stopIfTrue="1" operator="equal">
      <formula>0</formula>
    </cfRule>
  </conditionalFormatting>
  <conditionalFormatting sqref="G21">
    <cfRule type="cellIs" dxfId="35" priority="73" stopIfTrue="1" operator="notEqual">
      <formula>0</formula>
    </cfRule>
  </conditionalFormatting>
  <conditionalFormatting sqref="G7">
    <cfRule type="containsText" dxfId="34" priority="71" stopIfTrue="1" operator="containsText" text="Included in error count">
      <formula>NOT(ISERROR(SEARCH("Included in error count",G7)))</formula>
    </cfRule>
    <cfRule type="cellIs" dxfId="33" priority="72" stopIfTrue="1" operator="equal">
      <formula>1</formula>
    </cfRule>
  </conditionalFormatting>
  <conditionalFormatting sqref="G55">
    <cfRule type="containsText" dxfId="32" priority="69" stopIfTrue="1" operator="containsText" text="Included in error count">
      <formula>NOT(ISERROR(SEARCH("Included in error count",G55)))</formula>
    </cfRule>
    <cfRule type="cellIs" dxfId="31" priority="70" stopIfTrue="1" operator="equal">
      <formula>1</formula>
    </cfRule>
  </conditionalFormatting>
  <conditionalFormatting sqref="G120:G121">
    <cfRule type="containsText" dxfId="30" priority="67" stopIfTrue="1" operator="containsText" text="Included in error count">
      <formula>NOT(ISERROR(SEARCH("Included in error count",G120)))</formula>
    </cfRule>
    <cfRule type="cellIs" dxfId="29" priority="68" stopIfTrue="1" operator="equal">
      <formula>1</formula>
    </cfRule>
  </conditionalFormatting>
  <conditionalFormatting sqref="G122">
    <cfRule type="containsText" dxfId="28" priority="65" stopIfTrue="1" operator="containsText" text="Included in error count">
      <formula>NOT(ISERROR(SEARCH("Included in error count",G122)))</formula>
    </cfRule>
    <cfRule type="cellIs" dxfId="27" priority="66" stopIfTrue="1" operator="equal">
      <formula>1</formula>
    </cfRule>
  </conditionalFormatting>
  <conditionalFormatting sqref="G131">
    <cfRule type="containsText" dxfId="26" priority="61" stopIfTrue="1" operator="containsText" text="Included in error count">
      <formula>NOT(ISERROR(SEARCH("Included in error count",G131)))</formula>
    </cfRule>
    <cfRule type="cellIs" dxfId="25" priority="62" stopIfTrue="1" operator="equal">
      <formula>1</formula>
    </cfRule>
  </conditionalFormatting>
  <conditionalFormatting sqref="G153">
    <cfRule type="containsText" dxfId="24" priority="57" stopIfTrue="1" operator="containsText" text="Included in error count">
      <formula>NOT(ISERROR(SEARCH("Included in error count",G153)))</formula>
    </cfRule>
    <cfRule type="cellIs" dxfId="23" priority="58" stopIfTrue="1" operator="equal">
      <formula>1</formula>
    </cfRule>
  </conditionalFormatting>
  <conditionalFormatting sqref="G237">
    <cfRule type="containsText" dxfId="22" priority="46" stopIfTrue="1" operator="containsText" text="Included in error count">
      <formula>NOT(ISERROR(SEARCH("Included in error count",G237)))</formula>
    </cfRule>
    <cfRule type="cellIs" dxfId="21" priority="47" stopIfTrue="1" operator="equal">
      <formula>1</formula>
    </cfRule>
  </conditionalFormatting>
  <conditionalFormatting sqref="G238">
    <cfRule type="containsText" dxfId="20" priority="44" stopIfTrue="1" operator="containsText" text="Included in error count">
      <formula>NOT(ISERROR(SEARCH("Included in error count",G238)))</formula>
    </cfRule>
    <cfRule type="cellIs" dxfId="19" priority="45" stopIfTrue="1" operator="equal">
      <formula>1</formula>
    </cfRule>
  </conditionalFormatting>
  <conditionalFormatting sqref="G239">
    <cfRule type="containsText" dxfId="18" priority="42" stopIfTrue="1" operator="containsText" text="Included in error count">
      <formula>NOT(ISERROR(SEARCH("Included in error count",G239)))</formula>
    </cfRule>
    <cfRule type="cellIs" dxfId="17" priority="43" stopIfTrue="1" operator="equal">
      <formula>1</formula>
    </cfRule>
  </conditionalFormatting>
  <conditionalFormatting sqref="G168">
    <cfRule type="containsText" dxfId="16" priority="40" stopIfTrue="1" operator="containsText" text="Included in error count">
      <formula>NOT(ISERROR(SEARCH("Included in error count",G168)))</formula>
    </cfRule>
    <cfRule type="cellIs" dxfId="15"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10"/>
  <sheetViews>
    <sheetView showGridLines="0" zoomScale="70" zoomScaleNormal="70" workbookViewId="0">
      <selection activeCell="A7" sqref="A7:C7"/>
    </sheetView>
  </sheetViews>
  <sheetFormatPr defaultColWidth="9.109375" defaultRowHeight="14.4" x14ac:dyDescent="0.3"/>
  <cols>
    <col min="1" max="1" width="44.5546875" style="955" customWidth="1"/>
    <col min="2" max="2" width="17.109375" style="955" customWidth="1"/>
    <col min="3" max="3" width="19" style="955" customWidth="1"/>
    <col min="4" max="4" width="19.109375" style="955" customWidth="1"/>
    <col min="5" max="5" width="15.109375" style="955" customWidth="1"/>
    <col min="6" max="6" width="12.88671875" style="955" customWidth="1"/>
    <col min="7" max="7" width="43.88671875" style="976" hidden="1" customWidth="1"/>
    <col min="8" max="8" width="77.5546875" style="955" customWidth="1"/>
    <col min="9" max="9" width="91" style="956" customWidth="1"/>
    <col min="10" max="10" width="46.109375" style="956" customWidth="1"/>
    <col min="11" max="11" width="9.109375" style="956" hidden="1" customWidth="1"/>
    <col min="12" max="12" width="36.88671875" style="270" hidden="1" customWidth="1"/>
    <col min="13" max="14" width="15.6640625" style="270" hidden="1" customWidth="1"/>
    <col min="15" max="15" width="56.33203125" style="270" customWidth="1"/>
    <col min="16" max="16" width="11.109375" style="954" customWidth="1"/>
    <col min="17" max="18" width="9.109375" style="955" customWidth="1"/>
    <col min="19" max="16384" width="9.109375" style="955"/>
  </cols>
  <sheetData>
    <row r="1" spans="1:81" ht="40.5" customHeight="1" thickBot="1" x14ac:dyDescent="0.35">
      <c r="A1" s="1198" t="s">
        <v>1275</v>
      </c>
      <c r="B1" s="1199"/>
      <c r="C1" s="1199"/>
      <c r="D1" s="1199"/>
      <c r="E1" s="1199"/>
      <c r="F1" s="1199"/>
      <c r="G1" s="1199"/>
      <c r="H1" s="1200"/>
      <c r="I1" s="1180" t="s">
        <v>1285</v>
      </c>
      <c r="J1" s="1181"/>
      <c r="K1" s="970"/>
    </row>
    <row r="2" spans="1:81" ht="72" customHeight="1" thickBot="1" x14ac:dyDescent="0.35">
      <c r="A2" s="1201" t="s">
        <v>1276</v>
      </c>
      <c r="B2" s="1202"/>
      <c r="C2" s="1202"/>
      <c r="D2" s="1202"/>
      <c r="E2" s="1202"/>
      <c r="F2" s="1202"/>
      <c r="G2" s="1202"/>
      <c r="H2" s="1203"/>
      <c r="I2" s="1182" t="s">
        <v>1284</v>
      </c>
      <c r="J2" s="1186" t="s">
        <v>1008</v>
      </c>
      <c r="K2" s="979"/>
    </row>
    <row r="3" spans="1:81" ht="15" customHeight="1" x14ac:dyDescent="0.3">
      <c r="A3" s="1109" t="s">
        <v>711</v>
      </c>
      <c r="B3" s="966"/>
      <c r="C3" s="966"/>
      <c r="D3" s="966"/>
      <c r="E3" s="1110"/>
      <c r="F3" s="1110"/>
      <c r="G3" s="1204"/>
      <c r="H3" s="1205"/>
      <c r="I3" s="1183"/>
      <c r="J3" s="1187"/>
      <c r="K3" s="979"/>
    </row>
    <row r="4" spans="1:81" ht="21.75" customHeight="1" x14ac:dyDescent="0.3">
      <c r="A4" s="957" t="s">
        <v>770</v>
      </c>
      <c r="B4" s="1206" t="str">
        <f>'Unit Data from Audit Worksheet'!D2</f>
        <v>Select Unit Name from Drop Down List</v>
      </c>
      <c r="C4" s="1206"/>
      <c r="D4" s="1206"/>
      <c r="E4" s="1207" t="s">
        <v>1277</v>
      </c>
      <c r="F4" s="1208"/>
      <c r="G4" s="958"/>
      <c r="H4" s="1211" t="s">
        <v>714</v>
      </c>
      <c r="I4" s="1184"/>
      <c r="J4" s="1187"/>
      <c r="K4" s="980"/>
      <c r="L4" s="959"/>
    </row>
    <row r="5" spans="1:81" ht="21.6" thickBot="1" x14ac:dyDescent="0.35">
      <c r="A5" s="960" t="s">
        <v>713</v>
      </c>
      <c r="B5" s="1213" t="e">
        <f>'Unit Data from Audit Worksheet'!D3</f>
        <v>#N/A</v>
      </c>
      <c r="C5" s="1213"/>
      <c r="D5" s="1213"/>
      <c r="E5" s="1209"/>
      <c r="F5" s="1210"/>
      <c r="G5" s="961"/>
      <c r="H5" s="1212"/>
      <c r="I5" s="1185"/>
      <c r="J5" s="1188"/>
      <c r="K5" s="953"/>
      <c r="L5" s="170" t="s">
        <v>747</v>
      </c>
    </row>
    <row r="6" spans="1:81" s="270" customFormat="1" ht="18.600000000000001" thickBot="1" x14ac:dyDescent="0.35">
      <c r="A6" s="1192" t="s">
        <v>1279</v>
      </c>
      <c r="B6" s="1195"/>
      <c r="C6" s="1196"/>
      <c r="D6" s="283" t="s">
        <v>1278</v>
      </c>
      <c r="E6" s="284" t="s">
        <v>1280</v>
      </c>
      <c r="F6" s="966"/>
      <c r="G6" s="967"/>
      <c r="H6" s="968"/>
      <c r="I6" s="984"/>
      <c r="J6" s="968"/>
      <c r="K6" s="953"/>
      <c r="P6" s="954"/>
      <c r="Q6" s="955"/>
      <c r="R6" s="955"/>
      <c r="S6" s="955"/>
      <c r="T6" s="955"/>
      <c r="U6" s="955"/>
      <c r="V6" s="955"/>
      <c r="W6" s="955"/>
      <c r="X6" s="955"/>
      <c r="Y6" s="955"/>
      <c r="Z6" s="955"/>
      <c r="AA6" s="955"/>
      <c r="AB6" s="955"/>
      <c r="AC6" s="955"/>
      <c r="AD6" s="955"/>
      <c r="AE6" s="955"/>
      <c r="AF6" s="955"/>
      <c r="AG6" s="955"/>
      <c r="AH6" s="955"/>
      <c r="AI6" s="955"/>
      <c r="AJ6" s="955"/>
      <c r="AK6" s="955"/>
      <c r="AL6" s="955"/>
      <c r="AM6" s="955"/>
      <c r="AN6" s="955"/>
      <c r="AO6" s="955"/>
      <c r="AP6" s="955"/>
      <c r="AQ6" s="955"/>
      <c r="AR6" s="955"/>
      <c r="AS6" s="955"/>
      <c r="AT6" s="955"/>
      <c r="AU6" s="955"/>
      <c r="AV6" s="955"/>
      <c r="AW6" s="955"/>
      <c r="AX6" s="955"/>
      <c r="AY6" s="955"/>
      <c r="AZ6" s="955"/>
      <c r="BA6" s="955"/>
      <c r="BB6" s="955"/>
      <c r="BC6" s="955"/>
      <c r="BD6" s="955"/>
      <c r="BE6" s="955"/>
      <c r="BF6" s="955"/>
      <c r="BG6" s="955"/>
      <c r="BH6" s="955"/>
      <c r="BI6" s="955"/>
      <c r="BJ6" s="955"/>
      <c r="BK6" s="955"/>
      <c r="BL6" s="955"/>
      <c r="BM6" s="955"/>
      <c r="BN6" s="955"/>
      <c r="BO6" s="955"/>
      <c r="BP6" s="955"/>
      <c r="BQ6" s="955"/>
      <c r="BR6" s="955"/>
      <c r="BS6" s="955"/>
      <c r="BT6" s="955"/>
      <c r="BU6" s="955"/>
      <c r="BV6" s="955"/>
      <c r="BW6" s="955"/>
      <c r="BX6" s="955"/>
      <c r="BY6" s="955"/>
      <c r="BZ6" s="955"/>
      <c r="CA6" s="955"/>
      <c r="CB6" s="955"/>
      <c r="CC6" s="955"/>
    </row>
    <row r="7" spans="1:81" s="270" customFormat="1" ht="92.25" customHeight="1" thickBot="1" x14ac:dyDescent="0.35">
      <c r="A7" s="1197" t="s">
        <v>1543</v>
      </c>
      <c r="B7" s="1197"/>
      <c r="C7" s="1197"/>
      <c r="D7" s="969" t="b">
        <f>IF(Import!L258=1,"Yes",IF(Import!L258=2,"No"))</f>
        <v>0</v>
      </c>
      <c r="E7" s="963" t="s">
        <v>1544</v>
      </c>
      <c r="F7" s="969" t="b">
        <f>D7</f>
        <v>0</v>
      </c>
      <c r="G7" s="964"/>
      <c r="H7" s="981" t="s">
        <v>1281</v>
      </c>
      <c r="I7" s="982" t="s">
        <v>735</v>
      </c>
      <c r="J7" s="983"/>
      <c r="K7" s="953"/>
      <c r="P7" s="954"/>
      <c r="Q7" s="955"/>
      <c r="R7" s="955"/>
      <c r="S7" s="955"/>
      <c r="T7" s="955"/>
      <c r="U7" s="955"/>
      <c r="V7" s="955"/>
      <c r="W7" s="955"/>
      <c r="X7" s="955"/>
      <c r="Y7" s="955"/>
      <c r="Z7" s="955"/>
      <c r="AA7" s="955"/>
      <c r="AB7" s="955"/>
      <c r="AC7" s="955"/>
      <c r="AD7" s="955"/>
      <c r="AE7" s="955"/>
      <c r="AF7" s="955"/>
      <c r="AG7" s="955"/>
      <c r="AH7" s="955"/>
      <c r="AI7" s="955"/>
      <c r="AJ7" s="955"/>
      <c r="AK7" s="955"/>
      <c r="AL7" s="955"/>
      <c r="AM7" s="955"/>
      <c r="AN7" s="955"/>
      <c r="AO7" s="955"/>
      <c r="AP7" s="955"/>
      <c r="AQ7" s="955"/>
      <c r="AR7" s="955"/>
      <c r="AS7" s="955"/>
      <c r="AT7" s="955"/>
      <c r="AU7" s="955"/>
      <c r="AV7" s="955"/>
      <c r="AW7" s="955"/>
      <c r="AX7" s="955"/>
      <c r="AY7" s="955"/>
      <c r="AZ7" s="955"/>
      <c r="BA7" s="955"/>
      <c r="BB7" s="955"/>
      <c r="BC7" s="955"/>
      <c r="BD7" s="955"/>
      <c r="BE7" s="955"/>
      <c r="BF7" s="955"/>
      <c r="BG7" s="955"/>
      <c r="BH7" s="955"/>
      <c r="BI7" s="955"/>
      <c r="BJ7" s="955"/>
      <c r="BK7" s="955"/>
      <c r="BL7" s="955"/>
      <c r="BM7" s="955"/>
      <c r="BN7" s="955"/>
      <c r="BO7" s="955"/>
      <c r="BP7" s="955"/>
      <c r="BQ7" s="955"/>
      <c r="BR7" s="955"/>
      <c r="BS7" s="955"/>
      <c r="BT7" s="955"/>
      <c r="BU7" s="955"/>
      <c r="BV7" s="955"/>
      <c r="BW7" s="955"/>
      <c r="BX7" s="955"/>
      <c r="BY7" s="955"/>
      <c r="BZ7" s="955"/>
      <c r="CA7" s="955"/>
      <c r="CB7" s="955"/>
      <c r="CC7" s="955"/>
    </row>
    <row r="8" spans="1:81" s="270" customFormat="1" ht="59.25" customHeight="1" thickBot="1" x14ac:dyDescent="0.35">
      <c r="A8" s="1192" t="s">
        <v>944</v>
      </c>
      <c r="B8" s="1193"/>
      <c r="C8" s="1194"/>
      <c r="D8" s="965" t="str">
        <f>IF(Import!L257=1,"Yes",IF(Import!L257=2,"No",IF(Import!L257="0","This question must be answered")))</f>
        <v>This question must be answered</v>
      </c>
      <c r="E8" s="971"/>
      <c r="F8" s="965" t="str">
        <f>+D8</f>
        <v>This question must be answered</v>
      </c>
      <c r="G8" s="964"/>
      <c r="H8" s="978" t="s">
        <v>1282</v>
      </c>
      <c r="I8" s="985" t="s">
        <v>739</v>
      </c>
      <c r="J8" s="983"/>
      <c r="K8" s="953"/>
      <c r="P8" s="954"/>
      <c r="Q8" s="955"/>
      <c r="R8" s="955"/>
      <c r="S8" s="955"/>
      <c r="T8" s="955"/>
      <c r="U8" s="955"/>
      <c r="V8" s="955"/>
      <c r="W8" s="955"/>
      <c r="X8" s="955"/>
      <c r="Y8" s="955"/>
      <c r="Z8" s="955"/>
      <c r="AA8" s="955"/>
      <c r="AB8" s="955"/>
      <c r="AC8" s="955"/>
      <c r="AD8" s="955"/>
      <c r="AE8" s="955"/>
      <c r="AF8" s="955"/>
      <c r="AG8" s="955"/>
      <c r="AH8" s="955"/>
      <c r="AI8" s="955"/>
      <c r="AJ8" s="955"/>
      <c r="AK8" s="955"/>
      <c r="AL8" s="955"/>
      <c r="AM8" s="955"/>
      <c r="AN8" s="955"/>
      <c r="AO8" s="955"/>
      <c r="AP8" s="955"/>
      <c r="AQ8" s="955"/>
      <c r="AR8" s="955"/>
      <c r="AS8" s="955"/>
      <c r="AT8" s="955"/>
      <c r="AU8" s="955"/>
      <c r="AV8" s="955"/>
      <c r="AW8" s="955"/>
      <c r="AX8" s="955"/>
      <c r="AY8" s="955"/>
      <c r="AZ8" s="955"/>
      <c r="BA8" s="955"/>
      <c r="BB8" s="955"/>
      <c r="BC8" s="955"/>
      <c r="BD8" s="955"/>
      <c r="BE8" s="955"/>
      <c r="BF8" s="955"/>
      <c r="BG8" s="955"/>
      <c r="BH8" s="955"/>
      <c r="BI8" s="955"/>
      <c r="BJ8" s="955"/>
      <c r="BK8" s="955"/>
      <c r="BL8" s="955"/>
      <c r="BM8" s="955"/>
      <c r="BN8" s="955"/>
      <c r="BO8" s="955"/>
      <c r="BP8" s="955"/>
      <c r="BQ8" s="955"/>
      <c r="BR8" s="955"/>
      <c r="BS8" s="955"/>
      <c r="BT8" s="955"/>
      <c r="BU8" s="955"/>
      <c r="BV8" s="955"/>
      <c r="BW8" s="955"/>
      <c r="BX8" s="955"/>
      <c r="BY8" s="955"/>
      <c r="BZ8" s="955"/>
      <c r="CA8" s="955"/>
      <c r="CB8" s="955"/>
      <c r="CC8" s="955"/>
    </row>
    <row r="9" spans="1:81" s="270" customFormat="1" ht="68.25" customHeight="1" thickBot="1" x14ac:dyDescent="0.35">
      <c r="A9" s="1189" t="s">
        <v>717</v>
      </c>
      <c r="B9" s="1190"/>
      <c r="C9" s="1191"/>
      <c r="D9" s="972" t="e">
        <f>+M9+N9+L9+Import!L250+Import!L251+Import!L254</f>
        <v>#VALUE!</v>
      </c>
      <c r="E9" s="971"/>
      <c r="F9" s="973"/>
      <c r="G9" s="964"/>
      <c r="H9" s="978" t="s">
        <v>1283</v>
      </c>
      <c r="I9" s="982" t="s">
        <v>736</v>
      </c>
      <c r="J9" s="983"/>
      <c r="K9" s="953"/>
      <c r="L9" s="962">
        <f>IF(Import!L247=1,1,0)</f>
        <v>0</v>
      </c>
      <c r="M9" s="962">
        <f>IF(Import!L248=1,1,0)</f>
        <v>0</v>
      </c>
      <c r="N9" s="962">
        <f>IF(Import!L249=1,1,0)</f>
        <v>0</v>
      </c>
      <c r="P9" s="954"/>
      <c r="Q9" s="955"/>
      <c r="R9" s="955"/>
      <c r="S9" s="955"/>
      <c r="T9" s="955"/>
      <c r="U9" s="955"/>
      <c r="V9" s="955"/>
      <c r="W9" s="955"/>
      <c r="X9" s="955"/>
      <c r="Y9" s="955"/>
      <c r="Z9" s="955"/>
      <c r="AA9" s="955"/>
      <c r="AB9" s="955"/>
      <c r="AC9" s="955"/>
      <c r="AD9" s="955"/>
      <c r="AE9" s="955"/>
      <c r="AF9" s="955"/>
      <c r="AG9" s="955"/>
      <c r="AH9" s="955"/>
      <c r="AI9" s="955"/>
      <c r="AJ9" s="955"/>
      <c r="AK9" s="955"/>
      <c r="AL9" s="955"/>
      <c r="AM9" s="955"/>
      <c r="AN9" s="955"/>
      <c r="AO9" s="955"/>
      <c r="AP9" s="955"/>
      <c r="AQ9" s="955"/>
      <c r="AR9" s="955"/>
      <c r="AS9" s="955"/>
      <c r="AT9" s="955"/>
      <c r="AU9" s="955"/>
      <c r="AV9" s="955"/>
      <c r="AW9" s="955"/>
      <c r="AX9" s="955"/>
      <c r="AY9" s="955"/>
      <c r="AZ9" s="955"/>
      <c r="BA9" s="955"/>
      <c r="BB9" s="955"/>
      <c r="BC9" s="955"/>
      <c r="BD9" s="955"/>
      <c r="BE9" s="955"/>
      <c r="BF9" s="955"/>
      <c r="BG9" s="955"/>
      <c r="BH9" s="955"/>
      <c r="BI9" s="955"/>
      <c r="BJ9" s="955"/>
      <c r="BK9" s="955"/>
      <c r="BL9" s="955"/>
      <c r="BM9" s="955"/>
      <c r="BN9" s="955"/>
      <c r="BO9" s="955"/>
      <c r="BP9" s="955"/>
      <c r="BQ9" s="955"/>
      <c r="BR9" s="955"/>
      <c r="BS9" s="955"/>
      <c r="BT9" s="955"/>
      <c r="BU9" s="955"/>
      <c r="BV9" s="955"/>
      <c r="BW9" s="955"/>
      <c r="BX9" s="955"/>
      <c r="BY9" s="955"/>
      <c r="BZ9" s="955"/>
      <c r="CA9" s="955"/>
      <c r="CB9" s="955"/>
      <c r="CC9" s="955"/>
    </row>
    <row r="10" spans="1:81" s="956" customFormat="1" x14ac:dyDescent="0.3">
      <c r="A10" s="974"/>
      <c r="B10" s="974"/>
      <c r="C10" s="974"/>
      <c r="D10" s="974"/>
      <c r="E10" s="974"/>
      <c r="F10" s="974"/>
      <c r="G10" s="975"/>
      <c r="H10" s="974"/>
      <c r="I10" s="977"/>
      <c r="J10" s="977"/>
      <c r="L10" s="270"/>
      <c r="M10" s="270"/>
      <c r="N10" s="270"/>
      <c r="O10" s="270"/>
      <c r="P10" s="954"/>
      <c r="Q10" s="955"/>
      <c r="R10" s="955"/>
      <c r="S10" s="955"/>
      <c r="T10" s="955"/>
      <c r="U10" s="955"/>
      <c r="V10" s="955"/>
      <c r="W10" s="955"/>
      <c r="X10" s="955"/>
      <c r="Y10" s="955"/>
      <c r="Z10" s="955"/>
      <c r="AA10" s="955"/>
      <c r="AB10" s="955"/>
      <c r="AC10" s="955"/>
      <c r="AD10" s="955"/>
      <c r="AE10" s="955"/>
      <c r="AF10" s="955"/>
      <c r="AG10" s="955"/>
      <c r="AH10" s="955"/>
      <c r="AI10" s="955"/>
      <c r="AJ10" s="955"/>
      <c r="AK10" s="955"/>
      <c r="AL10" s="955"/>
      <c r="AM10" s="955"/>
      <c r="AN10" s="955"/>
      <c r="AO10" s="955"/>
      <c r="AP10" s="955"/>
      <c r="AQ10" s="955"/>
      <c r="AR10" s="955"/>
      <c r="AS10" s="955"/>
      <c r="AT10" s="955"/>
      <c r="AU10" s="955"/>
      <c r="AV10" s="955"/>
      <c r="AW10" s="955"/>
      <c r="AX10" s="955"/>
      <c r="AY10" s="955"/>
      <c r="AZ10" s="955"/>
      <c r="BA10" s="955"/>
      <c r="BB10" s="955"/>
      <c r="BC10" s="955"/>
      <c r="BD10" s="955"/>
      <c r="BE10" s="955"/>
      <c r="BF10" s="955"/>
      <c r="BG10" s="955"/>
      <c r="BH10" s="955"/>
      <c r="BI10" s="955"/>
      <c r="BJ10" s="955"/>
      <c r="BK10" s="955"/>
      <c r="BL10" s="955"/>
      <c r="BM10" s="955"/>
      <c r="BN10" s="955"/>
      <c r="BO10" s="955"/>
      <c r="BP10" s="955"/>
      <c r="BQ10" s="955"/>
      <c r="BR10" s="955"/>
      <c r="BS10" s="955"/>
      <c r="BT10" s="955"/>
      <c r="BU10" s="955"/>
      <c r="BV10" s="955"/>
      <c r="BW10" s="955"/>
      <c r="BX10" s="955"/>
      <c r="BY10" s="955"/>
      <c r="BZ10" s="955"/>
      <c r="CA10" s="955"/>
      <c r="CB10" s="955"/>
      <c r="CC10" s="955"/>
    </row>
  </sheetData>
  <mergeCells count="14">
    <mergeCell ref="I1:J1"/>
    <mergeCell ref="I2:I5"/>
    <mergeCell ref="J2:J5"/>
    <mergeCell ref="A9:C9"/>
    <mergeCell ref="A8:C8"/>
    <mergeCell ref="A6:C6"/>
    <mergeCell ref="A7:C7"/>
    <mergeCell ref="A1:H1"/>
    <mergeCell ref="A2:H2"/>
    <mergeCell ref="G3:H3"/>
    <mergeCell ref="B4:D4"/>
    <mergeCell ref="E4:F5"/>
    <mergeCell ref="H4:H5"/>
    <mergeCell ref="B5:D5"/>
  </mergeCells>
  <conditionalFormatting sqref="F7">
    <cfRule type="cellIs" dxfId="14" priority="21" operator="equal">
      <formula>"No"</formula>
    </cfRule>
  </conditionalFormatting>
  <conditionalFormatting sqref="F8">
    <cfRule type="cellIs" dxfId="13" priority="18" operator="equal">
      <formula>"Yes"</formula>
    </cfRule>
  </conditionalFormatting>
  <conditionalFormatting sqref="F9">
    <cfRule type="expression" dxfId="12" priority="9">
      <formula>$D$9&gt;0</formula>
    </cfRule>
  </conditionalFormatting>
  <pageMargins left="0.25" right="0.25" top="0.05" bottom="0.05" header="0.3" footer="0.3"/>
  <pageSetup scale="6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5"/>
  <sheetViews>
    <sheetView showGridLines="0" zoomScale="80" zoomScaleNormal="80" workbookViewId="0">
      <pane ySplit="4" topLeftCell="A5" activePane="bottomLeft" state="frozen"/>
      <selection activeCell="A2" sqref="A2:H2"/>
      <selection pane="bottomLeft" activeCell="A2" sqref="A2:H2"/>
    </sheetView>
  </sheetViews>
  <sheetFormatPr defaultColWidth="9.109375" defaultRowHeight="14.4" x14ac:dyDescent="0.3"/>
  <cols>
    <col min="1" max="1" width="44.5546875" style="490" customWidth="1"/>
    <col min="2" max="2" width="17.33203125" style="490" customWidth="1"/>
    <col min="3" max="3" width="17.88671875" style="490" customWidth="1"/>
    <col min="4" max="4" width="20.88671875" style="490" customWidth="1"/>
    <col min="5" max="5" width="16.109375" style="490" customWidth="1"/>
    <col min="6" max="6" width="14.88671875" style="490" customWidth="1"/>
    <col min="7" max="7" width="46.109375" style="497" customWidth="1"/>
    <col min="8" max="8" width="77.5546875" style="490" customWidth="1"/>
    <col min="9" max="9" width="34" style="490" customWidth="1"/>
    <col min="10" max="10" width="9.109375" style="490" customWidth="1"/>
    <col min="11" max="11" width="36.88671875" style="490" customWidth="1"/>
    <col min="12" max="12" width="15" style="490" customWidth="1"/>
    <col min="13" max="13" width="11.88671875" style="490" customWidth="1"/>
    <col min="14" max="24" width="9.109375" style="490" customWidth="1"/>
    <col min="25" max="25" width="9.109375" style="297" customWidth="1"/>
    <col min="26" max="26" width="36.88671875" style="549" hidden="1" customWidth="1"/>
    <col min="27" max="16384" width="9.109375" style="490"/>
  </cols>
  <sheetData>
    <row r="1" spans="1:78" x14ac:dyDescent="0.3">
      <c r="A1" s="491" t="s">
        <v>711</v>
      </c>
      <c r="B1" s="492"/>
      <c r="C1" s="492"/>
      <c r="D1" s="492"/>
      <c r="E1" s="493" t="s">
        <v>712</v>
      </c>
      <c r="F1" s="493">
        <v>2021</v>
      </c>
      <c r="G1" s="1216"/>
      <c r="H1" s="1217"/>
      <c r="I1" s="494"/>
      <c r="Z1" s="542" t="s">
        <v>963</v>
      </c>
    </row>
    <row r="2" spans="1:78" ht="98.25" customHeight="1" x14ac:dyDescent="0.3">
      <c r="A2" s="495" t="s">
        <v>770</v>
      </c>
      <c r="B2" s="1218" t="str">
        <f>'Unit Data from Audit Worksheet'!D2</f>
        <v>Select Unit Name from Drop Down List</v>
      </c>
      <c r="C2" s="1218"/>
      <c r="D2" s="1218"/>
      <c r="E2" s="1222" t="s">
        <v>1209</v>
      </c>
      <c r="F2" s="1222"/>
      <c r="G2" s="1222"/>
      <c r="H2" s="1219" t="s">
        <v>969</v>
      </c>
      <c r="I2" s="496"/>
      <c r="J2" s="497"/>
      <c r="K2" s="498"/>
      <c r="Z2" s="162"/>
    </row>
    <row r="3" spans="1:78" ht="38.25" customHeight="1" x14ac:dyDescent="0.3">
      <c r="A3" s="499" t="s">
        <v>713</v>
      </c>
      <c r="B3" s="1221" t="e">
        <f>'Unit Data from Audit Worksheet'!D3</f>
        <v>#N/A</v>
      </c>
      <c r="C3" s="1221"/>
      <c r="D3" s="1221"/>
      <c r="E3" s="1223"/>
      <c r="F3" s="1223"/>
      <c r="G3" s="1223"/>
      <c r="H3" s="1220"/>
      <c r="I3" s="494"/>
      <c r="K3" s="500" t="s">
        <v>747</v>
      </c>
      <c r="Z3" s="162"/>
    </row>
    <row r="4" spans="1:78" ht="106.5" customHeight="1" x14ac:dyDescent="0.3">
      <c r="A4" s="556"/>
      <c r="B4" s="557">
        <v>2019</v>
      </c>
      <c r="C4" s="557">
        <v>2020</v>
      </c>
      <c r="D4" s="557">
        <v>2021</v>
      </c>
      <c r="E4" s="558" t="s">
        <v>967</v>
      </c>
      <c r="F4" s="557" t="s">
        <v>718</v>
      </c>
      <c r="G4" s="559"/>
      <c r="H4" s="557" t="s">
        <v>714</v>
      </c>
      <c r="I4" s="558" t="s">
        <v>1008</v>
      </c>
      <c r="J4" s="501"/>
      <c r="Z4" s="162"/>
    </row>
    <row r="5" spans="1:78" x14ac:dyDescent="0.3">
      <c r="A5" s="552" t="s">
        <v>412</v>
      </c>
      <c r="B5" s="553"/>
      <c r="C5" s="553"/>
      <c r="D5" s="553"/>
      <c r="E5" s="554"/>
      <c r="F5" s="551"/>
      <c r="G5" s="554"/>
      <c r="H5" s="553"/>
      <c r="I5" s="555"/>
      <c r="J5" s="501"/>
      <c r="K5" s="503">
        <f>+(Import!$L$72+Import!$L$77+Import!$L$74-Import!$L$75-Import!$L$76)</f>
        <v>0</v>
      </c>
      <c r="L5" s="490" t="s">
        <v>779</v>
      </c>
      <c r="Z5" s="544"/>
    </row>
    <row r="6" spans="1:78" ht="143.25" customHeight="1" x14ac:dyDescent="0.3">
      <c r="A6" s="394" t="s">
        <v>539</v>
      </c>
      <c r="B6" s="390" t="e">
        <f>HLOOKUP($B$3,'2019 Data(H)'!$E$2:$CZ$299,290,FALSE)</f>
        <v>#N/A</v>
      </c>
      <c r="C6" s="390" t="e">
        <f>HLOOKUP($B$2,'2020 Data(H)'!$E$1:$AR$426,339,FALSE)</f>
        <v>#N/A</v>
      </c>
      <c r="D6" s="390" t="str">
        <f>IFERROR((Import!$L$52+Import!$L$53-Import!$L$57-Import!$L$58-Import!$L$230-Import!$L$62+Import!$L$89)/(Import!$L$72+Import!$L$77+Import!$L$74-Import!$L$75-Import!$L$76),"")</f>
        <v/>
      </c>
      <c r="E6" s="529" t="b">
        <f>IF(K5&gt;10000000,"25% -- Average of similar units is 46%",IF(K5&gt;999999,"34% -- Average of similar units is 63%",IF(K5&gt;99999,"71% -- Average of similar units is 132%",IF(K5&gt;1,"100 %-- Average of similar units is 260%"))))</f>
        <v>0</v>
      </c>
      <c r="F6" s="927"/>
      <c r="G6" s="936" t="s">
        <v>1170</v>
      </c>
      <c r="H6" s="916" t="s">
        <v>1210</v>
      </c>
      <c r="I6" s="528"/>
      <c r="J6" s="501"/>
      <c r="K6" s="504" t="b">
        <f>IF($K$5&gt;10000000,"25%",IF($K$5&gt;999999,"34%",IF($K$5&gt;99999,"71%",IF($K$5&gt;1,"100%"))))</f>
        <v>0</v>
      </c>
      <c r="L6" s="505" t="e">
        <f>+D6-K6</f>
        <v>#VALUE!</v>
      </c>
      <c r="Z6" s="162" t="s">
        <v>964</v>
      </c>
    </row>
    <row r="7" spans="1:78" ht="22.5" customHeight="1" x14ac:dyDescent="0.3">
      <c r="A7" s="394"/>
      <c r="B7" s="392"/>
      <c r="C7" s="392"/>
      <c r="D7" s="392"/>
      <c r="E7" s="529"/>
      <c r="F7" s="393"/>
      <c r="G7" s="527"/>
      <c r="H7" s="525"/>
      <c r="I7" s="945"/>
      <c r="J7" s="501"/>
      <c r="K7" s="530"/>
      <c r="L7" s="505"/>
      <c r="Z7" s="162"/>
    </row>
    <row r="8" spans="1:78" ht="137.25" customHeight="1" x14ac:dyDescent="0.3">
      <c r="A8" s="925" t="s">
        <v>1215</v>
      </c>
      <c r="B8" s="926" t="e">
        <f>HLOOKUP($B$3,'2019 Data(H)'!$E$2:$CZ$299,290,FALSE)</f>
        <v>#N/A</v>
      </c>
      <c r="C8" s="926" t="e">
        <f>HLOOKUP($B$2,'2020 Data(H)'!$E$1:$AR$426,339,FALSE)</f>
        <v>#N/A</v>
      </c>
      <c r="D8" s="926" t="str">
        <f>IFERROR((Import!$L$52+Import!$L$53-Import!$L$57-Import!$L$58-Import!$L$230-Import!$L$62+Import!$L$89)/(Import!$L$72+Import!$L$77+Import!$L$74-Import!$L$75-Import!$L$76),"")</f>
        <v/>
      </c>
      <c r="E8" s="942" t="str">
        <f>IF($K$5&gt;99999999,"16%--Median of simiar units is 32%","20%--Median of similar units is 39%")</f>
        <v>20%--Median of similar units is 39%</v>
      </c>
      <c r="F8" s="927"/>
      <c r="G8" s="937" t="s">
        <v>719</v>
      </c>
      <c r="H8" s="938" t="s">
        <v>938</v>
      </c>
      <c r="I8" s="928"/>
      <c r="J8" s="501"/>
      <c r="K8" s="545">
        <f>IF($K$5&gt;99999999,16%,20%)</f>
        <v>0.2</v>
      </c>
      <c r="L8" s="505" t="e">
        <f>+D8-K8</f>
        <v>#VALUE!</v>
      </c>
      <c r="Z8" s="162" t="s">
        <v>1171</v>
      </c>
    </row>
    <row r="9" spans="1:78" ht="120" customHeight="1" x14ac:dyDescent="0.3">
      <c r="A9" s="924" t="s">
        <v>1217</v>
      </c>
      <c r="B9" s="1076" t="e">
        <f>HLOOKUP($B$3,'2019 Data(H)'!$E$2:$CZ$299,290,FALSE)</f>
        <v>#N/A</v>
      </c>
      <c r="C9" s="926" t="e">
        <f>HLOOKUP($B$2,'2020 Data(H)'!$E$1:$AR$426,339,FALSE)</f>
        <v>#N/A</v>
      </c>
      <c r="D9" s="926" t="str">
        <f>IFERROR((Import!$L$52+Import!$L$53-Import!$L$57-Import!$L$58-Import!$L$230-Import!$L$62+Import!$L$89)/(Import!$L$72+Import!$L$77+Import!$L$74-Import!$L$75-Import!$L$76),"")</f>
        <v/>
      </c>
      <c r="E9" s="942">
        <v>0.08</v>
      </c>
      <c r="F9" s="927" t="str">
        <f>+K9</f>
        <v/>
      </c>
      <c r="G9" s="937" t="s">
        <v>719</v>
      </c>
      <c r="H9" s="938" t="s">
        <v>1212</v>
      </c>
      <c r="I9" s="524"/>
      <c r="J9" s="501"/>
      <c r="K9" s="926" t="str">
        <f>+IF(D9&gt;7.9999%,D9,"Less than 8%")</f>
        <v/>
      </c>
      <c r="L9" s="505"/>
      <c r="Z9" s="162"/>
    </row>
    <row r="10" spans="1:78" ht="152.25" customHeight="1" thickBot="1" x14ac:dyDescent="0.35">
      <c r="A10" s="924" t="s">
        <v>740</v>
      </c>
      <c r="B10" s="556"/>
      <c r="C10" s="556"/>
      <c r="D10" s="929">
        <f>+Import!L65</f>
        <v>0</v>
      </c>
      <c r="E10" s="930"/>
      <c r="F10" s="929">
        <f>+D10</f>
        <v>0</v>
      </c>
      <c r="G10" s="535" t="s">
        <v>741</v>
      </c>
      <c r="H10" s="535" t="s">
        <v>940</v>
      </c>
      <c r="I10" s="523"/>
      <c r="J10" s="501"/>
      <c r="Z10" s="162" t="s">
        <v>1172</v>
      </c>
    </row>
    <row r="11" spans="1:78" ht="78" customHeight="1" x14ac:dyDescent="0.3">
      <c r="A11" s="543" t="s">
        <v>414</v>
      </c>
      <c r="B11" s="290">
        <f>+B4</f>
        <v>2019</v>
      </c>
      <c r="C11" s="290">
        <f>+C4</f>
        <v>2020</v>
      </c>
      <c r="D11" s="290">
        <f>+D4</f>
        <v>2021</v>
      </c>
      <c r="E11" s="509"/>
      <c r="F11" s="510"/>
      <c r="G11" s="1224" t="s">
        <v>968</v>
      </c>
      <c r="H11" s="1225"/>
      <c r="I11" s="526"/>
      <c r="J11" s="501"/>
      <c r="K11" s="511" t="e">
        <f>HLOOKUP($B$3,'2019 Data(H)'!$E$2:$CZ$305,244,FALSE)</f>
        <v>#N/A</v>
      </c>
      <c r="L11" s="511" t="e">
        <f>HLOOKUP(B3,'2020 Data(H)'!E2:AR350,244,FALSE)</f>
        <v>#N/A</v>
      </c>
      <c r="M11" s="511" t="e">
        <f>Import!L268</f>
        <v>#N/A</v>
      </c>
      <c r="N11" s="512"/>
      <c r="O11" s="512"/>
      <c r="P11" s="512"/>
      <c r="Q11" s="512"/>
      <c r="R11" s="512"/>
      <c r="S11" s="512"/>
      <c r="T11" s="512"/>
      <c r="U11" s="512"/>
      <c r="V11" s="512"/>
      <c r="W11" s="512"/>
      <c r="X11" s="512"/>
      <c r="Z11" s="162"/>
      <c r="AA11" s="512"/>
      <c r="AB11" s="512"/>
      <c r="AC11" s="512"/>
      <c r="AD11" s="512"/>
      <c r="AE11" s="512"/>
      <c r="AF11" s="512"/>
      <c r="AG11" s="512"/>
      <c r="AH11" s="512"/>
      <c r="AI11" s="512"/>
      <c r="AJ11" s="512"/>
      <c r="AK11" s="512"/>
      <c r="AL11" s="512"/>
      <c r="AM11" s="512"/>
      <c r="AN11" s="512"/>
      <c r="AO11" s="512"/>
      <c r="AP11" s="512"/>
      <c r="AQ11" s="512"/>
      <c r="AR11" s="512"/>
      <c r="AS11" s="512"/>
      <c r="AT11" s="512"/>
      <c r="AU11" s="512"/>
      <c r="AV11" s="512"/>
      <c r="AW11" s="512"/>
      <c r="AX11" s="512"/>
      <c r="AY11" s="512"/>
      <c r="AZ11" s="512"/>
      <c r="BA11" s="512"/>
      <c r="BB11" s="512"/>
      <c r="BC11" s="512"/>
      <c r="BD11" s="512"/>
      <c r="BE11" s="512"/>
      <c r="BF11" s="512"/>
      <c r="BG11" s="512"/>
      <c r="BH11" s="512"/>
      <c r="BI11" s="512"/>
      <c r="BJ11" s="512"/>
      <c r="BK11" s="512"/>
      <c r="BL11" s="512"/>
      <c r="BM11" s="512"/>
      <c r="BN11" s="512"/>
      <c r="BO11" s="512"/>
      <c r="BP11" s="512"/>
      <c r="BQ11" s="512"/>
      <c r="BR11" s="512"/>
      <c r="BS11" s="512"/>
      <c r="BT11" s="512"/>
      <c r="BU11" s="512"/>
      <c r="BV11" s="512"/>
      <c r="BW11" s="512"/>
      <c r="BX11" s="512"/>
      <c r="BY11" s="512"/>
      <c r="BZ11" s="512"/>
    </row>
    <row r="12" spans="1:78" ht="119.4" customHeight="1" x14ac:dyDescent="0.3">
      <c r="A12" s="398" t="s">
        <v>411</v>
      </c>
      <c r="B12" s="533" t="e">
        <f>IF(K11=0,"Not Applicable",(K12))</f>
        <v>#N/A</v>
      </c>
      <c r="C12" s="533" t="e">
        <f>IF(L11=0,"Not Applicable",(L12))</f>
        <v>#N/A</v>
      </c>
      <c r="D12" s="533" t="e">
        <f>IF(M11=0,"Not Applicable",M12)</f>
        <v>#N/A</v>
      </c>
      <c r="E12" s="534" t="s">
        <v>715</v>
      </c>
      <c r="F12" s="919" t="str">
        <f>M12</f>
        <v/>
      </c>
      <c r="G12" s="534" t="s">
        <v>720</v>
      </c>
      <c r="H12" s="535" t="s">
        <v>743</v>
      </c>
      <c r="I12" s="528"/>
      <c r="J12" s="501"/>
      <c r="K12" s="511" t="e">
        <f>HLOOKUP($B$3,'2019 Data(H)'!$E$2:$CZ$305,299,FALSE)</f>
        <v>#N/A</v>
      </c>
      <c r="L12" s="511" t="e">
        <f>HLOOKUP(B2,'2020 Data(H)'!E1:U426,347,FALSE)</f>
        <v>#N/A</v>
      </c>
      <c r="M12" s="513" t="str">
        <f>IFERROR((Import!$L$120-Import!$L$121-Import!$L$118-Import!$L$119)/(Import!$L$124-Import!$L$125-Import!$L$126-Import!$L$127-Import!$L$128-Import!$L$129-Import!$L$123),"")</f>
        <v/>
      </c>
      <c r="Z12" s="162" t="s">
        <v>965</v>
      </c>
    </row>
    <row r="13" spans="1:78" ht="69.599999999999994" customHeight="1" x14ac:dyDescent="0.3">
      <c r="A13" s="398" t="s">
        <v>749</v>
      </c>
      <c r="B13" s="536" t="e">
        <f>IF(K11=0,"Not Applicable",K13)</f>
        <v>#N/A</v>
      </c>
      <c r="C13" s="396" t="e">
        <f>IF(L11=0,"Not Applicable",L13)</f>
        <v>#N/A</v>
      </c>
      <c r="D13" s="537" t="e">
        <f>IF(M11=0,"Not Applicable",M13)</f>
        <v>#N/A</v>
      </c>
      <c r="E13" s="534" t="s">
        <v>972</v>
      </c>
      <c r="F13" s="920" t="e">
        <f>D13</f>
        <v>#N/A</v>
      </c>
      <c r="G13" s="534" t="s">
        <v>750</v>
      </c>
      <c r="H13" s="535" t="s">
        <v>744</v>
      </c>
      <c r="I13" s="528"/>
      <c r="J13" s="501"/>
      <c r="K13" s="268" t="e">
        <f>HLOOKUP(B3,'2019 Data(H)'!E2:CB305,300,FALSE)</f>
        <v>#N/A</v>
      </c>
      <c r="L13" s="268" t="e">
        <f>HLOOKUP(B2,'2020 Data(H)'!F1:AR426,348,FALSE)</f>
        <v>#N/A</v>
      </c>
      <c r="M13" s="912">
        <f>+Import!$L$153-Import!$L$155+Import!$L$154-Import!$L$182</f>
        <v>0</v>
      </c>
      <c r="Z13" s="162" t="s">
        <v>965</v>
      </c>
    </row>
    <row r="14" spans="1:78" ht="109.95" customHeight="1" x14ac:dyDescent="0.3">
      <c r="A14" s="398" t="s">
        <v>764</v>
      </c>
      <c r="B14" s="397" t="e">
        <f>IF(K11=0,"Not Applicable",K14)</f>
        <v>#N/A</v>
      </c>
      <c r="C14" s="397" t="e">
        <f>IF(L11=0,"Not Applicable",L14)</f>
        <v>#N/A</v>
      </c>
      <c r="D14" s="397" t="e">
        <f>IF(M11=0,"Not Applicable",M14)</f>
        <v>#N/A</v>
      </c>
      <c r="E14" s="534" t="s">
        <v>1206</v>
      </c>
      <c r="F14" s="391" t="e">
        <f>D14</f>
        <v>#N/A</v>
      </c>
      <c r="G14" s="534" t="s">
        <v>751</v>
      </c>
      <c r="H14" s="535" t="s">
        <v>939</v>
      </c>
      <c r="I14" s="528"/>
      <c r="J14" s="501"/>
      <c r="K14" s="269" t="e">
        <f>HLOOKUP(B3,'2019 Data(H)'!E2:CZ305,301,FALSE)</f>
        <v>#N/A</v>
      </c>
      <c r="L14" s="269" t="e">
        <f>HLOOKUP(B2,'2020 Data(H)'!F1:AR426,349,FALSE)</f>
        <v>#N/A</v>
      </c>
      <c r="M14" s="269" t="str">
        <f>IFERROR(Import!L116/(Import!L155+Import!L158-Import!L154+Import!L182),"")</f>
        <v/>
      </c>
      <c r="Z14" s="162" t="s">
        <v>965</v>
      </c>
    </row>
    <row r="15" spans="1:78" ht="99.75" customHeight="1" thickBot="1" x14ac:dyDescent="0.35">
      <c r="A15" s="1214" t="s">
        <v>1207</v>
      </c>
      <c r="B15" s="1215"/>
      <c r="C15" s="1215"/>
      <c r="D15" s="913" t="str">
        <f>IF(K15&lt;0,"Yes","No")</f>
        <v>No</v>
      </c>
      <c r="E15" s="944"/>
      <c r="F15" s="914" t="str">
        <f>D15</f>
        <v>No</v>
      </c>
      <c r="G15" s="531" t="s">
        <v>1208</v>
      </c>
      <c r="H15" s="538" t="s">
        <v>745</v>
      </c>
      <c r="I15" s="532"/>
      <c r="J15" s="501"/>
      <c r="K15" s="289">
        <f>((Import!L158+Import!L155)*0.03)-Import!L161</f>
        <v>0</v>
      </c>
      <c r="Z15" s="162" t="s">
        <v>965</v>
      </c>
    </row>
    <row r="16" spans="1:78" ht="37.5" customHeight="1" thickBot="1" x14ac:dyDescent="0.35">
      <c r="A16" s="288"/>
      <c r="B16" s="506"/>
      <c r="C16" s="506"/>
      <c r="D16" s="506"/>
      <c r="E16" s="507"/>
      <c r="F16" s="506"/>
      <c r="G16" s="508"/>
      <c r="H16" s="506"/>
      <c r="I16" s="506"/>
      <c r="Z16" s="546"/>
    </row>
    <row r="17" spans="1:26" ht="116.25" customHeight="1" thickBot="1" x14ac:dyDescent="0.35">
      <c r="A17" s="502" t="s">
        <v>413</v>
      </c>
      <c r="B17" s="291">
        <f>+B4</f>
        <v>2019</v>
      </c>
      <c r="C17" s="291">
        <f>+C4</f>
        <v>2020</v>
      </c>
      <c r="D17" s="291">
        <f>+D4</f>
        <v>2021</v>
      </c>
      <c r="E17" s="514"/>
      <c r="F17" s="515"/>
      <c r="G17" s="550" t="s">
        <v>763</v>
      </c>
      <c r="H17" s="917" t="s">
        <v>742</v>
      </c>
      <c r="I17" s="516"/>
      <c r="J17" s="501"/>
      <c r="K17" s="511" t="e">
        <f>HLOOKUP(B3,'2019 Data(H)'!E2:CZ310,243,FALSE)</f>
        <v>#N/A</v>
      </c>
      <c r="L17" s="271" t="e">
        <f>HLOOKUP(B3,'2020 Data(H)'!E2:AR350,243,FALSE)</f>
        <v>#N/A</v>
      </c>
      <c r="M17" s="517" t="e">
        <f>+Import!L267</f>
        <v>#N/A</v>
      </c>
      <c r="Z17" s="544"/>
    </row>
    <row r="18" spans="1:26" ht="78" customHeight="1" x14ac:dyDescent="0.3">
      <c r="A18" s="292" t="s">
        <v>411</v>
      </c>
      <c r="B18" s="518" t="e">
        <f>IF(K17=0,"Not Applicable",K18)</f>
        <v>#N/A</v>
      </c>
      <c r="C18" s="518" t="e">
        <f>IF(L17=0,"Not Applicable",L18)</f>
        <v>#N/A</v>
      </c>
      <c r="D18" s="518" t="e">
        <f>IF(M17=0,"Not Applicable",M18)</f>
        <v>#N/A</v>
      </c>
      <c r="E18" s="534" t="s">
        <v>715</v>
      </c>
      <c r="F18" s="921" t="str">
        <f>+M18</f>
        <v/>
      </c>
      <c r="G18" s="932" t="s">
        <v>753</v>
      </c>
      <c r="H18" s="933" t="s">
        <v>743</v>
      </c>
      <c r="I18" s="528"/>
      <c r="J18" s="501"/>
      <c r="K18" s="271" t="e">
        <f>HLOOKUP(B3,'2019 Data(H)'!E2:CZ310,302,FALSE)</f>
        <v>#N/A</v>
      </c>
      <c r="L18" s="511" t="e">
        <f>HLOOKUP(B2,'2020 Data(H)'!F1:AR426,350,FALSE)</f>
        <v>#N/A</v>
      </c>
      <c r="M18" s="511" t="str">
        <f>IFERROR((Import!L138-Import!L139-Import!L137-Import!L136)/(Import!L143-Import!L144-Import!L145-Import!L146-Import!L147-Import!L148-Import!L142),"")</f>
        <v/>
      </c>
      <c r="Z18" s="547" t="s">
        <v>966</v>
      </c>
    </row>
    <row r="19" spans="1:26" ht="60.75" customHeight="1" x14ac:dyDescent="0.3">
      <c r="A19" s="285" t="s">
        <v>749</v>
      </c>
      <c r="B19" s="378" t="e">
        <f>IF(K17=0,"Not Applicable",K19)</f>
        <v>#N/A</v>
      </c>
      <c r="C19" s="378" t="e">
        <f>IF(L17=0,"Not Applicable",L19)</f>
        <v>#N/A</v>
      </c>
      <c r="D19" s="378" t="e">
        <f>IF(M17=0,"Not Applicable",M19)</f>
        <v>#N/A</v>
      </c>
      <c r="E19" s="534" t="s">
        <v>972</v>
      </c>
      <c r="F19" s="922" t="e">
        <f>D19</f>
        <v>#N/A</v>
      </c>
      <c r="G19" s="932" t="s">
        <v>752</v>
      </c>
      <c r="H19" s="933" t="s">
        <v>744</v>
      </c>
      <c r="I19" s="528"/>
      <c r="J19" s="501"/>
      <c r="K19" s="268" t="e">
        <f>HLOOKUP(B3,'2019 Data(H)'!E2:CZ310,303,FALSE)</f>
        <v>#N/A</v>
      </c>
      <c r="L19" s="268" t="e">
        <f>HLOOKUP(B2,'2020 Data(H)'!F1:AR426,351,FALSE)</f>
        <v>#N/A</v>
      </c>
      <c r="M19" s="268">
        <f>+Import!L168-Import!L171+Import!L170-Import!L185</f>
        <v>0</v>
      </c>
      <c r="Z19" s="547" t="s">
        <v>966</v>
      </c>
    </row>
    <row r="20" spans="1:26" ht="88.5" customHeight="1" thickBot="1" x14ac:dyDescent="0.35">
      <c r="A20" s="293" t="s">
        <v>764</v>
      </c>
      <c r="B20" s="379" t="e">
        <f>IF(K17=0,"Not Applicable",K20)</f>
        <v>#N/A</v>
      </c>
      <c r="C20" s="379" t="e">
        <f>IF(L17=0,"Not Applicable",L20)</f>
        <v>#N/A</v>
      </c>
      <c r="D20" s="379" t="e">
        <f>IF(M17=0,"Not Applicable",M20)</f>
        <v>#N/A</v>
      </c>
      <c r="E20" s="943" t="s">
        <v>1206</v>
      </c>
      <c r="F20" s="923" t="str">
        <f>+M20</f>
        <v/>
      </c>
      <c r="G20" s="935" t="s">
        <v>754</v>
      </c>
      <c r="H20" s="934" t="s">
        <v>939</v>
      </c>
      <c r="I20" s="532"/>
      <c r="J20" s="501"/>
      <c r="K20" s="269" t="e">
        <f>HLOOKUP(B3,'2019 Data(H)'!E2:CZ310,304,FALSE)</f>
        <v>#N/A</v>
      </c>
      <c r="L20" s="269" t="e">
        <f>HLOOKUP(B2,'2020 Data(H)'!F1:AR426,352,FALSE)</f>
        <v>#N/A</v>
      </c>
      <c r="M20" s="269" t="str">
        <f>IFERROR(Import!L134/(Import!L174+Import!L171-Import!L170+Import!L185),"")</f>
        <v/>
      </c>
      <c r="Z20" s="547" t="s">
        <v>966</v>
      </c>
    </row>
    <row r="21" spans="1:26" ht="15.75" customHeight="1" x14ac:dyDescent="0.3">
      <c r="A21" s="399"/>
      <c r="B21" s="400"/>
      <c r="C21" s="400"/>
      <c r="D21" s="400"/>
      <c r="E21" s="539"/>
      <c r="F21" s="540"/>
      <c r="G21" s="541"/>
      <c r="H21" s="541"/>
      <c r="I21" s="940"/>
      <c r="J21" s="501"/>
      <c r="K21" s="269"/>
      <c r="L21" s="269"/>
      <c r="M21" s="269"/>
      <c r="Z21" s="547"/>
    </row>
    <row r="22" spans="1:26" ht="50.25" customHeight="1" x14ac:dyDescent="0.3">
      <c r="A22" s="941" t="s">
        <v>970</v>
      </c>
      <c r="B22" s="400"/>
      <c r="C22" s="400"/>
      <c r="D22" s="400"/>
      <c r="E22" s="539"/>
      <c r="F22" s="540"/>
      <c r="G22" s="541"/>
      <c r="H22" s="541"/>
      <c r="I22" s="940"/>
      <c r="J22" s="501"/>
      <c r="K22" s="269"/>
      <c r="L22" s="269"/>
      <c r="M22" s="269"/>
      <c r="Z22" s="547"/>
    </row>
    <row r="23" spans="1:26" ht="88.5" customHeight="1" x14ac:dyDescent="0.3">
      <c r="A23" s="395" t="s">
        <v>411</v>
      </c>
      <c r="B23" s="401"/>
      <c r="C23" s="401"/>
      <c r="D23" s="947" t="str">
        <f>+M23</f>
        <v/>
      </c>
      <c r="E23" s="534" t="s">
        <v>715</v>
      </c>
      <c r="F23" s="946" t="str">
        <f>+M23</f>
        <v/>
      </c>
      <c r="G23" s="535" t="s">
        <v>1213</v>
      </c>
      <c r="H23" s="535" t="s">
        <v>743</v>
      </c>
      <c r="I23" s="524"/>
      <c r="J23" s="501"/>
      <c r="K23" s="269">
        <v>1000</v>
      </c>
      <c r="L23" s="269"/>
      <c r="M23" s="939" t="str">
        <f>IFERROR((+Import!L94-Import!L93)/Import!L95,"")</f>
        <v/>
      </c>
      <c r="Z23" s="547" t="s">
        <v>971</v>
      </c>
    </row>
    <row r="24" spans="1:26" x14ac:dyDescent="0.3">
      <c r="A24" s="286"/>
      <c r="B24" s="519"/>
      <c r="C24" s="519"/>
      <c r="D24" s="519"/>
      <c r="E24" s="520"/>
      <c r="F24" s="519"/>
      <c r="G24" s="521"/>
      <c r="H24" s="519"/>
      <c r="I24" s="519"/>
      <c r="M24" s="275"/>
      <c r="Z24" s="548"/>
    </row>
    <row r="25" spans="1:26" x14ac:dyDescent="0.3">
      <c r="A25" s="522" t="s">
        <v>716</v>
      </c>
      <c r="B25" s="287"/>
      <c r="C25" s="287"/>
      <c r="D25" s="287">
        <f>+D4</f>
        <v>2021</v>
      </c>
      <c r="E25" s="284" t="s">
        <v>1214</v>
      </c>
      <c r="F25" s="506"/>
      <c r="G25" s="284"/>
      <c r="H25" s="283" t="s">
        <v>714</v>
      </c>
      <c r="I25" s="492"/>
    </row>
  </sheetData>
  <sheetProtection algorithmName="SHA-512" hashValue="br6lLjEgPt3u3RAydJjb7muipyo07Qm/cTs9iTQSWXVnNbgM+ddhM7KVt8ZiTmbmk3T8BSYpier8mVbhp+dUGg==" saltValue="RpdBwlWlVDkmbwuYgAXRVg=="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A2" sqref="A2:H2"/>
    </sheetView>
  </sheetViews>
  <sheetFormatPr defaultColWidth="9.109375" defaultRowHeight="14.4" x14ac:dyDescent="0.3"/>
  <cols>
    <col min="1" max="1" width="9.109375" style="297"/>
    <col min="2" max="2" width="10.44140625" style="297" bestFit="1" customWidth="1"/>
    <col min="3" max="3" width="29.88671875" style="297" customWidth="1"/>
    <col min="4" max="4" width="40.5546875" style="297" customWidth="1"/>
    <col min="5" max="5" width="3.6640625" style="297" customWidth="1"/>
    <col min="6" max="6" width="13.44140625" style="297" customWidth="1"/>
    <col min="7" max="7" width="3.5546875" style="297" customWidth="1"/>
    <col min="8" max="8" width="14.109375" style="297" customWidth="1"/>
    <col min="9" max="16384" width="9.109375" style="297"/>
  </cols>
  <sheetData>
    <row r="2" spans="1:8" ht="54.75" customHeight="1" x14ac:dyDescent="0.3">
      <c r="A2" s="1229" t="s">
        <v>112</v>
      </c>
      <c r="B2" s="1229"/>
      <c r="C2" s="1229"/>
      <c r="D2" s="1229"/>
      <c r="E2" s="1229"/>
      <c r="F2" s="451"/>
      <c r="G2" s="451"/>
      <c r="H2" s="452"/>
    </row>
    <row r="4" spans="1:8" ht="15.6" x14ac:dyDescent="0.3">
      <c r="A4" s="452"/>
      <c r="B4" s="453" t="str">
        <f>'Unit Data from Audit Worksheet'!D2</f>
        <v>Select Unit Name from Drop Down List</v>
      </c>
      <c r="C4" s="454"/>
      <c r="D4" s="19"/>
      <c r="E4" s="20"/>
      <c r="F4" s="455">
        <f>'Unit Data from Audit Worksheet'!F5</f>
        <v>2021</v>
      </c>
      <c r="G4" s="452"/>
      <c r="H4" s="455">
        <f>'Unit Data from Audit Worksheet'!F5</f>
        <v>2021</v>
      </c>
    </row>
    <row r="5" spans="1:8" ht="41.4" x14ac:dyDescent="0.4">
      <c r="A5" s="456"/>
      <c r="B5" s="457" t="s">
        <v>72</v>
      </c>
      <c r="C5" s="456"/>
      <c r="D5" s="456"/>
      <c r="E5" s="456"/>
      <c r="F5" s="455" t="s">
        <v>73</v>
      </c>
      <c r="G5" s="456"/>
      <c r="H5" s="458" t="s">
        <v>74</v>
      </c>
    </row>
    <row r="6" spans="1:8" x14ac:dyDescent="0.3">
      <c r="A6" s="452"/>
      <c r="B6" s="459" t="s">
        <v>75</v>
      </c>
      <c r="C6" s="452"/>
      <c r="D6" s="460"/>
      <c r="E6" s="460"/>
      <c r="F6" s="460"/>
      <c r="G6" s="460"/>
      <c r="H6" s="460"/>
    </row>
    <row r="7" spans="1:8" x14ac:dyDescent="0.3">
      <c r="A7" s="452"/>
      <c r="B7" s="460" t="s">
        <v>76</v>
      </c>
      <c r="C7" s="452"/>
      <c r="D7" s="460"/>
      <c r="E7" s="460" t="s">
        <v>31</v>
      </c>
      <c r="F7" s="461">
        <f>Import!L52</f>
        <v>0</v>
      </c>
      <c r="G7" s="462"/>
      <c r="H7" s="461">
        <f>F7</f>
        <v>0</v>
      </c>
    </row>
    <row r="8" spans="1:8" ht="44.25" customHeight="1" x14ac:dyDescent="0.3">
      <c r="A8" s="452"/>
      <c r="B8" s="1226" t="s">
        <v>77</v>
      </c>
      <c r="C8" s="1226"/>
      <c r="D8" s="1226"/>
      <c r="E8" s="460" t="s">
        <v>31</v>
      </c>
      <c r="F8" s="463">
        <f>Import!L53</f>
        <v>0</v>
      </c>
      <c r="G8" s="464"/>
      <c r="H8" s="464"/>
    </row>
    <row r="9" spans="1:8" x14ac:dyDescent="0.3">
      <c r="A9" s="452"/>
      <c r="B9" s="452"/>
      <c r="C9" s="460" t="s">
        <v>181</v>
      </c>
      <c r="D9" s="452"/>
      <c r="E9" s="460" t="s">
        <v>31</v>
      </c>
      <c r="F9" s="465">
        <f>Import!L57</f>
        <v>0</v>
      </c>
      <c r="G9" s="464"/>
      <c r="H9" s="450">
        <f>F9</f>
        <v>0</v>
      </c>
    </row>
    <row r="10" spans="1:8" x14ac:dyDescent="0.3">
      <c r="A10" s="452"/>
      <c r="B10" s="452"/>
      <c r="C10" s="460" t="s">
        <v>78</v>
      </c>
      <c r="D10" s="452"/>
      <c r="E10" s="460" t="s">
        <v>31</v>
      </c>
      <c r="F10" s="450">
        <f>Import!L230</f>
        <v>0</v>
      </c>
      <c r="G10" s="464"/>
      <c r="H10" s="450">
        <f>F10</f>
        <v>0</v>
      </c>
    </row>
    <row r="11" spans="1:8" x14ac:dyDescent="0.3">
      <c r="A11" s="452"/>
      <c r="B11" s="452"/>
      <c r="C11" s="460" t="s">
        <v>79</v>
      </c>
      <c r="D11" s="452"/>
      <c r="E11" s="460" t="s">
        <v>31</v>
      </c>
      <c r="F11" s="466">
        <f>Import!L58</f>
        <v>0</v>
      </c>
      <c r="G11" s="467"/>
      <c r="H11" s="466">
        <f>F11</f>
        <v>0</v>
      </c>
    </row>
    <row r="12" spans="1:8" x14ac:dyDescent="0.3">
      <c r="A12" s="452"/>
      <c r="B12" s="21" t="s">
        <v>80</v>
      </c>
      <c r="C12" s="468" t="s">
        <v>81</v>
      </c>
      <c r="D12" s="469"/>
      <c r="E12" s="470" t="s">
        <v>31</v>
      </c>
      <c r="F12" s="471">
        <f>F7+F8-SUM(F9:F11)</f>
        <v>0</v>
      </c>
      <c r="G12" s="472"/>
      <c r="H12" s="471">
        <f>H7+H8-SUM(H9:H11)</f>
        <v>0</v>
      </c>
    </row>
    <row r="13" spans="1:8" x14ac:dyDescent="0.3">
      <c r="A13" s="452"/>
      <c r="B13" s="452"/>
      <c r="C13" s="460"/>
      <c r="D13" s="460"/>
      <c r="E13" s="460" t="s">
        <v>31</v>
      </c>
      <c r="F13" s="460"/>
      <c r="G13" s="460"/>
      <c r="H13" s="460"/>
    </row>
    <row r="14" spans="1:8" x14ac:dyDescent="0.3">
      <c r="A14" s="452"/>
      <c r="B14" s="460" t="s">
        <v>82</v>
      </c>
      <c r="C14" s="452"/>
      <c r="D14" s="460"/>
      <c r="E14" s="460" t="s">
        <v>31</v>
      </c>
      <c r="F14" s="473">
        <f>Import!L65</f>
        <v>0</v>
      </c>
      <c r="G14" s="460"/>
      <c r="H14" s="460"/>
    </row>
    <row r="15" spans="1:8" x14ac:dyDescent="0.3">
      <c r="A15" s="452"/>
      <c r="B15" s="460" t="s">
        <v>83</v>
      </c>
      <c r="C15" s="452"/>
      <c r="D15" s="460"/>
      <c r="E15" s="460" t="s">
        <v>31</v>
      </c>
      <c r="F15" s="474">
        <f>F14-F12</f>
        <v>0</v>
      </c>
      <c r="G15" s="460"/>
      <c r="H15" s="460"/>
    </row>
    <row r="16" spans="1:8" x14ac:dyDescent="0.3">
      <c r="A16" s="452"/>
      <c r="B16" s="475" t="s">
        <v>84</v>
      </c>
      <c r="C16" s="452"/>
      <c r="D16" s="460"/>
      <c r="E16" s="460"/>
      <c r="F16" s="460"/>
      <c r="G16" s="460"/>
      <c r="H16" s="460"/>
    </row>
    <row r="17" spans="2:8" x14ac:dyDescent="0.3">
      <c r="B17" s="476" t="s">
        <v>85</v>
      </c>
      <c r="C17" s="460" t="s">
        <v>86</v>
      </c>
      <c r="D17" s="452"/>
      <c r="E17" s="460" t="s">
        <v>31</v>
      </c>
      <c r="F17" s="477">
        <f>Import!L61</f>
        <v>0</v>
      </c>
      <c r="G17" s="460"/>
      <c r="H17" s="460"/>
    </row>
    <row r="18" spans="2:8" ht="15" thickBot="1" x14ac:dyDescent="0.35">
      <c r="B18" s="21" t="s">
        <v>80</v>
      </c>
      <c r="C18" s="468" t="s">
        <v>87</v>
      </c>
      <c r="D18" s="469"/>
      <c r="E18" s="470" t="s">
        <v>31</v>
      </c>
      <c r="F18" s="478">
        <f>(F15-SUM(F17:F17))</f>
        <v>0</v>
      </c>
      <c r="G18" s="460"/>
      <c r="H18" s="460"/>
    </row>
    <row r="19" spans="2:8" ht="15" thickTop="1" x14ac:dyDescent="0.3">
      <c r="B19" s="452"/>
      <c r="C19" s="460"/>
      <c r="D19" s="460"/>
      <c r="E19" s="460"/>
      <c r="F19" s="460"/>
      <c r="G19" s="460"/>
      <c r="H19" s="460"/>
    </row>
    <row r="20" spans="2:8" ht="15" thickBot="1" x14ac:dyDescent="0.35">
      <c r="B20" s="460" t="s">
        <v>88</v>
      </c>
      <c r="C20" s="452"/>
      <c r="D20" s="460"/>
      <c r="E20" s="460" t="s">
        <v>31</v>
      </c>
      <c r="F20" s="479">
        <f>Import!L60</f>
        <v>0</v>
      </c>
      <c r="G20" s="460"/>
      <c r="H20" s="460"/>
    </row>
    <row r="21" spans="2:8" ht="15.6" thickTop="1" thickBot="1" x14ac:dyDescent="0.35">
      <c r="B21" s="452"/>
      <c r="C21" s="480"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52"/>
      <c r="E21" s="460" t="s">
        <v>31</v>
      </c>
      <c r="F21" s="481">
        <f>ABS(F18-F20)</f>
        <v>0</v>
      </c>
      <c r="G21" s="460"/>
      <c r="H21" s="460"/>
    </row>
    <row r="22" spans="2:8" ht="50.25" customHeight="1" thickTop="1" x14ac:dyDescent="0.3">
      <c r="B22" s="452"/>
      <c r="C22" s="1227" t="str">
        <f>IF(F18&gt;F20,"Since Restricted-Stabilization by State Statute was understated, verfiy that the unit did not appropriate fund balance in excess of legal amount available in row 12 above.","")</f>
        <v/>
      </c>
      <c r="D22" s="1227"/>
      <c r="E22" s="1227"/>
      <c r="F22" s="1227"/>
      <c r="G22" s="460"/>
      <c r="H22" s="460"/>
    </row>
    <row r="23" spans="2:8" x14ac:dyDescent="0.3">
      <c r="B23" s="452"/>
      <c r="C23" s="1228" t="s">
        <v>89</v>
      </c>
      <c r="D23" s="460"/>
      <c r="E23" s="460"/>
      <c r="F23" s="460"/>
      <c r="G23" s="460"/>
      <c r="H23" s="482" t="s">
        <v>90</v>
      </c>
    </row>
    <row r="24" spans="2:8" x14ac:dyDescent="0.3">
      <c r="B24" s="452"/>
      <c r="C24" s="1228"/>
      <c r="D24" s="460"/>
      <c r="E24" s="460"/>
      <c r="F24" s="455" t="s">
        <v>91</v>
      </c>
      <c r="G24" s="460"/>
      <c r="H24" s="455" t="s">
        <v>99</v>
      </c>
    </row>
    <row r="25" spans="2:8" x14ac:dyDescent="0.3">
      <c r="B25" s="452"/>
      <c r="C25" s="459" t="s">
        <v>92</v>
      </c>
      <c r="D25" s="460"/>
      <c r="E25" s="460"/>
      <c r="F25" s="460"/>
      <c r="G25" s="460"/>
      <c r="H25" s="460"/>
    </row>
    <row r="26" spans="2:8" ht="25.2" customHeight="1" x14ac:dyDescent="0.3">
      <c r="B26" s="452"/>
      <c r="C26" s="460" t="s">
        <v>93</v>
      </c>
      <c r="D26" s="460"/>
      <c r="E26" s="460" t="s">
        <v>31</v>
      </c>
      <c r="F26" s="461">
        <f>Import!L72</f>
        <v>0</v>
      </c>
      <c r="G26" s="462"/>
      <c r="H26" s="483">
        <f>F26</f>
        <v>0</v>
      </c>
    </row>
    <row r="27" spans="2:8" x14ac:dyDescent="0.3">
      <c r="B27" s="452"/>
      <c r="C27" s="476" t="s">
        <v>94</v>
      </c>
      <c r="D27" s="460"/>
      <c r="E27" s="460"/>
      <c r="F27" s="460"/>
      <c r="G27" s="460"/>
      <c r="H27" s="460"/>
    </row>
    <row r="28" spans="2:8" x14ac:dyDescent="0.3">
      <c r="B28" s="452"/>
      <c r="C28" s="460" t="s">
        <v>95</v>
      </c>
      <c r="D28" s="452"/>
      <c r="E28" s="460" t="s">
        <v>31</v>
      </c>
      <c r="F28" s="484">
        <f>Import!L74</f>
        <v>0</v>
      </c>
      <c r="G28" s="464"/>
      <c r="H28" s="485">
        <f>F28</f>
        <v>0</v>
      </c>
    </row>
    <row r="29" spans="2:8" x14ac:dyDescent="0.3">
      <c r="B29" s="452"/>
      <c r="C29" s="460" t="s">
        <v>96</v>
      </c>
      <c r="D29" s="452"/>
      <c r="E29" s="460" t="s">
        <v>31</v>
      </c>
      <c r="F29" s="486">
        <f>Import!L75+Import!L76</f>
        <v>0</v>
      </c>
      <c r="G29" s="464"/>
      <c r="H29" s="487">
        <f>F29</f>
        <v>0</v>
      </c>
    </row>
    <row r="30" spans="2:8" ht="15" thickBot="1" x14ac:dyDescent="0.35">
      <c r="B30" s="452"/>
      <c r="C30" s="460" t="s">
        <v>97</v>
      </c>
      <c r="D30" s="460"/>
      <c r="E30" s="460" t="s">
        <v>31</v>
      </c>
      <c r="F30" s="488">
        <f>SUM(F26:F28)-F29</f>
        <v>0</v>
      </c>
      <c r="G30" s="462"/>
      <c r="H30" s="488">
        <f>SUM(H26:H28)-H29</f>
        <v>0</v>
      </c>
    </row>
    <row r="31" spans="2:8" ht="15" thickTop="1" x14ac:dyDescent="0.3">
      <c r="B31" s="452"/>
      <c r="C31" s="460"/>
      <c r="D31" s="460"/>
      <c r="E31" s="460"/>
      <c r="F31" s="460"/>
      <c r="G31" s="460"/>
      <c r="H31" s="460"/>
    </row>
    <row r="32" spans="2:8" ht="15" thickBot="1" x14ac:dyDescent="0.35">
      <c r="B32" s="21" t="s">
        <v>80</v>
      </c>
      <c r="C32" s="480" t="s">
        <v>98</v>
      </c>
      <c r="D32" s="21"/>
      <c r="E32" s="480" t="s">
        <v>31</v>
      </c>
      <c r="F32" s="489" t="e">
        <f>F12/F30</f>
        <v>#DIV/0!</v>
      </c>
      <c r="G32" s="460"/>
      <c r="H32" s="489" t="e">
        <f>H12/H30</f>
        <v>#DIV/0!</v>
      </c>
    </row>
    <row r="33" spans="1:8" ht="15" thickTop="1" x14ac:dyDescent="0.3">
      <c r="C33" s="460"/>
      <c r="D33" s="460"/>
      <c r="E33" s="460"/>
      <c r="F33" s="460"/>
      <c r="G33" s="460"/>
      <c r="H33" s="460"/>
    </row>
    <row r="34" spans="1:8" ht="15.6" x14ac:dyDescent="0.3">
      <c r="A34" s="23"/>
      <c r="C34" s="22"/>
    </row>
    <row r="36" spans="1:8" x14ac:dyDescent="0.3">
      <c r="F36" s="298"/>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activeCell="A2" sqref="A2:H2"/>
      <selection pane="topRight" activeCell="A2" sqref="A2:H2"/>
      <selection pane="bottomLeft" activeCell="A2" sqref="A2:H2"/>
      <selection pane="bottomRight" activeCell="A2" sqref="A2:H2"/>
    </sheetView>
  </sheetViews>
  <sheetFormatPr defaultColWidth="9.109375" defaultRowHeight="14.4" x14ac:dyDescent="0.3"/>
  <cols>
    <col min="1" max="3" width="22.6640625" style="297" customWidth="1"/>
    <col min="4" max="4" width="18.6640625" style="690" customWidth="1"/>
    <col min="5" max="10" width="18.6640625" style="297" customWidth="1"/>
    <col min="11" max="16384" width="9.109375" style="297"/>
  </cols>
  <sheetData>
    <row r="3" spans="1:13" x14ac:dyDescent="0.3">
      <c r="D3" s="694">
        <v>2019</v>
      </c>
      <c r="E3" s="694">
        <v>2018</v>
      </c>
      <c r="F3" s="694">
        <v>2017</v>
      </c>
      <c r="G3" s="694">
        <v>2016</v>
      </c>
      <c r="H3" s="694">
        <v>2015</v>
      </c>
      <c r="I3" s="694">
        <v>2014</v>
      </c>
      <c r="J3" s="694">
        <v>2013</v>
      </c>
      <c r="K3" s="690"/>
      <c r="L3" s="690"/>
      <c r="M3" s="690"/>
    </row>
    <row r="4" spans="1:13" x14ac:dyDescent="0.3">
      <c r="A4" s="300" t="s">
        <v>463</v>
      </c>
      <c r="B4" s="300"/>
      <c r="C4" s="300" t="s">
        <v>464</v>
      </c>
      <c r="D4" s="693" t="s">
        <v>410</v>
      </c>
      <c r="E4" s="693" t="s">
        <v>410</v>
      </c>
      <c r="F4" s="693" t="s">
        <v>410</v>
      </c>
      <c r="G4" s="693" t="s">
        <v>410</v>
      </c>
      <c r="H4" s="693" t="s">
        <v>410</v>
      </c>
      <c r="I4" s="693" t="s">
        <v>410</v>
      </c>
      <c r="J4" s="693" t="s">
        <v>410</v>
      </c>
      <c r="K4" s="706"/>
    </row>
    <row r="5" spans="1:13" x14ac:dyDescent="0.3">
      <c r="A5" s="300">
        <v>5119</v>
      </c>
      <c r="B5" s="300" t="s">
        <v>440</v>
      </c>
      <c r="C5" s="300">
        <v>647</v>
      </c>
      <c r="D5" s="690">
        <v>20578691</v>
      </c>
      <c r="E5" s="690">
        <v>3249248</v>
      </c>
      <c r="F5" s="690">
        <v>2957570</v>
      </c>
      <c r="G5" s="690">
        <v>5709008</v>
      </c>
      <c r="H5" s="690">
        <v>5114434</v>
      </c>
      <c r="I5" s="690">
        <v>4562229</v>
      </c>
      <c r="J5" s="690">
        <v>4029652</v>
      </c>
    </row>
    <row r="6" spans="1:13" x14ac:dyDescent="0.3">
      <c r="A6" s="300">
        <v>5120</v>
      </c>
      <c r="B6" s="300" t="s">
        <v>441</v>
      </c>
      <c r="C6" s="300">
        <v>647</v>
      </c>
      <c r="D6" s="690">
        <v>0</v>
      </c>
      <c r="E6" s="690">
        <v>0</v>
      </c>
      <c r="F6" s="690">
        <v>0</v>
      </c>
      <c r="G6" s="690">
        <v>0</v>
      </c>
      <c r="H6" s="690">
        <v>0</v>
      </c>
      <c r="I6" s="690">
        <v>0</v>
      </c>
      <c r="J6" s="690">
        <v>0</v>
      </c>
    </row>
    <row r="7" spans="1:13" x14ac:dyDescent="0.3">
      <c r="A7" s="300">
        <v>5131</v>
      </c>
      <c r="B7" s="300" t="s">
        <v>442</v>
      </c>
      <c r="C7" s="300">
        <v>647</v>
      </c>
      <c r="D7" s="690">
        <v>37089245</v>
      </c>
      <c r="E7" s="690">
        <v>20299814</v>
      </c>
      <c r="F7" s="690">
        <v>8051571</v>
      </c>
      <c r="G7" s="690">
        <v>7371500</v>
      </c>
      <c r="H7" s="690">
        <v>5966665</v>
      </c>
      <c r="I7" s="690">
        <v>8207298</v>
      </c>
      <c r="J7" s="690">
        <v>7347048</v>
      </c>
    </row>
    <row r="8" spans="1:13" x14ac:dyDescent="0.3">
      <c r="A8" s="300">
        <v>5135</v>
      </c>
      <c r="B8" s="300" t="s">
        <v>443</v>
      </c>
      <c r="C8" s="300">
        <v>647</v>
      </c>
      <c r="D8" s="690">
        <v>0</v>
      </c>
      <c r="E8" s="690">
        <v>0</v>
      </c>
      <c r="F8" s="690">
        <v>4056482</v>
      </c>
      <c r="G8" s="690">
        <v>3922669</v>
      </c>
      <c r="H8" s="690">
        <v>3148233</v>
      </c>
      <c r="I8" s="690">
        <v>2755127</v>
      </c>
      <c r="J8" s="690">
        <v>2755127</v>
      </c>
    </row>
    <row r="9" spans="1:13" x14ac:dyDescent="0.3">
      <c r="A9" s="300">
        <v>5144</v>
      </c>
      <c r="B9" s="300" t="s">
        <v>444</v>
      </c>
      <c r="C9" s="300">
        <v>647</v>
      </c>
      <c r="D9" s="690">
        <v>7441890</v>
      </c>
      <c r="E9" s="690">
        <v>7441890</v>
      </c>
      <c r="F9" s="690">
        <v>4932241</v>
      </c>
      <c r="G9" s="690">
        <v>590997</v>
      </c>
      <c r="H9" s="690">
        <v>0</v>
      </c>
      <c r="I9" s="690">
        <v>3000000</v>
      </c>
      <c r="J9" s="690">
        <v>2390166</v>
      </c>
    </row>
    <row r="10" spans="1:13" x14ac:dyDescent="0.3">
      <c r="A10" s="300">
        <v>5155</v>
      </c>
      <c r="B10" s="300" t="s">
        <v>445</v>
      </c>
      <c r="C10" s="300">
        <v>647</v>
      </c>
      <c r="D10" s="690">
        <v>1008755</v>
      </c>
      <c r="E10" s="690">
        <v>781534</v>
      </c>
      <c r="F10" s="690">
        <v>663572</v>
      </c>
      <c r="G10" s="690">
        <v>6557774</v>
      </c>
      <c r="H10" s="690">
        <v>611355</v>
      </c>
      <c r="I10" s="690">
        <v>784361</v>
      </c>
      <c r="J10" s="690">
        <v>1022379</v>
      </c>
    </row>
    <row r="11" spans="1:13" x14ac:dyDescent="0.3">
      <c r="A11" s="300">
        <v>5158</v>
      </c>
      <c r="B11" s="300" t="s">
        <v>446</v>
      </c>
      <c r="C11" s="300">
        <v>647</v>
      </c>
      <c r="D11" s="690">
        <v>9</v>
      </c>
      <c r="E11" s="690">
        <v>9</v>
      </c>
      <c r="F11" s="690">
        <v>9</v>
      </c>
      <c r="G11" s="690">
        <v>9</v>
      </c>
      <c r="H11" s="690">
        <v>9</v>
      </c>
      <c r="I11" s="690">
        <v>9</v>
      </c>
      <c r="J11" s="690">
        <v>9</v>
      </c>
    </row>
    <row r="12" spans="1:13" x14ac:dyDescent="0.3">
      <c r="A12" s="300">
        <v>5159</v>
      </c>
      <c r="B12" s="300" t="s">
        <v>447</v>
      </c>
      <c r="C12" s="300">
        <v>647</v>
      </c>
      <c r="D12" s="690">
        <v>225639888</v>
      </c>
      <c r="E12" s="690">
        <v>219009306</v>
      </c>
      <c r="F12" s="690">
        <v>181812071</v>
      </c>
      <c r="G12" s="690">
        <v>193933610</v>
      </c>
      <c r="H12" s="690">
        <v>181583886</v>
      </c>
      <c r="I12" s="690">
        <v>0</v>
      </c>
      <c r="J12" s="690">
        <v>0</v>
      </c>
    </row>
    <row r="13" spans="1:13" x14ac:dyDescent="0.3">
      <c r="A13" s="300">
        <v>5164</v>
      </c>
      <c r="B13" s="300" t="s">
        <v>448</v>
      </c>
      <c r="C13" s="300">
        <v>647</v>
      </c>
      <c r="D13" s="690">
        <v>7132135</v>
      </c>
      <c r="E13" s="690">
        <v>5438631</v>
      </c>
      <c r="F13" s="690">
        <v>2427428</v>
      </c>
      <c r="G13" s="690">
        <v>157674</v>
      </c>
      <c r="H13" s="690">
        <v>0</v>
      </c>
      <c r="I13" s="690">
        <v>0</v>
      </c>
      <c r="J13" s="690">
        <v>0</v>
      </c>
    </row>
    <row r="14" spans="1:13" x14ac:dyDescent="0.3">
      <c r="A14" s="300">
        <v>5173</v>
      </c>
      <c r="B14" s="300" t="s">
        <v>449</v>
      </c>
      <c r="C14" s="300">
        <v>647</v>
      </c>
      <c r="D14" s="690">
        <v>422216</v>
      </c>
      <c r="E14" s="690">
        <v>2615544</v>
      </c>
      <c r="F14" s="690">
        <v>880554</v>
      </c>
      <c r="G14" s="690">
        <v>154942</v>
      </c>
      <c r="H14" s="690">
        <v>107456</v>
      </c>
      <c r="I14" s="690">
        <v>46240</v>
      </c>
      <c r="J14" s="690">
        <v>23390</v>
      </c>
    </row>
    <row r="15" spans="1:13" x14ac:dyDescent="0.3">
      <c r="A15" s="300">
        <v>5178</v>
      </c>
      <c r="B15" s="300" t="s">
        <v>450</v>
      </c>
      <c r="C15" s="300">
        <v>647</v>
      </c>
      <c r="D15" s="690">
        <v>75835</v>
      </c>
      <c r="E15" s="690">
        <v>66039</v>
      </c>
      <c r="F15" s="690">
        <v>57100</v>
      </c>
      <c r="G15" s="690">
        <v>52316</v>
      </c>
      <c r="H15" s="690">
        <v>23715</v>
      </c>
      <c r="I15" s="690">
        <v>899285</v>
      </c>
      <c r="J15" s="690">
        <v>1169608</v>
      </c>
    </row>
    <row r="16" spans="1:13" x14ac:dyDescent="0.3">
      <c r="A16" s="300">
        <v>5180</v>
      </c>
      <c r="B16" s="300" t="s">
        <v>451</v>
      </c>
      <c r="C16" s="300">
        <v>647</v>
      </c>
      <c r="D16" s="690">
        <v>4586780</v>
      </c>
      <c r="E16" s="690">
        <v>5165281</v>
      </c>
      <c r="F16" s="690">
        <v>4432068</v>
      </c>
      <c r="G16" s="690">
        <v>3558985</v>
      </c>
      <c r="H16" s="690">
        <v>2657915</v>
      </c>
      <c r="I16" s="690">
        <v>2071596</v>
      </c>
      <c r="J16" s="690">
        <v>1986034</v>
      </c>
    </row>
    <row r="17" spans="1:10" x14ac:dyDescent="0.3">
      <c r="A17" s="300">
        <v>5191</v>
      </c>
      <c r="B17" s="300" t="s">
        <v>452</v>
      </c>
      <c r="C17" s="300">
        <v>647</v>
      </c>
      <c r="D17" s="690">
        <v>111303046</v>
      </c>
      <c r="E17" s="690">
        <v>108974619</v>
      </c>
      <c r="F17" s="690">
        <v>120290900</v>
      </c>
      <c r="G17" s="690">
        <v>127448981</v>
      </c>
      <c r="H17" s="690">
        <v>153873846</v>
      </c>
      <c r="I17" s="690">
        <v>135252125</v>
      </c>
      <c r="J17" s="690">
        <v>169055200</v>
      </c>
    </row>
    <row r="18" spans="1:10" x14ac:dyDescent="0.3">
      <c r="A18" s="300">
        <v>50074</v>
      </c>
      <c r="B18" s="300" t="s">
        <v>453</v>
      </c>
      <c r="C18" s="300">
        <v>647</v>
      </c>
      <c r="D18" s="690">
        <v>7494829</v>
      </c>
      <c r="E18" s="690">
        <v>7189658</v>
      </c>
      <c r="F18" s="690">
        <v>7048523</v>
      </c>
      <c r="G18" s="690">
        <v>6615510</v>
      </c>
      <c r="H18" s="690">
        <v>5452410</v>
      </c>
      <c r="I18" s="690">
        <v>4803926</v>
      </c>
      <c r="J18" s="690">
        <v>5340180</v>
      </c>
    </row>
    <row r="19" spans="1:10" x14ac:dyDescent="0.3">
      <c r="A19" s="300">
        <v>50075</v>
      </c>
      <c r="B19" s="300" t="s">
        <v>454</v>
      </c>
      <c r="C19" s="300">
        <v>647</v>
      </c>
      <c r="D19" s="690">
        <v>266214000</v>
      </c>
      <c r="E19" s="690">
        <v>265541000</v>
      </c>
      <c r="F19" s="690">
        <v>274532000</v>
      </c>
      <c r="G19" s="690">
        <v>286138000</v>
      </c>
      <c r="H19" s="690">
        <v>295124000</v>
      </c>
      <c r="I19" s="690">
        <v>264645000</v>
      </c>
      <c r="J19" s="690">
        <v>231434000</v>
      </c>
    </row>
    <row r="20" spans="1:10" x14ac:dyDescent="0.3">
      <c r="A20" s="300">
        <v>50110</v>
      </c>
      <c r="B20" s="300" t="s">
        <v>455</v>
      </c>
      <c r="C20" s="300">
        <v>647</v>
      </c>
      <c r="D20" s="690">
        <v>46833536</v>
      </c>
      <c r="E20" s="690">
        <v>45660075</v>
      </c>
      <c r="F20" s="690">
        <v>8463820</v>
      </c>
      <c r="G20" s="690">
        <v>2663591</v>
      </c>
      <c r="H20" s="690">
        <v>2371109</v>
      </c>
      <c r="I20" s="690">
        <v>2878268</v>
      </c>
      <c r="J20" s="690">
        <v>4203755</v>
      </c>
    </row>
    <row r="21" spans="1:10" x14ac:dyDescent="0.3">
      <c r="A21" s="300">
        <v>50144</v>
      </c>
      <c r="B21" s="300" t="s">
        <v>456</v>
      </c>
      <c r="C21" s="300">
        <v>647</v>
      </c>
      <c r="D21" s="690">
        <v>4258932</v>
      </c>
      <c r="E21" s="690">
        <v>853434</v>
      </c>
      <c r="F21" s="690">
        <v>1622119</v>
      </c>
      <c r="G21" s="690">
        <v>1743258</v>
      </c>
      <c r="H21" s="690">
        <v>1740179</v>
      </c>
      <c r="I21" s="690">
        <v>1739958</v>
      </c>
      <c r="J21" s="690">
        <v>1739695</v>
      </c>
    </row>
    <row r="22" spans="1:10" x14ac:dyDescent="0.3">
      <c r="A22" s="300">
        <v>50159</v>
      </c>
      <c r="B22" s="300" t="s">
        <v>457</v>
      </c>
      <c r="C22" s="300">
        <v>647</v>
      </c>
      <c r="D22" s="690">
        <v>28636370</v>
      </c>
      <c r="E22" s="690">
        <v>23180822</v>
      </c>
      <c r="F22" s="690">
        <v>16487675</v>
      </c>
      <c r="G22" s="690">
        <v>10909425</v>
      </c>
      <c r="H22" s="690">
        <v>7878571</v>
      </c>
      <c r="I22" s="690">
        <v>5300679</v>
      </c>
      <c r="J22" s="690">
        <v>4801051</v>
      </c>
    </row>
    <row r="23" spans="1:10" x14ac:dyDescent="0.3">
      <c r="A23" s="300">
        <v>50160</v>
      </c>
      <c r="B23" s="300" t="s">
        <v>458</v>
      </c>
      <c r="C23" s="300">
        <v>647</v>
      </c>
      <c r="D23" s="690">
        <v>1134799</v>
      </c>
      <c r="E23" s="690">
        <v>894858</v>
      </c>
      <c r="F23" s="690">
        <v>1002425</v>
      </c>
      <c r="G23" s="690">
        <v>354061</v>
      </c>
      <c r="H23" s="690">
        <v>392698</v>
      </c>
      <c r="I23" s="690">
        <v>442800</v>
      </c>
      <c r="J23" s="690">
        <v>942821</v>
      </c>
    </row>
    <row r="24" spans="1:10" x14ac:dyDescent="0.3">
      <c r="A24" s="300">
        <v>50180</v>
      </c>
      <c r="B24" s="300" t="s">
        <v>459</v>
      </c>
      <c r="C24" s="300">
        <v>647</v>
      </c>
      <c r="D24" s="690">
        <v>13193040</v>
      </c>
      <c r="E24" s="690">
        <v>17058564</v>
      </c>
      <c r="F24" s="690">
        <v>16187505</v>
      </c>
      <c r="G24" s="690">
        <v>16428100</v>
      </c>
      <c r="H24" s="690">
        <v>16688416</v>
      </c>
      <c r="I24" s="690">
        <v>17840940</v>
      </c>
      <c r="J24" s="690">
        <v>18042019</v>
      </c>
    </row>
    <row r="25" spans="1:10" x14ac:dyDescent="0.3">
      <c r="A25" s="300">
        <v>50405</v>
      </c>
      <c r="B25" s="300" t="s">
        <v>460</v>
      </c>
      <c r="C25" s="300">
        <v>647</v>
      </c>
      <c r="D25" s="690">
        <v>302046</v>
      </c>
      <c r="E25" s="690">
        <v>1055143</v>
      </c>
      <c r="F25" s="690">
        <v>0</v>
      </c>
      <c r="G25" s="690">
        <v>0</v>
      </c>
      <c r="H25" s="690">
        <v>0</v>
      </c>
      <c r="I25" s="690">
        <v>0</v>
      </c>
      <c r="J25" s="690">
        <v>0</v>
      </c>
    </row>
    <row r="26" spans="1:10" x14ac:dyDescent="0.3">
      <c r="A26" s="300">
        <v>50425</v>
      </c>
      <c r="B26" s="300" t="s">
        <v>461</v>
      </c>
      <c r="C26" s="300">
        <v>647</v>
      </c>
      <c r="D26" s="690">
        <v>20836222</v>
      </c>
      <c r="E26" s="690">
        <v>16328642</v>
      </c>
      <c r="F26" s="690">
        <v>15202516</v>
      </c>
      <c r="G26" s="690">
        <v>12384500</v>
      </c>
      <c r="H26" s="690">
        <v>9788553</v>
      </c>
      <c r="I26" s="690">
        <v>7967199</v>
      </c>
      <c r="J26" s="690">
        <v>6398918</v>
      </c>
    </row>
    <row r="27" spans="1:10" x14ac:dyDescent="0.3">
      <c r="A27" s="300">
        <v>50431</v>
      </c>
      <c r="B27" s="300" t="s">
        <v>462</v>
      </c>
      <c r="C27" s="300">
        <v>647</v>
      </c>
      <c r="D27" s="690">
        <v>25542629</v>
      </c>
      <c r="E27" s="690">
        <v>24964077</v>
      </c>
      <c r="F27" s="690">
        <v>23618105</v>
      </c>
      <c r="G27" s="690">
        <v>22744716</v>
      </c>
      <c r="H27" s="690">
        <v>16714796</v>
      </c>
      <c r="I27" s="690">
        <v>13788676</v>
      </c>
      <c r="J27" s="690">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2" sqref="A2:H2"/>
    </sheetView>
  </sheetViews>
  <sheetFormatPr defaultColWidth="9.109375" defaultRowHeight="14.4" x14ac:dyDescent="0.3"/>
  <cols>
    <col min="1" max="1" width="9.109375" style="270"/>
    <col min="2" max="2" width="54.109375" style="270" customWidth="1"/>
    <col min="3" max="3" width="23.6640625" style="270" customWidth="1"/>
    <col min="4" max="4" width="19.6640625" style="270" customWidth="1"/>
    <col min="5" max="10" width="9.109375" style="270"/>
    <col min="11" max="11" width="54.109375" style="270" customWidth="1"/>
    <col min="12" max="16384" width="9.109375" style="270"/>
  </cols>
  <sheetData>
    <row r="1" spans="1:11" ht="43.2" x14ac:dyDescent="0.3">
      <c r="A1" s="270" t="s">
        <v>463</v>
      </c>
      <c r="B1" s="270" t="s">
        <v>586</v>
      </c>
      <c r="C1" s="278" t="s">
        <v>551</v>
      </c>
      <c r="D1" s="279" t="s">
        <v>762</v>
      </c>
      <c r="E1" s="270" t="s">
        <v>1220</v>
      </c>
    </row>
    <row r="3" spans="1:11" ht="23.4" x14ac:dyDescent="0.45">
      <c r="A3" s="270">
        <v>50001</v>
      </c>
      <c r="B3" s="270" t="s">
        <v>587</v>
      </c>
      <c r="C3" s="270">
        <v>50</v>
      </c>
      <c r="D3" s="170" t="s">
        <v>51</v>
      </c>
      <c r="E3" s="305" t="s">
        <v>898</v>
      </c>
    </row>
    <row r="4" spans="1:11" x14ac:dyDescent="0.3">
      <c r="A4" s="270">
        <v>50006</v>
      </c>
      <c r="B4" s="270" t="s">
        <v>588</v>
      </c>
      <c r="C4" s="270">
        <v>50</v>
      </c>
      <c r="D4" s="170" t="s">
        <v>51</v>
      </c>
    </row>
    <row r="5" spans="1:11" x14ac:dyDescent="0.3">
      <c r="A5" s="270">
        <v>50013</v>
      </c>
      <c r="B5" s="270" t="s">
        <v>590</v>
      </c>
      <c r="C5" s="270">
        <v>50</v>
      </c>
      <c r="D5" s="170" t="s">
        <v>51</v>
      </c>
    </row>
    <row r="6" spans="1:11" x14ac:dyDescent="0.3">
      <c r="A6" s="270">
        <v>50016</v>
      </c>
      <c r="B6" s="951" t="s">
        <v>1221</v>
      </c>
      <c r="C6" s="270">
        <v>50</v>
      </c>
      <c r="D6" s="170" t="s">
        <v>51</v>
      </c>
      <c r="K6" s="951"/>
    </row>
    <row r="7" spans="1:11" x14ac:dyDescent="0.3">
      <c r="A7" s="270">
        <v>50019</v>
      </c>
      <c r="B7" s="951" t="s">
        <v>1222</v>
      </c>
      <c r="C7" s="270">
        <v>50</v>
      </c>
      <c r="D7" s="170" t="s">
        <v>51</v>
      </c>
      <c r="K7" s="951"/>
    </row>
    <row r="8" spans="1:11" x14ac:dyDescent="0.3">
      <c r="A8" s="270">
        <v>50504</v>
      </c>
      <c r="B8" s="270" t="s">
        <v>591</v>
      </c>
      <c r="C8" s="270">
        <v>50</v>
      </c>
      <c r="D8" s="170" t="s">
        <v>51</v>
      </c>
    </row>
    <row r="9" spans="1:11" x14ac:dyDescent="0.3">
      <c r="A9" s="270">
        <v>50021</v>
      </c>
      <c r="B9" s="951" t="s">
        <v>1223</v>
      </c>
      <c r="C9" s="270">
        <v>50</v>
      </c>
      <c r="D9" s="170" t="s">
        <v>51</v>
      </c>
      <c r="K9" s="951"/>
    </row>
    <row r="10" spans="1:11" x14ac:dyDescent="0.3">
      <c r="A10" s="270">
        <v>50024</v>
      </c>
      <c r="B10" s="270" t="s">
        <v>592</v>
      </c>
      <c r="C10" s="270">
        <v>50</v>
      </c>
      <c r="D10" s="170" t="s">
        <v>51</v>
      </c>
    </row>
    <row r="11" spans="1:11" x14ac:dyDescent="0.3">
      <c r="A11" s="270">
        <v>50029</v>
      </c>
      <c r="B11" s="270" t="s">
        <v>593</v>
      </c>
      <c r="C11" s="270">
        <v>50</v>
      </c>
      <c r="D11" s="170" t="s">
        <v>51</v>
      </c>
    </row>
    <row r="12" spans="1:11" x14ac:dyDescent="0.3">
      <c r="A12" s="270">
        <v>50031</v>
      </c>
      <c r="B12" s="951" t="s">
        <v>1224</v>
      </c>
      <c r="C12" s="270">
        <v>50</v>
      </c>
      <c r="D12" s="170" t="s">
        <v>51</v>
      </c>
      <c r="K12" s="951"/>
    </row>
    <row r="13" spans="1:11" x14ac:dyDescent="0.3">
      <c r="A13" s="270">
        <v>50469</v>
      </c>
      <c r="B13" s="270" t="s">
        <v>594</v>
      </c>
      <c r="C13" s="270">
        <v>50</v>
      </c>
      <c r="D13" s="170" t="s">
        <v>51</v>
      </c>
    </row>
    <row r="14" spans="1:11" x14ac:dyDescent="0.3">
      <c r="A14" s="270">
        <v>50034</v>
      </c>
      <c r="B14" s="270" t="s">
        <v>596</v>
      </c>
      <c r="C14" s="270">
        <v>50</v>
      </c>
      <c r="D14" s="170" t="s">
        <v>51</v>
      </c>
    </row>
    <row r="15" spans="1:11" x14ac:dyDescent="0.3">
      <c r="A15" s="270">
        <v>50038</v>
      </c>
      <c r="B15" s="270" t="s">
        <v>597</v>
      </c>
      <c r="C15" s="270">
        <v>50</v>
      </c>
      <c r="D15" s="170" t="s">
        <v>51</v>
      </c>
    </row>
    <row r="16" spans="1:11" x14ac:dyDescent="0.3">
      <c r="A16" s="270">
        <v>50506</v>
      </c>
      <c r="B16" s="270" t="s">
        <v>598</v>
      </c>
      <c r="C16" s="270">
        <v>50</v>
      </c>
      <c r="D16" s="170" t="s">
        <v>51</v>
      </c>
    </row>
    <row r="17" spans="1:11" x14ac:dyDescent="0.3">
      <c r="A17" s="270">
        <v>50045</v>
      </c>
      <c r="B17" s="270" t="s">
        <v>599</v>
      </c>
      <c r="C17" s="270">
        <v>50</v>
      </c>
      <c r="D17" s="170" t="s">
        <v>51</v>
      </c>
    </row>
    <row r="18" spans="1:11" x14ac:dyDescent="0.3">
      <c r="A18" s="270">
        <v>50049</v>
      </c>
      <c r="B18" s="270" t="s">
        <v>600</v>
      </c>
      <c r="C18" s="270">
        <v>50</v>
      </c>
      <c r="D18" s="170" t="s">
        <v>51</v>
      </c>
    </row>
    <row r="19" spans="1:11" x14ac:dyDescent="0.3">
      <c r="A19" s="270">
        <v>50055</v>
      </c>
      <c r="B19" s="951" t="s">
        <v>1225</v>
      </c>
      <c r="C19" s="270">
        <v>50</v>
      </c>
      <c r="D19" s="170" t="s">
        <v>51</v>
      </c>
      <c r="K19" s="951"/>
    </row>
    <row r="20" spans="1:11" x14ac:dyDescent="0.3">
      <c r="A20" s="270">
        <v>50466</v>
      </c>
      <c r="B20" s="270" t="s">
        <v>1226</v>
      </c>
      <c r="C20" s="270">
        <v>50</v>
      </c>
      <c r="D20" s="170" t="s">
        <v>51</v>
      </c>
    </row>
    <row r="21" spans="1:11" x14ac:dyDescent="0.3">
      <c r="A21" s="270">
        <v>50069</v>
      </c>
      <c r="B21" s="270" t="s">
        <v>601</v>
      </c>
      <c r="C21" s="270">
        <v>50</v>
      </c>
      <c r="D21" s="170" t="s">
        <v>51</v>
      </c>
    </row>
    <row r="22" spans="1:11" x14ac:dyDescent="0.3">
      <c r="A22" s="270">
        <v>50467</v>
      </c>
      <c r="B22" s="270" t="s">
        <v>602</v>
      </c>
      <c r="C22" s="270">
        <v>50</v>
      </c>
      <c r="D22" s="170" t="s">
        <v>51</v>
      </c>
    </row>
    <row r="23" spans="1:11" x14ac:dyDescent="0.3">
      <c r="A23" s="270">
        <v>50510</v>
      </c>
      <c r="B23" s="270" t="s">
        <v>603</v>
      </c>
      <c r="C23" s="270">
        <v>50</v>
      </c>
      <c r="D23" s="170" t="s">
        <v>51</v>
      </c>
    </row>
    <row r="24" spans="1:11" x14ac:dyDescent="0.3">
      <c r="A24" s="270">
        <v>50078</v>
      </c>
      <c r="B24" s="270" t="s">
        <v>1227</v>
      </c>
      <c r="C24" s="270">
        <v>50</v>
      </c>
      <c r="D24" s="170" t="s">
        <v>51</v>
      </c>
    </row>
    <row r="25" spans="1:11" x14ac:dyDescent="0.3">
      <c r="A25" s="270">
        <v>50080</v>
      </c>
      <c r="B25" s="270" t="s">
        <v>1228</v>
      </c>
      <c r="C25" s="270">
        <v>50</v>
      </c>
      <c r="D25" s="170" t="s">
        <v>51</v>
      </c>
    </row>
    <row r="26" spans="1:11" x14ac:dyDescent="0.3">
      <c r="A26" s="270">
        <v>50468</v>
      </c>
      <c r="B26" s="951" t="s">
        <v>1229</v>
      </c>
      <c r="C26" s="270">
        <v>50</v>
      </c>
      <c r="D26" s="170" t="s">
        <v>51</v>
      </c>
      <c r="K26" s="951"/>
    </row>
    <row r="27" spans="1:11" x14ac:dyDescent="0.3">
      <c r="A27" s="270">
        <v>50086</v>
      </c>
      <c r="B27" s="270" t="s">
        <v>605</v>
      </c>
      <c r="C27" s="270">
        <v>50</v>
      </c>
      <c r="D27" s="170" t="s">
        <v>51</v>
      </c>
    </row>
    <row r="28" spans="1:11" x14ac:dyDescent="0.3">
      <c r="A28" s="270">
        <v>50087</v>
      </c>
      <c r="B28" s="270" t="s">
        <v>606</v>
      </c>
      <c r="C28" s="270">
        <v>50</v>
      </c>
      <c r="D28" s="170" t="s">
        <v>51</v>
      </c>
    </row>
    <row r="29" spans="1:11" x14ac:dyDescent="0.3">
      <c r="A29" s="270">
        <v>50091</v>
      </c>
      <c r="B29" s="951" t="s">
        <v>1230</v>
      </c>
      <c r="C29" s="270">
        <v>50</v>
      </c>
      <c r="D29" s="170" t="s">
        <v>51</v>
      </c>
      <c r="K29" s="951"/>
    </row>
    <row r="30" spans="1:11" x14ac:dyDescent="0.3">
      <c r="A30" s="270">
        <v>50098</v>
      </c>
      <c r="B30" s="270" t="s">
        <v>1231</v>
      </c>
      <c r="C30" s="270">
        <v>50</v>
      </c>
      <c r="D30" s="170" t="s">
        <v>51</v>
      </c>
    </row>
    <row r="31" spans="1:11" x14ac:dyDescent="0.3">
      <c r="A31" s="270">
        <v>50100</v>
      </c>
      <c r="B31" s="270" t="s">
        <v>1232</v>
      </c>
      <c r="C31" s="270">
        <v>50</v>
      </c>
      <c r="D31" s="170" t="s">
        <v>51</v>
      </c>
    </row>
    <row r="32" spans="1:11" x14ac:dyDescent="0.3">
      <c r="A32" s="270">
        <v>50513</v>
      </c>
      <c r="B32" s="270" t="s">
        <v>607</v>
      </c>
      <c r="C32" s="270">
        <v>50</v>
      </c>
      <c r="D32" s="170" t="s">
        <v>51</v>
      </c>
    </row>
    <row r="33" spans="1:11" x14ac:dyDescent="0.3">
      <c r="A33" s="270">
        <v>50106</v>
      </c>
      <c r="B33" s="270" t="s">
        <v>608</v>
      </c>
      <c r="C33" s="270">
        <v>50</v>
      </c>
      <c r="D33" s="170" t="s">
        <v>51</v>
      </c>
    </row>
    <row r="34" spans="1:11" x14ac:dyDescent="0.3">
      <c r="A34" s="270">
        <v>50472</v>
      </c>
      <c r="B34" s="270" t="s">
        <v>609</v>
      </c>
      <c r="C34" s="270">
        <v>50</v>
      </c>
      <c r="D34" s="170" t="s">
        <v>51</v>
      </c>
    </row>
    <row r="35" spans="1:11" x14ac:dyDescent="0.3">
      <c r="A35" s="270">
        <v>50112</v>
      </c>
      <c r="B35" s="270" t="s">
        <v>610</v>
      </c>
      <c r="C35" s="270">
        <v>50</v>
      </c>
      <c r="D35" s="170" t="s">
        <v>51</v>
      </c>
    </row>
    <row r="36" spans="1:11" x14ac:dyDescent="0.3">
      <c r="A36" s="270">
        <v>50113</v>
      </c>
      <c r="B36" s="270" t="s">
        <v>611</v>
      </c>
      <c r="C36" s="270">
        <v>50</v>
      </c>
      <c r="D36" s="170" t="s">
        <v>51</v>
      </c>
    </row>
    <row r="37" spans="1:11" x14ac:dyDescent="0.3">
      <c r="A37" s="270">
        <v>50116</v>
      </c>
      <c r="B37" s="951" t="s">
        <v>1233</v>
      </c>
      <c r="C37" s="270">
        <v>50</v>
      </c>
      <c r="D37" s="170" t="s">
        <v>51</v>
      </c>
      <c r="K37" s="951"/>
    </row>
    <row r="38" spans="1:11" x14ac:dyDescent="0.3">
      <c r="A38" s="270">
        <v>50121</v>
      </c>
      <c r="B38" s="270" t="s">
        <v>613</v>
      </c>
      <c r="C38" s="270">
        <v>50</v>
      </c>
      <c r="D38" s="170" t="s">
        <v>51</v>
      </c>
    </row>
    <row r="39" spans="1:11" x14ac:dyDescent="0.3">
      <c r="A39" s="270">
        <v>50122</v>
      </c>
      <c r="B39" s="270" t="s">
        <v>614</v>
      </c>
      <c r="C39" s="270">
        <v>50</v>
      </c>
      <c r="D39" s="170" t="s">
        <v>51</v>
      </c>
    </row>
    <row r="40" spans="1:11" x14ac:dyDescent="0.3">
      <c r="A40" s="270">
        <v>50125</v>
      </c>
      <c r="B40" s="270" t="s">
        <v>615</v>
      </c>
      <c r="C40" s="270">
        <v>50</v>
      </c>
      <c r="D40" s="170" t="s">
        <v>51</v>
      </c>
    </row>
    <row r="41" spans="1:11" x14ac:dyDescent="0.3">
      <c r="A41" s="270">
        <v>50126</v>
      </c>
      <c r="B41" s="951" t="s">
        <v>1234</v>
      </c>
      <c r="C41" s="270">
        <v>50</v>
      </c>
      <c r="D41" s="170" t="s">
        <v>51</v>
      </c>
      <c r="K41" s="951"/>
    </row>
    <row r="42" spans="1:11" x14ac:dyDescent="0.3">
      <c r="A42" s="270">
        <v>50127</v>
      </c>
      <c r="B42" s="270" t="s">
        <v>1235</v>
      </c>
      <c r="C42" s="270">
        <v>50</v>
      </c>
      <c r="D42" s="170" t="s">
        <v>51</v>
      </c>
    </row>
    <row r="43" spans="1:11" x14ac:dyDescent="0.3">
      <c r="A43" s="270">
        <v>50128</v>
      </c>
      <c r="B43" s="270" t="s">
        <v>617</v>
      </c>
      <c r="C43" s="270">
        <v>50</v>
      </c>
      <c r="D43" s="170" t="s">
        <v>51</v>
      </c>
    </row>
    <row r="44" spans="1:11" x14ac:dyDescent="0.3">
      <c r="A44" s="270">
        <v>50129</v>
      </c>
      <c r="B44" s="270" t="s">
        <v>618</v>
      </c>
      <c r="C44" s="270">
        <v>50</v>
      </c>
      <c r="D44" s="170" t="s">
        <v>51</v>
      </c>
    </row>
    <row r="45" spans="1:11" x14ac:dyDescent="0.3">
      <c r="A45" s="270">
        <v>50130</v>
      </c>
      <c r="B45" s="270" t="s">
        <v>619</v>
      </c>
      <c r="C45" s="270">
        <v>50</v>
      </c>
      <c r="D45" s="170" t="s">
        <v>51</v>
      </c>
    </row>
    <row r="46" spans="1:11" x14ac:dyDescent="0.3">
      <c r="A46" s="270">
        <v>50570</v>
      </c>
      <c r="B46" s="270" t="s">
        <v>620</v>
      </c>
      <c r="C46" s="270">
        <v>50</v>
      </c>
      <c r="D46" s="170" t="s">
        <v>51</v>
      </c>
    </row>
    <row r="47" spans="1:11" x14ac:dyDescent="0.3">
      <c r="A47" s="270">
        <v>50139</v>
      </c>
      <c r="B47" s="270" t="s">
        <v>622</v>
      </c>
      <c r="C47" s="270">
        <v>50</v>
      </c>
      <c r="D47" s="170" t="s">
        <v>51</v>
      </c>
    </row>
    <row r="48" spans="1:11" x14ac:dyDescent="0.3">
      <c r="A48" s="270">
        <v>50142</v>
      </c>
      <c r="B48" s="270" t="s">
        <v>623</v>
      </c>
      <c r="C48" s="270">
        <v>50</v>
      </c>
      <c r="D48" s="170" t="s">
        <v>51</v>
      </c>
    </row>
    <row r="49" spans="1:11" x14ac:dyDescent="0.3">
      <c r="A49" s="270">
        <v>50143</v>
      </c>
      <c r="B49" s="270" t="s">
        <v>624</v>
      </c>
      <c r="C49" s="270">
        <v>50</v>
      </c>
      <c r="D49" s="170" t="s">
        <v>51</v>
      </c>
    </row>
    <row r="50" spans="1:11" x14ac:dyDescent="0.3">
      <c r="A50" s="270">
        <v>50148</v>
      </c>
      <c r="B50" s="270" t="s">
        <v>443</v>
      </c>
      <c r="C50" s="270">
        <v>50</v>
      </c>
      <c r="D50" s="170" t="s">
        <v>51</v>
      </c>
    </row>
    <row r="51" spans="1:11" x14ac:dyDescent="0.3">
      <c r="A51" s="270">
        <v>50151</v>
      </c>
      <c r="B51" s="270" t="s">
        <v>1236</v>
      </c>
      <c r="C51" s="270">
        <v>50</v>
      </c>
      <c r="D51" s="170" t="s">
        <v>51</v>
      </c>
    </row>
    <row r="52" spans="1:11" x14ac:dyDescent="0.3">
      <c r="A52" s="270">
        <v>50153</v>
      </c>
      <c r="B52" s="270" t="s">
        <v>625</v>
      </c>
      <c r="C52" s="270">
        <v>50</v>
      </c>
      <c r="D52" s="170" t="s">
        <v>51</v>
      </c>
    </row>
    <row r="53" spans="1:11" x14ac:dyDescent="0.3">
      <c r="A53" s="270">
        <v>50154</v>
      </c>
      <c r="B53" s="270" t="s">
        <v>626</v>
      </c>
      <c r="C53" s="270">
        <v>50</v>
      </c>
      <c r="D53" s="170" t="s">
        <v>51</v>
      </c>
    </row>
    <row r="54" spans="1:11" x14ac:dyDescent="0.3">
      <c r="A54" s="270">
        <v>50517</v>
      </c>
      <c r="B54" s="951" t="s">
        <v>1237</v>
      </c>
      <c r="C54" s="270">
        <v>50</v>
      </c>
      <c r="D54" s="170" t="s">
        <v>51</v>
      </c>
      <c r="K54" s="951"/>
    </row>
    <row r="55" spans="1:11" x14ac:dyDescent="0.3">
      <c r="A55" s="270">
        <v>50448</v>
      </c>
      <c r="B55" s="270" t="s">
        <v>627</v>
      </c>
      <c r="C55" s="270">
        <v>50</v>
      </c>
      <c r="D55" s="170" t="s">
        <v>51</v>
      </c>
    </row>
    <row r="56" spans="1:11" x14ac:dyDescent="0.3">
      <c r="A56" s="270">
        <v>50163</v>
      </c>
      <c r="B56" s="270" t="s">
        <v>628</v>
      </c>
      <c r="C56" s="270">
        <v>50</v>
      </c>
      <c r="D56" s="170" t="s">
        <v>51</v>
      </c>
    </row>
    <row r="57" spans="1:11" x14ac:dyDescent="0.3">
      <c r="A57" s="270">
        <v>50165</v>
      </c>
      <c r="B57" s="270" t="s">
        <v>629</v>
      </c>
      <c r="C57" s="270">
        <v>50</v>
      </c>
      <c r="D57" s="170" t="s">
        <v>51</v>
      </c>
    </row>
    <row r="58" spans="1:11" x14ac:dyDescent="0.3">
      <c r="A58" s="270">
        <v>50166</v>
      </c>
      <c r="B58" s="270" t="s">
        <v>630</v>
      </c>
      <c r="C58" s="270">
        <v>50</v>
      </c>
      <c r="D58" s="170" t="s">
        <v>51</v>
      </c>
    </row>
    <row r="59" spans="1:11" x14ac:dyDescent="0.3">
      <c r="A59" s="270">
        <v>50167</v>
      </c>
      <c r="B59" s="270" t="s">
        <v>631</v>
      </c>
      <c r="C59" s="270">
        <v>50</v>
      </c>
      <c r="D59" s="170" t="s">
        <v>51</v>
      </c>
    </row>
    <row r="60" spans="1:11" x14ac:dyDescent="0.3">
      <c r="A60" s="270">
        <v>50171</v>
      </c>
      <c r="B60" s="951" t="s">
        <v>1238</v>
      </c>
      <c r="C60" s="270">
        <v>50</v>
      </c>
      <c r="D60" s="170" t="s">
        <v>51</v>
      </c>
      <c r="K60" s="951"/>
    </row>
    <row r="61" spans="1:11" x14ac:dyDescent="0.3">
      <c r="A61" s="270">
        <v>50440</v>
      </c>
      <c r="B61" s="270" t="s">
        <v>1239</v>
      </c>
      <c r="C61" s="270">
        <v>50</v>
      </c>
      <c r="D61" s="170" t="s">
        <v>51</v>
      </c>
    </row>
    <row r="62" spans="1:11" x14ac:dyDescent="0.3">
      <c r="A62" s="270">
        <v>50175</v>
      </c>
      <c r="B62" s="951" t="s">
        <v>444</v>
      </c>
      <c r="C62" s="270">
        <v>50</v>
      </c>
      <c r="D62" s="170" t="s">
        <v>51</v>
      </c>
      <c r="K62" s="951"/>
    </row>
    <row r="63" spans="1:11" x14ac:dyDescent="0.3">
      <c r="A63" s="270">
        <v>50177</v>
      </c>
      <c r="B63" s="951" t="s">
        <v>1240</v>
      </c>
      <c r="C63" s="270">
        <v>50</v>
      </c>
      <c r="D63" s="170" t="s">
        <v>51</v>
      </c>
      <c r="K63" s="951"/>
    </row>
    <row r="64" spans="1:11" x14ac:dyDescent="0.3">
      <c r="A64" s="270">
        <v>50183</v>
      </c>
      <c r="B64" s="270" t="s">
        <v>632</v>
      </c>
      <c r="C64" s="270">
        <v>50</v>
      </c>
      <c r="D64" s="170" t="s">
        <v>51</v>
      </c>
    </row>
    <row r="65" spans="1:11" x14ac:dyDescent="0.3">
      <c r="A65" s="270">
        <v>50184</v>
      </c>
      <c r="B65" s="270" t="s">
        <v>633</v>
      </c>
      <c r="C65" s="270">
        <v>50</v>
      </c>
      <c r="D65" s="170" t="s">
        <v>51</v>
      </c>
    </row>
    <row r="66" spans="1:11" x14ac:dyDescent="0.3">
      <c r="A66" s="270">
        <v>50186</v>
      </c>
      <c r="B66" s="270" t="s">
        <v>634</v>
      </c>
      <c r="C66" s="270">
        <v>50</v>
      </c>
      <c r="D66" s="170" t="s">
        <v>51</v>
      </c>
    </row>
    <row r="67" spans="1:11" x14ac:dyDescent="0.3">
      <c r="A67" s="270">
        <v>50476</v>
      </c>
      <c r="B67" s="270" t="s">
        <v>505</v>
      </c>
      <c r="C67" s="270">
        <v>50</v>
      </c>
      <c r="D67" s="170" t="s">
        <v>51</v>
      </c>
    </row>
    <row r="68" spans="1:11" x14ac:dyDescent="0.3">
      <c r="A68" s="270">
        <v>50192</v>
      </c>
      <c r="B68" s="270" t="s">
        <v>506</v>
      </c>
      <c r="C68" s="270">
        <v>50</v>
      </c>
      <c r="D68" s="170" t="s">
        <v>51</v>
      </c>
    </row>
    <row r="69" spans="1:11" x14ac:dyDescent="0.3">
      <c r="A69" s="270">
        <v>50518</v>
      </c>
      <c r="B69" s="270" t="s">
        <v>507</v>
      </c>
      <c r="C69" s="270">
        <v>50</v>
      </c>
      <c r="D69" s="170" t="s">
        <v>51</v>
      </c>
    </row>
    <row r="70" spans="1:11" x14ac:dyDescent="0.3">
      <c r="A70" s="270">
        <v>50231</v>
      </c>
      <c r="B70" s="270" t="s">
        <v>508</v>
      </c>
      <c r="C70" s="270">
        <v>50</v>
      </c>
      <c r="D70" s="170" t="s">
        <v>51</v>
      </c>
    </row>
    <row r="71" spans="1:11" x14ac:dyDescent="0.3">
      <c r="A71" s="270">
        <v>50235</v>
      </c>
      <c r="B71" s="270" t="s">
        <v>510</v>
      </c>
      <c r="C71" s="270">
        <v>50</v>
      </c>
      <c r="D71" s="170" t="s">
        <v>51</v>
      </c>
    </row>
    <row r="72" spans="1:11" x14ac:dyDescent="0.3">
      <c r="A72" s="270">
        <v>50233</v>
      </c>
      <c r="B72" s="270" t="s">
        <v>509</v>
      </c>
      <c r="C72" s="270">
        <v>50</v>
      </c>
      <c r="D72" s="170" t="s">
        <v>51</v>
      </c>
    </row>
    <row r="73" spans="1:11" x14ac:dyDescent="0.3">
      <c r="A73" s="270">
        <v>50236</v>
      </c>
      <c r="B73" s="270" t="s">
        <v>511</v>
      </c>
      <c r="C73" s="270">
        <v>50</v>
      </c>
      <c r="D73" s="170" t="s">
        <v>51</v>
      </c>
    </row>
    <row r="74" spans="1:11" x14ac:dyDescent="0.3">
      <c r="A74" s="270">
        <v>50239</v>
      </c>
      <c r="B74" s="270" t="s">
        <v>512</v>
      </c>
      <c r="C74" s="270">
        <v>50</v>
      </c>
      <c r="D74" s="170" t="s">
        <v>51</v>
      </c>
    </row>
    <row r="75" spans="1:11" x14ac:dyDescent="0.3">
      <c r="A75" s="270">
        <v>50249</v>
      </c>
      <c r="B75" s="270" t="s">
        <v>513</v>
      </c>
      <c r="C75" s="270">
        <v>50</v>
      </c>
      <c r="D75" s="170" t="s">
        <v>51</v>
      </c>
    </row>
    <row r="76" spans="1:11" x14ac:dyDescent="0.3">
      <c r="A76" s="270">
        <v>50254</v>
      </c>
      <c r="B76" s="270" t="s">
        <v>1241</v>
      </c>
      <c r="C76" s="270">
        <v>50</v>
      </c>
      <c r="D76" s="170" t="s">
        <v>51</v>
      </c>
    </row>
    <row r="77" spans="1:11" x14ac:dyDescent="0.3">
      <c r="A77" s="270">
        <v>50255</v>
      </c>
      <c r="B77" s="951" t="s">
        <v>1242</v>
      </c>
      <c r="C77" s="270">
        <v>50</v>
      </c>
      <c r="D77" s="170" t="s">
        <v>51</v>
      </c>
      <c r="K77" s="951"/>
    </row>
    <row r="78" spans="1:11" x14ac:dyDescent="0.3">
      <c r="A78" s="270">
        <v>50257</v>
      </c>
      <c r="B78" s="270" t="s">
        <v>637</v>
      </c>
      <c r="C78" s="270">
        <v>50</v>
      </c>
      <c r="D78" s="170" t="s">
        <v>51</v>
      </c>
    </row>
    <row r="79" spans="1:11" x14ac:dyDescent="0.3">
      <c r="A79" s="270">
        <v>50452</v>
      </c>
      <c r="B79" s="951" t="s">
        <v>1243</v>
      </c>
      <c r="C79" s="270">
        <v>50</v>
      </c>
      <c r="D79" s="170" t="s">
        <v>51</v>
      </c>
      <c r="K79" s="951"/>
    </row>
    <row r="80" spans="1:11" x14ac:dyDescent="0.3">
      <c r="A80" s="270">
        <v>50260</v>
      </c>
      <c r="B80" s="270" t="s">
        <v>638</v>
      </c>
      <c r="C80" s="270">
        <v>50</v>
      </c>
      <c r="D80" s="170" t="s">
        <v>51</v>
      </c>
    </row>
    <row r="81" spans="1:11" x14ac:dyDescent="0.3">
      <c r="A81" s="270">
        <v>50268</v>
      </c>
      <c r="B81" s="951" t="s">
        <v>1244</v>
      </c>
      <c r="C81" s="270">
        <v>50</v>
      </c>
      <c r="D81" s="170" t="s">
        <v>51</v>
      </c>
      <c r="K81" s="951"/>
    </row>
    <row r="82" spans="1:11" x14ac:dyDescent="0.3">
      <c r="A82" s="270">
        <v>50269</v>
      </c>
      <c r="B82" s="270" t="s">
        <v>639</v>
      </c>
      <c r="C82" s="270">
        <v>50</v>
      </c>
      <c r="D82" s="170" t="s">
        <v>51</v>
      </c>
    </row>
    <row r="83" spans="1:11" x14ac:dyDescent="0.3">
      <c r="A83" s="270">
        <v>50480</v>
      </c>
      <c r="B83" s="270" t="s">
        <v>640</v>
      </c>
      <c r="C83" s="270">
        <v>50</v>
      </c>
      <c r="D83" s="170" t="s">
        <v>51</v>
      </c>
    </row>
    <row r="84" spans="1:11" x14ac:dyDescent="0.3">
      <c r="A84" s="270">
        <v>50278</v>
      </c>
      <c r="B84" s="270" t="s">
        <v>641</v>
      </c>
      <c r="C84" s="270">
        <v>50</v>
      </c>
      <c r="D84" s="170" t="s">
        <v>51</v>
      </c>
    </row>
    <row r="85" spans="1:11" x14ac:dyDescent="0.3">
      <c r="A85" s="270">
        <v>50280</v>
      </c>
      <c r="B85" s="270" t="s">
        <v>642</v>
      </c>
      <c r="C85" s="270">
        <v>50</v>
      </c>
      <c r="D85" s="170" t="s">
        <v>51</v>
      </c>
    </row>
    <row r="86" spans="1:11" x14ac:dyDescent="0.3">
      <c r="A86" s="270">
        <v>50281</v>
      </c>
      <c r="B86" s="270" t="s">
        <v>643</v>
      </c>
      <c r="C86" s="270">
        <v>50</v>
      </c>
      <c r="D86" s="170" t="s">
        <v>51</v>
      </c>
    </row>
    <row r="87" spans="1:11" x14ac:dyDescent="0.3">
      <c r="A87" s="270">
        <v>50478</v>
      </c>
      <c r="B87" s="270" t="s">
        <v>644</v>
      </c>
      <c r="C87" s="270">
        <v>50</v>
      </c>
      <c r="D87" s="170" t="s">
        <v>51</v>
      </c>
    </row>
    <row r="88" spans="1:11" x14ac:dyDescent="0.3">
      <c r="A88" s="270">
        <v>50283</v>
      </c>
      <c r="B88" s="270" t="s">
        <v>646</v>
      </c>
      <c r="C88" s="270">
        <v>50</v>
      </c>
      <c r="D88" s="170" t="s">
        <v>51</v>
      </c>
    </row>
    <row r="89" spans="1:11" x14ac:dyDescent="0.3">
      <c r="A89" s="270">
        <v>50285</v>
      </c>
      <c r="B89" s="270" t="s">
        <v>647</v>
      </c>
      <c r="C89" s="270">
        <v>50</v>
      </c>
      <c r="D89" s="170" t="s">
        <v>51</v>
      </c>
    </row>
    <row r="90" spans="1:11" x14ac:dyDescent="0.3">
      <c r="A90" s="270">
        <v>50296</v>
      </c>
      <c r="B90" s="270" t="s">
        <v>650</v>
      </c>
      <c r="C90" s="270">
        <v>50</v>
      </c>
      <c r="D90" s="170" t="s">
        <v>51</v>
      </c>
    </row>
    <row r="91" spans="1:11" x14ac:dyDescent="0.3">
      <c r="A91" s="270">
        <v>50297</v>
      </c>
      <c r="B91" s="270" t="s">
        <v>651</v>
      </c>
      <c r="C91" s="270">
        <v>50</v>
      </c>
      <c r="D91" s="170" t="s">
        <v>51</v>
      </c>
    </row>
    <row r="92" spans="1:11" x14ac:dyDescent="0.3">
      <c r="A92" s="270">
        <v>50305</v>
      </c>
      <c r="B92" s="951" t="s">
        <v>1245</v>
      </c>
      <c r="C92" s="270">
        <v>50</v>
      </c>
      <c r="D92" s="170" t="s">
        <v>51</v>
      </c>
      <c r="K92" s="951"/>
    </row>
    <row r="93" spans="1:11" x14ac:dyDescent="0.3">
      <c r="A93" s="270">
        <v>50479</v>
      </c>
      <c r="B93" s="270" t="s">
        <v>652</v>
      </c>
      <c r="C93" s="270">
        <v>50</v>
      </c>
      <c r="D93" s="170" t="s">
        <v>51</v>
      </c>
    </row>
    <row r="94" spans="1:11" x14ac:dyDescent="0.3">
      <c r="A94" s="270">
        <v>50307</v>
      </c>
      <c r="B94" s="270" t="s">
        <v>653</v>
      </c>
      <c r="C94" s="270">
        <v>50</v>
      </c>
      <c r="D94" s="170" t="s">
        <v>51</v>
      </c>
    </row>
    <row r="95" spans="1:11" x14ac:dyDescent="0.3">
      <c r="A95" s="270">
        <v>50310</v>
      </c>
      <c r="B95" s="270" t="s">
        <v>654</v>
      </c>
      <c r="C95" s="270">
        <v>50</v>
      </c>
      <c r="D95" s="170" t="s">
        <v>51</v>
      </c>
    </row>
    <row r="96" spans="1:11" x14ac:dyDescent="0.3">
      <c r="A96" s="270">
        <v>50311</v>
      </c>
      <c r="B96" s="270" t="s">
        <v>655</v>
      </c>
      <c r="C96" s="270">
        <v>50</v>
      </c>
      <c r="D96" s="170" t="s">
        <v>51</v>
      </c>
    </row>
    <row r="97" spans="1:11" x14ac:dyDescent="0.3">
      <c r="A97" s="270">
        <v>50314</v>
      </c>
      <c r="B97" s="270" t="s">
        <v>656</v>
      </c>
      <c r="C97" s="270">
        <v>50</v>
      </c>
      <c r="D97" s="170" t="s">
        <v>51</v>
      </c>
    </row>
    <row r="98" spans="1:11" x14ac:dyDescent="0.3">
      <c r="A98" s="270">
        <v>50316</v>
      </c>
      <c r="B98" s="270" t="s">
        <v>657</v>
      </c>
      <c r="C98" s="270">
        <v>50</v>
      </c>
      <c r="D98" s="170" t="s">
        <v>51</v>
      </c>
    </row>
    <row r="99" spans="1:11" x14ac:dyDescent="0.3">
      <c r="A99" s="270">
        <v>50318</v>
      </c>
      <c r="B99" s="270" t="s">
        <v>658</v>
      </c>
      <c r="C99" s="270">
        <v>50</v>
      </c>
      <c r="D99" s="170" t="s">
        <v>51</v>
      </c>
    </row>
    <row r="100" spans="1:11" x14ac:dyDescent="0.3">
      <c r="A100" s="270">
        <v>50323</v>
      </c>
      <c r="B100" s="270" t="s">
        <v>659</v>
      </c>
      <c r="C100" s="270">
        <v>50</v>
      </c>
      <c r="D100" s="170" t="s">
        <v>51</v>
      </c>
    </row>
    <row r="101" spans="1:11" x14ac:dyDescent="0.3">
      <c r="A101" s="270">
        <v>50321</v>
      </c>
      <c r="B101" s="270" t="s">
        <v>1246</v>
      </c>
      <c r="C101" s="270">
        <v>50</v>
      </c>
      <c r="D101" s="170" t="s">
        <v>51</v>
      </c>
    </row>
    <row r="102" spans="1:11" x14ac:dyDescent="0.3">
      <c r="A102" s="270">
        <v>50325</v>
      </c>
      <c r="B102" s="270" t="s">
        <v>660</v>
      </c>
      <c r="C102" s="270">
        <v>50</v>
      </c>
      <c r="D102" s="170" t="s">
        <v>51</v>
      </c>
    </row>
    <row r="103" spans="1:11" x14ac:dyDescent="0.3">
      <c r="A103" s="270">
        <v>50327</v>
      </c>
      <c r="B103" s="270" t="s">
        <v>661</v>
      </c>
      <c r="C103" s="270">
        <v>50</v>
      </c>
      <c r="D103" s="170" t="s">
        <v>51</v>
      </c>
    </row>
    <row r="104" spans="1:11" x14ac:dyDescent="0.3">
      <c r="A104" s="270">
        <v>50328</v>
      </c>
      <c r="B104" s="270" t="s">
        <v>450</v>
      </c>
      <c r="C104" s="270">
        <v>50</v>
      </c>
      <c r="D104" s="170" t="s">
        <v>51</v>
      </c>
    </row>
    <row r="105" spans="1:11" x14ac:dyDescent="0.3">
      <c r="A105" s="270">
        <v>50332</v>
      </c>
      <c r="B105" s="270" t="s">
        <v>662</v>
      </c>
      <c r="C105" s="270">
        <v>50</v>
      </c>
      <c r="D105" s="170" t="s">
        <v>51</v>
      </c>
    </row>
    <row r="106" spans="1:11" x14ac:dyDescent="0.3">
      <c r="A106" s="270">
        <v>50334</v>
      </c>
      <c r="B106" s="951" t="s">
        <v>1247</v>
      </c>
      <c r="C106" s="270">
        <v>50</v>
      </c>
      <c r="D106" s="170" t="s">
        <v>51</v>
      </c>
      <c r="K106" s="951"/>
    </row>
    <row r="107" spans="1:11" x14ac:dyDescent="0.3">
      <c r="A107" s="270">
        <v>50336</v>
      </c>
      <c r="B107" s="270" t="s">
        <v>1248</v>
      </c>
      <c r="C107" s="270">
        <v>50</v>
      </c>
      <c r="D107" s="170" t="s">
        <v>51</v>
      </c>
    </row>
    <row r="108" spans="1:11" x14ac:dyDescent="0.3">
      <c r="A108" s="270">
        <v>50337</v>
      </c>
      <c r="B108" s="951" t="s">
        <v>1249</v>
      </c>
      <c r="C108" s="270">
        <v>50</v>
      </c>
      <c r="D108" s="170" t="s">
        <v>51</v>
      </c>
      <c r="K108" s="951"/>
    </row>
    <row r="109" spans="1:11" x14ac:dyDescent="0.3">
      <c r="A109" s="270">
        <v>50338</v>
      </c>
      <c r="B109" s="951" t="s">
        <v>1250</v>
      </c>
      <c r="C109" s="270">
        <v>50</v>
      </c>
      <c r="D109" s="170" t="s">
        <v>51</v>
      </c>
      <c r="K109" s="951"/>
    </row>
    <row r="110" spans="1:11" x14ac:dyDescent="0.3">
      <c r="A110" s="270">
        <v>50340</v>
      </c>
      <c r="B110" s="270" t="s">
        <v>1251</v>
      </c>
      <c r="C110" s="270">
        <v>50</v>
      </c>
      <c r="D110" s="170" t="s">
        <v>51</v>
      </c>
    </row>
    <row r="111" spans="1:11" x14ac:dyDescent="0.3">
      <c r="A111" s="270">
        <v>50343</v>
      </c>
      <c r="B111" s="270" t="s">
        <v>663</v>
      </c>
      <c r="C111" s="270">
        <v>50</v>
      </c>
      <c r="D111" s="170" t="s">
        <v>51</v>
      </c>
    </row>
    <row r="112" spans="1:11" x14ac:dyDescent="0.3">
      <c r="A112" s="270">
        <v>50348</v>
      </c>
      <c r="B112" s="270" t="s">
        <v>665</v>
      </c>
      <c r="C112" s="270">
        <v>50</v>
      </c>
      <c r="D112" s="170" t="s">
        <v>51</v>
      </c>
    </row>
    <row r="113" spans="1:11" x14ac:dyDescent="0.3">
      <c r="A113" s="270">
        <v>50541</v>
      </c>
      <c r="B113" s="270" t="s">
        <v>666</v>
      </c>
      <c r="C113" s="270">
        <v>50</v>
      </c>
      <c r="D113" s="170" t="s">
        <v>51</v>
      </c>
    </row>
    <row r="114" spans="1:11" x14ac:dyDescent="0.3">
      <c r="A114" s="270">
        <v>50355</v>
      </c>
      <c r="B114" s="270" t="s">
        <v>667</v>
      </c>
      <c r="C114" s="270">
        <v>50</v>
      </c>
      <c r="D114" s="170" t="s">
        <v>51</v>
      </c>
    </row>
    <row r="115" spans="1:11" x14ac:dyDescent="0.3">
      <c r="A115" s="270">
        <v>50357</v>
      </c>
      <c r="B115" s="951" t="s">
        <v>1252</v>
      </c>
      <c r="C115" s="270">
        <v>50</v>
      </c>
      <c r="D115" s="170" t="s">
        <v>51</v>
      </c>
      <c r="K115" s="951"/>
    </row>
    <row r="116" spans="1:11" x14ac:dyDescent="0.3">
      <c r="A116" s="270">
        <v>50360</v>
      </c>
      <c r="B116" s="270" t="s">
        <v>668</v>
      </c>
      <c r="C116" s="270">
        <v>50</v>
      </c>
      <c r="D116" s="170" t="s">
        <v>51</v>
      </c>
    </row>
    <row r="117" spans="1:11" x14ac:dyDescent="0.3">
      <c r="A117" s="270">
        <v>50370</v>
      </c>
      <c r="B117" s="270" t="s">
        <v>669</v>
      </c>
      <c r="C117" s="270">
        <v>50</v>
      </c>
      <c r="D117" s="170" t="s">
        <v>51</v>
      </c>
    </row>
    <row r="118" spans="1:11" x14ac:dyDescent="0.3">
      <c r="A118" s="270">
        <v>50374</v>
      </c>
      <c r="B118" s="270" t="s">
        <v>1253</v>
      </c>
      <c r="C118" s="270">
        <v>50</v>
      </c>
      <c r="D118" s="170" t="s">
        <v>51</v>
      </c>
    </row>
    <row r="119" spans="1:11" x14ac:dyDescent="0.3">
      <c r="A119" s="270">
        <v>50483</v>
      </c>
      <c r="B119" s="270" t="s">
        <v>1254</v>
      </c>
      <c r="C119" s="270">
        <v>50</v>
      </c>
      <c r="D119" s="170" t="s">
        <v>51</v>
      </c>
    </row>
    <row r="120" spans="1:11" x14ac:dyDescent="0.3">
      <c r="A120" s="270">
        <v>50386</v>
      </c>
      <c r="B120" s="270" t="s">
        <v>1255</v>
      </c>
      <c r="C120" s="270">
        <v>50</v>
      </c>
      <c r="D120" s="170" t="s">
        <v>51</v>
      </c>
    </row>
    <row r="121" spans="1:11" x14ac:dyDescent="0.3">
      <c r="A121" s="270">
        <v>50389</v>
      </c>
      <c r="B121" s="270" t="s">
        <v>671</v>
      </c>
      <c r="C121" s="270">
        <v>50</v>
      </c>
      <c r="D121" s="170" t="s">
        <v>51</v>
      </c>
    </row>
    <row r="122" spans="1:11" x14ac:dyDescent="0.3">
      <c r="A122" s="270">
        <v>50500</v>
      </c>
      <c r="B122" s="270" t="s">
        <v>672</v>
      </c>
      <c r="C122" s="270">
        <v>50</v>
      </c>
      <c r="D122" s="170" t="s">
        <v>51</v>
      </c>
    </row>
    <row r="123" spans="1:11" x14ac:dyDescent="0.3">
      <c r="A123" s="270">
        <v>50390</v>
      </c>
      <c r="B123" s="951" t="s">
        <v>1256</v>
      </c>
      <c r="C123" s="270">
        <v>50</v>
      </c>
      <c r="D123" s="170" t="s">
        <v>51</v>
      </c>
      <c r="K123" s="951"/>
    </row>
    <row r="124" spans="1:11" x14ac:dyDescent="0.3">
      <c r="A124" s="270">
        <v>50396</v>
      </c>
      <c r="B124" s="270" t="s">
        <v>673</v>
      </c>
      <c r="C124" s="270">
        <v>50</v>
      </c>
      <c r="D124" s="170" t="s">
        <v>51</v>
      </c>
    </row>
    <row r="125" spans="1:11" x14ac:dyDescent="0.3">
      <c r="A125" s="270">
        <v>50399</v>
      </c>
      <c r="B125" s="270" t="s">
        <v>675</v>
      </c>
      <c r="C125" s="270">
        <v>50</v>
      </c>
      <c r="D125" s="170" t="s">
        <v>51</v>
      </c>
    </row>
    <row r="126" spans="1:11" x14ac:dyDescent="0.3">
      <c r="A126" s="270">
        <v>50401</v>
      </c>
      <c r="B126" s="270" t="s">
        <v>676</v>
      </c>
      <c r="C126" s="270">
        <v>50</v>
      </c>
      <c r="D126" s="170" t="s">
        <v>51</v>
      </c>
    </row>
    <row r="127" spans="1:11" x14ac:dyDescent="0.3">
      <c r="A127" s="270">
        <v>50402</v>
      </c>
      <c r="B127" s="951" t="s">
        <v>1257</v>
      </c>
      <c r="C127" s="270">
        <v>50</v>
      </c>
      <c r="D127" s="170" t="s">
        <v>51</v>
      </c>
      <c r="K127" s="951"/>
    </row>
    <row r="128" spans="1:11" x14ac:dyDescent="0.3">
      <c r="A128" s="270">
        <v>50486</v>
      </c>
      <c r="B128" s="270" t="s">
        <v>1258</v>
      </c>
      <c r="C128" s="270">
        <v>50</v>
      </c>
      <c r="D128" s="170" t="s">
        <v>51</v>
      </c>
    </row>
    <row r="129" spans="1:11" x14ac:dyDescent="0.3">
      <c r="A129" s="270">
        <v>50409</v>
      </c>
      <c r="B129" s="270" t="s">
        <v>1259</v>
      </c>
      <c r="C129" s="270">
        <v>50</v>
      </c>
      <c r="D129" s="170" t="s">
        <v>51</v>
      </c>
    </row>
    <row r="130" spans="1:11" x14ac:dyDescent="0.3">
      <c r="A130" s="270">
        <v>50420</v>
      </c>
      <c r="B130" s="270" t="s">
        <v>677</v>
      </c>
      <c r="C130" s="270">
        <v>50</v>
      </c>
      <c r="D130" s="170" t="s">
        <v>51</v>
      </c>
    </row>
    <row r="131" spans="1:11" x14ac:dyDescent="0.3">
      <c r="A131" s="270">
        <v>50421</v>
      </c>
      <c r="B131" s="951" t="s">
        <v>1260</v>
      </c>
      <c r="C131" s="270">
        <v>50</v>
      </c>
      <c r="D131" s="170" t="s">
        <v>51</v>
      </c>
      <c r="K131" s="951"/>
    </row>
    <row r="132" spans="1:11" x14ac:dyDescent="0.3">
      <c r="A132" s="270">
        <v>50423</v>
      </c>
      <c r="B132" s="270" t="s">
        <v>678</v>
      </c>
      <c r="C132" s="270">
        <v>50</v>
      </c>
      <c r="D132" s="170" t="s">
        <v>51</v>
      </c>
    </row>
    <row r="133" spans="1:11" x14ac:dyDescent="0.3">
      <c r="A133" s="270">
        <v>50432</v>
      </c>
      <c r="B133" s="951" t="s">
        <v>1261</v>
      </c>
      <c r="C133" s="270">
        <v>50</v>
      </c>
      <c r="D133" s="170" t="s">
        <v>51</v>
      </c>
      <c r="K133" s="951"/>
    </row>
    <row r="134" spans="1:11" x14ac:dyDescent="0.3">
      <c r="A134" s="270">
        <v>50499</v>
      </c>
      <c r="B134" s="951" t="s">
        <v>1262</v>
      </c>
      <c r="C134" s="270">
        <v>50</v>
      </c>
      <c r="D134" s="170" t="s">
        <v>51</v>
      </c>
      <c r="K134" s="951"/>
    </row>
    <row r="135" spans="1:11" x14ac:dyDescent="0.3">
      <c r="A135" s="270">
        <v>5103</v>
      </c>
      <c r="B135" s="270" t="s">
        <v>589</v>
      </c>
      <c r="C135" s="270">
        <v>51</v>
      </c>
      <c r="D135" s="170" t="s">
        <v>51</v>
      </c>
    </row>
    <row r="136" spans="1:11" x14ac:dyDescent="0.3">
      <c r="A136" s="270">
        <v>5107</v>
      </c>
      <c r="B136" s="270" t="s">
        <v>595</v>
      </c>
      <c r="C136" s="270">
        <v>51</v>
      </c>
      <c r="D136" s="170" t="s">
        <v>51</v>
      </c>
    </row>
    <row r="137" spans="1:11" x14ac:dyDescent="0.3">
      <c r="A137" s="270">
        <v>5116</v>
      </c>
      <c r="B137" s="951" t="s">
        <v>1263</v>
      </c>
      <c r="C137" s="270">
        <v>51</v>
      </c>
      <c r="D137" s="170" t="s">
        <v>51</v>
      </c>
      <c r="K137" s="951"/>
    </row>
    <row r="138" spans="1:11" x14ac:dyDescent="0.3">
      <c r="A138" s="270">
        <v>5119</v>
      </c>
      <c r="B138" s="951" t="s">
        <v>1264</v>
      </c>
      <c r="C138" s="270">
        <v>51</v>
      </c>
      <c r="D138" s="170" t="s">
        <v>51</v>
      </c>
      <c r="K138" s="951"/>
    </row>
    <row r="139" spans="1:11" x14ac:dyDescent="0.3">
      <c r="A139" s="270">
        <v>5123</v>
      </c>
      <c r="B139" s="270" t="s">
        <v>1265</v>
      </c>
      <c r="C139" s="270">
        <v>51</v>
      </c>
      <c r="D139" s="170" t="s">
        <v>51</v>
      </c>
    </row>
    <row r="140" spans="1:11" x14ac:dyDescent="0.3">
      <c r="A140" s="270">
        <v>5129</v>
      </c>
      <c r="B140" s="951" t="s">
        <v>1266</v>
      </c>
      <c r="C140" s="270">
        <v>51</v>
      </c>
      <c r="D140" s="170" t="s">
        <v>51</v>
      </c>
      <c r="K140" s="951"/>
    </row>
    <row r="141" spans="1:11" x14ac:dyDescent="0.3">
      <c r="A141" s="270">
        <v>5132</v>
      </c>
      <c r="B141" s="270" t="s">
        <v>612</v>
      </c>
      <c r="C141" s="270">
        <v>51</v>
      </c>
      <c r="D141" s="170" t="s">
        <v>51</v>
      </c>
    </row>
    <row r="142" spans="1:11" x14ac:dyDescent="0.3">
      <c r="A142" s="270">
        <v>5137</v>
      </c>
      <c r="B142" s="270" t="s">
        <v>1267</v>
      </c>
      <c r="C142" s="270">
        <v>51</v>
      </c>
      <c r="D142" s="170" t="s">
        <v>51</v>
      </c>
    </row>
    <row r="143" spans="1:11" x14ac:dyDescent="0.3">
      <c r="A143" s="270">
        <v>5147</v>
      </c>
      <c r="B143" s="270" t="s">
        <v>635</v>
      </c>
      <c r="C143" s="270">
        <v>51</v>
      </c>
      <c r="D143" s="170" t="s">
        <v>51</v>
      </c>
    </row>
    <row r="144" spans="1:11" x14ac:dyDescent="0.3">
      <c r="A144" s="270">
        <v>5156</v>
      </c>
      <c r="B144" s="270" t="s">
        <v>636</v>
      </c>
      <c r="C144" s="270">
        <v>51</v>
      </c>
      <c r="D144" s="170" t="s">
        <v>51</v>
      </c>
    </row>
    <row r="145" spans="1:11" x14ac:dyDescent="0.3">
      <c r="A145" s="270">
        <v>5157</v>
      </c>
      <c r="B145" s="270" t="s">
        <v>1268</v>
      </c>
      <c r="C145" s="270">
        <v>51</v>
      </c>
      <c r="D145" s="170" t="s">
        <v>51</v>
      </c>
    </row>
    <row r="146" spans="1:11" x14ac:dyDescent="0.3">
      <c r="A146" s="270">
        <v>5165</v>
      </c>
      <c r="B146" s="270" t="s">
        <v>645</v>
      </c>
      <c r="C146" s="270">
        <v>51</v>
      </c>
      <c r="D146" s="170" t="s">
        <v>51</v>
      </c>
    </row>
    <row r="147" spans="1:11" x14ac:dyDescent="0.3">
      <c r="A147" s="270">
        <v>5167</v>
      </c>
      <c r="B147" s="270" t="s">
        <v>648</v>
      </c>
      <c r="C147" s="270">
        <v>51</v>
      </c>
      <c r="D147" s="170" t="s">
        <v>51</v>
      </c>
    </row>
    <row r="148" spans="1:11" x14ac:dyDescent="0.3">
      <c r="A148" s="270">
        <v>5170</v>
      </c>
      <c r="B148" s="270" t="s">
        <v>649</v>
      </c>
      <c r="C148" s="270">
        <v>51</v>
      </c>
      <c r="D148" s="170" t="s">
        <v>51</v>
      </c>
    </row>
    <row r="149" spans="1:11" x14ac:dyDescent="0.3">
      <c r="A149" s="270">
        <v>5172</v>
      </c>
      <c r="B149" s="270" t="s">
        <v>1269</v>
      </c>
      <c r="C149" s="270">
        <v>51</v>
      </c>
      <c r="D149" s="170" t="s">
        <v>51</v>
      </c>
    </row>
    <row r="150" spans="1:11" x14ac:dyDescent="0.3">
      <c r="A150" s="270">
        <v>5182</v>
      </c>
      <c r="B150" s="270" t="s">
        <v>664</v>
      </c>
      <c r="C150" s="270">
        <v>51</v>
      </c>
      <c r="D150" s="170" t="s">
        <v>51</v>
      </c>
    </row>
    <row r="151" spans="1:11" x14ac:dyDescent="0.3">
      <c r="A151" s="270">
        <v>5188</v>
      </c>
      <c r="B151" s="270" t="s">
        <v>674</v>
      </c>
      <c r="C151" s="270">
        <v>51</v>
      </c>
      <c r="D151" s="170" t="s">
        <v>51</v>
      </c>
    </row>
    <row r="152" spans="1:11" x14ac:dyDescent="0.3">
      <c r="A152" s="270">
        <v>591706</v>
      </c>
      <c r="B152" s="952" t="s">
        <v>1270</v>
      </c>
      <c r="C152" s="270">
        <v>59</v>
      </c>
      <c r="D152" s="170" t="s">
        <v>51</v>
      </c>
      <c r="K152" s="952"/>
    </row>
    <row r="153" spans="1:11" x14ac:dyDescent="0.3">
      <c r="A153" s="270">
        <v>591612</v>
      </c>
      <c r="B153" s="952" t="s">
        <v>1271</v>
      </c>
      <c r="C153" s="270">
        <v>59</v>
      </c>
      <c r="D153" s="170" t="s">
        <v>51</v>
      </c>
      <c r="K153" s="952"/>
    </row>
    <row r="154" spans="1:11" x14ac:dyDescent="0.3">
      <c r="A154" s="270">
        <v>591604</v>
      </c>
      <c r="B154" s="270" t="s">
        <v>604</v>
      </c>
      <c r="C154" s="270">
        <v>59</v>
      </c>
      <c r="D154" s="170" t="s">
        <v>51</v>
      </c>
    </row>
    <row r="155" spans="1:11" x14ac:dyDescent="0.3">
      <c r="A155" s="270">
        <v>591632</v>
      </c>
      <c r="B155" s="951" t="s">
        <v>616</v>
      </c>
      <c r="C155" s="270">
        <v>59</v>
      </c>
      <c r="D155" s="170" t="s">
        <v>51</v>
      </c>
      <c r="K155" s="951"/>
    </row>
    <row r="156" spans="1:11" x14ac:dyDescent="0.3">
      <c r="A156" s="270">
        <v>591607</v>
      </c>
      <c r="B156" s="270" t="s">
        <v>621</v>
      </c>
      <c r="C156" s="270">
        <v>59</v>
      </c>
      <c r="D156" s="170" t="s">
        <v>51</v>
      </c>
    </row>
    <row r="157" spans="1:11" x14ac:dyDescent="0.3">
      <c r="A157" s="270">
        <v>591613</v>
      </c>
      <c r="B157" s="270" t="s">
        <v>1272</v>
      </c>
      <c r="C157" s="270">
        <v>59</v>
      </c>
      <c r="D157" s="170" t="s">
        <v>51</v>
      </c>
    </row>
    <row r="158" spans="1:11" x14ac:dyDescent="0.3">
      <c r="A158" s="270">
        <v>591616</v>
      </c>
      <c r="B158" s="951" t="s">
        <v>1273</v>
      </c>
      <c r="C158" s="270">
        <v>59</v>
      </c>
      <c r="D158" s="170" t="s">
        <v>51</v>
      </c>
      <c r="K158" s="951"/>
    </row>
    <row r="159" spans="1:11" x14ac:dyDescent="0.3">
      <c r="A159" s="270">
        <v>592368</v>
      </c>
      <c r="B159" s="270" t="s">
        <v>670</v>
      </c>
      <c r="C159" s="270">
        <v>59</v>
      </c>
      <c r="D159" s="170" t="s">
        <v>51</v>
      </c>
    </row>
    <row r="160" spans="1:11" x14ac:dyDescent="0.3">
      <c r="A160" s="270">
        <v>591633</v>
      </c>
      <c r="B160" s="951" t="s">
        <v>1274</v>
      </c>
      <c r="C160" s="270">
        <v>59</v>
      </c>
      <c r="D160" s="170" t="s">
        <v>51</v>
      </c>
      <c r="K160" s="951"/>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2021-08-02T19:21:57Z</cp:lastPrinted>
  <dcterms:created xsi:type="dcterms:W3CDTF">2011-03-11T21:05:05Z</dcterms:created>
  <dcterms:modified xsi:type="dcterms:W3CDTF">2022-09-16T17:02:06Z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